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ly Díez\Desktop\Proyectos\Material Balance\"/>
    </mc:Choice>
  </mc:AlternateContent>
  <xr:revisionPtr revIDLastSave="0" documentId="13_ncr:1_{BC5F8376-ECA0-4B35-B3A2-792B95D6F268}" xr6:coauthVersionLast="47" xr6:coauthVersionMax="47" xr10:uidLastSave="{00000000-0000-0000-0000-000000000000}"/>
  <bookViews>
    <workbookView xWindow="-120" yWindow="-120" windowWidth="20730" windowHeight="11040" firstSheet="11" activeTab="14" xr2:uid="{67EAE771-4191-4243-8219-D22F00FEB6D9}"/>
  </bookViews>
  <sheets>
    <sheet name="Data" sheetId="2" r:id="rId1"/>
    <sheet name="PVT_Ginj" sheetId="16" r:id="rId2"/>
    <sheet name="PVT USR" sheetId="14" r:id="rId3"/>
    <sheet name="PVT SR" sheetId="7" r:id="rId4"/>
    <sheet name="UNS RES" sheetId="4" r:id="rId5"/>
    <sheet name="MBal_Undersaturated Reservoir" sheetId="11" r:id="rId6"/>
    <sheet name="MBal_Som_Saturated-Res" sheetId="12" r:id="rId7"/>
    <sheet name="SAT RES" sheetId="8" r:id="rId8"/>
    <sheet name="Huff&amp;Puff_1st Cycle" sheetId="15" r:id="rId9"/>
    <sheet name="Huff&amp;Puff_2nd Cycle" sheetId="21" r:id="rId10"/>
    <sheet name="Huff&amp;Puff_3rd Cycle" sheetId="22" r:id="rId11"/>
    <sheet name="Huff&amp;Puff_4th Cycle" sheetId="23" r:id="rId12"/>
    <sheet name="Huff&amp;Puff_5th Cycle" sheetId="24" r:id="rId13"/>
    <sheet name="Summary" sheetId="25" r:id="rId14"/>
    <sheet name="Paper" sheetId="26" r:id="rId15"/>
    <sheet name="Graphs" sheetId="27" r:id="rId16"/>
    <sheet name="Graphs Cycles" sheetId="2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4" i="8" l="1"/>
  <c r="Y28" i="8"/>
  <c r="Y19" i="8"/>
  <c r="Y12" i="8"/>
  <c r="Y97" i="8"/>
  <c r="Y96" i="8"/>
  <c r="Y90" i="8"/>
  <c r="Y89" i="8"/>
  <c r="Y83" i="8"/>
  <c r="Y82" i="8"/>
  <c r="Y76" i="8"/>
  <c r="Y75" i="8"/>
  <c r="Y68" i="8"/>
  <c r="Y59" i="8"/>
  <c r="Y58" i="8"/>
  <c r="Y49" i="8"/>
  <c r="Y48" i="8"/>
  <c r="Y39" i="8"/>
  <c r="Y38" i="8"/>
  <c r="Y29" i="8"/>
  <c r="Y23" i="8"/>
  <c r="Y16" i="8"/>
  <c r="Y20" i="8"/>
  <c r="K19" i="8"/>
  <c r="L19" i="8"/>
  <c r="K13" i="8"/>
  <c r="K18" i="8"/>
  <c r="Y7" i="8"/>
  <c r="V101" i="8"/>
  <c r="T101" i="8"/>
  <c r="V8" i="8"/>
  <c r="W8" i="8"/>
  <c r="U8" i="8"/>
  <c r="Z7" i="8"/>
  <c r="AC7" i="8" s="1"/>
  <c r="T33" i="8"/>
  <c r="W41" i="25"/>
  <c r="W43" i="25"/>
  <c r="W45" i="25"/>
  <c r="W47" i="25"/>
  <c r="W49" i="25"/>
  <c r="V41" i="25"/>
  <c r="V43" i="25"/>
  <c r="V45" i="25"/>
  <c r="V47" i="25"/>
  <c r="V49" i="25"/>
  <c r="P41" i="25"/>
  <c r="P43" i="25"/>
  <c r="P45" i="25"/>
  <c r="P47" i="25"/>
  <c r="P49" i="25"/>
  <c r="K5" i="4"/>
  <c r="L8" i="8"/>
  <c r="O7" i="8"/>
  <c r="E66" i="8"/>
  <c r="F66" i="8"/>
  <c r="C66" i="8"/>
  <c r="J8" i="4"/>
  <c r="I7" i="4"/>
  <c r="R5" i="28"/>
  <c r="R6" i="28"/>
  <c r="R7" i="28"/>
  <c r="R8" i="28"/>
  <c r="R4" i="28"/>
  <c r="C12" i="25"/>
  <c r="Q37" i="25"/>
  <c r="C4" i="25"/>
  <c r="C6" i="25"/>
  <c r="C8" i="25"/>
  <c r="C10" i="25"/>
  <c r="J12" i="25"/>
  <c r="I12" i="25"/>
  <c r="J10" i="25"/>
  <c r="I10" i="25"/>
  <c r="J8" i="25"/>
  <c r="I8" i="25"/>
  <c r="J6" i="25"/>
  <c r="I6" i="25"/>
  <c r="J4" i="25"/>
  <c r="I4" i="25"/>
  <c r="O39" i="15"/>
  <c r="P39" i="15" s="1"/>
  <c r="O6" i="24"/>
  <c r="O48" i="24"/>
  <c r="P48" i="24" s="1"/>
  <c r="J48" i="24"/>
  <c r="O47" i="24"/>
  <c r="P47" i="24" s="1"/>
  <c r="J47" i="24"/>
  <c r="O46" i="24"/>
  <c r="P46" i="24" s="1"/>
  <c r="J46" i="24"/>
  <c r="O45" i="24"/>
  <c r="P45" i="24" s="1"/>
  <c r="J45" i="24"/>
  <c r="O44" i="24"/>
  <c r="P44" i="24" s="1"/>
  <c r="J44" i="24"/>
  <c r="O43" i="24"/>
  <c r="P43" i="24" s="1"/>
  <c r="J43" i="24"/>
  <c r="O42" i="24"/>
  <c r="P42" i="24" s="1"/>
  <c r="J42" i="24"/>
  <c r="O41" i="24"/>
  <c r="P41" i="24" s="1"/>
  <c r="J41" i="24"/>
  <c r="O40" i="24"/>
  <c r="P40" i="24" s="1"/>
  <c r="J40" i="24"/>
  <c r="O39" i="24"/>
  <c r="P39" i="24" s="1"/>
  <c r="J39" i="24"/>
  <c r="O38" i="24"/>
  <c r="P38" i="24" s="1"/>
  <c r="J38" i="24"/>
  <c r="O37" i="24"/>
  <c r="P37" i="24" s="1"/>
  <c r="J37" i="24"/>
  <c r="O36" i="24"/>
  <c r="P36" i="24" s="1"/>
  <c r="J36" i="24"/>
  <c r="O35" i="24"/>
  <c r="P35" i="24" s="1"/>
  <c r="J35" i="24"/>
  <c r="O34" i="24"/>
  <c r="P34" i="24" s="1"/>
  <c r="J34" i="24"/>
  <c r="O33" i="24"/>
  <c r="P33" i="24" s="1"/>
  <c r="J33" i="24"/>
  <c r="P32" i="24"/>
  <c r="O32" i="24"/>
  <c r="J32" i="24"/>
  <c r="O31" i="24"/>
  <c r="P31" i="24" s="1"/>
  <c r="J31" i="24"/>
  <c r="O30" i="24"/>
  <c r="P30" i="24" s="1"/>
  <c r="J30" i="24"/>
  <c r="H30" i="24"/>
  <c r="B30" i="24"/>
  <c r="O29" i="24"/>
  <c r="P29" i="24" s="1"/>
  <c r="J29" i="24"/>
  <c r="I29" i="24"/>
  <c r="H29" i="24"/>
  <c r="F29" i="24"/>
  <c r="E29" i="24"/>
  <c r="C29" i="24"/>
  <c r="B29" i="24"/>
  <c r="G29" i="24" s="1"/>
  <c r="P28" i="24"/>
  <c r="O28" i="24"/>
  <c r="J28" i="24"/>
  <c r="I28" i="24"/>
  <c r="H28" i="24"/>
  <c r="G28" i="24"/>
  <c r="F28" i="24"/>
  <c r="E28" i="24"/>
  <c r="W28" i="24" s="1"/>
  <c r="X28" i="24" s="1"/>
  <c r="C28" i="24"/>
  <c r="AB20" i="24"/>
  <c r="J6" i="24"/>
  <c r="I6" i="24"/>
  <c r="H6" i="24"/>
  <c r="G6" i="24"/>
  <c r="F6" i="24"/>
  <c r="E6" i="24"/>
  <c r="D6" i="24"/>
  <c r="C6" i="24"/>
  <c r="Q6" i="24" s="1"/>
  <c r="I5" i="24"/>
  <c r="H5" i="24"/>
  <c r="G5" i="24"/>
  <c r="F5" i="24"/>
  <c r="E5" i="24"/>
  <c r="D5" i="24"/>
  <c r="C5" i="24"/>
  <c r="AB20" i="23"/>
  <c r="O6" i="23"/>
  <c r="B38" i="22"/>
  <c r="P48" i="23"/>
  <c r="O48" i="23"/>
  <c r="J48" i="23"/>
  <c r="O47" i="23"/>
  <c r="P47" i="23" s="1"/>
  <c r="J47" i="23"/>
  <c r="O46" i="23"/>
  <c r="P46" i="23" s="1"/>
  <c r="J46" i="23"/>
  <c r="P45" i="23"/>
  <c r="O45" i="23"/>
  <c r="J45" i="23"/>
  <c r="P44" i="23"/>
  <c r="O44" i="23"/>
  <c r="J44" i="23"/>
  <c r="O43" i="23"/>
  <c r="P43" i="23" s="1"/>
  <c r="J43" i="23"/>
  <c r="O42" i="23"/>
  <c r="P42" i="23" s="1"/>
  <c r="J42" i="23"/>
  <c r="P41" i="23"/>
  <c r="O41" i="23"/>
  <c r="J41" i="23"/>
  <c r="P40" i="23"/>
  <c r="O40" i="23"/>
  <c r="J40" i="23"/>
  <c r="O39" i="23"/>
  <c r="P39" i="23" s="1"/>
  <c r="J39" i="23"/>
  <c r="O38" i="23"/>
  <c r="P38" i="23" s="1"/>
  <c r="J38" i="23"/>
  <c r="P37" i="23"/>
  <c r="O37" i="23"/>
  <c r="J37" i="23"/>
  <c r="P36" i="23"/>
  <c r="O36" i="23"/>
  <c r="J36" i="23"/>
  <c r="O35" i="23"/>
  <c r="P35" i="23" s="1"/>
  <c r="J35" i="23"/>
  <c r="O34" i="23"/>
  <c r="P34" i="23" s="1"/>
  <c r="J34" i="23"/>
  <c r="O33" i="23"/>
  <c r="P33" i="23" s="1"/>
  <c r="J33" i="23"/>
  <c r="O32" i="23"/>
  <c r="P32" i="23" s="1"/>
  <c r="J32" i="23"/>
  <c r="O31" i="23"/>
  <c r="P31" i="23" s="1"/>
  <c r="J31" i="23"/>
  <c r="O30" i="23"/>
  <c r="P30" i="23" s="1"/>
  <c r="J30" i="23"/>
  <c r="I30" i="23"/>
  <c r="H30" i="23"/>
  <c r="G30" i="23"/>
  <c r="C30" i="23"/>
  <c r="W30" i="23" s="1"/>
  <c r="X30" i="23" s="1"/>
  <c r="B30" i="23"/>
  <c r="E30" i="23" s="1"/>
  <c r="O29" i="23"/>
  <c r="P29" i="23" s="1"/>
  <c r="J29" i="23"/>
  <c r="I29" i="23"/>
  <c r="H29" i="23"/>
  <c r="G29" i="23"/>
  <c r="F29" i="23"/>
  <c r="E29" i="23"/>
  <c r="C29" i="23"/>
  <c r="W29" i="23" s="1"/>
  <c r="X29" i="23" s="1"/>
  <c r="B29" i="23"/>
  <c r="O28" i="23"/>
  <c r="P28" i="23" s="1"/>
  <c r="J28" i="23"/>
  <c r="I28" i="23"/>
  <c r="H28" i="23"/>
  <c r="G28" i="23"/>
  <c r="F28" i="23"/>
  <c r="E28" i="23"/>
  <c r="C28" i="23"/>
  <c r="W28" i="23" s="1"/>
  <c r="X28" i="23" s="1"/>
  <c r="S6" i="23"/>
  <c r="J6" i="23"/>
  <c r="I6" i="23"/>
  <c r="H6" i="23"/>
  <c r="G6" i="23"/>
  <c r="F6" i="23"/>
  <c r="E6" i="23"/>
  <c r="D6" i="23"/>
  <c r="C6" i="23"/>
  <c r="I5" i="23"/>
  <c r="H5" i="23"/>
  <c r="G5" i="23"/>
  <c r="F5" i="23"/>
  <c r="E5" i="23"/>
  <c r="D5" i="23"/>
  <c r="C5" i="23"/>
  <c r="AB20" i="22"/>
  <c r="O6" i="22"/>
  <c r="P48" i="22"/>
  <c r="O48" i="22"/>
  <c r="J48" i="22"/>
  <c r="P47" i="22"/>
  <c r="O47" i="22"/>
  <c r="J47" i="22"/>
  <c r="O46" i="22"/>
  <c r="P46" i="22" s="1"/>
  <c r="J46" i="22"/>
  <c r="O45" i="22"/>
  <c r="P45" i="22" s="1"/>
  <c r="J45" i="22"/>
  <c r="P44" i="22"/>
  <c r="O44" i="22"/>
  <c r="J44" i="22"/>
  <c r="O43" i="22"/>
  <c r="P43" i="22" s="1"/>
  <c r="J43" i="22"/>
  <c r="P42" i="22"/>
  <c r="O42" i="22"/>
  <c r="J42" i="22"/>
  <c r="O41" i="22"/>
  <c r="P41" i="22" s="1"/>
  <c r="J41" i="22"/>
  <c r="P40" i="22"/>
  <c r="O40" i="22"/>
  <c r="J40" i="22"/>
  <c r="O39" i="22"/>
  <c r="P39" i="22" s="1"/>
  <c r="J39" i="22"/>
  <c r="P38" i="22"/>
  <c r="O38" i="22"/>
  <c r="J38" i="22"/>
  <c r="O37" i="22"/>
  <c r="P37" i="22" s="1"/>
  <c r="J37" i="22"/>
  <c r="P36" i="22"/>
  <c r="O36" i="22"/>
  <c r="J36" i="22"/>
  <c r="O35" i="22"/>
  <c r="P35" i="22" s="1"/>
  <c r="J35" i="22"/>
  <c r="P34" i="22"/>
  <c r="O34" i="22"/>
  <c r="J34" i="22"/>
  <c r="O33" i="22"/>
  <c r="P33" i="22" s="1"/>
  <c r="J33" i="22"/>
  <c r="P32" i="22"/>
  <c r="O32" i="22"/>
  <c r="J32" i="22"/>
  <c r="O31" i="22"/>
  <c r="P31" i="22" s="1"/>
  <c r="J31" i="22"/>
  <c r="P30" i="22"/>
  <c r="O30" i="22"/>
  <c r="J30" i="22"/>
  <c r="F30" i="22"/>
  <c r="B30" i="22"/>
  <c r="O29" i="22"/>
  <c r="P29" i="22" s="1"/>
  <c r="J29" i="22"/>
  <c r="I29" i="22"/>
  <c r="C29" i="22"/>
  <c r="B29" i="22"/>
  <c r="P28" i="22"/>
  <c r="O28" i="22"/>
  <c r="J28" i="22"/>
  <c r="I28" i="22"/>
  <c r="H28" i="22"/>
  <c r="G28" i="22"/>
  <c r="F28" i="22"/>
  <c r="E28" i="22"/>
  <c r="C28" i="22"/>
  <c r="W28" i="22" s="1"/>
  <c r="X28" i="22" s="1"/>
  <c r="O8" i="22"/>
  <c r="O10" i="22" s="1"/>
  <c r="O12" i="22" s="1"/>
  <c r="O14" i="22" s="1"/>
  <c r="O16" i="22" s="1"/>
  <c r="O18" i="22" s="1"/>
  <c r="O20" i="22" s="1"/>
  <c r="J6" i="22"/>
  <c r="I6" i="22"/>
  <c r="S6" i="22" s="1"/>
  <c r="H6" i="22"/>
  <c r="G6" i="22"/>
  <c r="F6" i="22"/>
  <c r="E6" i="22"/>
  <c r="D6" i="22"/>
  <c r="C6" i="22"/>
  <c r="I5" i="22"/>
  <c r="H5" i="22"/>
  <c r="G5" i="22"/>
  <c r="F5" i="22"/>
  <c r="E5" i="22"/>
  <c r="D5" i="22"/>
  <c r="C5" i="22"/>
  <c r="J37" i="21"/>
  <c r="O37" i="21"/>
  <c r="P37" i="21" s="1"/>
  <c r="J38" i="21"/>
  <c r="O38" i="21"/>
  <c r="P38" i="21" s="1"/>
  <c r="J39" i="21"/>
  <c r="O39" i="21"/>
  <c r="P39" i="21" s="1"/>
  <c r="J40" i="21"/>
  <c r="O40" i="21"/>
  <c r="P40" i="21" s="1"/>
  <c r="J41" i="21"/>
  <c r="O41" i="21"/>
  <c r="P41" i="21" s="1"/>
  <c r="J42" i="21"/>
  <c r="O42" i="21"/>
  <c r="P42" i="21" s="1"/>
  <c r="J43" i="21"/>
  <c r="O43" i="21"/>
  <c r="P43" i="21" s="1"/>
  <c r="J44" i="21"/>
  <c r="O44" i="21"/>
  <c r="P44" i="21"/>
  <c r="J45" i="21"/>
  <c r="O45" i="21"/>
  <c r="P45" i="21" s="1"/>
  <c r="J46" i="21"/>
  <c r="O46" i="21"/>
  <c r="P46" i="21" s="1"/>
  <c r="J47" i="21"/>
  <c r="O47" i="21"/>
  <c r="P47" i="21" s="1"/>
  <c r="J48" i="21"/>
  <c r="O48" i="21"/>
  <c r="P48" i="21"/>
  <c r="AB20" i="21"/>
  <c r="N6" i="21"/>
  <c r="N8" i="21" s="1"/>
  <c r="N10" i="21" s="1"/>
  <c r="O6" i="21"/>
  <c r="O8" i="21" s="1"/>
  <c r="O10" i="21" s="1"/>
  <c r="O12" i="21" s="1"/>
  <c r="O14" i="21" s="1"/>
  <c r="O16" i="21" s="1"/>
  <c r="O18" i="21" s="1"/>
  <c r="O20" i="21" s="1"/>
  <c r="O36" i="21"/>
  <c r="P36" i="21" s="1"/>
  <c r="J36" i="21"/>
  <c r="O35" i="21"/>
  <c r="P35" i="21" s="1"/>
  <c r="J35" i="21"/>
  <c r="O34" i="21"/>
  <c r="P34" i="21" s="1"/>
  <c r="J34" i="21"/>
  <c r="O33" i="21"/>
  <c r="P33" i="21" s="1"/>
  <c r="J33" i="21"/>
  <c r="O32" i="21"/>
  <c r="P32" i="21" s="1"/>
  <c r="J32" i="21"/>
  <c r="O31" i="21"/>
  <c r="P31" i="21" s="1"/>
  <c r="J31" i="21"/>
  <c r="O30" i="21"/>
  <c r="P30" i="21" s="1"/>
  <c r="J30" i="21"/>
  <c r="O29" i="21"/>
  <c r="P29" i="21" s="1"/>
  <c r="J29" i="21"/>
  <c r="B29" i="21"/>
  <c r="F29" i="21" s="1"/>
  <c r="O28" i="21"/>
  <c r="P28" i="21" s="1"/>
  <c r="J28" i="21"/>
  <c r="I28" i="21"/>
  <c r="H28" i="21"/>
  <c r="G28" i="21"/>
  <c r="F28" i="21"/>
  <c r="E28" i="21"/>
  <c r="C28" i="21"/>
  <c r="J6" i="21"/>
  <c r="I6" i="21"/>
  <c r="H6" i="21"/>
  <c r="G6" i="21"/>
  <c r="F6" i="21"/>
  <c r="E6" i="21"/>
  <c r="D6" i="21"/>
  <c r="C6" i="21"/>
  <c r="Q6" i="21" s="1"/>
  <c r="I5" i="21"/>
  <c r="H5" i="21"/>
  <c r="D5" i="21"/>
  <c r="E5" i="21"/>
  <c r="X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28" i="15"/>
  <c r="P8" i="15"/>
  <c r="J6" i="15"/>
  <c r="B5" i="15"/>
  <c r="C5" i="15" s="1"/>
  <c r="O28" i="15"/>
  <c r="P28" i="15" s="1"/>
  <c r="AD28" i="15" s="1"/>
  <c r="I28" i="15"/>
  <c r="H28" i="15"/>
  <c r="G28" i="15"/>
  <c r="F28" i="15"/>
  <c r="E28" i="15"/>
  <c r="C28" i="15"/>
  <c r="I41" i="15"/>
  <c r="AB20" i="15"/>
  <c r="AA7" i="8" l="1"/>
  <c r="T6" i="24"/>
  <c r="R6" i="24"/>
  <c r="S6" i="24"/>
  <c r="O8" i="24"/>
  <c r="W29" i="24"/>
  <c r="X29" i="24" s="1"/>
  <c r="B31" i="24"/>
  <c r="I30" i="24"/>
  <c r="G30" i="24"/>
  <c r="F30" i="24"/>
  <c r="E30" i="24"/>
  <c r="C30" i="24"/>
  <c r="W30" i="24" s="1"/>
  <c r="X30" i="24" s="1"/>
  <c r="R6" i="23"/>
  <c r="O8" i="23"/>
  <c r="O10" i="23" s="1"/>
  <c r="O12" i="23" s="1"/>
  <c r="O14" i="23" s="1"/>
  <c r="O16" i="23" s="1"/>
  <c r="O18" i="23" s="1"/>
  <c r="O20" i="23" s="1"/>
  <c r="Q6" i="23"/>
  <c r="T6" i="23"/>
  <c r="F30" i="23"/>
  <c r="B31" i="23"/>
  <c r="T6" i="22"/>
  <c r="Q6" i="22"/>
  <c r="R6" i="22"/>
  <c r="P10" i="22"/>
  <c r="B31" i="22"/>
  <c r="I30" i="22"/>
  <c r="C30" i="22"/>
  <c r="H29" i="22"/>
  <c r="G29" i="22"/>
  <c r="E30" i="22"/>
  <c r="W29" i="22"/>
  <c r="X29" i="22" s="1"/>
  <c r="E29" i="22"/>
  <c r="G30" i="22"/>
  <c r="F29" i="22"/>
  <c r="H30" i="22"/>
  <c r="G29" i="21"/>
  <c r="C29" i="21"/>
  <c r="N12" i="21"/>
  <c r="N14" i="21" s="1"/>
  <c r="N16" i="21" s="1"/>
  <c r="N18" i="21" s="1"/>
  <c r="P10" i="21"/>
  <c r="E29" i="21"/>
  <c r="P6" i="21"/>
  <c r="N6" i="22" s="1"/>
  <c r="N8" i="22" s="1"/>
  <c r="N10" i="22" s="1"/>
  <c r="N12" i="22" s="1"/>
  <c r="P12" i="22" s="1"/>
  <c r="I29" i="21"/>
  <c r="W28" i="21"/>
  <c r="X28" i="21" s="1"/>
  <c r="B30" i="21"/>
  <c r="E30" i="21" s="1"/>
  <c r="H29" i="21"/>
  <c r="P8" i="21"/>
  <c r="T6" i="21"/>
  <c r="S6" i="21"/>
  <c r="F5" i="21"/>
  <c r="G5" i="21"/>
  <c r="C5" i="21"/>
  <c r="R6" i="21" s="1"/>
  <c r="H5" i="15"/>
  <c r="G5" i="15"/>
  <c r="F5" i="15"/>
  <c r="I5" i="15"/>
  <c r="E5" i="15"/>
  <c r="D5" i="15"/>
  <c r="J52" i="15"/>
  <c r="O52" i="15"/>
  <c r="P52" i="15" s="1"/>
  <c r="V97" i="8"/>
  <c r="V98" i="8"/>
  <c r="V99" i="8"/>
  <c r="V100" i="8"/>
  <c r="V96" i="8"/>
  <c r="T97" i="8"/>
  <c r="T98" i="8"/>
  <c r="T99" i="8"/>
  <c r="T100" i="8"/>
  <c r="T96" i="8"/>
  <c r="V90" i="8"/>
  <c r="V91" i="8"/>
  <c r="V92" i="8"/>
  <c r="V93" i="8"/>
  <c r="V94" i="8"/>
  <c r="V89" i="8"/>
  <c r="T90" i="8"/>
  <c r="T91" i="8"/>
  <c r="T92" i="8"/>
  <c r="T93" i="8"/>
  <c r="T94" i="8"/>
  <c r="T89" i="8"/>
  <c r="V83" i="8"/>
  <c r="V84" i="8"/>
  <c r="V85" i="8"/>
  <c r="V86" i="8"/>
  <c r="V87" i="8"/>
  <c r="V82" i="8"/>
  <c r="T83" i="8"/>
  <c r="T84" i="8"/>
  <c r="T85" i="8"/>
  <c r="T86" i="8"/>
  <c r="T87" i="8"/>
  <c r="T82" i="8"/>
  <c r="V76" i="8"/>
  <c r="V77" i="8"/>
  <c r="V78" i="8"/>
  <c r="V79" i="8"/>
  <c r="V80" i="8"/>
  <c r="V75" i="8"/>
  <c r="T76" i="8"/>
  <c r="T77" i="8"/>
  <c r="T78" i="8"/>
  <c r="T79" i="8"/>
  <c r="T80" i="8"/>
  <c r="T75" i="8"/>
  <c r="V59" i="8"/>
  <c r="V60" i="8"/>
  <c r="V61" i="8"/>
  <c r="V62" i="8"/>
  <c r="V63" i="8"/>
  <c r="V64" i="8"/>
  <c r="V65" i="8"/>
  <c r="V66" i="8"/>
  <c r="V58" i="8"/>
  <c r="T59" i="8"/>
  <c r="T60" i="8"/>
  <c r="T61" i="8"/>
  <c r="T62" i="8"/>
  <c r="T63" i="8"/>
  <c r="T64" i="8"/>
  <c r="T65" i="8"/>
  <c r="T66" i="8"/>
  <c r="T58" i="8"/>
  <c r="V49" i="8"/>
  <c r="V50" i="8"/>
  <c r="V51" i="8"/>
  <c r="V52" i="8"/>
  <c r="V53" i="8"/>
  <c r="V54" i="8"/>
  <c r="V55" i="8"/>
  <c r="V56" i="8"/>
  <c r="V48" i="8"/>
  <c r="T49" i="8"/>
  <c r="T50" i="8"/>
  <c r="T51" i="8"/>
  <c r="T52" i="8"/>
  <c r="T53" i="8"/>
  <c r="T54" i="8"/>
  <c r="T55" i="8"/>
  <c r="T56" i="8"/>
  <c r="T48" i="8"/>
  <c r="V39" i="8"/>
  <c r="V40" i="8"/>
  <c r="V41" i="8"/>
  <c r="V42" i="8"/>
  <c r="V43" i="8"/>
  <c r="V44" i="8"/>
  <c r="V45" i="8"/>
  <c r="V46" i="8"/>
  <c r="V38" i="8"/>
  <c r="T39" i="8"/>
  <c r="T40" i="8"/>
  <c r="T41" i="8"/>
  <c r="T42" i="8"/>
  <c r="T43" i="8"/>
  <c r="T44" i="8"/>
  <c r="T45" i="8"/>
  <c r="T46" i="8"/>
  <c r="T38" i="8"/>
  <c r="V29" i="8"/>
  <c r="V30" i="8"/>
  <c r="V31" i="8"/>
  <c r="V32" i="8"/>
  <c r="V33" i="8"/>
  <c r="V34" i="8"/>
  <c r="V35" i="8"/>
  <c r="V36" i="8"/>
  <c r="V28" i="8"/>
  <c r="T29" i="8"/>
  <c r="T30" i="8"/>
  <c r="T31" i="8"/>
  <c r="T32" i="8"/>
  <c r="T34" i="8"/>
  <c r="T35" i="8"/>
  <c r="T36" i="8"/>
  <c r="T28" i="8"/>
  <c r="V19" i="8"/>
  <c r="V20" i="8"/>
  <c r="V21" i="8"/>
  <c r="V22" i="8"/>
  <c r="V23" i="8"/>
  <c r="V24" i="8"/>
  <c r="V25" i="8"/>
  <c r="V26" i="8"/>
  <c r="V18" i="8"/>
  <c r="T19" i="8"/>
  <c r="T20" i="8"/>
  <c r="T21" i="8"/>
  <c r="T22" i="8"/>
  <c r="T23" i="8"/>
  <c r="T24" i="8"/>
  <c r="T25" i="8"/>
  <c r="T26" i="8"/>
  <c r="T18" i="8"/>
  <c r="P8" i="22" l="1"/>
  <c r="N14" i="22"/>
  <c r="P16" i="21"/>
  <c r="P14" i="21"/>
  <c r="P6" i="22"/>
  <c r="N6" i="23" s="1"/>
  <c r="B32" i="24"/>
  <c r="I31" i="24"/>
  <c r="H31" i="24"/>
  <c r="G31" i="24"/>
  <c r="E31" i="24"/>
  <c r="C31" i="24"/>
  <c r="W31" i="24" s="1"/>
  <c r="X31" i="24" s="1"/>
  <c r="F31" i="24"/>
  <c r="O10" i="24"/>
  <c r="B32" i="23"/>
  <c r="I31" i="23"/>
  <c r="G31" i="23"/>
  <c r="C31" i="23"/>
  <c r="H31" i="23"/>
  <c r="F31" i="23"/>
  <c r="E31" i="23"/>
  <c r="C31" i="22"/>
  <c r="I31" i="22"/>
  <c r="H31" i="22"/>
  <c r="G31" i="22"/>
  <c r="F31" i="22"/>
  <c r="E31" i="22"/>
  <c r="B32" i="22"/>
  <c r="W30" i="22"/>
  <c r="X30" i="22" s="1"/>
  <c r="P14" i="22"/>
  <c r="N16" i="22"/>
  <c r="W29" i="21"/>
  <c r="X29" i="21" s="1"/>
  <c r="P12" i="21"/>
  <c r="H30" i="21"/>
  <c r="C30" i="21"/>
  <c r="W30" i="21" s="1"/>
  <c r="X30" i="21" s="1"/>
  <c r="I30" i="21"/>
  <c r="P18" i="21"/>
  <c r="N20" i="21"/>
  <c r="P20" i="21" s="1"/>
  <c r="F30" i="21"/>
  <c r="B31" i="21"/>
  <c r="G30" i="21"/>
  <c r="N8" i="23" l="1"/>
  <c r="P6" i="23"/>
  <c r="N6" i="24" s="1"/>
  <c r="E32" i="24"/>
  <c r="B33" i="24"/>
  <c r="I32" i="24"/>
  <c r="G32" i="24"/>
  <c r="F32" i="24"/>
  <c r="C32" i="24"/>
  <c r="H32" i="24"/>
  <c r="O12" i="24"/>
  <c r="W31" i="23"/>
  <c r="X31" i="23" s="1"/>
  <c r="B33" i="23"/>
  <c r="I32" i="23"/>
  <c r="F32" i="23"/>
  <c r="E32" i="23"/>
  <c r="C32" i="23"/>
  <c r="W32" i="23" s="1"/>
  <c r="X32" i="23" s="1"/>
  <c r="H32" i="23"/>
  <c r="G32" i="23"/>
  <c r="F32" i="22"/>
  <c r="E32" i="22"/>
  <c r="I32" i="22"/>
  <c r="H32" i="22"/>
  <c r="G32" i="22"/>
  <c r="C32" i="22"/>
  <c r="W32" i="22" s="1"/>
  <c r="X32" i="22" s="1"/>
  <c r="B33" i="22"/>
  <c r="N18" i="22"/>
  <c r="P16" i="22"/>
  <c r="W31" i="22"/>
  <c r="X31" i="22" s="1"/>
  <c r="C31" i="21"/>
  <c r="I31" i="21"/>
  <c r="E31" i="21"/>
  <c r="F31" i="21"/>
  <c r="B32" i="21"/>
  <c r="G31" i="21"/>
  <c r="H31" i="21"/>
  <c r="N8" i="24" l="1"/>
  <c r="P6" i="24"/>
  <c r="N10" i="23"/>
  <c r="P8" i="23"/>
  <c r="B34" i="24"/>
  <c r="I33" i="24"/>
  <c r="G33" i="24"/>
  <c r="E33" i="24"/>
  <c r="C33" i="24"/>
  <c r="W33" i="24" s="1"/>
  <c r="X33" i="24" s="1"/>
  <c r="H33" i="24"/>
  <c r="F33" i="24"/>
  <c r="O14" i="24"/>
  <c r="W32" i="24"/>
  <c r="X32" i="24" s="1"/>
  <c r="H33" i="23"/>
  <c r="E33" i="23"/>
  <c r="I33" i="23"/>
  <c r="B34" i="23"/>
  <c r="G33" i="23"/>
  <c r="C33" i="23"/>
  <c r="W33" i="23" s="1"/>
  <c r="X33" i="23" s="1"/>
  <c r="F33" i="23"/>
  <c r="H33" i="22"/>
  <c r="G33" i="22"/>
  <c r="B34" i="22"/>
  <c r="I33" i="22"/>
  <c r="F33" i="22"/>
  <c r="E33" i="22"/>
  <c r="C33" i="22"/>
  <c r="W33" i="22" s="1"/>
  <c r="X33" i="22" s="1"/>
  <c r="N20" i="22"/>
  <c r="P20" i="22" s="1"/>
  <c r="P18" i="22"/>
  <c r="W31" i="21"/>
  <c r="X31" i="21" s="1"/>
  <c r="G32" i="21"/>
  <c r="F32" i="21"/>
  <c r="I32" i="21"/>
  <c r="E32" i="21"/>
  <c r="C32" i="21"/>
  <c r="H32" i="21"/>
  <c r="B33" i="21"/>
  <c r="P10" i="23" l="1"/>
  <c r="N12" i="23"/>
  <c r="N10" i="24"/>
  <c r="P8" i="24"/>
  <c r="O16" i="24"/>
  <c r="B35" i="24"/>
  <c r="I34" i="24"/>
  <c r="G34" i="24"/>
  <c r="F34" i="24"/>
  <c r="E34" i="24"/>
  <c r="H34" i="24"/>
  <c r="C34" i="24"/>
  <c r="W34" i="24" s="1"/>
  <c r="X34" i="24" s="1"/>
  <c r="G34" i="23"/>
  <c r="E34" i="23"/>
  <c r="H34" i="23"/>
  <c r="F34" i="23"/>
  <c r="B35" i="23"/>
  <c r="C34" i="23"/>
  <c r="W34" i="23" s="1"/>
  <c r="X34" i="23" s="1"/>
  <c r="I34" i="23"/>
  <c r="B35" i="22"/>
  <c r="I34" i="22"/>
  <c r="C34" i="22"/>
  <c r="H34" i="22"/>
  <c r="G34" i="22"/>
  <c r="E34" i="22"/>
  <c r="F34" i="22"/>
  <c r="W32" i="21"/>
  <c r="X32" i="21" s="1"/>
  <c r="I33" i="21"/>
  <c r="G33" i="21"/>
  <c r="E33" i="21"/>
  <c r="C33" i="21"/>
  <c r="B34" i="21"/>
  <c r="H33" i="21"/>
  <c r="F33" i="21"/>
  <c r="N12" i="24" l="1"/>
  <c r="P10" i="24"/>
  <c r="P12" i="23"/>
  <c r="N14" i="23"/>
  <c r="O18" i="24"/>
  <c r="E35" i="24"/>
  <c r="B36" i="24"/>
  <c r="I35" i="24"/>
  <c r="H35" i="24"/>
  <c r="G35" i="24"/>
  <c r="F35" i="24"/>
  <c r="C35" i="24"/>
  <c r="C35" i="23"/>
  <c r="B36" i="23"/>
  <c r="I35" i="23"/>
  <c r="G35" i="23"/>
  <c r="F35" i="23"/>
  <c r="E35" i="23"/>
  <c r="H35" i="23"/>
  <c r="W34" i="22"/>
  <c r="X34" i="22" s="1"/>
  <c r="C35" i="22"/>
  <c r="E35" i="22"/>
  <c r="B36" i="22"/>
  <c r="I35" i="22"/>
  <c r="H35" i="22"/>
  <c r="F35" i="22"/>
  <c r="G35" i="22"/>
  <c r="W33" i="21"/>
  <c r="X33" i="21" s="1"/>
  <c r="B35" i="21"/>
  <c r="E34" i="21"/>
  <c r="C34" i="21"/>
  <c r="F34" i="21"/>
  <c r="I34" i="21"/>
  <c r="G34" i="21"/>
  <c r="H34" i="21"/>
  <c r="P14" i="23" l="1"/>
  <c r="N16" i="23"/>
  <c r="N14" i="24"/>
  <c r="P12" i="24"/>
  <c r="O20" i="24"/>
  <c r="G36" i="24"/>
  <c r="E36" i="24"/>
  <c r="B37" i="24"/>
  <c r="I36" i="24"/>
  <c r="H36" i="24"/>
  <c r="F36" i="24"/>
  <c r="C36" i="24"/>
  <c r="W35" i="24"/>
  <c r="X35" i="24" s="1"/>
  <c r="H36" i="23"/>
  <c r="F36" i="23"/>
  <c r="C36" i="23"/>
  <c r="W36" i="23" s="1"/>
  <c r="X36" i="23" s="1"/>
  <c r="B37" i="23"/>
  <c r="I36" i="23"/>
  <c r="G36" i="23"/>
  <c r="E36" i="23"/>
  <c r="W35" i="23"/>
  <c r="X35" i="23" s="1"/>
  <c r="W35" i="22"/>
  <c r="X35" i="22" s="1"/>
  <c r="F36" i="22"/>
  <c r="E36" i="22"/>
  <c r="G36" i="22"/>
  <c r="C36" i="22"/>
  <c r="W36" i="22" s="1"/>
  <c r="X36" i="22" s="1"/>
  <c r="B37" i="22"/>
  <c r="H36" i="22"/>
  <c r="I36" i="22"/>
  <c r="W34" i="21"/>
  <c r="X34" i="21" s="1"/>
  <c r="B36" i="21"/>
  <c r="B37" i="21" s="1"/>
  <c r="I35" i="21"/>
  <c r="H35" i="21"/>
  <c r="C35" i="21"/>
  <c r="E35" i="21"/>
  <c r="G35" i="21"/>
  <c r="F35" i="21"/>
  <c r="N16" i="24" l="1"/>
  <c r="P14" i="24"/>
  <c r="N18" i="23"/>
  <c r="P16" i="23"/>
  <c r="B38" i="24"/>
  <c r="I37" i="24"/>
  <c r="G37" i="24"/>
  <c r="F37" i="24"/>
  <c r="E37" i="24"/>
  <c r="C37" i="24"/>
  <c r="W37" i="24" s="1"/>
  <c r="X37" i="24" s="1"/>
  <c r="H37" i="24"/>
  <c r="W36" i="24"/>
  <c r="X36" i="24" s="1"/>
  <c r="H37" i="23"/>
  <c r="F37" i="23"/>
  <c r="E37" i="23"/>
  <c r="C37" i="23"/>
  <c r="W37" i="23" s="1"/>
  <c r="X37" i="23" s="1"/>
  <c r="B38" i="23"/>
  <c r="I37" i="23"/>
  <c r="G37" i="23"/>
  <c r="H37" i="22"/>
  <c r="G37" i="22"/>
  <c r="F37" i="22"/>
  <c r="E37" i="22"/>
  <c r="C37" i="22"/>
  <c r="I37" i="22"/>
  <c r="C37" i="21"/>
  <c r="I37" i="21"/>
  <c r="B38" i="21"/>
  <c r="E37" i="21"/>
  <c r="H37" i="21"/>
  <c r="G37" i="21"/>
  <c r="F37" i="21"/>
  <c r="W35" i="21"/>
  <c r="X35" i="21" s="1"/>
  <c r="H36" i="21"/>
  <c r="I36" i="21"/>
  <c r="F36" i="21"/>
  <c r="E36" i="21"/>
  <c r="G36" i="21"/>
  <c r="C36" i="21"/>
  <c r="W36" i="21" s="1"/>
  <c r="X36" i="21" s="1"/>
  <c r="N20" i="23" l="1"/>
  <c r="P20" i="23" s="1"/>
  <c r="P18" i="23"/>
  <c r="N18" i="24"/>
  <c r="P16" i="24"/>
  <c r="C38" i="24"/>
  <c r="W38" i="24" s="1"/>
  <c r="X38" i="24" s="1"/>
  <c r="B39" i="24"/>
  <c r="I38" i="24"/>
  <c r="H38" i="24"/>
  <c r="G38" i="24"/>
  <c r="F38" i="24"/>
  <c r="E38" i="24"/>
  <c r="C38" i="23"/>
  <c r="H38" i="23"/>
  <c r="G38" i="23"/>
  <c r="F38" i="23"/>
  <c r="E38" i="23"/>
  <c r="B39" i="23"/>
  <c r="I38" i="23"/>
  <c r="W37" i="22"/>
  <c r="X37" i="22" s="1"/>
  <c r="B39" i="22"/>
  <c r="I38" i="22"/>
  <c r="H38" i="22"/>
  <c r="G38" i="22"/>
  <c r="F38" i="22"/>
  <c r="E38" i="22"/>
  <c r="C38" i="22"/>
  <c r="C38" i="21"/>
  <c r="B39" i="21"/>
  <c r="E38" i="21"/>
  <c r="F38" i="21"/>
  <c r="H38" i="21"/>
  <c r="G38" i="21"/>
  <c r="I38" i="21"/>
  <c r="X7" i="8"/>
  <c r="J41" i="15"/>
  <c r="O41" i="15"/>
  <c r="P41" i="15" s="1"/>
  <c r="J42" i="15"/>
  <c r="O42" i="15"/>
  <c r="P42" i="15" s="1"/>
  <c r="J43" i="15"/>
  <c r="O43" i="15"/>
  <c r="P43" i="15" s="1"/>
  <c r="J44" i="15"/>
  <c r="O44" i="15"/>
  <c r="P44" i="15" s="1"/>
  <c r="J45" i="15"/>
  <c r="O45" i="15"/>
  <c r="P45" i="15" s="1"/>
  <c r="J46" i="15"/>
  <c r="O46" i="15"/>
  <c r="P46" i="15" s="1"/>
  <c r="J47" i="15"/>
  <c r="O47" i="15"/>
  <c r="P47" i="15" s="1"/>
  <c r="J48" i="15"/>
  <c r="O48" i="15"/>
  <c r="P48" i="15" s="1"/>
  <c r="J49" i="15"/>
  <c r="O49" i="15"/>
  <c r="P49" i="15"/>
  <c r="J50" i="15"/>
  <c r="O50" i="15"/>
  <c r="P50" i="15" s="1"/>
  <c r="J51" i="15"/>
  <c r="O51" i="15"/>
  <c r="P51" i="15" s="1"/>
  <c r="J39" i="15"/>
  <c r="J40" i="15"/>
  <c r="O40" i="15"/>
  <c r="P40" i="15" s="1"/>
  <c r="F39" i="4"/>
  <c r="G39" i="4"/>
  <c r="H39" i="4" s="1"/>
  <c r="M39" i="4" s="1"/>
  <c r="N39" i="4" s="1"/>
  <c r="I39" i="4"/>
  <c r="K39" i="4" s="1"/>
  <c r="L39" i="4" s="1"/>
  <c r="J39" i="4"/>
  <c r="N20" i="24" l="1"/>
  <c r="P20" i="24" s="1"/>
  <c r="P18" i="24"/>
  <c r="F39" i="24"/>
  <c r="E39" i="24"/>
  <c r="B40" i="24"/>
  <c r="I39" i="24"/>
  <c r="H39" i="24"/>
  <c r="G39" i="24"/>
  <c r="C39" i="24"/>
  <c r="W39" i="24" s="1"/>
  <c r="X39" i="24" s="1"/>
  <c r="F39" i="23"/>
  <c r="C39" i="23"/>
  <c r="B40" i="23"/>
  <c r="I39" i="23"/>
  <c r="H39" i="23"/>
  <c r="G39" i="23"/>
  <c r="E39" i="23"/>
  <c r="W38" i="23"/>
  <c r="X38" i="23" s="1"/>
  <c r="C39" i="22"/>
  <c r="I39" i="22"/>
  <c r="H39" i="22"/>
  <c r="G39" i="22"/>
  <c r="F39" i="22"/>
  <c r="E39" i="22"/>
  <c r="B40" i="22"/>
  <c r="W38" i="22"/>
  <c r="X38" i="22" s="1"/>
  <c r="B40" i="21"/>
  <c r="F39" i="21"/>
  <c r="H39" i="21"/>
  <c r="C39" i="21"/>
  <c r="I39" i="21"/>
  <c r="E39" i="21"/>
  <c r="G39" i="21"/>
  <c r="O39" i="4"/>
  <c r="P39" i="4" s="1"/>
  <c r="R39" i="4"/>
  <c r="H40" i="24" l="1"/>
  <c r="G40" i="24"/>
  <c r="E40" i="24"/>
  <c r="C40" i="24"/>
  <c r="W40" i="24" s="1"/>
  <c r="X40" i="24" s="1"/>
  <c r="B41" i="24"/>
  <c r="I40" i="24"/>
  <c r="F40" i="24"/>
  <c r="H40" i="23"/>
  <c r="F40" i="23"/>
  <c r="C40" i="23"/>
  <c r="W40" i="23" s="1"/>
  <c r="X40" i="23" s="1"/>
  <c r="B41" i="23"/>
  <c r="I40" i="23"/>
  <c r="G40" i="23"/>
  <c r="E40" i="23"/>
  <c r="W39" i="23"/>
  <c r="X39" i="23" s="1"/>
  <c r="F40" i="22"/>
  <c r="E40" i="22"/>
  <c r="I40" i="22"/>
  <c r="H40" i="22"/>
  <c r="G40" i="22"/>
  <c r="C40" i="22"/>
  <c r="W40" i="22" s="1"/>
  <c r="X40" i="22" s="1"/>
  <c r="B41" i="22"/>
  <c r="W39" i="22"/>
  <c r="X39" i="22" s="1"/>
  <c r="I40" i="21"/>
  <c r="F40" i="21"/>
  <c r="G40" i="21"/>
  <c r="B41" i="21"/>
  <c r="C40" i="21"/>
  <c r="E40" i="21"/>
  <c r="H40" i="21"/>
  <c r="S39" i="4"/>
  <c r="B42" i="24" l="1"/>
  <c r="I41" i="24"/>
  <c r="G41" i="24"/>
  <c r="F41" i="24"/>
  <c r="E41" i="24"/>
  <c r="C41" i="24"/>
  <c r="H41" i="24"/>
  <c r="H41" i="23"/>
  <c r="F41" i="23"/>
  <c r="E41" i="23"/>
  <c r="C41" i="23"/>
  <c r="W41" i="23" s="1"/>
  <c r="X41" i="23" s="1"/>
  <c r="B42" i="23"/>
  <c r="I41" i="23"/>
  <c r="G41" i="23"/>
  <c r="H41" i="22"/>
  <c r="G41" i="22"/>
  <c r="B42" i="22"/>
  <c r="I41" i="22"/>
  <c r="C41" i="22"/>
  <c r="F41" i="22"/>
  <c r="E41" i="22"/>
  <c r="F41" i="21"/>
  <c r="I41" i="21"/>
  <c r="E41" i="21"/>
  <c r="G41" i="21"/>
  <c r="H41" i="21"/>
  <c r="B42" i="21"/>
  <c r="C41" i="21"/>
  <c r="W37" i="21"/>
  <c r="X37" i="21" s="1"/>
  <c r="D5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6" i="11"/>
  <c r="P115" i="12"/>
  <c r="Q115" i="12"/>
  <c r="R115" i="12"/>
  <c r="P116" i="12"/>
  <c r="Q116" i="12"/>
  <c r="R116" i="12"/>
  <c r="P117" i="12"/>
  <c r="Q117" i="12"/>
  <c r="R117" i="12"/>
  <c r="P118" i="12"/>
  <c r="Q118" i="12"/>
  <c r="R118" i="12"/>
  <c r="P119" i="12"/>
  <c r="Q119" i="12"/>
  <c r="R119" i="12"/>
  <c r="P120" i="12"/>
  <c r="Q120" i="12"/>
  <c r="R120" i="12"/>
  <c r="P121" i="12"/>
  <c r="Q121" i="12"/>
  <c r="R121" i="12"/>
  <c r="R114" i="12"/>
  <c r="Q114" i="12"/>
  <c r="P114" i="12"/>
  <c r="C115" i="12"/>
  <c r="C116" i="12"/>
  <c r="C117" i="12"/>
  <c r="C118" i="12"/>
  <c r="C119" i="12"/>
  <c r="C120" i="12"/>
  <c r="C121" i="12"/>
  <c r="C114" i="12"/>
  <c r="C106" i="12"/>
  <c r="C107" i="12"/>
  <c r="C108" i="12"/>
  <c r="C109" i="12"/>
  <c r="C110" i="12"/>
  <c r="C111" i="12"/>
  <c r="C112" i="12"/>
  <c r="C105" i="12"/>
  <c r="C97" i="12"/>
  <c r="C98" i="12"/>
  <c r="C99" i="12"/>
  <c r="C100" i="12"/>
  <c r="C101" i="12"/>
  <c r="C102" i="12"/>
  <c r="C103" i="12"/>
  <c r="C96" i="12"/>
  <c r="S96" i="12"/>
  <c r="X84" i="12"/>
  <c r="X85" i="12"/>
  <c r="X86" i="12"/>
  <c r="X87" i="12"/>
  <c r="X88" i="12"/>
  <c r="X89" i="12"/>
  <c r="X90" i="12"/>
  <c r="X91" i="12"/>
  <c r="X92" i="12"/>
  <c r="X93" i="12"/>
  <c r="X94" i="12"/>
  <c r="X83" i="12"/>
  <c r="S85" i="12"/>
  <c r="S84" i="12"/>
  <c r="P84" i="12"/>
  <c r="Q84" i="12"/>
  <c r="R84" i="12"/>
  <c r="P85" i="12"/>
  <c r="Q85" i="12"/>
  <c r="R85" i="12"/>
  <c r="P86" i="12"/>
  <c r="Q86" i="12"/>
  <c r="R86" i="12"/>
  <c r="P87" i="12"/>
  <c r="Q87" i="12"/>
  <c r="R87" i="12"/>
  <c r="P88" i="12"/>
  <c r="Q88" i="12"/>
  <c r="R88" i="12"/>
  <c r="P89" i="12"/>
  <c r="Q89" i="12"/>
  <c r="R89" i="12"/>
  <c r="P90" i="12"/>
  <c r="Q90" i="12"/>
  <c r="R90" i="12"/>
  <c r="P91" i="12"/>
  <c r="Q91" i="12"/>
  <c r="R91" i="12"/>
  <c r="P92" i="12"/>
  <c r="Q92" i="12"/>
  <c r="R92" i="12"/>
  <c r="P93" i="12"/>
  <c r="Q93" i="12"/>
  <c r="R93" i="12"/>
  <c r="P94" i="12"/>
  <c r="Q94" i="12"/>
  <c r="R94" i="12"/>
  <c r="R83" i="12"/>
  <c r="Q83" i="12"/>
  <c r="P83" i="12"/>
  <c r="C84" i="12"/>
  <c r="C85" i="12"/>
  <c r="C86" i="12"/>
  <c r="C87" i="12"/>
  <c r="C88" i="12"/>
  <c r="I88" i="12" s="1"/>
  <c r="C89" i="12"/>
  <c r="G89" i="12" s="1"/>
  <c r="C90" i="12"/>
  <c r="K90" i="12" s="1"/>
  <c r="C91" i="12"/>
  <c r="I91" i="12" s="1"/>
  <c r="C92" i="12"/>
  <c r="C93" i="12"/>
  <c r="C94" i="12"/>
  <c r="C83" i="12"/>
  <c r="L94" i="12"/>
  <c r="J94" i="12"/>
  <c r="N94" i="12" s="1"/>
  <c r="H94" i="12"/>
  <c r="F94" i="12"/>
  <c r="E94" i="12"/>
  <c r="D94" i="12"/>
  <c r="AB94" i="12" s="1"/>
  <c r="K94" i="12"/>
  <c r="L93" i="12"/>
  <c r="J93" i="12"/>
  <c r="N93" i="12" s="1"/>
  <c r="H93" i="12"/>
  <c r="G93" i="12"/>
  <c r="F93" i="12"/>
  <c r="E93" i="12"/>
  <c r="D93" i="12"/>
  <c r="AB93" i="12" s="1"/>
  <c r="K93" i="12"/>
  <c r="L92" i="12"/>
  <c r="J92" i="12"/>
  <c r="N92" i="12" s="1"/>
  <c r="I92" i="12"/>
  <c r="H92" i="12"/>
  <c r="G92" i="12"/>
  <c r="F92" i="12"/>
  <c r="E92" i="12"/>
  <c r="D92" i="12"/>
  <c r="AB92" i="12" s="1"/>
  <c r="K92" i="12"/>
  <c r="L91" i="12"/>
  <c r="J91" i="12"/>
  <c r="N91" i="12" s="1"/>
  <c r="H91" i="12"/>
  <c r="F91" i="12"/>
  <c r="D91" i="12"/>
  <c r="AB91" i="12" s="1"/>
  <c r="L90" i="12"/>
  <c r="J90" i="12"/>
  <c r="N90" i="12" s="1"/>
  <c r="H90" i="12"/>
  <c r="F90" i="12"/>
  <c r="E90" i="12"/>
  <c r="D90" i="12"/>
  <c r="AB90" i="12" s="1"/>
  <c r="L89" i="12"/>
  <c r="J89" i="12"/>
  <c r="H89" i="12"/>
  <c r="F89" i="12"/>
  <c r="D89" i="12"/>
  <c r="AB89" i="12" s="1"/>
  <c r="L88" i="12"/>
  <c r="J88" i="12"/>
  <c r="N88" i="12" s="1"/>
  <c r="H88" i="12"/>
  <c r="F88" i="12"/>
  <c r="D88" i="12"/>
  <c r="AB88" i="12" s="1"/>
  <c r="L87" i="12"/>
  <c r="J87" i="12"/>
  <c r="N87" i="12" s="1"/>
  <c r="H87" i="12"/>
  <c r="F87" i="12"/>
  <c r="D87" i="12"/>
  <c r="AB87" i="12" s="1"/>
  <c r="I87" i="12"/>
  <c r="L86" i="12"/>
  <c r="J86" i="12"/>
  <c r="N86" i="12" s="1"/>
  <c r="H86" i="12"/>
  <c r="F86" i="12"/>
  <c r="E86" i="12"/>
  <c r="D86" i="12"/>
  <c r="AB86" i="12" s="1"/>
  <c r="K86" i="12"/>
  <c r="L85" i="12"/>
  <c r="J85" i="12"/>
  <c r="H85" i="12"/>
  <c r="F85" i="12"/>
  <c r="D85" i="12"/>
  <c r="AB85" i="12" s="1"/>
  <c r="K85" i="12"/>
  <c r="V84" i="12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L84" i="12"/>
  <c r="N84" i="12" s="1"/>
  <c r="J84" i="12"/>
  <c r="I84" i="12"/>
  <c r="H84" i="12"/>
  <c r="F84" i="12"/>
  <c r="D84" i="12"/>
  <c r="AB84" i="12" s="1"/>
  <c r="M84" i="12"/>
  <c r="V83" i="12"/>
  <c r="L83" i="12"/>
  <c r="J83" i="12"/>
  <c r="N83" i="12" s="1"/>
  <c r="H83" i="12"/>
  <c r="F83" i="12"/>
  <c r="D83" i="12"/>
  <c r="AB83" i="12" s="1"/>
  <c r="I83" i="12"/>
  <c r="C71" i="12"/>
  <c r="C72" i="12"/>
  <c r="C73" i="12"/>
  <c r="C74" i="12"/>
  <c r="C75" i="12"/>
  <c r="C76" i="12"/>
  <c r="C77" i="12"/>
  <c r="C78" i="12"/>
  <c r="G78" i="12" s="1"/>
  <c r="C79" i="12"/>
  <c r="C80" i="12"/>
  <c r="C81" i="12"/>
  <c r="C70" i="12"/>
  <c r="C58" i="12"/>
  <c r="G58" i="12" s="1"/>
  <c r="C59" i="12"/>
  <c r="C60" i="12"/>
  <c r="C61" i="12"/>
  <c r="C62" i="12"/>
  <c r="C63" i="12"/>
  <c r="C64" i="12"/>
  <c r="E64" i="12" s="1"/>
  <c r="C65" i="12"/>
  <c r="I65" i="12" s="1"/>
  <c r="C66" i="12"/>
  <c r="E66" i="12" s="1"/>
  <c r="C67" i="12"/>
  <c r="C68" i="12"/>
  <c r="C57" i="12"/>
  <c r="U94" i="8"/>
  <c r="I94" i="8"/>
  <c r="G94" i="8"/>
  <c r="F94" i="8"/>
  <c r="E94" i="8"/>
  <c r="D94" i="8"/>
  <c r="C94" i="8"/>
  <c r="U93" i="8"/>
  <c r="I93" i="8"/>
  <c r="G93" i="8"/>
  <c r="F93" i="8"/>
  <c r="E93" i="8"/>
  <c r="D93" i="8"/>
  <c r="C93" i="8"/>
  <c r="U92" i="8"/>
  <c r="I92" i="8"/>
  <c r="G92" i="8"/>
  <c r="F92" i="8"/>
  <c r="E92" i="8"/>
  <c r="D92" i="8"/>
  <c r="C92" i="8"/>
  <c r="U91" i="8"/>
  <c r="I91" i="8"/>
  <c r="G91" i="8"/>
  <c r="F91" i="8"/>
  <c r="E91" i="8"/>
  <c r="D91" i="8"/>
  <c r="C91" i="8"/>
  <c r="U90" i="8"/>
  <c r="I90" i="8"/>
  <c r="G90" i="8"/>
  <c r="F90" i="8"/>
  <c r="E90" i="8"/>
  <c r="D90" i="8"/>
  <c r="C90" i="8"/>
  <c r="U89" i="8"/>
  <c r="I89" i="8"/>
  <c r="G89" i="8"/>
  <c r="F89" i="8"/>
  <c r="E89" i="8"/>
  <c r="D89" i="8"/>
  <c r="C89" i="8"/>
  <c r="U87" i="8"/>
  <c r="I87" i="8"/>
  <c r="G87" i="8"/>
  <c r="F87" i="8"/>
  <c r="E87" i="8"/>
  <c r="D87" i="8"/>
  <c r="C87" i="8"/>
  <c r="U86" i="8"/>
  <c r="I86" i="8"/>
  <c r="G86" i="8"/>
  <c r="F86" i="8"/>
  <c r="E86" i="8"/>
  <c r="D86" i="8"/>
  <c r="C86" i="8"/>
  <c r="U85" i="8"/>
  <c r="I85" i="8"/>
  <c r="G85" i="8"/>
  <c r="F85" i="8"/>
  <c r="E85" i="8"/>
  <c r="D85" i="8"/>
  <c r="C85" i="8"/>
  <c r="U84" i="8"/>
  <c r="I84" i="8"/>
  <c r="G84" i="8"/>
  <c r="F84" i="8"/>
  <c r="E84" i="8"/>
  <c r="D84" i="8"/>
  <c r="C84" i="8"/>
  <c r="U83" i="8"/>
  <c r="I83" i="8"/>
  <c r="G83" i="8"/>
  <c r="F83" i="8"/>
  <c r="E83" i="8"/>
  <c r="D83" i="8"/>
  <c r="C83" i="8"/>
  <c r="U82" i="8"/>
  <c r="I82" i="8"/>
  <c r="G82" i="8"/>
  <c r="F82" i="8"/>
  <c r="E82" i="8"/>
  <c r="D82" i="8"/>
  <c r="C82" i="8"/>
  <c r="U80" i="8"/>
  <c r="I80" i="8"/>
  <c r="G80" i="8"/>
  <c r="F80" i="8"/>
  <c r="E80" i="8"/>
  <c r="D80" i="8"/>
  <c r="C80" i="8"/>
  <c r="U79" i="8"/>
  <c r="I79" i="8"/>
  <c r="G79" i="8"/>
  <c r="F79" i="8"/>
  <c r="E79" i="8"/>
  <c r="D79" i="8"/>
  <c r="C79" i="8"/>
  <c r="U78" i="8"/>
  <c r="I78" i="8"/>
  <c r="G78" i="8"/>
  <c r="F78" i="8"/>
  <c r="E78" i="8"/>
  <c r="D78" i="8"/>
  <c r="C78" i="8"/>
  <c r="U77" i="8"/>
  <c r="I77" i="8"/>
  <c r="G77" i="8"/>
  <c r="F77" i="8"/>
  <c r="E77" i="8"/>
  <c r="D77" i="8"/>
  <c r="C77" i="8"/>
  <c r="U76" i="8"/>
  <c r="I76" i="8"/>
  <c r="G76" i="8"/>
  <c r="F76" i="8"/>
  <c r="E76" i="8"/>
  <c r="D76" i="8"/>
  <c r="C76" i="8"/>
  <c r="U75" i="8"/>
  <c r="I75" i="8"/>
  <c r="G75" i="8"/>
  <c r="F75" i="8"/>
  <c r="E75" i="8"/>
  <c r="D75" i="8"/>
  <c r="C75" i="8"/>
  <c r="L68" i="12"/>
  <c r="J68" i="12"/>
  <c r="H68" i="12"/>
  <c r="F68" i="12"/>
  <c r="E68" i="12"/>
  <c r="D68" i="12"/>
  <c r="AB68" i="12" s="1"/>
  <c r="K68" i="12"/>
  <c r="L67" i="12"/>
  <c r="J67" i="12"/>
  <c r="N67" i="12" s="1"/>
  <c r="H67" i="12"/>
  <c r="G67" i="12"/>
  <c r="F67" i="12"/>
  <c r="D67" i="12"/>
  <c r="AB67" i="12" s="1"/>
  <c r="M67" i="12"/>
  <c r="L66" i="12"/>
  <c r="J66" i="12"/>
  <c r="N66" i="12" s="1"/>
  <c r="H66" i="12"/>
  <c r="F66" i="12"/>
  <c r="D66" i="12"/>
  <c r="AB66" i="12" s="1"/>
  <c r="L65" i="12"/>
  <c r="J65" i="12"/>
  <c r="N65" i="12" s="1"/>
  <c r="H65" i="12"/>
  <c r="F65" i="12"/>
  <c r="D65" i="12"/>
  <c r="AB65" i="12" s="1"/>
  <c r="L64" i="12"/>
  <c r="J64" i="12"/>
  <c r="N64" i="12" s="1"/>
  <c r="I64" i="12"/>
  <c r="H64" i="12"/>
  <c r="F64" i="12"/>
  <c r="D64" i="12"/>
  <c r="AB64" i="12" s="1"/>
  <c r="L63" i="12"/>
  <c r="J63" i="12"/>
  <c r="N63" i="12" s="1"/>
  <c r="H63" i="12"/>
  <c r="G63" i="12"/>
  <c r="F63" i="12"/>
  <c r="D63" i="12"/>
  <c r="AB63" i="12" s="1"/>
  <c r="M63" i="12"/>
  <c r="L62" i="12"/>
  <c r="J62" i="12"/>
  <c r="H62" i="12"/>
  <c r="F62" i="12"/>
  <c r="E62" i="12"/>
  <c r="D62" i="12"/>
  <c r="AB62" i="12" s="1"/>
  <c r="G62" i="12"/>
  <c r="L61" i="12"/>
  <c r="J61" i="12"/>
  <c r="N61" i="12" s="1"/>
  <c r="H61" i="12"/>
  <c r="F61" i="12"/>
  <c r="D61" i="12"/>
  <c r="AB61" i="12" s="1"/>
  <c r="I61" i="12"/>
  <c r="L60" i="12"/>
  <c r="J60" i="12"/>
  <c r="N60" i="12" s="1"/>
  <c r="H60" i="12"/>
  <c r="F60" i="12"/>
  <c r="D60" i="12"/>
  <c r="AB60" i="12" s="1"/>
  <c r="K60" i="12"/>
  <c r="L59" i="12"/>
  <c r="J59" i="12"/>
  <c r="H59" i="12"/>
  <c r="G59" i="12"/>
  <c r="F59" i="12"/>
  <c r="D59" i="12"/>
  <c r="AB59" i="12" s="1"/>
  <c r="M59" i="12"/>
  <c r="L58" i="12"/>
  <c r="J58" i="12"/>
  <c r="N58" i="12" s="1"/>
  <c r="H58" i="12"/>
  <c r="F58" i="12"/>
  <c r="D58" i="12"/>
  <c r="AB58" i="12" s="1"/>
  <c r="V57" i="12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L57" i="12"/>
  <c r="J57" i="12"/>
  <c r="N57" i="12" s="1"/>
  <c r="H57" i="12"/>
  <c r="F57" i="12"/>
  <c r="D57" i="12"/>
  <c r="AB57" i="12" s="1"/>
  <c r="I57" i="12"/>
  <c r="L55" i="12"/>
  <c r="J55" i="12"/>
  <c r="N55" i="12" s="1"/>
  <c r="H55" i="12"/>
  <c r="F55" i="12"/>
  <c r="D55" i="12"/>
  <c r="AB55" i="12" s="1"/>
  <c r="C55" i="12"/>
  <c r="K55" i="12" s="1"/>
  <c r="L54" i="12"/>
  <c r="J54" i="12"/>
  <c r="N54" i="12" s="1"/>
  <c r="H54" i="12"/>
  <c r="F54" i="12"/>
  <c r="D54" i="12"/>
  <c r="AB54" i="12" s="1"/>
  <c r="C54" i="12"/>
  <c r="M54" i="12" s="1"/>
  <c r="L53" i="12"/>
  <c r="J53" i="12"/>
  <c r="H53" i="12"/>
  <c r="F53" i="12"/>
  <c r="D53" i="12"/>
  <c r="AB53" i="12" s="1"/>
  <c r="C53" i="12"/>
  <c r="G53" i="12" s="1"/>
  <c r="L52" i="12"/>
  <c r="J52" i="12"/>
  <c r="N52" i="12" s="1"/>
  <c r="H52" i="12"/>
  <c r="F52" i="12"/>
  <c r="D52" i="12"/>
  <c r="AB52" i="12" s="1"/>
  <c r="C52" i="12"/>
  <c r="I52" i="12" s="1"/>
  <c r="L51" i="12"/>
  <c r="J51" i="12"/>
  <c r="H51" i="12"/>
  <c r="F51" i="12"/>
  <c r="D51" i="12"/>
  <c r="AB51" i="12" s="1"/>
  <c r="C51" i="12"/>
  <c r="K51" i="12" s="1"/>
  <c r="L50" i="12"/>
  <c r="J50" i="12"/>
  <c r="H50" i="12"/>
  <c r="F50" i="12"/>
  <c r="D50" i="12"/>
  <c r="AB50" i="12" s="1"/>
  <c r="C50" i="12"/>
  <c r="M50" i="12" s="1"/>
  <c r="L49" i="12"/>
  <c r="J49" i="12"/>
  <c r="H49" i="12"/>
  <c r="F49" i="12"/>
  <c r="D49" i="12"/>
  <c r="AB49" i="12" s="1"/>
  <c r="C49" i="12"/>
  <c r="G49" i="12" s="1"/>
  <c r="L48" i="12"/>
  <c r="J48" i="12"/>
  <c r="H48" i="12"/>
  <c r="F48" i="12"/>
  <c r="D48" i="12"/>
  <c r="AB48" i="12" s="1"/>
  <c r="C48" i="12"/>
  <c r="I48" i="12" s="1"/>
  <c r="L47" i="12"/>
  <c r="J47" i="12"/>
  <c r="N47" i="12" s="1"/>
  <c r="H47" i="12"/>
  <c r="F47" i="12"/>
  <c r="D47" i="12"/>
  <c r="AB47" i="12" s="1"/>
  <c r="C47" i="12"/>
  <c r="K47" i="12" s="1"/>
  <c r="L46" i="12"/>
  <c r="J46" i="12"/>
  <c r="I46" i="12"/>
  <c r="H46" i="12"/>
  <c r="F46" i="12"/>
  <c r="D46" i="12"/>
  <c r="AB46" i="12" s="1"/>
  <c r="C46" i="12"/>
  <c r="M46" i="12" s="1"/>
  <c r="L45" i="12"/>
  <c r="J45" i="12"/>
  <c r="H45" i="12"/>
  <c r="F45" i="12"/>
  <c r="D45" i="12"/>
  <c r="AB45" i="12" s="1"/>
  <c r="C45" i="12"/>
  <c r="G45" i="12" s="1"/>
  <c r="L44" i="12"/>
  <c r="J44" i="12"/>
  <c r="N44" i="12" s="1"/>
  <c r="H44" i="12"/>
  <c r="F44" i="12"/>
  <c r="D44" i="12"/>
  <c r="AB44" i="12" s="1"/>
  <c r="C44" i="12"/>
  <c r="I44" i="12" s="1"/>
  <c r="D78" i="12"/>
  <c r="AB78" i="12" s="1"/>
  <c r="F78" i="12"/>
  <c r="H78" i="12"/>
  <c r="J78" i="12"/>
  <c r="L78" i="12"/>
  <c r="I79" i="12"/>
  <c r="D79" i="12"/>
  <c r="AB79" i="12" s="1"/>
  <c r="F79" i="12"/>
  <c r="H79" i="12"/>
  <c r="J79" i="12"/>
  <c r="L79" i="12"/>
  <c r="E80" i="12"/>
  <c r="D80" i="12"/>
  <c r="F80" i="12"/>
  <c r="H80" i="12"/>
  <c r="J80" i="12"/>
  <c r="L80" i="12"/>
  <c r="N80" i="12" s="1"/>
  <c r="AB80" i="12"/>
  <c r="G81" i="12"/>
  <c r="D81" i="12"/>
  <c r="AB81" i="12" s="1"/>
  <c r="F81" i="12"/>
  <c r="H81" i="12"/>
  <c r="J81" i="12"/>
  <c r="L81" i="12"/>
  <c r="U56" i="8"/>
  <c r="I56" i="8"/>
  <c r="G56" i="8"/>
  <c r="F56" i="8"/>
  <c r="E56" i="8"/>
  <c r="D56" i="8"/>
  <c r="C56" i="8"/>
  <c r="U55" i="8"/>
  <c r="I55" i="8"/>
  <c r="G55" i="8"/>
  <c r="F55" i="8"/>
  <c r="E55" i="8"/>
  <c r="D55" i="8"/>
  <c r="C55" i="8"/>
  <c r="U54" i="8"/>
  <c r="I54" i="8"/>
  <c r="G54" i="8"/>
  <c r="F54" i="8"/>
  <c r="E54" i="8"/>
  <c r="D54" i="8"/>
  <c r="C54" i="8"/>
  <c r="U53" i="8"/>
  <c r="I53" i="8"/>
  <c r="G53" i="8"/>
  <c r="F53" i="8"/>
  <c r="E53" i="8"/>
  <c r="D53" i="8"/>
  <c r="C53" i="8"/>
  <c r="U52" i="8"/>
  <c r="I52" i="8"/>
  <c r="G52" i="8"/>
  <c r="F52" i="8"/>
  <c r="E52" i="8"/>
  <c r="D52" i="8"/>
  <c r="C52" i="8"/>
  <c r="U51" i="8"/>
  <c r="I51" i="8"/>
  <c r="G51" i="8"/>
  <c r="F51" i="8"/>
  <c r="E51" i="8"/>
  <c r="D51" i="8"/>
  <c r="C51" i="8"/>
  <c r="U50" i="8"/>
  <c r="I50" i="8"/>
  <c r="G50" i="8"/>
  <c r="F50" i="8"/>
  <c r="E50" i="8"/>
  <c r="D50" i="8"/>
  <c r="C50" i="8"/>
  <c r="U49" i="8"/>
  <c r="I49" i="8"/>
  <c r="G49" i="8"/>
  <c r="F49" i="8"/>
  <c r="E49" i="8"/>
  <c r="D49" i="8"/>
  <c r="C49" i="8"/>
  <c r="U48" i="8"/>
  <c r="I48" i="8"/>
  <c r="G48" i="8"/>
  <c r="F48" i="8"/>
  <c r="E48" i="8"/>
  <c r="D48" i="8"/>
  <c r="C48" i="8"/>
  <c r="C58" i="8"/>
  <c r="D58" i="8"/>
  <c r="E58" i="8"/>
  <c r="F58" i="8"/>
  <c r="G58" i="8"/>
  <c r="I58" i="8"/>
  <c r="U58" i="8"/>
  <c r="C59" i="8"/>
  <c r="D59" i="8"/>
  <c r="E59" i="8"/>
  <c r="F59" i="8"/>
  <c r="G59" i="8"/>
  <c r="I59" i="8"/>
  <c r="U59" i="8"/>
  <c r="C60" i="8"/>
  <c r="D60" i="8"/>
  <c r="E60" i="8"/>
  <c r="F60" i="8"/>
  <c r="G60" i="8"/>
  <c r="I60" i="8"/>
  <c r="U60" i="8"/>
  <c r="C61" i="8"/>
  <c r="D61" i="8"/>
  <c r="E61" i="8"/>
  <c r="F61" i="8"/>
  <c r="G61" i="8"/>
  <c r="I61" i="8"/>
  <c r="U61" i="8"/>
  <c r="C62" i="8"/>
  <c r="D62" i="8"/>
  <c r="E62" i="8"/>
  <c r="F62" i="8"/>
  <c r="G62" i="8"/>
  <c r="I62" i="8"/>
  <c r="U62" i="8"/>
  <c r="C63" i="8"/>
  <c r="D63" i="8"/>
  <c r="E63" i="8"/>
  <c r="F63" i="8"/>
  <c r="G63" i="8"/>
  <c r="I63" i="8"/>
  <c r="U63" i="8"/>
  <c r="C64" i="8"/>
  <c r="D64" i="8"/>
  <c r="E64" i="8"/>
  <c r="F64" i="8"/>
  <c r="G64" i="8"/>
  <c r="I64" i="8"/>
  <c r="U64" i="8"/>
  <c r="C65" i="8"/>
  <c r="D65" i="8"/>
  <c r="E65" i="8"/>
  <c r="F65" i="8"/>
  <c r="G65" i="8"/>
  <c r="I65" i="8"/>
  <c r="U65" i="8"/>
  <c r="D66" i="8"/>
  <c r="G66" i="8"/>
  <c r="I66" i="8"/>
  <c r="U66" i="8"/>
  <c r="U46" i="8"/>
  <c r="I46" i="8"/>
  <c r="G46" i="8"/>
  <c r="F46" i="8"/>
  <c r="E46" i="8"/>
  <c r="D46" i="8"/>
  <c r="C46" i="8"/>
  <c r="U45" i="8"/>
  <c r="I45" i="8"/>
  <c r="G45" i="8"/>
  <c r="F45" i="8"/>
  <c r="E45" i="8"/>
  <c r="D45" i="8"/>
  <c r="C45" i="8"/>
  <c r="U44" i="8"/>
  <c r="I44" i="8"/>
  <c r="G44" i="8"/>
  <c r="F44" i="8"/>
  <c r="E44" i="8"/>
  <c r="D44" i="8"/>
  <c r="C44" i="8"/>
  <c r="U43" i="8"/>
  <c r="I43" i="8"/>
  <c r="G43" i="8"/>
  <c r="F43" i="8"/>
  <c r="E43" i="8"/>
  <c r="D43" i="8"/>
  <c r="C43" i="8"/>
  <c r="U42" i="8"/>
  <c r="I42" i="8"/>
  <c r="G42" i="8"/>
  <c r="F42" i="8"/>
  <c r="E42" i="8"/>
  <c r="D42" i="8"/>
  <c r="C42" i="8"/>
  <c r="U41" i="8"/>
  <c r="I41" i="8"/>
  <c r="G41" i="8"/>
  <c r="F41" i="8"/>
  <c r="E41" i="8"/>
  <c r="D41" i="8"/>
  <c r="C41" i="8"/>
  <c r="U40" i="8"/>
  <c r="I40" i="8"/>
  <c r="G40" i="8"/>
  <c r="F40" i="8"/>
  <c r="E40" i="8"/>
  <c r="D40" i="8"/>
  <c r="C40" i="8"/>
  <c r="U39" i="8"/>
  <c r="I39" i="8"/>
  <c r="G39" i="8"/>
  <c r="F39" i="8"/>
  <c r="E39" i="8"/>
  <c r="D39" i="8"/>
  <c r="C39" i="8"/>
  <c r="U38" i="8"/>
  <c r="I38" i="8"/>
  <c r="G38" i="8"/>
  <c r="F38" i="8"/>
  <c r="E38" i="8"/>
  <c r="D38" i="8"/>
  <c r="C38" i="8"/>
  <c r="U36" i="8"/>
  <c r="I36" i="8"/>
  <c r="G36" i="8"/>
  <c r="F36" i="8"/>
  <c r="E36" i="8"/>
  <c r="D36" i="8"/>
  <c r="C36" i="8"/>
  <c r="U35" i="8"/>
  <c r="I35" i="8"/>
  <c r="G35" i="8"/>
  <c r="F35" i="8"/>
  <c r="E35" i="8"/>
  <c r="D35" i="8"/>
  <c r="C35" i="8"/>
  <c r="U34" i="8"/>
  <c r="I34" i="8"/>
  <c r="G34" i="8"/>
  <c r="F34" i="8"/>
  <c r="E34" i="8"/>
  <c r="D34" i="8"/>
  <c r="C34" i="8"/>
  <c r="U33" i="8"/>
  <c r="I33" i="8"/>
  <c r="G33" i="8"/>
  <c r="F33" i="8"/>
  <c r="E33" i="8"/>
  <c r="D33" i="8"/>
  <c r="C33" i="8"/>
  <c r="U32" i="8"/>
  <c r="I32" i="8"/>
  <c r="G32" i="8"/>
  <c r="F32" i="8"/>
  <c r="E32" i="8"/>
  <c r="D32" i="8"/>
  <c r="C32" i="8"/>
  <c r="U31" i="8"/>
  <c r="I31" i="8"/>
  <c r="G31" i="8"/>
  <c r="F31" i="8"/>
  <c r="E31" i="8"/>
  <c r="D31" i="8"/>
  <c r="C31" i="8"/>
  <c r="U30" i="8"/>
  <c r="I30" i="8"/>
  <c r="G30" i="8"/>
  <c r="F30" i="8"/>
  <c r="E30" i="8"/>
  <c r="D30" i="8"/>
  <c r="C30" i="8"/>
  <c r="U29" i="8"/>
  <c r="I29" i="8"/>
  <c r="G29" i="8"/>
  <c r="F29" i="8"/>
  <c r="E29" i="8"/>
  <c r="D29" i="8"/>
  <c r="C29" i="8"/>
  <c r="U28" i="8"/>
  <c r="I28" i="8"/>
  <c r="G28" i="8"/>
  <c r="F28" i="8"/>
  <c r="E28" i="8"/>
  <c r="D28" i="8"/>
  <c r="C28" i="8"/>
  <c r="H8" i="8"/>
  <c r="H9" i="8"/>
  <c r="H10" i="8"/>
  <c r="H11" i="8"/>
  <c r="H12" i="8"/>
  <c r="H13" i="8"/>
  <c r="H14" i="8"/>
  <c r="H15" i="8"/>
  <c r="H16" i="8"/>
  <c r="H7" i="8"/>
  <c r="U26" i="8"/>
  <c r="I26" i="8"/>
  <c r="G26" i="8"/>
  <c r="F26" i="8"/>
  <c r="E26" i="8"/>
  <c r="D26" i="8"/>
  <c r="C26" i="8"/>
  <c r="U25" i="8"/>
  <c r="I25" i="8"/>
  <c r="G25" i="8"/>
  <c r="F25" i="8"/>
  <c r="E25" i="8"/>
  <c r="D25" i="8"/>
  <c r="C25" i="8"/>
  <c r="U24" i="8"/>
  <c r="I24" i="8"/>
  <c r="G24" i="8"/>
  <c r="F24" i="8"/>
  <c r="E24" i="8"/>
  <c r="D24" i="8"/>
  <c r="C24" i="8"/>
  <c r="U23" i="8"/>
  <c r="I23" i="8"/>
  <c r="G23" i="8"/>
  <c r="F23" i="8"/>
  <c r="E23" i="8"/>
  <c r="D23" i="8"/>
  <c r="C23" i="8"/>
  <c r="U22" i="8"/>
  <c r="I22" i="8"/>
  <c r="G22" i="8"/>
  <c r="F22" i="8"/>
  <c r="E22" i="8"/>
  <c r="D22" i="8"/>
  <c r="C22" i="8"/>
  <c r="U21" i="8"/>
  <c r="I21" i="8"/>
  <c r="G21" i="8"/>
  <c r="F21" i="8"/>
  <c r="E21" i="8"/>
  <c r="D21" i="8"/>
  <c r="C21" i="8"/>
  <c r="U20" i="8"/>
  <c r="I20" i="8"/>
  <c r="G20" i="8"/>
  <c r="F20" i="8"/>
  <c r="E20" i="8"/>
  <c r="D20" i="8"/>
  <c r="C20" i="8"/>
  <c r="U19" i="8"/>
  <c r="I19" i="8"/>
  <c r="G19" i="8"/>
  <c r="F19" i="8"/>
  <c r="E19" i="8"/>
  <c r="D19" i="8"/>
  <c r="C19" i="8"/>
  <c r="U18" i="8"/>
  <c r="I18" i="8"/>
  <c r="G18" i="8"/>
  <c r="F18" i="8"/>
  <c r="E18" i="8"/>
  <c r="D18" i="8"/>
  <c r="C18" i="8"/>
  <c r="C42" i="24" l="1"/>
  <c r="B43" i="24"/>
  <c r="I42" i="24"/>
  <c r="H42" i="24"/>
  <c r="G42" i="24"/>
  <c r="F42" i="24"/>
  <c r="E42" i="24"/>
  <c r="W41" i="24"/>
  <c r="X41" i="24" s="1"/>
  <c r="C42" i="23"/>
  <c r="H42" i="23"/>
  <c r="G42" i="23"/>
  <c r="F42" i="23"/>
  <c r="E42" i="23"/>
  <c r="B43" i="23"/>
  <c r="I42" i="23"/>
  <c r="W41" i="22"/>
  <c r="X41" i="22" s="1"/>
  <c r="B43" i="22"/>
  <c r="I42" i="22"/>
  <c r="C42" i="22"/>
  <c r="F42" i="22"/>
  <c r="H42" i="22"/>
  <c r="G42" i="22"/>
  <c r="E42" i="22"/>
  <c r="I42" i="21"/>
  <c r="C42" i="21"/>
  <c r="E42" i="21"/>
  <c r="G42" i="21"/>
  <c r="F42" i="21"/>
  <c r="H42" i="21"/>
  <c r="B43" i="21"/>
  <c r="W38" i="21"/>
  <c r="X38" i="21" s="1"/>
  <c r="K89" i="12"/>
  <c r="M88" i="12"/>
  <c r="G85" i="12"/>
  <c r="N85" i="12"/>
  <c r="N89" i="12"/>
  <c r="O92" i="12"/>
  <c r="M85" i="12"/>
  <c r="O85" i="12" s="1"/>
  <c r="M86" i="12"/>
  <c r="O86" i="12" s="1"/>
  <c r="M89" i="12"/>
  <c r="M90" i="12"/>
  <c r="M92" i="12"/>
  <c r="G84" i="12"/>
  <c r="O90" i="12"/>
  <c r="E85" i="12"/>
  <c r="G88" i="12"/>
  <c r="E89" i="12"/>
  <c r="M93" i="12"/>
  <c r="O93" i="12" s="1"/>
  <c r="M94" i="12"/>
  <c r="O94" i="12" s="1"/>
  <c r="I54" i="12"/>
  <c r="R57" i="12"/>
  <c r="E83" i="12"/>
  <c r="M83" i="12"/>
  <c r="K84" i="12"/>
  <c r="O84" i="12" s="1"/>
  <c r="I85" i="12"/>
  <c r="G86" i="12"/>
  <c r="E87" i="12"/>
  <c r="M87" i="12"/>
  <c r="K88" i="12"/>
  <c r="O88" i="12" s="1"/>
  <c r="I89" i="12"/>
  <c r="G90" i="12"/>
  <c r="E91" i="12"/>
  <c r="M91" i="12"/>
  <c r="I93" i="12"/>
  <c r="G94" i="12"/>
  <c r="K91" i="12"/>
  <c r="N53" i="12"/>
  <c r="R64" i="12"/>
  <c r="K83" i="12"/>
  <c r="O83" i="12" s="1"/>
  <c r="N48" i="12"/>
  <c r="N59" i="12"/>
  <c r="G66" i="12"/>
  <c r="G83" i="12"/>
  <c r="E84" i="12"/>
  <c r="I86" i="12"/>
  <c r="G87" i="12"/>
  <c r="E88" i="12"/>
  <c r="I90" i="12"/>
  <c r="G91" i="12"/>
  <c r="I94" i="12"/>
  <c r="K87" i="12"/>
  <c r="N62" i="12"/>
  <c r="N68" i="12"/>
  <c r="N78" i="12"/>
  <c r="K64" i="12"/>
  <c r="M64" i="12"/>
  <c r="I60" i="12"/>
  <c r="I62" i="12"/>
  <c r="G64" i="12"/>
  <c r="I66" i="12"/>
  <c r="I68" i="12"/>
  <c r="E58" i="12"/>
  <c r="M60" i="12"/>
  <c r="O60" i="12" s="1"/>
  <c r="M62" i="12"/>
  <c r="E60" i="12"/>
  <c r="O64" i="12"/>
  <c r="M66" i="12"/>
  <c r="M68" i="12"/>
  <c r="O68" i="12" s="1"/>
  <c r="M58" i="12"/>
  <c r="I58" i="12"/>
  <c r="G60" i="12"/>
  <c r="K79" i="12"/>
  <c r="G54" i="12"/>
  <c r="G55" i="12"/>
  <c r="E57" i="12"/>
  <c r="M57" i="12"/>
  <c r="K58" i="12"/>
  <c r="O58" i="12" s="1"/>
  <c r="I59" i="12"/>
  <c r="E61" i="12"/>
  <c r="M61" i="12"/>
  <c r="K62" i="12"/>
  <c r="I63" i="12"/>
  <c r="E65" i="12"/>
  <c r="M65" i="12"/>
  <c r="K66" i="12"/>
  <c r="I67" i="12"/>
  <c r="G68" i="12"/>
  <c r="K57" i="12"/>
  <c r="O57" i="12" s="1"/>
  <c r="K65" i="12"/>
  <c r="O65" i="12" s="1"/>
  <c r="M78" i="12"/>
  <c r="I80" i="12"/>
  <c r="P80" i="12" s="1"/>
  <c r="N79" i="12"/>
  <c r="K78" i="12"/>
  <c r="M47" i="12"/>
  <c r="E51" i="12"/>
  <c r="E52" i="12"/>
  <c r="G50" i="12"/>
  <c r="G57" i="12"/>
  <c r="K59" i="12"/>
  <c r="O59" i="12" s="1"/>
  <c r="Q59" i="12" s="1"/>
  <c r="G61" i="12"/>
  <c r="K63" i="12"/>
  <c r="O63" i="12" s="1"/>
  <c r="G65" i="12"/>
  <c r="K67" i="12"/>
  <c r="O67" i="12" s="1"/>
  <c r="K61" i="12"/>
  <c r="O61" i="12" s="1"/>
  <c r="G80" i="12"/>
  <c r="E48" i="12"/>
  <c r="I50" i="12"/>
  <c r="I51" i="12"/>
  <c r="M55" i="12"/>
  <c r="O55" i="12" s="1"/>
  <c r="E59" i="12"/>
  <c r="E63" i="12"/>
  <c r="E67" i="12"/>
  <c r="N51" i="12"/>
  <c r="O47" i="12"/>
  <c r="N49" i="12"/>
  <c r="N50" i="12"/>
  <c r="E47" i="12"/>
  <c r="M48" i="12"/>
  <c r="I55" i="12"/>
  <c r="R61" i="12" s="1"/>
  <c r="G46" i="12"/>
  <c r="M51" i="12"/>
  <c r="O51" i="12" s="1"/>
  <c r="G47" i="12"/>
  <c r="M52" i="12"/>
  <c r="N45" i="12"/>
  <c r="N46" i="12"/>
  <c r="I47" i="12"/>
  <c r="G51" i="12"/>
  <c r="E55" i="12"/>
  <c r="P64" i="12" s="1"/>
  <c r="M44" i="12"/>
  <c r="E44" i="12"/>
  <c r="K53" i="12"/>
  <c r="M81" i="12"/>
  <c r="E81" i="12"/>
  <c r="K44" i="12"/>
  <c r="I45" i="12"/>
  <c r="K48" i="12"/>
  <c r="I49" i="12"/>
  <c r="K52" i="12"/>
  <c r="O52" i="12" s="1"/>
  <c r="I53" i="12"/>
  <c r="N81" i="12"/>
  <c r="K45" i="12"/>
  <c r="I81" i="12"/>
  <c r="P81" i="12" s="1"/>
  <c r="G44" i="12"/>
  <c r="E45" i="12"/>
  <c r="M45" i="12"/>
  <c r="K46" i="12"/>
  <c r="O46" i="12" s="1"/>
  <c r="G48" i="12"/>
  <c r="E49" i="12"/>
  <c r="M49" i="12"/>
  <c r="K50" i="12"/>
  <c r="O50" i="12" s="1"/>
  <c r="G52" i="12"/>
  <c r="E53" i="12"/>
  <c r="M53" i="12"/>
  <c r="K54" i="12"/>
  <c r="O54" i="12" s="1"/>
  <c r="K49" i="12"/>
  <c r="E78" i="12"/>
  <c r="K81" i="12"/>
  <c r="K80" i="12"/>
  <c r="E46" i="12"/>
  <c r="E50" i="12"/>
  <c r="E54" i="12"/>
  <c r="M80" i="12"/>
  <c r="G79" i="12"/>
  <c r="I78" i="12"/>
  <c r="P78" i="12" s="1"/>
  <c r="M79" i="12"/>
  <c r="E79" i="12"/>
  <c r="P79" i="12" s="1"/>
  <c r="F43" i="24" l="1"/>
  <c r="E43" i="24"/>
  <c r="B44" i="24"/>
  <c r="I43" i="24"/>
  <c r="H43" i="24"/>
  <c r="G43" i="24"/>
  <c r="C43" i="24"/>
  <c r="W43" i="24" s="1"/>
  <c r="X43" i="24" s="1"/>
  <c r="W42" i="24"/>
  <c r="X42" i="24" s="1"/>
  <c r="W42" i="22"/>
  <c r="X42" i="22" s="1"/>
  <c r="W42" i="23"/>
  <c r="X42" i="23" s="1"/>
  <c r="F43" i="23"/>
  <c r="C43" i="23"/>
  <c r="W43" i="23" s="1"/>
  <c r="X43" i="23" s="1"/>
  <c r="B44" i="23"/>
  <c r="I43" i="23"/>
  <c r="H43" i="23"/>
  <c r="G43" i="23"/>
  <c r="E43" i="23"/>
  <c r="E43" i="22"/>
  <c r="C43" i="22"/>
  <c r="W43" i="22" s="1"/>
  <c r="X43" i="22" s="1"/>
  <c r="I43" i="22"/>
  <c r="B44" i="22"/>
  <c r="H43" i="22"/>
  <c r="G43" i="22"/>
  <c r="F43" i="22"/>
  <c r="C43" i="21"/>
  <c r="E43" i="21"/>
  <c r="F43" i="21"/>
  <c r="B44" i="21"/>
  <c r="G43" i="21"/>
  <c r="I43" i="21"/>
  <c r="H43" i="21"/>
  <c r="W39" i="21"/>
  <c r="X39" i="21" s="1"/>
  <c r="O91" i="12"/>
  <c r="O89" i="12"/>
  <c r="Q65" i="12"/>
  <c r="Q61" i="12"/>
  <c r="Q57" i="12"/>
  <c r="P57" i="12"/>
  <c r="O87" i="12"/>
  <c r="Q67" i="12"/>
  <c r="P61" i="12"/>
  <c r="Q60" i="12"/>
  <c r="O81" i="12"/>
  <c r="Q81" i="12" s="1"/>
  <c r="P65" i="12"/>
  <c r="Q63" i="12"/>
  <c r="O66" i="12"/>
  <c r="Q66" i="12" s="1"/>
  <c r="Q58" i="12"/>
  <c r="R81" i="12"/>
  <c r="R79" i="12"/>
  <c r="R80" i="12"/>
  <c r="R78" i="12"/>
  <c r="Q64" i="12"/>
  <c r="R65" i="12"/>
  <c r="O79" i="12"/>
  <c r="Q79" i="12" s="1"/>
  <c r="O78" i="12"/>
  <c r="Q78" i="12" s="1"/>
  <c r="P60" i="12"/>
  <c r="R60" i="12"/>
  <c r="R67" i="12"/>
  <c r="P67" i="12"/>
  <c r="R59" i="12"/>
  <c r="P59" i="12"/>
  <c r="P58" i="12"/>
  <c r="R58" i="12"/>
  <c r="P68" i="12"/>
  <c r="R68" i="12"/>
  <c r="Q68" i="12"/>
  <c r="R66" i="12"/>
  <c r="P66" i="12"/>
  <c r="P63" i="12"/>
  <c r="R63" i="12"/>
  <c r="P62" i="12"/>
  <c r="R62" i="12"/>
  <c r="O62" i="12"/>
  <c r="Q62" i="12" s="1"/>
  <c r="O44" i="12"/>
  <c r="O48" i="12"/>
  <c r="O49" i="12"/>
  <c r="O53" i="12"/>
  <c r="O45" i="12"/>
  <c r="O80" i="12"/>
  <c r="Q80" i="12" s="1"/>
  <c r="H44" i="24" l="1"/>
  <c r="G44" i="24"/>
  <c r="E44" i="24"/>
  <c r="C44" i="24"/>
  <c r="W44" i="24" s="1"/>
  <c r="X44" i="24" s="1"/>
  <c r="B45" i="24"/>
  <c r="I44" i="24"/>
  <c r="F44" i="24"/>
  <c r="H44" i="23"/>
  <c r="F44" i="23"/>
  <c r="C44" i="23"/>
  <c r="B45" i="23"/>
  <c r="I44" i="23"/>
  <c r="G44" i="23"/>
  <c r="E44" i="23"/>
  <c r="G44" i="22"/>
  <c r="F44" i="22"/>
  <c r="E44" i="22"/>
  <c r="C44" i="22"/>
  <c r="W44" i="22" s="1"/>
  <c r="X44" i="22" s="1"/>
  <c r="I44" i="22"/>
  <c r="B45" i="22"/>
  <c r="H44" i="22"/>
  <c r="I44" i="21"/>
  <c r="B45" i="21"/>
  <c r="C44" i="21"/>
  <c r="E44" i="21"/>
  <c r="G44" i="21"/>
  <c r="F44" i="21"/>
  <c r="H44" i="21"/>
  <c r="W40" i="21"/>
  <c r="X40" i="21" s="1"/>
  <c r="G136" i="8"/>
  <c r="F136" i="8"/>
  <c r="E136" i="8"/>
  <c r="D136" i="8"/>
  <c r="C136" i="8"/>
  <c r="G135" i="8"/>
  <c r="F135" i="8"/>
  <c r="E135" i="8"/>
  <c r="D135" i="8"/>
  <c r="C135" i="8"/>
  <c r="G134" i="8"/>
  <c r="F134" i="8"/>
  <c r="E134" i="8"/>
  <c r="D134" i="8"/>
  <c r="C134" i="8"/>
  <c r="G133" i="8"/>
  <c r="F133" i="8"/>
  <c r="E133" i="8"/>
  <c r="D133" i="8"/>
  <c r="C133" i="8"/>
  <c r="G132" i="8"/>
  <c r="F132" i="8"/>
  <c r="E132" i="8"/>
  <c r="D132" i="8"/>
  <c r="C132" i="8"/>
  <c r="G131" i="8"/>
  <c r="F131" i="8"/>
  <c r="E131" i="8"/>
  <c r="D131" i="8"/>
  <c r="C131" i="8"/>
  <c r="G129" i="8"/>
  <c r="F129" i="8"/>
  <c r="E129" i="8"/>
  <c r="D129" i="8"/>
  <c r="C129" i="8"/>
  <c r="G128" i="8"/>
  <c r="F128" i="8"/>
  <c r="E128" i="8"/>
  <c r="D128" i="8"/>
  <c r="C128" i="8"/>
  <c r="G127" i="8"/>
  <c r="F127" i="8"/>
  <c r="E127" i="8"/>
  <c r="D127" i="8"/>
  <c r="C127" i="8"/>
  <c r="G126" i="8"/>
  <c r="F126" i="8"/>
  <c r="E126" i="8"/>
  <c r="D126" i="8"/>
  <c r="C126" i="8"/>
  <c r="G125" i="8"/>
  <c r="F125" i="8"/>
  <c r="E125" i="8"/>
  <c r="D125" i="8"/>
  <c r="C125" i="8"/>
  <c r="G124" i="8"/>
  <c r="F124" i="8"/>
  <c r="E124" i="8"/>
  <c r="D124" i="8"/>
  <c r="C124" i="8"/>
  <c r="G122" i="8"/>
  <c r="F122" i="8"/>
  <c r="E122" i="8"/>
  <c r="D122" i="8"/>
  <c r="C122" i="8"/>
  <c r="G121" i="8"/>
  <c r="F121" i="8"/>
  <c r="E121" i="8"/>
  <c r="D121" i="8"/>
  <c r="C121" i="8"/>
  <c r="G120" i="8"/>
  <c r="F120" i="8"/>
  <c r="E120" i="8"/>
  <c r="D120" i="8"/>
  <c r="C120" i="8"/>
  <c r="G119" i="8"/>
  <c r="F119" i="8"/>
  <c r="E119" i="8"/>
  <c r="D119" i="8"/>
  <c r="C119" i="8"/>
  <c r="G118" i="8"/>
  <c r="F118" i="8"/>
  <c r="E118" i="8"/>
  <c r="D118" i="8"/>
  <c r="C118" i="8"/>
  <c r="G117" i="8"/>
  <c r="F117" i="8"/>
  <c r="E117" i="8"/>
  <c r="D117" i="8"/>
  <c r="C117" i="8"/>
  <c r="G115" i="8"/>
  <c r="F115" i="8"/>
  <c r="E115" i="8"/>
  <c r="D115" i="8"/>
  <c r="C115" i="8"/>
  <c r="G114" i="8"/>
  <c r="F114" i="8"/>
  <c r="E114" i="8"/>
  <c r="D114" i="8"/>
  <c r="C114" i="8"/>
  <c r="G113" i="8"/>
  <c r="F113" i="8"/>
  <c r="E113" i="8"/>
  <c r="D113" i="8"/>
  <c r="C113" i="8"/>
  <c r="G112" i="8"/>
  <c r="F112" i="8"/>
  <c r="E112" i="8"/>
  <c r="D112" i="8"/>
  <c r="C112" i="8"/>
  <c r="G111" i="8"/>
  <c r="F111" i="8"/>
  <c r="E111" i="8"/>
  <c r="D111" i="8"/>
  <c r="C111" i="8"/>
  <c r="G110" i="8"/>
  <c r="F110" i="8"/>
  <c r="E110" i="8"/>
  <c r="D110" i="8"/>
  <c r="C110" i="8"/>
  <c r="G108" i="8"/>
  <c r="F108" i="8"/>
  <c r="E108" i="8"/>
  <c r="D108" i="8"/>
  <c r="C108" i="8"/>
  <c r="G107" i="8"/>
  <c r="F107" i="8"/>
  <c r="E107" i="8"/>
  <c r="D107" i="8"/>
  <c r="C107" i="8"/>
  <c r="G106" i="8"/>
  <c r="F106" i="8"/>
  <c r="E106" i="8"/>
  <c r="D106" i="8"/>
  <c r="C106" i="8"/>
  <c r="G105" i="8"/>
  <c r="F105" i="8"/>
  <c r="E105" i="8"/>
  <c r="D105" i="8"/>
  <c r="C105" i="8"/>
  <c r="G104" i="8"/>
  <c r="F104" i="8"/>
  <c r="E104" i="8"/>
  <c r="D104" i="8"/>
  <c r="C104" i="8"/>
  <c r="G103" i="8"/>
  <c r="F103" i="8"/>
  <c r="E103" i="8"/>
  <c r="D103" i="8"/>
  <c r="C103" i="8"/>
  <c r="L130" i="12"/>
  <c r="J130" i="12"/>
  <c r="H130" i="12"/>
  <c r="F130" i="12"/>
  <c r="D130" i="12"/>
  <c r="AB130" i="12" s="1"/>
  <c r="C130" i="12"/>
  <c r="K130" i="12" s="1"/>
  <c r="L129" i="12"/>
  <c r="J129" i="12"/>
  <c r="H129" i="12"/>
  <c r="F129" i="12"/>
  <c r="D129" i="12"/>
  <c r="AB129" i="12" s="1"/>
  <c r="C129" i="12"/>
  <c r="K129" i="12" s="1"/>
  <c r="L128" i="12"/>
  <c r="J128" i="12"/>
  <c r="N128" i="12" s="1"/>
  <c r="H128" i="12"/>
  <c r="F128" i="12"/>
  <c r="D128" i="12"/>
  <c r="AB128" i="12" s="1"/>
  <c r="C128" i="12"/>
  <c r="M128" i="12" s="1"/>
  <c r="L127" i="12"/>
  <c r="J127" i="12"/>
  <c r="H127" i="12"/>
  <c r="F127" i="12"/>
  <c r="D127" i="12"/>
  <c r="AB127" i="12" s="1"/>
  <c r="C127" i="12"/>
  <c r="I127" i="12" s="1"/>
  <c r="L126" i="12"/>
  <c r="J126" i="12"/>
  <c r="H126" i="12"/>
  <c r="F126" i="12"/>
  <c r="D126" i="12"/>
  <c r="AB126" i="12" s="1"/>
  <c r="C126" i="12"/>
  <c r="K126" i="12" s="1"/>
  <c r="L125" i="12"/>
  <c r="J125" i="12"/>
  <c r="H125" i="12"/>
  <c r="F125" i="12"/>
  <c r="D125" i="12"/>
  <c r="AB125" i="12" s="1"/>
  <c r="C125" i="12"/>
  <c r="K125" i="12" s="1"/>
  <c r="L124" i="12"/>
  <c r="J124" i="12"/>
  <c r="N124" i="12" s="1"/>
  <c r="H124" i="12"/>
  <c r="F124" i="12"/>
  <c r="D124" i="12"/>
  <c r="AB124" i="12" s="1"/>
  <c r="C124" i="12"/>
  <c r="M124" i="12" s="1"/>
  <c r="V123" i="12"/>
  <c r="V124" i="12" s="1"/>
  <c r="V125" i="12" s="1"/>
  <c r="V126" i="12" s="1"/>
  <c r="V127" i="12" s="1"/>
  <c r="V128" i="12" s="1"/>
  <c r="V129" i="12" s="1"/>
  <c r="V130" i="12" s="1"/>
  <c r="L123" i="12"/>
  <c r="J123" i="12"/>
  <c r="H123" i="12"/>
  <c r="F123" i="12"/>
  <c r="D123" i="12"/>
  <c r="AB123" i="12" s="1"/>
  <c r="C123" i="12"/>
  <c r="I123" i="12" s="1"/>
  <c r="L121" i="12"/>
  <c r="J121" i="12"/>
  <c r="H121" i="12"/>
  <c r="F121" i="12"/>
  <c r="D121" i="12"/>
  <c r="AB121" i="12" s="1"/>
  <c r="K121" i="12"/>
  <c r="L120" i="12"/>
  <c r="J120" i="12"/>
  <c r="H120" i="12"/>
  <c r="F120" i="12"/>
  <c r="D120" i="12"/>
  <c r="AB120" i="12" s="1"/>
  <c r="M120" i="12"/>
  <c r="L119" i="12"/>
  <c r="J119" i="12"/>
  <c r="H119" i="12"/>
  <c r="F119" i="12"/>
  <c r="D119" i="12"/>
  <c r="AB119" i="12" s="1"/>
  <c r="G119" i="12"/>
  <c r="L118" i="12"/>
  <c r="J118" i="12"/>
  <c r="H118" i="12"/>
  <c r="F118" i="12"/>
  <c r="D118" i="12"/>
  <c r="AB118" i="12" s="1"/>
  <c r="I118" i="12"/>
  <c r="L117" i="12"/>
  <c r="J117" i="12"/>
  <c r="H117" i="12"/>
  <c r="F117" i="12"/>
  <c r="D117" i="12"/>
  <c r="AB117" i="12" s="1"/>
  <c r="K117" i="12"/>
  <c r="L116" i="12"/>
  <c r="J116" i="12"/>
  <c r="H116" i="12"/>
  <c r="F116" i="12"/>
  <c r="D116" i="12"/>
  <c r="AB116" i="12" s="1"/>
  <c r="M116" i="12"/>
  <c r="L115" i="12"/>
  <c r="J115" i="12"/>
  <c r="H115" i="12"/>
  <c r="F115" i="12"/>
  <c r="D115" i="12"/>
  <c r="AB115" i="12" s="1"/>
  <c r="G115" i="12"/>
  <c r="V114" i="12"/>
  <c r="V115" i="12" s="1"/>
  <c r="V116" i="12" s="1"/>
  <c r="V117" i="12" s="1"/>
  <c r="V118" i="12" s="1"/>
  <c r="V119" i="12" s="1"/>
  <c r="V120" i="12" s="1"/>
  <c r="V121" i="12" s="1"/>
  <c r="L114" i="12"/>
  <c r="J114" i="12"/>
  <c r="H114" i="12"/>
  <c r="F114" i="12"/>
  <c r="D114" i="12"/>
  <c r="AB114" i="12" s="1"/>
  <c r="I114" i="12"/>
  <c r="L112" i="12"/>
  <c r="J112" i="12"/>
  <c r="N112" i="12" s="1"/>
  <c r="H112" i="12"/>
  <c r="F112" i="12"/>
  <c r="D112" i="12"/>
  <c r="AB112" i="12" s="1"/>
  <c r="K112" i="12"/>
  <c r="L111" i="12"/>
  <c r="J111" i="12"/>
  <c r="H111" i="12"/>
  <c r="F111" i="12"/>
  <c r="D111" i="12"/>
  <c r="AB111" i="12" s="1"/>
  <c r="M111" i="12"/>
  <c r="L110" i="12"/>
  <c r="J110" i="12"/>
  <c r="H110" i="12"/>
  <c r="F110" i="12"/>
  <c r="D110" i="12"/>
  <c r="AB110" i="12" s="1"/>
  <c r="G110" i="12"/>
  <c r="L109" i="12"/>
  <c r="J109" i="12"/>
  <c r="H109" i="12"/>
  <c r="F109" i="12"/>
  <c r="D109" i="12"/>
  <c r="AB109" i="12" s="1"/>
  <c r="I109" i="12"/>
  <c r="L108" i="12"/>
  <c r="J108" i="12"/>
  <c r="H108" i="12"/>
  <c r="F108" i="12"/>
  <c r="D108" i="12"/>
  <c r="AB108" i="12" s="1"/>
  <c r="K108" i="12"/>
  <c r="L107" i="12"/>
  <c r="J107" i="12"/>
  <c r="H107" i="12"/>
  <c r="F107" i="12"/>
  <c r="D107" i="12"/>
  <c r="AB107" i="12" s="1"/>
  <c r="M107" i="12"/>
  <c r="L106" i="12"/>
  <c r="J106" i="12"/>
  <c r="H106" i="12"/>
  <c r="F106" i="12"/>
  <c r="D106" i="12"/>
  <c r="AB106" i="12" s="1"/>
  <c r="G106" i="12"/>
  <c r="V105" i="12"/>
  <c r="V106" i="12" s="1"/>
  <c r="V107" i="12" s="1"/>
  <c r="V108" i="12" s="1"/>
  <c r="V109" i="12" s="1"/>
  <c r="V110" i="12" s="1"/>
  <c r="V111" i="12" s="1"/>
  <c r="V112" i="12" s="1"/>
  <c r="L105" i="12"/>
  <c r="J105" i="12"/>
  <c r="H105" i="12"/>
  <c r="F105" i="12"/>
  <c r="D105" i="12"/>
  <c r="AB105" i="12" s="1"/>
  <c r="I105" i="12"/>
  <c r="G5" i="4"/>
  <c r="I5" i="4"/>
  <c r="C14" i="8"/>
  <c r="I14" i="4"/>
  <c r="F14" i="4" s="1"/>
  <c r="G14" i="4" s="1"/>
  <c r="C7" i="8"/>
  <c r="C8" i="8"/>
  <c r="C9" i="8"/>
  <c r="C10" i="8"/>
  <c r="C11" i="8"/>
  <c r="C12" i="8"/>
  <c r="C13" i="8"/>
  <c r="C15" i="8"/>
  <c r="C16" i="8"/>
  <c r="D48" i="2"/>
  <c r="B46" i="24" l="1"/>
  <c r="I45" i="24"/>
  <c r="G45" i="24"/>
  <c r="F45" i="24"/>
  <c r="E45" i="24"/>
  <c r="C45" i="24"/>
  <c r="W45" i="24" s="1"/>
  <c r="X45" i="24" s="1"/>
  <c r="H45" i="24"/>
  <c r="H45" i="23"/>
  <c r="F45" i="23"/>
  <c r="E45" i="23"/>
  <c r="C45" i="23"/>
  <c r="W45" i="23" s="1"/>
  <c r="X45" i="23" s="1"/>
  <c r="B46" i="23"/>
  <c r="I45" i="23"/>
  <c r="G45" i="23"/>
  <c r="W44" i="23"/>
  <c r="X44" i="23" s="1"/>
  <c r="B46" i="22"/>
  <c r="I45" i="22"/>
  <c r="H45" i="22"/>
  <c r="G45" i="22"/>
  <c r="F45" i="22"/>
  <c r="E45" i="22"/>
  <c r="C45" i="22"/>
  <c r="F45" i="21"/>
  <c r="C45" i="21"/>
  <c r="I45" i="21"/>
  <c r="E45" i="21"/>
  <c r="G45" i="21"/>
  <c r="H45" i="21"/>
  <c r="B46" i="21"/>
  <c r="W42" i="21"/>
  <c r="X42" i="21" s="1"/>
  <c r="W41" i="21"/>
  <c r="X41" i="21" s="1"/>
  <c r="N119" i="12"/>
  <c r="N106" i="12"/>
  <c r="N125" i="12"/>
  <c r="N109" i="12"/>
  <c r="N111" i="12"/>
  <c r="N126" i="12"/>
  <c r="N120" i="12"/>
  <c r="N129" i="12"/>
  <c r="G112" i="12"/>
  <c r="E121" i="12"/>
  <c r="I128" i="12"/>
  <c r="N123" i="12"/>
  <c r="G116" i="12"/>
  <c r="N127" i="12"/>
  <c r="I115" i="12"/>
  <c r="N114" i="12"/>
  <c r="N115" i="12"/>
  <c r="I107" i="12"/>
  <c r="G111" i="12"/>
  <c r="G129" i="12"/>
  <c r="N107" i="12"/>
  <c r="I119" i="12"/>
  <c r="E125" i="12"/>
  <c r="N110" i="12"/>
  <c r="N118" i="12"/>
  <c r="I124" i="12"/>
  <c r="R124" i="12" s="1"/>
  <c r="E129" i="12"/>
  <c r="G107" i="12"/>
  <c r="E112" i="12"/>
  <c r="G128" i="12"/>
  <c r="N108" i="12"/>
  <c r="N116" i="12"/>
  <c r="N130" i="12"/>
  <c r="G125" i="12"/>
  <c r="E126" i="12"/>
  <c r="E130" i="12"/>
  <c r="I125" i="12"/>
  <c r="G124" i="12"/>
  <c r="M125" i="12"/>
  <c r="O125" i="12" s="1"/>
  <c r="M126" i="12"/>
  <c r="O126" i="12" s="1"/>
  <c r="M129" i="12"/>
  <c r="O129" i="12" s="1"/>
  <c r="M130" i="12"/>
  <c r="O130" i="12" s="1"/>
  <c r="R127" i="12"/>
  <c r="R123" i="12"/>
  <c r="K123" i="12"/>
  <c r="R128" i="12"/>
  <c r="K127" i="12"/>
  <c r="E123" i="12"/>
  <c r="M123" i="12"/>
  <c r="K124" i="12"/>
  <c r="O124" i="12" s="1"/>
  <c r="G126" i="12"/>
  <c r="E127" i="12"/>
  <c r="M127" i="12"/>
  <c r="K128" i="12"/>
  <c r="O128" i="12" s="1"/>
  <c r="Q128" i="12" s="1"/>
  <c r="I129" i="12"/>
  <c r="G130" i="12"/>
  <c r="G123" i="12"/>
  <c r="E124" i="12"/>
  <c r="I126" i="12"/>
  <c r="G127" i="12"/>
  <c r="P127" i="12" s="1"/>
  <c r="E128" i="12"/>
  <c r="I130" i="12"/>
  <c r="N117" i="12"/>
  <c r="M117" i="12"/>
  <c r="O117" i="12" s="1"/>
  <c r="E120" i="12"/>
  <c r="E116" i="12"/>
  <c r="E117" i="12"/>
  <c r="G120" i="12"/>
  <c r="N121" i="12"/>
  <c r="M121" i="12"/>
  <c r="O121" i="12" s="1"/>
  <c r="K114" i="12"/>
  <c r="K118" i="12"/>
  <c r="E114" i="12"/>
  <c r="M114" i="12"/>
  <c r="K115" i="12"/>
  <c r="I116" i="12"/>
  <c r="G117" i="12"/>
  <c r="E118" i="12"/>
  <c r="M118" i="12"/>
  <c r="K119" i="12"/>
  <c r="I120" i="12"/>
  <c r="G121" i="12"/>
  <c r="G114" i="12"/>
  <c r="E115" i="12"/>
  <c r="M115" i="12"/>
  <c r="K116" i="12"/>
  <c r="O116" i="12" s="1"/>
  <c r="I117" i="12"/>
  <c r="G118" i="12"/>
  <c r="E119" i="12"/>
  <c r="M119" i="12"/>
  <c r="K120" i="12"/>
  <c r="O120" i="12" s="1"/>
  <c r="I121" i="12"/>
  <c r="I110" i="12"/>
  <c r="I111" i="12"/>
  <c r="M112" i="12"/>
  <c r="O112" i="12" s="1"/>
  <c r="E108" i="12"/>
  <c r="G108" i="12"/>
  <c r="I108" i="12"/>
  <c r="M108" i="12"/>
  <c r="O108" i="12" s="1"/>
  <c r="I106" i="12"/>
  <c r="N105" i="12"/>
  <c r="K109" i="12"/>
  <c r="E105" i="12"/>
  <c r="K106" i="12"/>
  <c r="E109" i="12"/>
  <c r="M109" i="12"/>
  <c r="K110" i="12"/>
  <c r="K105" i="12"/>
  <c r="M105" i="12"/>
  <c r="G105" i="12"/>
  <c r="E106" i="12"/>
  <c r="M106" i="12"/>
  <c r="K107" i="12"/>
  <c r="O107" i="12" s="1"/>
  <c r="G109" i="12"/>
  <c r="E110" i="12"/>
  <c r="M110" i="12"/>
  <c r="K111" i="12"/>
  <c r="O111" i="12" s="1"/>
  <c r="I112" i="12"/>
  <c r="E107" i="12"/>
  <c r="E111" i="12"/>
  <c r="C46" i="24" l="1"/>
  <c r="B47" i="24"/>
  <c r="I46" i="24"/>
  <c r="H46" i="24"/>
  <c r="G46" i="24"/>
  <c r="F46" i="24"/>
  <c r="E46" i="24"/>
  <c r="C46" i="23"/>
  <c r="H46" i="23"/>
  <c r="G46" i="23"/>
  <c r="F46" i="23"/>
  <c r="E46" i="23"/>
  <c r="B47" i="23"/>
  <c r="I46" i="23"/>
  <c r="B47" i="22"/>
  <c r="I46" i="22"/>
  <c r="F46" i="22"/>
  <c r="E46" i="22"/>
  <c r="C46" i="22"/>
  <c r="W46" i="22" s="1"/>
  <c r="X46" i="22" s="1"/>
  <c r="H46" i="22"/>
  <c r="G46" i="22"/>
  <c r="W45" i="22"/>
  <c r="X45" i="22" s="1"/>
  <c r="I46" i="21"/>
  <c r="F46" i="21"/>
  <c r="H46" i="21"/>
  <c r="G46" i="21"/>
  <c r="B47" i="21"/>
  <c r="C46" i="21"/>
  <c r="E46" i="21"/>
  <c r="P124" i="12"/>
  <c r="Q125" i="12"/>
  <c r="P128" i="12"/>
  <c r="O127" i="12"/>
  <c r="Q127" i="12" s="1"/>
  <c r="O118" i="12"/>
  <c r="Q124" i="12"/>
  <c r="Q129" i="12"/>
  <c r="O105" i="12"/>
  <c r="P125" i="12"/>
  <c r="R125" i="12"/>
  <c r="Q130" i="12"/>
  <c r="Q126" i="12"/>
  <c r="P123" i="12"/>
  <c r="R130" i="12"/>
  <c r="P130" i="12"/>
  <c r="R129" i="12"/>
  <c r="P129" i="12"/>
  <c r="R126" i="12"/>
  <c r="P126" i="12"/>
  <c r="O123" i="12"/>
  <c r="Q123" i="12" s="1"/>
  <c r="O114" i="12"/>
  <c r="O119" i="12"/>
  <c r="O115" i="12"/>
  <c r="O110" i="12"/>
  <c r="O109" i="12"/>
  <c r="O106" i="12"/>
  <c r="J29" i="15"/>
  <c r="O29" i="15"/>
  <c r="P29" i="15" s="1"/>
  <c r="J30" i="15"/>
  <c r="O30" i="15"/>
  <c r="P30" i="15" s="1"/>
  <c r="J31" i="15"/>
  <c r="O31" i="15"/>
  <c r="P31" i="15" s="1"/>
  <c r="J32" i="15"/>
  <c r="O32" i="15"/>
  <c r="P32" i="15" s="1"/>
  <c r="J33" i="15"/>
  <c r="O33" i="15"/>
  <c r="P33" i="15" s="1"/>
  <c r="J34" i="15"/>
  <c r="O34" i="15"/>
  <c r="P34" i="15" s="1"/>
  <c r="J35" i="15"/>
  <c r="O35" i="15"/>
  <c r="P35" i="15" s="1"/>
  <c r="J36" i="15"/>
  <c r="O36" i="15"/>
  <c r="P36" i="15" s="1"/>
  <c r="J37" i="15"/>
  <c r="O37" i="15"/>
  <c r="P37" i="15" s="1"/>
  <c r="J38" i="15"/>
  <c r="O38" i="15"/>
  <c r="P38" i="15" s="1"/>
  <c r="B29" i="15"/>
  <c r="F47" i="24" l="1"/>
  <c r="E47" i="24"/>
  <c r="B48" i="24"/>
  <c r="I47" i="24"/>
  <c r="H47" i="24"/>
  <c r="G47" i="24"/>
  <c r="C47" i="24"/>
  <c r="W47" i="24" s="1"/>
  <c r="X47" i="24" s="1"/>
  <c r="W46" i="24"/>
  <c r="X46" i="24" s="1"/>
  <c r="F47" i="23"/>
  <c r="C47" i="23"/>
  <c r="B48" i="23"/>
  <c r="I47" i="23"/>
  <c r="H47" i="23"/>
  <c r="G47" i="23"/>
  <c r="E47" i="23"/>
  <c r="W46" i="23"/>
  <c r="X46" i="23" s="1"/>
  <c r="E47" i="22"/>
  <c r="C47" i="22"/>
  <c r="I47" i="22"/>
  <c r="B48" i="22"/>
  <c r="H47" i="22"/>
  <c r="G47" i="22"/>
  <c r="F47" i="22"/>
  <c r="C47" i="21"/>
  <c r="F47" i="21"/>
  <c r="B48" i="21"/>
  <c r="H47" i="21"/>
  <c r="E47" i="21"/>
  <c r="G47" i="21"/>
  <c r="I47" i="21"/>
  <c r="W43" i="21"/>
  <c r="X43" i="21" s="1"/>
  <c r="F29" i="15"/>
  <c r="E29" i="15"/>
  <c r="C29" i="15"/>
  <c r="B30" i="15"/>
  <c r="G29" i="15"/>
  <c r="I29" i="15"/>
  <c r="H29" i="15"/>
  <c r="J28" i="15"/>
  <c r="D35" i="2"/>
  <c r="D47" i="2" s="1"/>
  <c r="D45" i="2"/>
  <c r="D46" i="2"/>
  <c r="O20" i="15"/>
  <c r="P20" i="15" s="1"/>
  <c r="O18" i="15"/>
  <c r="P18" i="15" s="1"/>
  <c r="O16" i="15"/>
  <c r="P16" i="15" s="1"/>
  <c r="O14" i="15"/>
  <c r="O12" i="15"/>
  <c r="O10" i="15"/>
  <c r="O8" i="15"/>
  <c r="O6" i="15"/>
  <c r="H6" i="15"/>
  <c r="I6" i="15"/>
  <c r="S6" i="15" s="1"/>
  <c r="N47" i="16"/>
  <c r="I47" i="16"/>
  <c r="D47" i="16"/>
  <c r="N46" i="16"/>
  <c r="I46" i="16"/>
  <c r="D46" i="16"/>
  <c r="N45" i="16"/>
  <c r="I45" i="16"/>
  <c r="D45" i="16"/>
  <c r="N44" i="16"/>
  <c r="I44" i="16"/>
  <c r="D44" i="16"/>
  <c r="N43" i="16"/>
  <c r="I43" i="16"/>
  <c r="D43" i="16"/>
  <c r="N42" i="16"/>
  <c r="I42" i="16"/>
  <c r="D42" i="16"/>
  <c r="N41" i="16"/>
  <c r="I41" i="16"/>
  <c r="D41" i="16"/>
  <c r="N40" i="16"/>
  <c r="I40" i="16"/>
  <c r="D40" i="16"/>
  <c r="N39" i="16"/>
  <c r="I39" i="16"/>
  <c r="D39" i="16"/>
  <c r="N38" i="16"/>
  <c r="I38" i="16"/>
  <c r="D38" i="16"/>
  <c r="N37" i="16"/>
  <c r="I37" i="16"/>
  <c r="D37" i="16"/>
  <c r="N36" i="16"/>
  <c r="I36" i="16"/>
  <c r="D36" i="16"/>
  <c r="N35" i="16"/>
  <c r="I35" i="16"/>
  <c r="D35" i="16"/>
  <c r="N34" i="16"/>
  <c r="I34" i="16"/>
  <c r="D34" i="16"/>
  <c r="N33" i="16"/>
  <c r="I33" i="16"/>
  <c r="D33" i="16"/>
  <c r="N23" i="16"/>
  <c r="I23" i="16"/>
  <c r="D23" i="16"/>
  <c r="N22" i="16"/>
  <c r="I22" i="16"/>
  <c r="D22" i="16"/>
  <c r="N21" i="16"/>
  <c r="I21" i="16"/>
  <c r="D21" i="16"/>
  <c r="N20" i="16"/>
  <c r="I20" i="16"/>
  <c r="D20" i="16"/>
  <c r="N19" i="16"/>
  <c r="I19" i="16"/>
  <c r="D19" i="16"/>
  <c r="N18" i="16"/>
  <c r="I18" i="16"/>
  <c r="D18" i="16"/>
  <c r="N17" i="16"/>
  <c r="I17" i="16"/>
  <c r="D17" i="16"/>
  <c r="N16" i="16"/>
  <c r="I16" i="16"/>
  <c r="D16" i="16"/>
  <c r="N15" i="16"/>
  <c r="I15" i="16"/>
  <c r="D15" i="16"/>
  <c r="N14" i="16"/>
  <c r="I14" i="16"/>
  <c r="D14" i="16"/>
  <c r="N13" i="16"/>
  <c r="I13" i="16"/>
  <c r="D13" i="16"/>
  <c r="N12" i="16"/>
  <c r="I12" i="16"/>
  <c r="D12" i="16"/>
  <c r="N11" i="16"/>
  <c r="I11" i="16"/>
  <c r="D11" i="16"/>
  <c r="N10" i="16"/>
  <c r="I10" i="16"/>
  <c r="D10" i="16"/>
  <c r="N9" i="16"/>
  <c r="I9" i="16"/>
  <c r="D9" i="16"/>
  <c r="D32" i="2"/>
  <c r="H48" i="24" l="1"/>
  <c r="G48" i="24"/>
  <c r="E48" i="24"/>
  <c r="C48" i="24"/>
  <c r="W48" i="24" s="1"/>
  <c r="X48" i="24" s="1"/>
  <c r="I48" i="24"/>
  <c r="F48" i="24"/>
  <c r="W47" i="22"/>
  <c r="X47" i="22" s="1"/>
  <c r="H48" i="23"/>
  <c r="F48" i="23"/>
  <c r="C48" i="23"/>
  <c r="I48" i="23"/>
  <c r="G48" i="23"/>
  <c r="E48" i="23"/>
  <c r="W47" i="23"/>
  <c r="X47" i="23" s="1"/>
  <c r="G48" i="22"/>
  <c r="F48" i="22"/>
  <c r="E48" i="22"/>
  <c r="I48" i="22"/>
  <c r="H48" i="22"/>
  <c r="C48" i="22"/>
  <c r="W48" i="22" s="1"/>
  <c r="X48" i="22" s="1"/>
  <c r="E48" i="21"/>
  <c r="F48" i="21"/>
  <c r="G48" i="21"/>
  <c r="H48" i="21"/>
  <c r="C48" i="21"/>
  <c r="I48" i="21"/>
  <c r="W45" i="21"/>
  <c r="X45" i="21" s="1"/>
  <c r="W44" i="21"/>
  <c r="X44" i="21" s="1"/>
  <c r="B31" i="15"/>
  <c r="H30" i="15"/>
  <c r="E30" i="15"/>
  <c r="I30" i="15"/>
  <c r="C30" i="15"/>
  <c r="F30" i="15"/>
  <c r="G30" i="15"/>
  <c r="X29" i="15"/>
  <c r="E47" i="2"/>
  <c r="T6" i="15"/>
  <c r="P10" i="15"/>
  <c r="P12" i="15"/>
  <c r="P14" i="15"/>
  <c r="W48" i="23" l="1"/>
  <c r="X48" i="23" s="1"/>
  <c r="X30" i="15"/>
  <c r="B32" i="15"/>
  <c r="H31" i="15"/>
  <c r="G31" i="15"/>
  <c r="I31" i="15"/>
  <c r="F31" i="15"/>
  <c r="C31" i="15"/>
  <c r="E31" i="15"/>
  <c r="P6" i="15"/>
  <c r="G6" i="15"/>
  <c r="F6" i="15"/>
  <c r="E6" i="15"/>
  <c r="D6" i="15"/>
  <c r="C6" i="15"/>
  <c r="W46" i="21" l="1"/>
  <c r="X46" i="21" s="1"/>
  <c r="X31" i="15"/>
  <c r="B33" i="15"/>
  <c r="H32" i="15"/>
  <c r="F32" i="15"/>
  <c r="I32" i="15"/>
  <c r="E32" i="15"/>
  <c r="C32" i="15"/>
  <c r="G32" i="15"/>
  <c r="R6" i="15"/>
  <c r="Q6" i="15"/>
  <c r="N5" i="4"/>
  <c r="I6" i="4"/>
  <c r="F6" i="4" s="1"/>
  <c r="F7" i="4"/>
  <c r="I8" i="4"/>
  <c r="F8" i="4" s="1"/>
  <c r="G8" i="4" s="1"/>
  <c r="H8" i="4" s="1"/>
  <c r="I9" i="4"/>
  <c r="F9" i="4" s="1"/>
  <c r="G9" i="4" s="1"/>
  <c r="H9" i="4" s="1"/>
  <c r="I10" i="4"/>
  <c r="F10" i="4" s="1"/>
  <c r="G10" i="4" s="1"/>
  <c r="H10" i="4" s="1"/>
  <c r="I11" i="4"/>
  <c r="F11" i="4" s="1"/>
  <c r="G11" i="4" s="1"/>
  <c r="I12" i="4"/>
  <c r="F12" i="4" s="1"/>
  <c r="G12" i="4" s="1"/>
  <c r="I13" i="4"/>
  <c r="F13" i="4" s="1"/>
  <c r="G13" i="4" s="1"/>
  <c r="H13" i="4" s="1"/>
  <c r="I15" i="4"/>
  <c r="F15" i="4" s="1"/>
  <c r="G15" i="4" s="1"/>
  <c r="I16" i="4"/>
  <c r="F16" i="4" s="1"/>
  <c r="G16" i="4" s="1"/>
  <c r="H16" i="4" s="1"/>
  <c r="I17" i="4"/>
  <c r="F17" i="4" s="1"/>
  <c r="G17" i="4" s="1"/>
  <c r="H17" i="4" s="1"/>
  <c r="I18" i="4"/>
  <c r="F18" i="4" s="1"/>
  <c r="G18" i="4" s="1"/>
  <c r="H18" i="4" s="1"/>
  <c r="I19" i="4"/>
  <c r="F19" i="4" s="1"/>
  <c r="G19" i="4" s="1"/>
  <c r="H19" i="4" s="1"/>
  <c r="I20" i="4"/>
  <c r="F20" i="4" s="1"/>
  <c r="G20" i="4" s="1"/>
  <c r="H20" i="4" s="1"/>
  <c r="I21" i="4"/>
  <c r="F21" i="4" s="1"/>
  <c r="G21" i="4" s="1"/>
  <c r="I22" i="4"/>
  <c r="F22" i="4" s="1"/>
  <c r="G22" i="4" s="1"/>
  <c r="H22" i="4" s="1"/>
  <c r="I23" i="4"/>
  <c r="F23" i="4" s="1"/>
  <c r="G23" i="4" s="1"/>
  <c r="H23" i="4" s="1"/>
  <c r="I24" i="4"/>
  <c r="F24" i="4" s="1"/>
  <c r="G24" i="4" s="1"/>
  <c r="H24" i="4" s="1"/>
  <c r="I25" i="4"/>
  <c r="F25" i="4" s="1"/>
  <c r="G25" i="4" s="1"/>
  <c r="H25" i="4" s="1"/>
  <c r="I26" i="4"/>
  <c r="F26" i="4" s="1"/>
  <c r="G26" i="4" s="1"/>
  <c r="H26" i="4" s="1"/>
  <c r="I27" i="4"/>
  <c r="F27" i="4" s="1"/>
  <c r="G27" i="4" s="1"/>
  <c r="H27" i="4" s="1"/>
  <c r="I28" i="4"/>
  <c r="F28" i="4" s="1"/>
  <c r="G28" i="4" s="1"/>
  <c r="I29" i="4"/>
  <c r="F29" i="4" s="1"/>
  <c r="G29" i="4" s="1"/>
  <c r="I30" i="4"/>
  <c r="F30" i="4" s="1"/>
  <c r="G30" i="4" s="1"/>
  <c r="H30" i="4" s="1"/>
  <c r="I31" i="4"/>
  <c r="F31" i="4" s="1"/>
  <c r="G31" i="4" s="1"/>
  <c r="H31" i="4" s="1"/>
  <c r="I32" i="4"/>
  <c r="F32" i="4" s="1"/>
  <c r="G32" i="4" s="1"/>
  <c r="H32" i="4" s="1"/>
  <c r="I33" i="4"/>
  <c r="F33" i="4" s="1"/>
  <c r="G33" i="4" s="1"/>
  <c r="H33" i="4" s="1"/>
  <c r="I34" i="4"/>
  <c r="F34" i="4" s="1"/>
  <c r="G34" i="4" s="1"/>
  <c r="H34" i="4" s="1"/>
  <c r="I35" i="4"/>
  <c r="F35" i="4" s="1"/>
  <c r="G35" i="4" s="1"/>
  <c r="H35" i="4" s="1"/>
  <c r="I36" i="4"/>
  <c r="F36" i="4" s="1"/>
  <c r="G36" i="4" s="1"/>
  <c r="I37" i="4"/>
  <c r="F37" i="4" s="1"/>
  <c r="G37" i="4" s="1"/>
  <c r="I38" i="4"/>
  <c r="F38" i="4" s="1"/>
  <c r="G38" i="4" s="1"/>
  <c r="J6" i="4"/>
  <c r="J7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5" i="4"/>
  <c r="C15" i="4" s="1"/>
  <c r="D21" i="14"/>
  <c r="D20" i="14"/>
  <c r="D19" i="14"/>
  <c r="D18" i="14"/>
  <c r="D17" i="14"/>
  <c r="D16" i="14"/>
  <c r="D15" i="14"/>
  <c r="D14" i="14"/>
  <c r="D13" i="14"/>
  <c r="D12" i="14"/>
  <c r="H11" i="14"/>
  <c r="G11" i="14"/>
  <c r="D11" i="14"/>
  <c r="D10" i="14"/>
  <c r="D9" i="14"/>
  <c r="D8" i="14"/>
  <c r="D7" i="14"/>
  <c r="D6" i="14"/>
  <c r="D5" i="14"/>
  <c r="D4" i="14"/>
  <c r="C14" i="4"/>
  <c r="C12" i="4"/>
  <c r="H11" i="4"/>
  <c r="H12" i="4"/>
  <c r="H14" i="4"/>
  <c r="H15" i="4"/>
  <c r="H21" i="4"/>
  <c r="H28" i="4"/>
  <c r="H29" i="4"/>
  <c r="H36" i="4"/>
  <c r="H37" i="4"/>
  <c r="H38" i="4"/>
  <c r="G16" i="8"/>
  <c r="F16" i="8"/>
  <c r="E16" i="8"/>
  <c r="D16" i="8"/>
  <c r="G15" i="8"/>
  <c r="F15" i="8"/>
  <c r="E15" i="8"/>
  <c r="D15" i="8"/>
  <c r="G14" i="8"/>
  <c r="F14" i="8"/>
  <c r="E14" i="8"/>
  <c r="D14" i="8"/>
  <c r="D101" i="8"/>
  <c r="D100" i="8"/>
  <c r="D99" i="8"/>
  <c r="D98" i="8"/>
  <c r="D97" i="8"/>
  <c r="D96" i="8"/>
  <c r="D73" i="8"/>
  <c r="D72" i="8"/>
  <c r="D71" i="8"/>
  <c r="D70" i="8"/>
  <c r="D69" i="8"/>
  <c r="D68" i="8"/>
  <c r="D8" i="8"/>
  <c r="D9" i="8"/>
  <c r="D10" i="8"/>
  <c r="D11" i="8"/>
  <c r="D12" i="8"/>
  <c r="D13" i="8"/>
  <c r="D7" i="8"/>
  <c r="R7" i="8" s="1"/>
  <c r="AH7" i="8" s="1"/>
  <c r="D103" i="12"/>
  <c r="AB103" i="12" s="1"/>
  <c r="D102" i="12"/>
  <c r="AB102" i="12" s="1"/>
  <c r="D101" i="12"/>
  <c r="AB101" i="12" s="1"/>
  <c r="D100" i="12"/>
  <c r="AB100" i="12" s="1"/>
  <c r="D99" i="12"/>
  <c r="AB99" i="12" s="1"/>
  <c r="D98" i="12"/>
  <c r="AB98" i="12" s="1"/>
  <c r="D97" i="12"/>
  <c r="AB97" i="12" s="1"/>
  <c r="D96" i="12"/>
  <c r="AB96" i="12" s="1"/>
  <c r="D77" i="12"/>
  <c r="AB77" i="12" s="1"/>
  <c r="D76" i="12"/>
  <c r="AB76" i="12" s="1"/>
  <c r="D75" i="12"/>
  <c r="AB75" i="12" s="1"/>
  <c r="D74" i="12"/>
  <c r="AB74" i="12" s="1"/>
  <c r="D73" i="12"/>
  <c r="AB73" i="12" s="1"/>
  <c r="D72" i="12"/>
  <c r="AB72" i="12" s="1"/>
  <c r="D71" i="12"/>
  <c r="AB71" i="12" s="1"/>
  <c r="D70" i="12"/>
  <c r="AB70" i="12" s="1"/>
  <c r="D42" i="12"/>
  <c r="AB42" i="12" s="1"/>
  <c r="D41" i="12"/>
  <c r="AB41" i="12" s="1"/>
  <c r="D40" i="12"/>
  <c r="AB40" i="12" s="1"/>
  <c r="D39" i="12"/>
  <c r="AB39" i="12" s="1"/>
  <c r="D38" i="12"/>
  <c r="AB38" i="12" s="1"/>
  <c r="D37" i="12"/>
  <c r="AB37" i="12" s="1"/>
  <c r="D35" i="12"/>
  <c r="AB35" i="12" s="1"/>
  <c r="D34" i="12"/>
  <c r="AB34" i="12" s="1"/>
  <c r="D33" i="12"/>
  <c r="AB33" i="12" s="1"/>
  <c r="D32" i="12"/>
  <c r="AB32" i="12" s="1"/>
  <c r="D31" i="12"/>
  <c r="AB31" i="12" s="1"/>
  <c r="D30" i="12"/>
  <c r="AB30" i="12" s="1"/>
  <c r="D29" i="12"/>
  <c r="AB29" i="12" s="1"/>
  <c r="D27" i="12"/>
  <c r="AB27" i="12" s="1"/>
  <c r="D26" i="12"/>
  <c r="AB26" i="12" s="1"/>
  <c r="D25" i="12"/>
  <c r="AB25" i="12" s="1"/>
  <c r="D24" i="12"/>
  <c r="AB24" i="12" s="1"/>
  <c r="D23" i="12"/>
  <c r="AB23" i="12" s="1"/>
  <c r="D22" i="12"/>
  <c r="AB22" i="12" s="1"/>
  <c r="D20" i="12"/>
  <c r="AB20" i="12" s="1"/>
  <c r="D19" i="12"/>
  <c r="AB19" i="12" s="1"/>
  <c r="D18" i="12"/>
  <c r="AB18" i="12" s="1"/>
  <c r="D17" i="12"/>
  <c r="AB17" i="12" s="1"/>
  <c r="D16" i="12"/>
  <c r="AB16" i="12" s="1"/>
  <c r="D9" i="12"/>
  <c r="AB9" i="12" s="1"/>
  <c r="D10" i="12"/>
  <c r="AB10" i="12" s="1"/>
  <c r="D11" i="12"/>
  <c r="AB11" i="12" s="1"/>
  <c r="D12" i="12"/>
  <c r="AB12" i="12" s="1"/>
  <c r="D13" i="12"/>
  <c r="AB13" i="12" s="1"/>
  <c r="D14" i="12"/>
  <c r="AB14" i="12" s="1"/>
  <c r="E8" i="12"/>
  <c r="D8" i="12"/>
  <c r="AB8" i="12" s="1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4" i="7"/>
  <c r="D16" i="2"/>
  <c r="G101" i="8"/>
  <c r="F101" i="8"/>
  <c r="E101" i="8"/>
  <c r="C101" i="8"/>
  <c r="G100" i="8"/>
  <c r="F100" i="8"/>
  <c r="E100" i="8"/>
  <c r="C100" i="8"/>
  <c r="G99" i="8"/>
  <c r="F99" i="8"/>
  <c r="E99" i="8"/>
  <c r="C99" i="8"/>
  <c r="G98" i="8"/>
  <c r="F98" i="8"/>
  <c r="E98" i="8"/>
  <c r="C98" i="8"/>
  <c r="G97" i="8"/>
  <c r="F97" i="8"/>
  <c r="E97" i="8"/>
  <c r="C97" i="8"/>
  <c r="G73" i="8"/>
  <c r="F73" i="8"/>
  <c r="E73" i="8"/>
  <c r="C73" i="8"/>
  <c r="G72" i="8"/>
  <c r="F72" i="8"/>
  <c r="E72" i="8"/>
  <c r="C72" i="8"/>
  <c r="G71" i="8"/>
  <c r="F71" i="8"/>
  <c r="E71" i="8"/>
  <c r="C71" i="8"/>
  <c r="G70" i="8"/>
  <c r="F70" i="8"/>
  <c r="E70" i="8"/>
  <c r="C70" i="8"/>
  <c r="G69" i="8"/>
  <c r="F69" i="8"/>
  <c r="E69" i="8"/>
  <c r="C69" i="8"/>
  <c r="K71" i="12"/>
  <c r="E72" i="12"/>
  <c r="M73" i="12"/>
  <c r="E74" i="12"/>
  <c r="E75" i="12"/>
  <c r="G76" i="12"/>
  <c r="E77" i="12"/>
  <c r="K70" i="12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D6" i="2"/>
  <c r="G8" i="8"/>
  <c r="G68" i="8"/>
  <c r="G96" i="8"/>
  <c r="G7" i="8"/>
  <c r="F8" i="8"/>
  <c r="F68" i="8"/>
  <c r="F96" i="8"/>
  <c r="F7" i="8"/>
  <c r="E8" i="8"/>
  <c r="E68" i="8"/>
  <c r="E96" i="8"/>
  <c r="E7" i="8"/>
  <c r="C68" i="8"/>
  <c r="C96" i="8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F39" i="11" s="1"/>
  <c r="E41" i="11"/>
  <c r="F40" i="11" s="1"/>
  <c r="F41" i="11" s="1"/>
  <c r="E6" i="11"/>
  <c r="I97" i="12"/>
  <c r="I98" i="12"/>
  <c r="E99" i="12"/>
  <c r="E100" i="12"/>
  <c r="I101" i="12"/>
  <c r="K102" i="12"/>
  <c r="G103" i="12"/>
  <c r="E96" i="12"/>
  <c r="L103" i="12"/>
  <c r="J103" i="12"/>
  <c r="H103" i="12"/>
  <c r="F103" i="12"/>
  <c r="L102" i="12"/>
  <c r="J102" i="12"/>
  <c r="H102" i="12"/>
  <c r="F102" i="12"/>
  <c r="L101" i="12"/>
  <c r="J101" i="12"/>
  <c r="H101" i="12"/>
  <c r="F101" i="12"/>
  <c r="L100" i="12"/>
  <c r="J100" i="12"/>
  <c r="H100" i="12"/>
  <c r="F100" i="12"/>
  <c r="L99" i="12"/>
  <c r="J99" i="12"/>
  <c r="H99" i="12"/>
  <c r="F99" i="12"/>
  <c r="L98" i="12"/>
  <c r="J98" i="12"/>
  <c r="H98" i="12"/>
  <c r="F98" i="12"/>
  <c r="L97" i="12"/>
  <c r="J97" i="12"/>
  <c r="H97" i="12"/>
  <c r="F97" i="12"/>
  <c r="V96" i="12"/>
  <c r="V97" i="12" s="1"/>
  <c r="V98" i="12" s="1"/>
  <c r="V99" i="12" s="1"/>
  <c r="V100" i="12" s="1"/>
  <c r="V101" i="12" s="1"/>
  <c r="V102" i="12" s="1"/>
  <c r="V103" i="12" s="1"/>
  <c r="L96" i="12"/>
  <c r="J96" i="12"/>
  <c r="H96" i="12"/>
  <c r="F96" i="12"/>
  <c r="I73" i="12"/>
  <c r="K76" i="12"/>
  <c r="G77" i="12"/>
  <c r="F72" i="12"/>
  <c r="H72" i="12"/>
  <c r="J72" i="12"/>
  <c r="L72" i="12"/>
  <c r="F73" i="12"/>
  <c r="H73" i="12"/>
  <c r="J73" i="12"/>
  <c r="L73" i="12"/>
  <c r="F74" i="12"/>
  <c r="H74" i="12"/>
  <c r="J74" i="12"/>
  <c r="K74" i="12"/>
  <c r="L74" i="12"/>
  <c r="F75" i="12"/>
  <c r="H75" i="12"/>
  <c r="J75" i="12"/>
  <c r="L75" i="12"/>
  <c r="F76" i="12"/>
  <c r="H76" i="12"/>
  <c r="J76" i="12"/>
  <c r="L76" i="12"/>
  <c r="F77" i="12"/>
  <c r="H77" i="12"/>
  <c r="J77" i="12"/>
  <c r="L77" i="12"/>
  <c r="G4" i="12"/>
  <c r="G5" i="12"/>
  <c r="G6" i="12"/>
  <c r="G7" i="12"/>
  <c r="F5" i="12"/>
  <c r="F6" i="12"/>
  <c r="F7" i="12"/>
  <c r="F4" i="12"/>
  <c r="F71" i="12"/>
  <c r="H71" i="12"/>
  <c r="J71" i="12"/>
  <c r="L71" i="12"/>
  <c r="V70" i="12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L70" i="12"/>
  <c r="J70" i="12"/>
  <c r="H70" i="12"/>
  <c r="F70" i="12"/>
  <c r="C27" i="12"/>
  <c r="G27" i="12" s="1"/>
  <c r="F27" i="12"/>
  <c r="H27" i="12"/>
  <c r="J27" i="12"/>
  <c r="L27" i="12"/>
  <c r="L26" i="12"/>
  <c r="J26" i="12"/>
  <c r="H26" i="12"/>
  <c r="F26" i="12"/>
  <c r="C26" i="12"/>
  <c r="K26" i="12" s="1"/>
  <c r="L12" i="12"/>
  <c r="J12" i="12"/>
  <c r="H12" i="12"/>
  <c r="F12" i="12"/>
  <c r="C12" i="12"/>
  <c r="K12" i="12" s="1"/>
  <c r="L11" i="12"/>
  <c r="J11" i="12"/>
  <c r="H11" i="12"/>
  <c r="F11" i="12"/>
  <c r="C11" i="12"/>
  <c r="K11" i="12" s="1"/>
  <c r="S9" i="12"/>
  <c r="T8" i="12"/>
  <c r="U8" i="12" s="1"/>
  <c r="L25" i="12"/>
  <c r="L24" i="12"/>
  <c r="L23" i="12"/>
  <c r="L22" i="12"/>
  <c r="L20" i="12"/>
  <c r="L19" i="12"/>
  <c r="L18" i="12"/>
  <c r="L17" i="12"/>
  <c r="L16" i="12"/>
  <c r="L14" i="12"/>
  <c r="L13" i="12"/>
  <c r="L10" i="12"/>
  <c r="L9" i="12"/>
  <c r="M8" i="12"/>
  <c r="L8" i="12"/>
  <c r="L42" i="12"/>
  <c r="L41" i="12"/>
  <c r="L40" i="12"/>
  <c r="L39" i="12"/>
  <c r="L38" i="12"/>
  <c r="L37" i="12"/>
  <c r="L30" i="12"/>
  <c r="L31" i="12"/>
  <c r="L32" i="12"/>
  <c r="L33" i="12"/>
  <c r="L34" i="12"/>
  <c r="L35" i="12"/>
  <c r="L29" i="12"/>
  <c r="J42" i="12"/>
  <c r="J41" i="12"/>
  <c r="J40" i="12"/>
  <c r="J39" i="12"/>
  <c r="J38" i="12"/>
  <c r="J37" i="12"/>
  <c r="J35" i="12"/>
  <c r="J34" i="12"/>
  <c r="J33" i="12"/>
  <c r="J32" i="12"/>
  <c r="J31" i="12"/>
  <c r="J30" i="12"/>
  <c r="J29" i="12"/>
  <c r="J25" i="12"/>
  <c r="J24" i="12"/>
  <c r="J23" i="12"/>
  <c r="J22" i="12"/>
  <c r="J20" i="12"/>
  <c r="J19" i="12"/>
  <c r="J18" i="12"/>
  <c r="J17" i="12"/>
  <c r="J16" i="12"/>
  <c r="J9" i="12"/>
  <c r="J10" i="12"/>
  <c r="J13" i="12"/>
  <c r="J14" i="12"/>
  <c r="K8" i="12"/>
  <c r="J8" i="12"/>
  <c r="H42" i="12"/>
  <c r="H41" i="12"/>
  <c r="H40" i="12"/>
  <c r="H39" i="12"/>
  <c r="H38" i="12"/>
  <c r="H37" i="12"/>
  <c r="H35" i="12"/>
  <c r="H34" i="12"/>
  <c r="H33" i="12"/>
  <c r="H32" i="12"/>
  <c r="H31" i="12"/>
  <c r="H30" i="12"/>
  <c r="H29" i="12"/>
  <c r="H25" i="12"/>
  <c r="H24" i="12"/>
  <c r="H23" i="12"/>
  <c r="H22" i="12"/>
  <c r="H17" i="12"/>
  <c r="H18" i="12"/>
  <c r="H19" i="12"/>
  <c r="H20" i="12"/>
  <c r="H16" i="12"/>
  <c r="H9" i="12"/>
  <c r="H10" i="12"/>
  <c r="H13" i="12"/>
  <c r="H14" i="12"/>
  <c r="I8" i="12"/>
  <c r="H8" i="12"/>
  <c r="F42" i="12"/>
  <c r="F41" i="12"/>
  <c r="F40" i="12"/>
  <c r="F39" i="12"/>
  <c r="F38" i="12"/>
  <c r="F37" i="12"/>
  <c r="F35" i="12"/>
  <c r="F34" i="12"/>
  <c r="F33" i="12"/>
  <c r="F32" i="12"/>
  <c r="F31" i="12"/>
  <c r="F30" i="12"/>
  <c r="F29" i="12"/>
  <c r="F25" i="12"/>
  <c r="F24" i="12"/>
  <c r="F23" i="12"/>
  <c r="F22" i="12"/>
  <c r="G8" i="12"/>
  <c r="F14" i="12"/>
  <c r="F13" i="12"/>
  <c r="F10" i="12"/>
  <c r="F9" i="12"/>
  <c r="F8" i="12"/>
  <c r="F17" i="12"/>
  <c r="F18" i="12"/>
  <c r="F19" i="12"/>
  <c r="F20" i="12"/>
  <c r="F16" i="12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6" i="11"/>
  <c r="C6" i="11"/>
  <c r="D26" i="2"/>
  <c r="C42" i="12"/>
  <c r="I42" i="12" s="1"/>
  <c r="C41" i="12"/>
  <c r="E41" i="12" s="1"/>
  <c r="C40" i="12"/>
  <c r="E40" i="12" s="1"/>
  <c r="C39" i="12"/>
  <c r="E39" i="12" s="1"/>
  <c r="V38" i="12"/>
  <c r="V39" i="12" s="1"/>
  <c r="V40" i="12" s="1"/>
  <c r="V41" i="12" s="1"/>
  <c r="V42" i="12" s="1"/>
  <c r="C38" i="12"/>
  <c r="M38" i="12" s="1"/>
  <c r="C37" i="12"/>
  <c r="I37" i="12" s="1"/>
  <c r="C35" i="12"/>
  <c r="E35" i="12" s="1"/>
  <c r="C34" i="12"/>
  <c r="E34" i="12" s="1"/>
  <c r="C33" i="12"/>
  <c r="I33" i="12" s="1"/>
  <c r="C32" i="12"/>
  <c r="E32" i="12" s="1"/>
  <c r="C31" i="12"/>
  <c r="E31" i="12" s="1"/>
  <c r="V30" i="12"/>
  <c r="C30" i="12"/>
  <c r="E30" i="12" s="1"/>
  <c r="C29" i="12"/>
  <c r="K29" i="12" s="1"/>
  <c r="C25" i="12"/>
  <c r="M25" i="12" s="1"/>
  <c r="C24" i="12"/>
  <c r="E24" i="12" s="1"/>
  <c r="V23" i="12"/>
  <c r="V24" i="12" s="1"/>
  <c r="V25" i="12" s="1"/>
  <c r="V27" i="12" s="1"/>
  <c r="C23" i="12"/>
  <c r="I23" i="12" s="1"/>
  <c r="C22" i="12"/>
  <c r="I22" i="12" s="1"/>
  <c r="C20" i="12"/>
  <c r="E20" i="12" s="1"/>
  <c r="C19" i="12"/>
  <c r="E19" i="12" s="1"/>
  <c r="C18" i="12"/>
  <c r="E18" i="12" s="1"/>
  <c r="V17" i="12"/>
  <c r="V18" i="12" s="1"/>
  <c r="V19" i="12" s="1"/>
  <c r="V20" i="12" s="1"/>
  <c r="C17" i="12"/>
  <c r="E17" i="12" s="1"/>
  <c r="C16" i="12"/>
  <c r="G16" i="12" s="1"/>
  <c r="C14" i="12"/>
  <c r="E14" i="12" s="1"/>
  <c r="C13" i="12"/>
  <c r="I13" i="12" s="1"/>
  <c r="V10" i="12"/>
  <c r="V11" i="12" s="1"/>
  <c r="V12" i="12" s="1"/>
  <c r="V13" i="12" s="1"/>
  <c r="V14" i="12" s="1"/>
  <c r="C10" i="12"/>
  <c r="E10" i="12" s="1"/>
  <c r="C9" i="12"/>
  <c r="M9" i="12" s="1"/>
  <c r="W48" i="21" l="1"/>
  <c r="X48" i="21" s="1"/>
  <c r="W47" i="21"/>
  <c r="X47" i="21" s="1"/>
  <c r="X32" i="15"/>
  <c r="B34" i="15"/>
  <c r="H33" i="15"/>
  <c r="I33" i="15"/>
  <c r="E33" i="15"/>
  <c r="F33" i="15"/>
  <c r="G33" i="15"/>
  <c r="C33" i="15"/>
  <c r="Q111" i="12"/>
  <c r="Q106" i="12"/>
  <c r="Q109" i="12"/>
  <c r="Q112" i="12"/>
  <c r="Q107" i="12"/>
  <c r="Q110" i="12"/>
  <c r="Q108" i="12"/>
  <c r="Q105" i="12"/>
  <c r="R101" i="12"/>
  <c r="R98" i="12"/>
  <c r="P97" i="12"/>
  <c r="R97" i="12"/>
  <c r="R73" i="12"/>
  <c r="K103" i="12"/>
  <c r="N34" i="12"/>
  <c r="I96" i="12"/>
  <c r="R52" i="12"/>
  <c r="R48" i="12"/>
  <c r="R44" i="12"/>
  <c r="R54" i="12"/>
  <c r="R55" i="12"/>
  <c r="R51" i="12"/>
  <c r="R47" i="12"/>
  <c r="R53" i="12"/>
  <c r="R49" i="12"/>
  <c r="R45" i="12"/>
  <c r="R46" i="12"/>
  <c r="R50" i="12"/>
  <c r="V31" i="12"/>
  <c r="V32" i="12" s="1"/>
  <c r="V33" i="12" s="1"/>
  <c r="V34" i="12" s="1"/>
  <c r="V35" i="12" s="1"/>
  <c r="V44" i="12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E11" i="12"/>
  <c r="E22" i="12"/>
  <c r="E26" i="12"/>
  <c r="E71" i="12"/>
  <c r="E97" i="12"/>
  <c r="E101" i="12"/>
  <c r="P101" i="12" s="1"/>
  <c r="E23" i="12"/>
  <c r="E27" i="12"/>
  <c r="E37" i="12"/>
  <c r="E76" i="12"/>
  <c r="E98" i="12"/>
  <c r="P98" i="12" s="1"/>
  <c r="E102" i="12"/>
  <c r="E13" i="12"/>
  <c r="E9" i="12"/>
  <c r="E29" i="12"/>
  <c r="E33" i="12"/>
  <c r="E38" i="12"/>
  <c r="E42" i="12"/>
  <c r="E73" i="12"/>
  <c r="P73" i="12" s="1"/>
  <c r="E103" i="12"/>
  <c r="E12" i="12"/>
  <c r="E16" i="12"/>
  <c r="E25" i="12"/>
  <c r="E70" i="12"/>
  <c r="T108" i="8"/>
  <c r="T120" i="8"/>
  <c r="T110" i="8"/>
  <c r="T131" i="8"/>
  <c r="T126" i="8"/>
  <c r="T103" i="8"/>
  <c r="T118" i="8"/>
  <c r="T129" i="8"/>
  <c r="T119" i="8"/>
  <c r="T127" i="8"/>
  <c r="T122" i="8"/>
  <c r="T136" i="8"/>
  <c r="T107" i="8"/>
  <c r="T128" i="8"/>
  <c r="T117" i="8"/>
  <c r="T105" i="8"/>
  <c r="T135" i="8"/>
  <c r="T106" i="8"/>
  <c r="T111" i="8"/>
  <c r="T114" i="8"/>
  <c r="T115" i="8"/>
  <c r="T112" i="8"/>
  <c r="T124" i="8"/>
  <c r="T104" i="8"/>
  <c r="T125" i="8"/>
  <c r="T113" i="8"/>
  <c r="T133" i="8"/>
  <c r="T132" i="8"/>
  <c r="T121" i="8"/>
  <c r="T134" i="8"/>
  <c r="M37" i="4"/>
  <c r="N37" i="4" s="1"/>
  <c r="G6" i="4"/>
  <c r="H6" i="4" s="1"/>
  <c r="I98" i="8"/>
  <c r="I127" i="8"/>
  <c r="I126" i="8"/>
  <c r="I125" i="8"/>
  <c r="I124" i="8"/>
  <c r="I122" i="8"/>
  <c r="I121" i="8"/>
  <c r="I120" i="8"/>
  <c r="I119" i="8"/>
  <c r="I107" i="8"/>
  <c r="I106" i="8"/>
  <c r="I135" i="8"/>
  <c r="I133" i="8"/>
  <c r="I132" i="8"/>
  <c r="I113" i="8"/>
  <c r="I112" i="8"/>
  <c r="I111" i="8"/>
  <c r="I128" i="8"/>
  <c r="I110" i="8"/>
  <c r="I108" i="8"/>
  <c r="I118" i="8"/>
  <c r="I105" i="8"/>
  <c r="I104" i="8"/>
  <c r="I117" i="8"/>
  <c r="I103" i="8"/>
  <c r="I115" i="8"/>
  <c r="I136" i="8"/>
  <c r="I114" i="8"/>
  <c r="I134" i="8"/>
  <c r="I131" i="8"/>
  <c r="I129" i="8"/>
  <c r="U69" i="8"/>
  <c r="V69" i="8" s="1"/>
  <c r="U118" i="8"/>
  <c r="V118" i="8" s="1"/>
  <c r="U105" i="8"/>
  <c r="V105" i="8" s="1"/>
  <c r="U104" i="8"/>
  <c r="V104" i="8" s="1"/>
  <c r="U103" i="8"/>
  <c r="V103" i="8" s="1"/>
  <c r="U114" i="8"/>
  <c r="V114" i="8" s="1"/>
  <c r="U133" i="8"/>
  <c r="V133" i="8" s="1"/>
  <c r="U131" i="8"/>
  <c r="V131" i="8" s="1"/>
  <c r="U113" i="8"/>
  <c r="V113" i="8" s="1"/>
  <c r="U129" i="8"/>
  <c r="V129" i="8" s="1"/>
  <c r="U112" i="8"/>
  <c r="V112" i="8" s="1"/>
  <c r="U111" i="8"/>
  <c r="V111" i="8" s="1"/>
  <c r="U128" i="8"/>
  <c r="V128" i="8" s="1"/>
  <c r="U110" i="8"/>
  <c r="V110" i="8" s="1"/>
  <c r="U127" i="8"/>
  <c r="V127" i="8" s="1"/>
  <c r="U126" i="8"/>
  <c r="V126" i="8" s="1"/>
  <c r="U125" i="8"/>
  <c r="V125" i="8" s="1"/>
  <c r="U124" i="8"/>
  <c r="V124" i="8" s="1"/>
  <c r="U122" i="8"/>
  <c r="V122" i="8" s="1"/>
  <c r="U121" i="8"/>
  <c r="V121" i="8" s="1"/>
  <c r="U120" i="8"/>
  <c r="V120" i="8" s="1"/>
  <c r="U119" i="8"/>
  <c r="V119" i="8" s="1"/>
  <c r="U107" i="8"/>
  <c r="V107" i="8" s="1"/>
  <c r="U106" i="8"/>
  <c r="V106" i="8" s="1"/>
  <c r="U117" i="8"/>
  <c r="V117" i="8" s="1"/>
  <c r="U115" i="8"/>
  <c r="V115" i="8" s="1"/>
  <c r="U136" i="8"/>
  <c r="V136" i="8" s="1"/>
  <c r="U135" i="8"/>
  <c r="V135" i="8" s="1"/>
  <c r="U134" i="8"/>
  <c r="V134" i="8" s="1"/>
  <c r="U132" i="8"/>
  <c r="V132" i="8" s="1"/>
  <c r="U108" i="8"/>
  <c r="V108" i="8" s="1"/>
  <c r="M36" i="4"/>
  <c r="G7" i="4"/>
  <c r="H7" i="4" s="1"/>
  <c r="M7" i="4" s="1"/>
  <c r="N7" i="4" s="1"/>
  <c r="C17" i="4"/>
  <c r="C7" i="11"/>
  <c r="M33" i="4"/>
  <c r="N33" i="4" s="1"/>
  <c r="M25" i="4"/>
  <c r="N25" i="4" s="1"/>
  <c r="M17" i="4"/>
  <c r="N17" i="4" s="1"/>
  <c r="M9" i="4"/>
  <c r="N9" i="4" s="1"/>
  <c r="M32" i="4"/>
  <c r="N32" i="4" s="1"/>
  <c r="M24" i="4"/>
  <c r="N24" i="4" s="1"/>
  <c r="M16" i="4"/>
  <c r="N16" i="4" s="1"/>
  <c r="M13" i="4"/>
  <c r="N13" i="4" s="1"/>
  <c r="I15" i="8"/>
  <c r="I14" i="8"/>
  <c r="M30" i="4"/>
  <c r="N30" i="4" s="1"/>
  <c r="M14" i="4"/>
  <c r="N14" i="4" s="1"/>
  <c r="I16" i="8"/>
  <c r="I7" i="8"/>
  <c r="L7" i="8" s="1"/>
  <c r="N36" i="4"/>
  <c r="M28" i="4"/>
  <c r="N28" i="4" s="1"/>
  <c r="M20" i="4"/>
  <c r="N20" i="4" s="1"/>
  <c r="M12" i="4"/>
  <c r="N12" i="4" s="1"/>
  <c r="M35" i="4"/>
  <c r="N35" i="4" s="1"/>
  <c r="M27" i="4"/>
  <c r="N27" i="4" s="1"/>
  <c r="M19" i="4"/>
  <c r="N19" i="4" s="1"/>
  <c r="M11" i="4"/>
  <c r="N11" i="4" s="1"/>
  <c r="M34" i="4"/>
  <c r="N34" i="4" s="1"/>
  <c r="M26" i="4"/>
  <c r="N26" i="4" s="1"/>
  <c r="M18" i="4"/>
  <c r="N18" i="4" s="1"/>
  <c r="M10" i="4"/>
  <c r="N10" i="4" s="1"/>
  <c r="M29" i="4"/>
  <c r="N29" i="4" s="1"/>
  <c r="M21" i="4"/>
  <c r="N21" i="4" s="1"/>
  <c r="M22" i="4"/>
  <c r="N22" i="4" s="1"/>
  <c r="M23" i="4"/>
  <c r="N23" i="4" s="1"/>
  <c r="M6" i="4"/>
  <c r="N6" i="4" s="1"/>
  <c r="M31" i="4"/>
  <c r="N31" i="4" s="1"/>
  <c r="M15" i="4"/>
  <c r="N15" i="4" s="1"/>
  <c r="M38" i="4"/>
  <c r="N38" i="4" s="1"/>
  <c r="C19" i="4"/>
  <c r="C10" i="4" s="1"/>
  <c r="K7" i="4" s="1"/>
  <c r="U97" i="8"/>
  <c r="U10" i="8"/>
  <c r="V10" i="8" s="1"/>
  <c r="U9" i="8"/>
  <c r="V9" i="8" s="1"/>
  <c r="U73" i="8"/>
  <c r="V73" i="8" s="1"/>
  <c r="U71" i="8"/>
  <c r="V71" i="8" s="1"/>
  <c r="U99" i="8"/>
  <c r="U68" i="8"/>
  <c r="V68" i="8" s="1"/>
  <c r="U11" i="8"/>
  <c r="V11" i="8" s="1"/>
  <c r="U100" i="8"/>
  <c r="U70" i="8"/>
  <c r="V70" i="8" s="1"/>
  <c r="U96" i="8"/>
  <c r="X8" i="8"/>
  <c r="U13" i="8"/>
  <c r="V13" i="8" s="1"/>
  <c r="U72" i="8"/>
  <c r="V72" i="8" s="1"/>
  <c r="U98" i="8"/>
  <c r="U101" i="8"/>
  <c r="U14" i="8"/>
  <c r="V14" i="8" s="1"/>
  <c r="U15" i="8"/>
  <c r="V15" i="8" s="1"/>
  <c r="U16" i="8"/>
  <c r="V16" i="8" s="1"/>
  <c r="U12" i="8"/>
  <c r="V12" i="8" s="1"/>
  <c r="T16" i="8"/>
  <c r="T15" i="8"/>
  <c r="T14" i="8"/>
  <c r="T68" i="8"/>
  <c r="I96" i="8"/>
  <c r="I9" i="8"/>
  <c r="I97" i="8"/>
  <c r="I8" i="8"/>
  <c r="I69" i="8"/>
  <c r="I11" i="8"/>
  <c r="I68" i="8"/>
  <c r="I100" i="8"/>
  <c r="I70" i="8"/>
  <c r="I13" i="8"/>
  <c r="I101" i="8"/>
  <c r="I10" i="8"/>
  <c r="I73" i="8"/>
  <c r="I99" i="8"/>
  <c r="I71" i="8"/>
  <c r="I12" i="8"/>
  <c r="I72" i="8"/>
  <c r="T73" i="8"/>
  <c r="T71" i="8"/>
  <c r="M76" i="12"/>
  <c r="G97" i="12"/>
  <c r="N100" i="12"/>
  <c r="T72" i="8"/>
  <c r="T70" i="8"/>
  <c r="T69" i="8"/>
  <c r="N27" i="12"/>
  <c r="G99" i="12"/>
  <c r="N99" i="12"/>
  <c r="N71" i="12"/>
  <c r="N101" i="12"/>
  <c r="R13" i="12"/>
  <c r="N13" i="12"/>
  <c r="N23" i="12"/>
  <c r="N97" i="12"/>
  <c r="I76" i="12"/>
  <c r="I74" i="12"/>
  <c r="G73" i="12"/>
  <c r="N77" i="12"/>
  <c r="I71" i="12"/>
  <c r="G102" i="12"/>
  <c r="T12" i="8"/>
  <c r="T13" i="8"/>
  <c r="T10" i="8"/>
  <c r="T11" i="8"/>
  <c r="T9" i="8"/>
  <c r="T8" i="8"/>
  <c r="C8" i="11"/>
  <c r="C9" i="11" s="1"/>
  <c r="I7" i="11"/>
  <c r="K7" i="11" s="1"/>
  <c r="I6" i="11"/>
  <c r="K6" i="11" s="1"/>
  <c r="N70" i="12"/>
  <c r="N14" i="12"/>
  <c r="N8" i="12"/>
  <c r="M77" i="12"/>
  <c r="O76" i="12"/>
  <c r="Q76" i="12" s="1"/>
  <c r="K77" i="12"/>
  <c r="K73" i="12"/>
  <c r="O73" i="12" s="1"/>
  <c r="N103" i="12"/>
  <c r="N74" i="12"/>
  <c r="K99" i="12"/>
  <c r="I77" i="12"/>
  <c r="I75" i="12"/>
  <c r="K101" i="12"/>
  <c r="K98" i="12"/>
  <c r="G98" i="12"/>
  <c r="I102" i="12"/>
  <c r="N98" i="12"/>
  <c r="M98" i="12"/>
  <c r="N102" i="12"/>
  <c r="M99" i="12"/>
  <c r="M102" i="12"/>
  <c r="O102" i="12" s="1"/>
  <c r="Q102" i="12" s="1"/>
  <c r="M103" i="12"/>
  <c r="N96" i="12"/>
  <c r="K96" i="12"/>
  <c r="K100" i="12"/>
  <c r="K97" i="12"/>
  <c r="M100" i="12"/>
  <c r="G96" i="12"/>
  <c r="M97" i="12"/>
  <c r="I99" i="12"/>
  <c r="G100" i="12"/>
  <c r="M101" i="12"/>
  <c r="I103" i="12"/>
  <c r="M96" i="12"/>
  <c r="I100" i="12"/>
  <c r="G101" i="12"/>
  <c r="K75" i="12"/>
  <c r="M27" i="12"/>
  <c r="G75" i="12"/>
  <c r="N73" i="12"/>
  <c r="N72" i="12"/>
  <c r="G74" i="12"/>
  <c r="N17" i="12"/>
  <c r="K27" i="12"/>
  <c r="M75" i="12"/>
  <c r="N76" i="12"/>
  <c r="N75" i="12"/>
  <c r="K72" i="12"/>
  <c r="M74" i="12"/>
  <c r="O74" i="12" s="1"/>
  <c r="Q74" i="12" s="1"/>
  <c r="I72" i="12"/>
  <c r="G72" i="12"/>
  <c r="M72" i="12"/>
  <c r="N26" i="12"/>
  <c r="G71" i="12"/>
  <c r="M71" i="12"/>
  <c r="O71" i="12" s="1"/>
  <c r="Q71" i="12" s="1"/>
  <c r="M70" i="12"/>
  <c r="O70" i="12" s="1"/>
  <c r="G70" i="12"/>
  <c r="I70" i="12"/>
  <c r="N37" i="12"/>
  <c r="N30" i="12"/>
  <c r="N18" i="12"/>
  <c r="I27" i="12"/>
  <c r="N20" i="12"/>
  <c r="N9" i="12"/>
  <c r="N40" i="12"/>
  <c r="N12" i="12"/>
  <c r="O8" i="12"/>
  <c r="N19" i="12"/>
  <c r="N32" i="12"/>
  <c r="N41" i="12"/>
  <c r="G26" i="12"/>
  <c r="N33" i="12"/>
  <c r="N42" i="12"/>
  <c r="N31" i="12"/>
  <c r="N22" i="12"/>
  <c r="N24" i="12"/>
  <c r="N11" i="12"/>
  <c r="M26" i="12"/>
  <c r="O26" i="12" s="1"/>
  <c r="N29" i="12"/>
  <c r="N38" i="12"/>
  <c r="I11" i="12"/>
  <c r="G12" i="12"/>
  <c r="V26" i="12"/>
  <c r="M11" i="12"/>
  <c r="O11" i="12" s="1"/>
  <c r="N16" i="12"/>
  <c r="N25" i="12"/>
  <c r="N35" i="12"/>
  <c r="I26" i="12"/>
  <c r="M12" i="12"/>
  <c r="O12" i="12" s="1"/>
  <c r="G11" i="12"/>
  <c r="N39" i="12"/>
  <c r="N10" i="12"/>
  <c r="M20" i="12"/>
  <c r="M42" i="12"/>
  <c r="M16" i="12"/>
  <c r="I12" i="12"/>
  <c r="M29" i="12"/>
  <c r="O29" i="12" s="1"/>
  <c r="T9" i="12"/>
  <c r="U9" i="12" s="1"/>
  <c r="K30" i="12"/>
  <c r="M35" i="12"/>
  <c r="M31" i="12"/>
  <c r="M39" i="12"/>
  <c r="M10" i="12"/>
  <c r="M17" i="12"/>
  <c r="M22" i="12"/>
  <c r="M34" i="12"/>
  <c r="M30" i="12"/>
  <c r="M40" i="12"/>
  <c r="M13" i="12"/>
  <c r="M18" i="12"/>
  <c r="M23" i="12"/>
  <c r="M33" i="12"/>
  <c r="M37" i="12"/>
  <c r="M41" i="12"/>
  <c r="M14" i="12"/>
  <c r="M19" i="12"/>
  <c r="M24" i="12"/>
  <c r="M32" i="12"/>
  <c r="K39" i="12"/>
  <c r="K34" i="12"/>
  <c r="K19" i="12"/>
  <c r="I18" i="12"/>
  <c r="K14" i="12"/>
  <c r="K16" i="12"/>
  <c r="K20" i="12"/>
  <c r="K25" i="12"/>
  <c r="O25" i="12" s="1"/>
  <c r="K31" i="12"/>
  <c r="K35" i="12"/>
  <c r="K40" i="12"/>
  <c r="K13" i="12"/>
  <c r="G32" i="12"/>
  <c r="K17" i="12"/>
  <c r="K22" i="12"/>
  <c r="K32" i="12"/>
  <c r="K37" i="12"/>
  <c r="K41" i="12"/>
  <c r="G41" i="12"/>
  <c r="K10" i="12"/>
  <c r="K24" i="12"/>
  <c r="K18" i="12"/>
  <c r="O18" i="12" s="1"/>
  <c r="K23" i="12"/>
  <c r="K33" i="12"/>
  <c r="K38" i="12"/>
  <c r="O38" i="12" s="1"/>
  <c r="K42" i="12"/>
  <c r="G17" i="12"/>
  <c r="K9" i="12"/>
  <c r="O9" i="12" s="1"/>
  <c r="G18" i="12"/>
  <c r="G23" i="12"/>
  <c r="G33" i="12"/>
  <c r="G42" i="12"/>
  <c r="I24" i="12"/>
  <c r="I30" i="12"/>
  <c r="I34" i="12"/>
  <c r="I39" i="12"/>
  <c r="I9" i="12"/>
  <c r="G19" i="12"/>
  <c r="G24" i="12"/>
  <c r="G34" i="12"/>
  <c r="I14" i="12"/>
  <c r="R14" i="12" s="1"/>
  <c r="I17" i="12"/>
  <c r="G14" i="12"/>
  <c r="G20" i="12"/>
  <c r="G25" i="12"/>
  <c r="G35" i="12"/>
  <c r="I16" i="12"/>
  <c r="I25" i="12"/>
  <c r="I31" i="12"/>
  <c r="I35" i="12"/>
  <c r="I40" i="12"/>
  <c r="G13" i="12"/>
  <c r="G37" i="12"/>
  <c r="I20" i="12"/>
  <c r="G22" i="12"/>
  <c r="G10" i="12"/>
  <c r="G29" i="12"/>
  <c r="G38" i="12"/>
  <c r="I32" i="12"/>
  <c r="I41" i="12"/>
  <c r="G9" i="12"/>
  <c r="G30" i="12"/>
  <c r="G39" i="12"/>
  <c r="I10" i="12"/>
  <c r="R10" i="12" s="1"/>
  <c r="I19" i="12"/>
  <c r="G31" i="12"/>
  <c r="G40" i="12"/>
  <c r="I29" i="12"/>
  <c r="I38" i="12"/>
  <c r="C10" i="11"/>
  <c r="I9" i="11"/>
  <c r="K9" i="11" s="1"/>
  <c r="M8" i="4" l="1"/>
  <c r="N8" i="4" s="1"/>
  <c r="X33" i="15"/>
  <c r="B35" i="15"/>
  <c r="H34" i="15"/>
  <c r="I34" i="15"/>
  <c r="F34" i="15"/>
  <c r="C34" i="15"/>
  <c r="E34" i="15"/>
  <c r="G34" i="15"/>
  <c r="P100" i="12"/>
  <c r="R100" i="12"/>
  <c r="R108" i="12"/>
  <c r="R111" i="12"/>
  <c r="R106" i="12"/>
  <c r="P103" i="12"/>
  <c r="R109" i="12"/>
  <c r="R112" i="12"/>
  <c r="R103" i="12"/>
  <c r="R107" i="12"/>
  <c r="R105" i="12"/>
  <c r="R110" i="12"/>
  <c r="P106" i="12"/>
  <c r="P109" i="12"/>
  <c r="P112" i="12"/>
  <c r="P107" i="12"/>
  <c r="P105" i="12"/>
  <c r="P110" i="12"/>
  <c r="P111" i="12"/>
  <c r="P108" i="12"/>
  <c r="R102" i="12"/>
  <c r="P102" i="12"/>
  <c r="R99" i="12"/>
  <c r="P99" i="12"/>
  <c r="O103" i="12"/>
  <c r="Q103" i="12" s="1"/>
  <c r="P96" i="12"/>
  <c r="R96" i="12"/>
  <c r="P77" i="12"/>
  <c r="R77" i="12"/>
  <c r="P70" i="12"/>
  <c r="R70" i="12"/>
  <c r="P72" i="12"/>
  <c r="R72" i="12"/>
  <c r="P74" i="12"/>
  <c r="R74" i="12"/>
  <c r="Q73" i="12"/>
  <c r="P76" i="12"/>
  <c r="R76" i="12"/>
  <c r="Q70" i="12"/>
  <c r="P71" i="12"/>
  <c r="R71" i="12"/>
  <c r="P75" i="12"/>
  <c r="R75" i="12"/>
  <c r="P51" i="12"/>
  <c r="P55" i="12"/>
  <c r="P47" i="12"/>
  <c r="P54" i="12"/>
  <c r="P50" i="12"/>
  <c r="P44" i="12"/>
  <c r="P48" i="12"/>
  <c r="P46" i="12"/>
  <c r="P52" i="12"/>
  <c r="P49" i="12"/>
  <c r="P53" i="12"/>
  <c r="P45" i="12"/>
  <c r="Q51" i="12"/>
  <c r="Q55" i="12"/>
  <c r="Q47" i="12"/>
  <c r="Q50" i="12"/>
  <c r="Q48" i="12"/>
  <c r="Q46" i="12"/>
  <c r="Q54" i="12"/>
  <c r="Q44" i="12"/>
  <c r="Q52" i="12"/>
  <c r="Q49" i="12"/>
  <c r="Q45" i="12"/>
  <c r="Q53" i="12"/>
  <c r="Q12" i="12"/>
  <c r="O101" i="12"/>
  <c r="Q101" i="12" s="1"/>
  <c r="K8" i="4"/>
  <c r="L8" i="4" s="1"/>
  <c r="K33" i="4"/>
  <c r="K36" i="4"/>
  <c r="L36" i="4" s="1"/>
  <c r="R36" i="4" s="1"/>
  <c r="K28" i="4"/>
  <c r="L28" i="4" s="1"/>
  <c r="R28" i="4" s="1"/>
  <c r="K12" i="4"/>
  <c r="L12" i="4" s="1"/>
  <c r="R12" i="4" s="1"/>
  <c r="K20" i="4"/>
  <c r="L20" i="4" s="1"/>
  <c r="R20" i="4" s="1"/>
  <c r="K6" i="4"/>
  <c r="L6" i="4" s="1"/>
  <c r="R6" i="4" s="1"/>
  <c r="K24" i="4"/>
  <c r="L24" i="4" s="1"/>
  <c r="R24" i="4" s="1"/>
  <c r="K35" i="4"/>
  <c r="L35" i="4" s="1"/>
  <c r="R35" i="4" s="1"/>
  <c r="K14" i="4"/>
  <c r="L14" i="4" s="1"/>
  <c r="R14" i="4" s="1"/>
  <c r="K32" i="4"/>
  <c r="L32" i="4" s="1"/>
  <c r="R32" i="4" s="1"/>
  <c r="K9" i="4"/>
  <c r="L9" i="4" s="1"/>
  <c r="R9" i="4" s="1"/>
  <c r="K11" i="4"/>
  <c r="L11" i="4" s="1"/>
  <c r="R11" i="4" s="1"/>
  <c r="K16" i="4"/>
  <c r="L16" i="4" s="1"/>
  <c r="R16" i="4" s="1"/>
  <c r="K22" i="4"/>
  <c r="L22" i="4" s="1"/>
  <c r="R22" i="4" s="1"/>
  <c r="K30" i="4"/>
  <c r="L30" i="4" s="1"/>
  <c r="R30" i="4" s="1"/>
  <c r="L7" i="4"/>
  <c r="R7" i="4" s="1"/>
  <c r="K25" i="4"/>
  <c r="L25" i="4" s="1"/>
  <c r="R25" i="4" s="1"/>
  <c r="K13" i="4"/>
  <c r="L13" i="4" s="1"/>
  <c r="R13" i="4" s="1"/>
  <c r="L33" i="4"/>
  <c r="R33" i="4" s="1"/>
  <c r="K38" i="4"/>
  <c r="L38" i="4" s="1"/>
  <c r="R38" i="4" s="1"/>
  <c r="K19" i="4"/>
  <c r="L19" i="4" s="1"/>
  <c r="R19" i="4" s="1"/>
  <c r="K10" i="4"/>
  <c r="L10" i="4" s="1"/>
  <c r="R10" i="4" s="1"/>
  <c r="K27" i="4"/>
  <c r="L27" i="4" s="1"/>
  <c r="R27" i="4" s="1"/>
  <c r="K29" i="4"/>
  <c r="L29" i="4" s="1"/>
  <c r="R29" i="4" s="1"/>
  <c r="K15" i="4"/>
  <c r="L15" i="4" s="1"/>
  <c r="R15" i="4" s="1"/>
  <c r="K17" i="4"/>
  <c r="L17" i="4" s="1"/>
  <c r="R17" i="4" s="1"/>
  <c r="K21" i="4"/>
  <c r="L21" i="4" s="1"/>
  <c r="R21" i="4" s="1"/>
  <c r="K23" i="4"/>
  <c r="L23" i="4" s="1"/>
  <c r="R23" i="4" s="1"/>
  <c r="K26" i="4"/>
  <c r="L26" i="4" s="1"/>
  <c r="R26" i="4" s="1"/>
  <c r="L5" i="4"/>
  <c r="R5" i="4" s="1"/>
  <c r="K18" i="4"/>
  <c r="L18" i="4" s="1"/>
  <c r="R18" i="4" s="1"/>
  <c r="K37" i="4"/>
  <c r="K31" i="4"/>
  <c r="L31" i="4" s="1"/>
  <c r="R31" i="4" s="1"/>
  <c r="K34" i="4"/>
  <c r="L34" i="4" s="1"/>
  <c r="R34" i="4" s="1"/>
  <c r="P13" i="12"/>
  <c r="Q9" i="12"/>
  <c r="R9" i="12"/>
  <c r="P9" i="12"/>
  <c r="Q11" i="12"/>
  <c r="P14" i="12"/>
  <c r="P12" i="12"/>
  <c r="P10" i="12"/>
  <c r="P11" i="12"/>
  <c r="R11" i="12"/>
  <c r="R12" i="12"/>
  <c r="M7" i="8"/>
  <c r="F8" i="11"/>
  <c r="H8" i="11" s="1"/>
  <c r="J8" i="11" s="1"/>
  <c r="C11" i="11"/>
  <c r="F6" i="11"/>
  <c r="H6" i="11" s="1"/>
  <c r="J6" i="11" s="1"/>
  <c r="F7" i="11"/>
  <c r="H7" i="11" s="1"/>
  <c r="J7" i="11" s="1"/>
  <c r="I8" i="11"/>
  <c r="K8" i="11" s="1"/>
  <c r="O27" i="12"/>
  <c r="Q27" i="12" s="1"/>
  <c r="O77" i="12"/>
  <c r="Q77" i="12" s="1"/>
  <c r="O75" i="12"/>
  <c r="Q75" i="12" s="1"/>
  <c r="O99" i="12"/>
  <c r="Q99" i="12" s="1"/>
  <c r="O72" i="12"/>
  <c r="Q72" i="12" s="1"/>
  <c r="O98" i="12"/>
  <c r="Q98" i="12" s="1"/>
  <c r="O97" i="12"/>
  <c r="Q97" i="12" s="1"/>
  <c r="O100" i="12"/>
  <c r="Q100" i="12" s="1"/>
  <c r="O96" i="12"/>
  <c r="Q96" i="12" s="1"/>
  <c r="P32" i="12"/>
  <c r="R27" i="12"/>
  <c r="O19" i="12"/>
  <c r="Q19" i="12" s="1"/>
  <c r="P38" i="12"/>
  <c r="P31" i="12"/>
  <c r="O33" i="12"/>
  <c r="Q33" i="12" s="1"/>
  <c r="P42" i="12"/>
  <c r="P34" i="12"/>
  <c r="P41" i="12"/>
  <c r="P39" i="12"/>
  <c r="Q38" i="12"/>
  <c r="O10" i="12"/>
  <c r="Q10" i="12" s="1"/>
  <c r="P33" i="12"/>
  <c r="P30" i="12"/>
  <c r="P27" i="12"/>
  <c r="R30" i="12"/>
  <c r="R33" i="12"/>
  <c r="R31" i="12"/>
  <c r="R34" i="12"/>
  <c r="R32" i="12"/>
  <c r="R35" i="12"/>
  <c r="P40" i="12"/>
  <c r="P37" i="12"/>
  <c r="R40" i="12"/>
  <c r="P35" i="12"/>
  <c r="R38" i="12"/>
  <c r="R37" i="12"/>
  <c r="R41" i="12"/>
  <c r="R39" i="12"/>
  <c r="R42" i="12"/>
  <c r="O14" i="12"/>
  <c r="Q14" i="12" s="1"/>
  <c r="P22" i="12"/>
  <c r="P26" i="12"/>
  <c r="O41" i="12"/>
  <c r="Q41" i="12" s="1"/>
  <c r="Q26" i="12"/>
  <c r="Q18" i="12"/>
  <c r="O31" i="12"/>
  <c r="Q31" i="12" s="1"/>
  <c r="P23" i="12"/>
  <c r="O37" i="12"/>
  <c r="Q37" i="12" s="1"/>
  <c r="O42" i="12"/>
  <c r="Q42" i="12" s="1"/>
  <c r="P17" i="12"/>
  <c r="O24" i="12"/>
  <c r="Q24" i="12" s="1"/>
  <c r="Q25" i="12"/>
  <c r="R16" i="12"/>
  <c r="R18" i="12"/>
  <c r="R19" i="12"/>
  <c r="R17" i="12"/>
  <c r="R20" i="12"/>
  <c r="O20" i="12"/>
  <c r="Q20" i="12" s="1"/>
  <c r="Q29" i="12"/>
  <c r="P19" i="12"/>
  <c r="P25" i="12"/>
  <c r="P29" i="12"/>
  <c r="R29" i="12"/>
  <c r="R22" i="12"/>
  <c r="R25" i="12"/>
  <c r="R26" i="12"/>
  <c r="R24" i="12"/>
  <c r="P20" i="12"/>
  <c r="R23" i="12"/>
  <c r="P24" i="12"/>
  <c r="O17" i="12"/>
  <c r="Q17" i="12" s="1"/>
  <c r="O40" i="12"/>
  <c r="Q40" i="12" s="1"/>
  <c r="P18" i="12"/>
  <c r="O39" i="12"/>
  <c r="Q39" i="12" s="1"/>
  <c r="O22" i="12"/>
  <c r="Q22" i="12" s="1"/>
  <c r="O23" i="12"/>
  <c r="Q23" i="12" s="1"/>
  <c r="O35" i="12"/>
  <c r="Q35" i="12" s="1"/>
  <c r="O30" i="12"/>
  <c r="Q30" i="12" s="1"/>
  <c r="O13" i="12"/>
  <c r="Q13" i="12" s="1"/>
  <c r="O32" i="12"/>
  <c r="Q32" i="12" s="1"/>
  <c r="O16" i="12"/>
  <c r="Q16" i="12" s="1"/>
  <c r="O34" i="12"/>
  <c r="Q34" i="12" s="1"/>
  <c r="P16" i="12"/>
  <c r="I10" i="11"/>
  <c r="F9" i="11"/>
  <c r="H9" i="11" s="1"/>
  <c r="J9" i="11" s="1"/>
  <c r="H11" i="7"/>
  <c r="G11" i="7"/>
  <c r="X34" i="15" l="1"/>
  <c r="B36" i="15"/>
  <c r="H35" i="15"/>
  <c r="E35" i="15"/>
  <c r="F35" i="15"/>
  <c r="G35" i="15"/>
  <c r="I35" i="15"/>
  <c r="C35" i="15"/>
  <c r="L37" i="4"/>
  <c r="O10" i="4"/>
  <c r="O32" i="4"/>
  <c r="P32" i="4" s="1"/>
  <c r="S32" i="4" s="1"/>
  <c r="O6" i="4"/>
  <c r="P6" i="4" s="1"/>
  <c r="Q6" i="4" s="1"/>
  <c r="O36" i="4"/>
  <c r="P36" i="4" s="1"/>
  <c r="S36" i="4" s="1"/>
  <c r="O12" i="4"/>
  <c r="P12" i="4" s="1"/>
  <c r="S12" i="4" s="1"/>
  <c r="O16" i="4"/>
  <c r="P16" i="4" s="1"/>
  <c r="S16" i="4" s="1"/>
  <c r="O11" i="4"/>
  <c r="P11" i="4" s="1"/>
  <c r="S11" i="4" s="1"/>
  <c r="O18" i="4"/>
  <c r="P18" i="4" s="1"/>
  <c r="S18" i="4" s="1"/>
  <c r="O35" i="4"/>
  <c r="P35" i="4" s="1"/>
  <c r="S35" i="4" s="1"/>
  <c r="O22" i="4"/>
  <c r="O17" i="4"/>
  <c r="P17" i="4" s="1"/>
  <c r="S17" i="4" s="1"/>
  <c r="O31" i="4"/>
  <c r="P31" i="4" s="1"/>
  <c r="S31" i="4" s="1"/>
  <c r="O37" i="4"/>
  <c r="P37" i="4" s="1"/>
  <c r="O25" i="4"/>
  <c r="P25" i="4" s="1"/>
  <c r="S25" i="4" s="1"/>
  <c r="O28" i="4"/>
  <c r="P28" i="4" s="1"/>
  <c r="S28" i="4" s="1"/>
  <c r="O24" i="4"/>
  <c r="P24" i="4" s="1"/>
  <c r="S24" i="4" s="1"/>
  <c r="O13" i="4"/>
  <c r="O23" i="4"/>
  <c r="P23" i="4" s="1"/>
  <c r="S23" i="4" s="1"/>
  <c r="O30" i="4"/>
  <c r="P30" i="4" s="1"/>
  <c r="S30" i="4" s="1"/>
  <c r="O27" i="4"/>
  <c r="P27" i="4" s="1"/>
  <c r="S27" i="4" s="1"/>
  <c r="O19" i="4"/>
  <c r="P19" i="4" s="1"/>
  <c r="S19" i="4" s="1"/>
  <c r="O20" i="4"/>
  <c r="P20" i="4" s="1"/>
  <c r="S20" i="4" s="1"/>
  <c r="O7" i="4"/>
  <c r="P7" i="4" s="1"/>
  <c r="S7" i="4" s="1"/>
  <c r="O29" i="4"/>
  <c r="P29" i="4" s="1"/>
  <c r="S29" i="4" s="1"/>
  <c r="O21" i="4"/>
  <c r="P21" i="4" s="1"/>
  <c r="S21" i="4" s="1"/>
  <c r="O26" i="4"/>
  <c r="P26" i="4" s="1"/>
  <c r="S26" i="4" s="1"/>
  <c r="O33" i="4"/>
  <c r="P33" i="4" s="1"/>
  <c r="S33" i="4" s="1"/>
  <c r="O34" i="4"/>
  <c r="P34" i="4" s="1"/>
  <c r="S34" i="4" s="1"/>
  <c r="O15" i="4"/>
  <c r="P15" i="4" s="1"/>
  <c r="S15" i="4" s="1"/>
  <c r="O14" i="4"/>
  <c r="P14" i="4" s="1"/>
  <c r="S14" i="4" s="1"/>
  <c r="R8" i="4"/>
  <c r="O8" i="4"/>
  <c r="P8" i="4" s="1"/>
  <c r="O9" i="4"/>
  <c r="P9" i="4" s="1"/>
  <c r="S9" i="4" s="1"/>
  <c r="P22" i="4"/>
  <c r="S22" i="4" s="1"/>
  <c r="P13" i="4"/>
  <c r="S13" i="4" s="1"/>
  <c r="P10" i="4"/>
  <c r="S10" i="4" s="1"/>
  <c r="W9" i="12"/>
  <c r="S10" i="12" s="1"/>
  <c r="P7" i="8"/>
  <c r="Q7" i="8"/>
  <c r="C12" i="11"/>
  <c r="I11" i="11"/>
  <c r="F10" i="11"/>
  <c r="H10" i="11" s="1"/>
  <c r="H36" i="15" l="1"/>
  <c r="I36" i="15"/>
  <c r="B37" i="15"/>
  <c r="E36" i="15"/>
  <c r="F36" i="15"/>
  <c r="C36" i="15"/>
  <c r="G36" i="15"/>
  <c r="X35" i="15"/>
  <c r="O38" i="4"/>
  <c r="P38" i="4" s="1"/>
  <c r="R37" i="4"/>
  <c r="S37" i="4" s="1"/>
  <c r="S6" i="4"/>
  <c r="T6" i="4" s="1"/>
  <c r="T7" i="4" s="1"/>
  <c r="S8" i="4"/>
  <c r="AB7" i="8"/>
  <c r="Q7" i="4"/>
  <c r="C13" i="11"/>
  <c r="I12" i="11"/>
  <c r="T10" i="12"/>
  <c r="U10" i="12" s="1"/>
  <c r="W10" i="12" s="1"/>
  <c r="S11" i="12" s="1"/>
  <c r="X9" i="12"/>
  <c r="F11" i="11"/>
  <c r="H11" i="11" s="1"/>
  <c r="AI7" i="8" l="1"/>
  <c r="X36" i="15"/>
  <c r="B38" i="15"/>
  <c r="B39" i="15" s="1"/>
  <c r="H37" i="15"/>
  <c r="C37" i="15"/>
  <c r="I37" i="15"/>
  <c r="G37" i="15"/>
  <c r="E37" i="15"/>
  <c r="F37" i="15"/>
  <c r="S38" i="4"/>
  <c r="T8" i="4"/>
  <c r="T9" i="4" s="1"/>
  <c r="T10" i="4" s="1"/>
  <c r="T11" i="4" s="1"/>
  <c r="T12" i="4" s="1"/>
  <c r="T13" i="4" s="1"/>
  <c r="T14" i="4" s="1"/>
  <c r="T15" i="4" s="1"/>
  <c r="T16" i="4" s="1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Q8" i="4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C14" i="11"/>
  <c r="I13" i="11"/>
  <c r="AA9" i="12"/>
  <c r="Y9" i="12"/>
  <c r="T11" i="12"/>
  <c r="U11" i="12" s="1"/>
  <c r="W11" i="12" s="1"/>
  <c r="F12" i="11"/>
  <c r="H12" i="11" s="1"/>
  <c r="X10" i="12"/>
  <c r="B40" i="15" l="1"/>
  <c r="F39" i="15"/>
  <c r="E39" i="15"/>
  <c r="G39" i="15"/>
  <c r="H39" i="15"/>
  <c r="I39" i="15"/>
  <c r="C39" i="15"/>
  <c r="X39" i="15" s="1"/>
  <c r="X37" i="15"/>
  <c r="H38" i="15"/>
  <c r="I38" i="15"/>
  <c r="E38" i="15"/>
  <c r="F38" i="15"/>
  <c r="C38" i="15"/>
  <c r="X38" i="15" s="1"/>
  <c r="G38" i="15"/>
  <c r="C15" i="11"/>
  <c r="I14" i="11"/>
  <c r="X11" i="12"/>
  <c r="S12" i="12"/>
  <c r="T12" i="12" s="1"/>
  <c r="U12" i="12" s="1"/>
  <c r="W12" i="12" s="1"/>
  <c r="AA10" i="12"/>
  <c r="Y10" i="12"/>
  <c r="F13" i="11"/>
  <c r="H13" i="11" s="1"/>
  <c r="F14" i="11"/>
  <c r="H14" i="11" s="1"/>
  <c r="F40" i="15" l="1"/>
  <c r="I40" i="15"/>
  <c r="G40" i="15"/>
  <c r="H40" i="15"/>
  <c r="B41" i="15"/>
  <c r="C40" i="15"/>
  <c r="E40" i="15"/>
  <c r="C16" i="11"/>
  <c r="I15" i="11"/>
  <c r="X12" i="12"/>
  <c r="S13" i="12"/>
  <c r="T13" i="12" s="1"/>
  <c r="U13" i="12" s="1"/>
  <c r="W13" i="12" s="1"/>
  <c r="AA11" i="12"/>
  <c r="Y11" i="12"/>
  <c r="X40" i="15" l="1"/>
  <c r="B42" i="15"/>
  <c r="H41" i="15"/>
  <c r="G41" i="15"/>
  <c r="C41" i="15"/>
  <c r="E41" i="15"/>
  <c r="F41" i="15"/>
  <c r="C17" i="11"/>
  <c r="I16" i="11"/>
  <c r="X13" i="12"/>
  <c r="S14" i="12"/>
  <c r="T14" i="12" s="1"/>
  <c r="U14" i="12" s="1"/>
  <c r="W14" i="12" s="1"/>
  <c r="X14" i="12" s="1"/>
  <c r="AA12" i="12"/>
  <c r="Y12" i="12"/>
  <c r="F15" i="11"/>
  <c r="H15" i="11" s="1"/>
  <c r="X41" i="15" l="1"/>
  <c r="B43" i="15"/>
  <c r="G42" i="15"/>
  <c r="H42" i="15"/>
  <c r="I42" i="15"/>
  <c r="F42" i="15"/>
  <c r="C42" i="15"/>
  <c r="E42" i="15"/>
  <c r="H23" i="8"/>
  <c r="H24" i="8"/>
  <c r="H25" i="8"/>
  <c r="H26" i="8"/>
  <c r="H22" i="8"/>
  <c r="H19" i="8"/>
  <c r="H18" i="8"/>
  <c r="H20" i="8"/>
  <c r="H21" i="8"/>
  <c r="C18" i="11"/>
  <c r="I17" i="11"/>
  <c r="AA14" i="12"/>
  <c r="Y14" i="12"/>
  <c r="AA13" i="12"/>
  <c r="Y13" i="12"/>
  <c r="F16" i="11"/>
  <c r="H16" i="11" s="1"/>
  <c r="X42" i="15" l="1"/>
  <c r="B44" i="15"/>
  <c r="F43" i="15"/>
  <c r="G43" i="15"/>
  <c r="H43" i="15"/>
  <c r="I43" i="15"/>
  <c r="E43" i="15"/>
  <c r="C43" i="15"/>
  <c r="C19" i="11"/>
  <c r="S16" i="12"/>
  <c r="I18" i="11"/>
  <c r="X43" i="15" l="1"/>
  <c r="B45" i="15"/>
  <c r="E44" i="15"/>
  <c r="F44" i="15"/>
  <c r="G44" i="15"/>
  <c r="H44" i="15"/>
  <c r="I44" i="15"/>
  <c r="C44" i="15"/>
  <c r="X44" i="15" s="1"/>
  <c r="C20" i="11"/>
  <c r="T16" i="12"/>
  <c r="U16" i="12" s="1"/>
  <c r="W16" i="12" s="1"/>
  <c r="F17" i="11"/>
  <c r="H17" i="11" s="1"/>
  <c r="F18" i="11"/>
  <c r="H18" i="11" s="1"/>
  <c r="B46" i="15" l="1"/>
  <c r="E45" i="15"/>
  <c r="F45" i="15"/>
  <c r="C45" i="15"/>
  <c r="G45" i="15"/>
  <c r="H45" i="15"/>
  <c r="I45" i="15"/>
  <c r="I19" i="11"/>
  <c r="C21" i="11"/>
  <c r="X16" i="12"/>
  <c r="S17" i="12"/>
  <c r="T17" i="12" s="1"/>
  <c r="U17" i="12" s="1"/>
  <c r="W17" i="12" s="1"/>
  <c r="X17" i="12" s="1"/>
  <c r="F19" i="11"/>
  <c r="H19" i="11" s="1"/>
  <c r="X45" i="15" l="1"/>
  <c r="B47" i="15"/>
  <c r="C46" i="15"/>
  <c r="E46" i="15"/>
  <c r="F46" i="15"/>
  <c r="G46" i="15"/>
  <c r="H46" i="15"/>
  <c r="I46" i="15"/>
  <c r="I20" i="11"/>
  <c r="C22" i="11"/>
  <c r="Y16" i="12"/>
  <c r="AA16" i="12"/>
  <c r="AA17" i="12"/>
  <c r="Y17" i="12"/>
  <c r="F20" i="11"/>
  <c r="H20" i="11" s="1"/>
  <c r="S18" i="12"/>
  <c r="T18" i="12" s="1"/>
  <c r="X46" i="15" l="1"/>
  <c r="B48" i="15"/>
  <c r="C47" i="15"/>
  <c r="E47" i="15"/>
  <c r="X47" i="15" s="1"/>
  <c r="F47" i="15"/>
  <c r="G47" i="15"/>
  <c r="H47" i="15"/>
  <c r="I47" i="15"/>
  <c r="I21" i="11"/>
  <c r="C23" i="11"/>
  <c r="F21" i="11"/>
  <c r="H21" i="11" s="1"/>
  <c r="U18" i="12"/>
  <c r="W18" i="12" s="1"/>
  <c r="X18" i="12" s="1"/>
  <c r="B49" i="15" l="1"/>
  <c r="C48" i="15"/>
  <c r="E48" i="15"/>
  <c r="F48" i="15"/>
  <c r="G48" i="15"/>
  <c r="H48" i="15"/>
  <c r="I48" i="15"/>
  <c r="I22" i="11"/>
  <c r="C24" i="11"/>
  <c r="AA18" i="12"/>
  <c r="Y18" i="12"/>
  <c r="F22" i="11"/>
  <c r="H22" i="11" s="1"/>
  <c r="S19" i="12"/>
  <c r="T19" i="12" s="1"/>
  <c r="X48" i="15" l="1"/>
  <c r="B50" i="15"/>
  <c r="I49" i="15"/>
  <c r="C49" i="15"/>
  <c r="E49" i="15"/>
  <c r="F49" i="15"/>
  <c r="G49" i="15"/>
  <c r="H49" i="15"/>
  <c r="I23" i="11"/>
  <c r="C25" i="11"/>
  <c r="F23" i="11"/>
  <c r="H23" i="11" s="1"/>
  <c r="U19" i="12"/>
  <c r="W19" i="12" s="1"/>
  <c r="X19" i="12" s="1"/>
  <c r="X49" i="15" l="1"/>
  <c r="B51" i="15"/>
  <c r="B52" i="15" s="1"/>
  <c r="I50" i="15"/>
  <c r="C50" i="15"/>
  <c r="E50" i="15"/>
  <c r="F50" i="15"/>
  <c r="G50" i="15"/>
  <c r="H50" i="15"/>
  <c r="I24" i="11"/>
  <c r="C26" i="11"/>
  <c r="AA19" i="12"/>
  <c r="Y19" i="12"/>
  <c r="F24" i="11"/>
  <c r="H24" i="11" s="1"/>
  <c r="S20" i="12"/>
  <c r="T20" i="12" s="1"/>
  <c r="C52" i="15" l="1"/>
  <c r="H52" i="15"/>
  <c r="E52" i="15"/>
  <c r="I52" i="15"/>
  <c r="F52" i="15"/>
  <c r="G52" i="15"/>
  <c r="X50" i="15"/>
  <c r="H51" i="15"/>
  <c r="I51" i="15"/>
  <c r="C51" i="15"/>
  <c r="E51" i="15"/>
  <c r="G51" i="15"/>
  <c r="F51" i="15"/>
  <c r="I25" i="11"/>
  <c r="C27" i="11"/>
  <c r="F25" i="11"/>
  <c r="H25" i="11" s="1"/>
  <c r="U20" i="12"/>
  <c r="W20" i="12" s="1"/>
  <c r="X20" i="12" s="1"/>
  <c r="X52" i="15" l="1"/>
  <c r="X51" i="15"/>
  <c r="H33" i="8"/>
  <c r="H34" i="8"/>
  <c r="H35" i="8"/>
  <c r="H36" i="8"/>
  <c r="H29" i="8"/>
  <c r="H28" i="8"/>
  <c r="H30" i="8"/>
  <c r="H31" i="8"/>
  <c r="H32" i="8"/>
  <c r="C28" i="11"/>
  <c r="I26" i="11"/>
  <c r="Y20" i="12"/>
  <c r="AA20" i="12"/>
  <c r="F26" i="11"/>
  <c r="H26" i="11" s="1"/>
  <c r="S22" i="12"/>
  <c r="I27" i="11" l="1"/>
  <c r="C29" i="11"/>
  <c r="T22" i="12"/>
  <c r="U22" i="12" s="1"/>
  <c r="W22" i="12" s="1"/>
  <c r="X22" i="12" s="1"/>
  <c r="F27" i="11"/>
  <c r="H27" i="11" s="1"/>
  <c r="C30" i="11" l="1"/>
  <c r="I28" i="11"/>
  <c r="AA22" i="12"/>
  <c r="Y22" i="12"/>
  <c r="F28" i="11"/>
  <c r="H28" i="11" s="1"/>
  <c r="S23" i="12"/>
  <c r="I29" i="11" l="1"/>
  <c r="C31" i="11"/>
  <c r="T23" i="12"/>
  <c r="U23" i="12" s="1"/>
  <c r="W23" i="12" s="1"/>
  <c r="X23" i="12" s="1"/>
  <c r="F29" i="11"/>
  <c r="H29" i="11" s="1"/>
  <c r="I30" i="11" l="1"/>
  <c r="C32" i="11"/>
  <c r="AA23" i="12"/>
  <c r="Y23" i="12"/>
  <c r="F30" i="11"/>
  <c r="H30" i="11" s="1"/>
  <c r="S24" i="12"/>
  <c r="I31" i="11" l="1"/>
  <c r="C33" i="11"/>
  <c r="T24" i="12"/>
  <c r="U24" i="12" s="1"/>
  <c r="W24" i="12" s="1"/>
  <c r="X24" i="12" s="1"/>
  <c r="F31" i="11"/>
  <c r="H31" i="11" s="1"/>
  <c r="I32" i="11" l="1"/>
  <c r="C34" i="11"/>
  <c r="Y24" i="12"/>
  <c r="S26" i="12"/>
  <c r="F32" i="11"/>
  <c r="H32" i="11" s="1"/>
  <c r="S25" i="12"/>
  <c r="I33" i="11" l="1"/>
  <c r="C35" i="11"/>
  <c r="AA24" i="12"/>
  <c r="T26" i="12"/>
  <c r="U26" i="12" s="1"/>
  <c r="W26" i="12" s="1"/>
  <c r="X26" i="12" s="1"/>
  <c r="T25" i="12"/>
  <c r="U25" i="12" s="1"/>
  <c r="W25" i="12" s="1"/>
  <c r="F33" i="11"/>
  <c r="H33" i="11" s="1"/>
  <c r="I34" i="11" l="1"/>
  <c r="C36" i="11"/>
  <c r="S27" i="12"/>
  <c r="T27" i="12" s="1"/>
  <c r="U27" i="12" s="1"/>
  <c r="W27" i="12" s="1"/>
  <c r="X25" i="12"/>
  <c r="Y25" i="12" s="1"/>
  <c r="AA26" i="12"/>
  <c r="Y26" i="12"/>
  <c r="F34" i="11"/>
  <c r="H34" i="11" s="1"/>
  <c r="AA25" i="12" l="1"/>
  <c r="I35" i="11"/>
  <c r="C37" i="11"/>
  <c r="X27" i="12"/>
  <c r="F35" i="11"/>
  <c r="H35" i="11" s="1"/>
  <c r="H46" i="8" l="1"/>
  <c r="H39" i="8"/>
  <c r="H38" i="8"/>
  <c r="H40" i="8"/>
  <c r="H41" i="8"/>
  <c r="H42" i="8"/>
  <c r="H45" i="8"/>
  <c r="H43" i="8"/>
  <c r="H44" i="8"/>
  <c r="I36" i="11"/>
  <c r="AA27" i="12"/>
  <c r="C38" i="11"/>
  <c r="S29" i="12"/>
  <c r="Y27" i="12"/>
  <c r="F36" i="11"/>
  <c r="H36" i="11" s="1"/>
  <c r="I37" i="11" l="1"/>
  <c r="C39" i="11"/>
  <c r="T29" i="12"/>
  <c r="U29" i="12" s="1"/>
  <c r="W29" i="12" s="1"/>
  <c r="X29" i="12" s="1"/>
  <c r="F37" i="11"/>
  <c r="H37" i="11" s="1"/>
  <c r="I38" i="11" l="1"/>
  <c r="C40" i="11"/>
  <c r="Y29" i="12"/>
  <c r="AA29" i="12"/>
  <c r="F38" i="11"/>
  <c r="H38" i="11" s="1"/>
  <c r="S30" i="12"/>
  <c r="I39" i="11" l="1"/>
  <c r="C41" i="11"/>
  <c r="T30" i="12"/>
  <c r="U30" i="12" s="1"/>
  <c r="H39" i="11"/>
  <c r="I41" i="11" l="1"/>
  <c r="H41" i="11"/>
  <c r="Z8" i="12" s="1"/>
  <c r="I40" i="11"/>
  <c r="W30" i="12"/>
  <c r="X30" i="12" s="1"/>
  <c r="H40" i="11"/>
  <c r="Z9" i="12" l="1"/>
  <c r="Z10" i="12"/>
  <c r="Z11" i="12"/>
  <c r="Z12" i="12"/>
  <c r="Z13" i="12"/>
  <c r="Z14" i="12"/>
  <c r="Z17" i="12"/>
  <c r="Z16" i="12"/>
  <c r="Z18" i="12"/>
  <c r="Z19" i="12"/>
  <c r="Z20" i="12"/>
  <c r="Z22" i="12"/>
  <c r="Z23" i="12"/>
  <c r="Z24" i="12"/>
  <c r="Z26" i="12"/>
  <c r="Z25" i="12"/>
  <c r="Z27" i="12"/>
  <c r="Z29" i="12"/>
  <c r="AD7" i="8"/>
  <c r="AE7" i="8" s="1"/>
  <c r="AF7" i="8" s="1"/>
  <c r="J7" i="8"/>
  <c r="S31" i="12"/>
  <c r="T31" i="12" s="1"/>
  <c r="U31" i="12" s="1"/>
  <c r="W31" i="12" s="1"/>
  <c r="X31" i="12" s="1"/>
  <c r="Y30" i="12"/>
  <c r="Z30" i="12" s="1"/>
  <c r="AA30" i="12"/>
  <c r="AG7" i="8" l="1"/>
  <c r="AJ7" i="8"/>
  <c r="AK7" i="8" s="1"/>
  <c r="J8" i="8"/>
  <c r="K8" i="8" s="1"/>
  <c r="Y31" i="12"/>
  <c r="Z31" i="12" s="1"/>
  <c r="S32" i="12"/>
  <c r="N8" i="8" l="1"/>
  <c r="S8" i="8"/>
  <c r="AA31" i="12"/>
  <c r="T32" i="12"/>
  <c r="U32" i="12" s="1"/>
  <c r="W32" i="12" s="1"/>
  <c r="X32" i="12" s="1"/>
  <c r="M8" i="8" l="1"/>
  <c r="O8" i="8" s="1"/>
  <c r="P8" i="8" s="1"/>
  <c r="Y32" i="12"/>
  <c r="Z32" i="12" s="1"/>
  <c r="S33" i="12"/>
  <c r="Q8" i="8" l="1"/>
  <c r="R8" i="8" s="1"/>
  <c r="AA32" i="12"/>
  <c r="T33" i="12"/>
  <c r="U33" i="12" s="1"/>
  <c r="AH8" i="8" l="1"/>
  <c r="Y8" i="8"/>
  <c r="W33" i="12"/>
  <c r="X33" i="12" s="1"/>
  <c r="J9" i="8" l="1"/>
  <c r="Z8" i="8"/>
  <c r="S34" i="12"/>
  <c r="T34" i="12" s="1"/>
  <c r="U34" i="12" s="1"/>
  <c r="Y33" i="12"/>
  <c r="Z33" i="12" s="1"/>
  <c r="AA33" i="12"/>
  <c r="S9" i="8" l="1"/>
  <c r="K9" i="8"/>
  <c r="L9" i="8" s="1"/>
  <c r="M9" i="8" s="1"/>
  <c r="W34" i="12"/>
  <c r="X34" i="12" s="1"/>
  <c r="O9" i="8" l="1"/>
  <c r="N9" i="8"/>
  <c r="Y34" i="12"/>
  <c r="Z34" i="12" s="1"/>
  <c r="AA34" i="12"/>
  <c r="S35" i="12"/>
  <c r="T35" i="12" s="1"/>
  <c r="U35" i="12" s="1"/>
  <c r="Q9" i="8" l="1"/>
  <c r="P9" i="8"/>
  <c r="W35" i="12"/>
  <c r="X35" i="12" s="1"/>
  <c r="H49" i="8" l="1"/>
  <c r="H48" i="8"/>
  <c r="H50" i="8"/>
  <c r="H51" i="8"/>
  <c r="H52" i="8"/>
  <c r="H53" i="8"/>
  <c r="H54" i="8"/>
  <c r="H56" i="8"/>
  <c r="H55" i="8"/>
  <c r="R9" i="8"/>
  <c r="AA35" i="12"/>
  <c r="S37" i="12"/>
  <c r="Y35" i="12"/>
  <c r="Z35" i="12" s="1"/>
  <c r="AH9" i="8" l="1"/>
  <c r="W9" i="8"/>
  <c r="X9" i="8" s="1"/>
  <c r="Y9" i="8" s="1"/>
  <c r="T37" i="12"/>
  <c r="U37" i="12" s="1"/>
  <c r="W37" i="12" s="1"/>
  <c r="X37" i="12" s="1"/>
  <c r="J10" i="8" l="1"/>
  <c r="K10" i="8" s="1"/>
  <c r="Z9" i="8"/>
  <c r="S38" i="12"/>
  <c r="S10" i="8" l="1"/>
  <c r="L10" i="8"/>
  <c r="M10" i="8" s="1"/>
  <c r="T38" i="12"/>
  <c r="U38" i="12" s="1"/>
  <c r="W38" i="12" s="1"/>
  <c r="X38" i="12" s="1"/>
  <c r="AA37" i="12"/>
  <c r="Y37" i="12"/>
  <c r="Z37" i="12" s="1"/>
  <c r="O10" i="8" l="1"/>
  <c r="N10" i="8"/>
  <c r="AA38" i="12"/>
  <c r="S39" i="12"/>
  <c r="T39" i="12" s="1"/>
  <c r="U39" i="12" s="1"/>
  <c r="W39" i="12" s="1"/>
  <c r="X39" i="12" s="1"/>
  <c r="Q10" i="8" l="1"/>
  <c r="P10" i="8"/>
  <c r="Y38" i="12"/>
  <c r="Z38" i="12" s="1"/>
  <c r="Y39" i="12"/>
  <c r="Z39" i="12" s="1"/>
  <c r="AA39" i="12"/>
  <c r="S40" i="12"/>
  <c r="R10" i="8" l="1"/>
  <c r="T40" i="12"/>
  <c r="U40" i="12" s="1"/>
  <c r="W40" i="12" s="1"/>
  <c r="X40" i="12" s="1"/>
  <c r="AH10" i="8" l="1"/>
  <c r="W10" i="8"/>
  <c r="X10" i="8" s="1"/>
  <c r="Y10" i="8" s="1"/>
  <c r="AA40" i="12"/>
  <c r="Y40" i="12"/>
  <c r="Z40" i="12" s="1"/>
  <c r="S41" i="12"/>
  <c r="J11" i="8" l="1"/>
  <c r="Z10" i="8"/>
  <c r="T41" i="12"/>
  <c r="U41" i="12" s="1"/>
  <c r="W41" i="12" s="1"/>
  <c r="X41" i="12" s="1"/>
  <c r="K11" i="8" l="1"/>
  <c r="L11" i="8" s="1"/>
  <c r="S11" i="8"/>
  <c r="Y41" i="12"/>
  <c r="Z41" i="12" s="1"/>
  <c r="AA41" i="12"/>
  <c r="S42" i="12"/>
  <c r="M11" i="8" l="1"/>
  <c r="O11" i="8" s="1"/>
  <c r="N11" i="8"/>
  <c r="T42" i="12"/>
  <c r="U42" i="12" s="1"/>
  <c r="W42" i="12" s="1"/>
  <c r="X42" i="12" s="1"/>
  <c r="S44" i="12" s="1"/>
  <c r="T44" i="12" l="1"/>
  <c r="U44" i="12" s="1"/>
  <c r="W44" i="12" s="1"/>
  <c r="X44" i="12" s="1"/>
  <c r="H58" i="8"/>
  <c r="H59" i="8"/>
  <c r="H60" i="8"/>
  <c r="H61" i="8"/>
  <c r="H62" i="8"/>
  <c r="H63" i="8"/>
  <c r="H64" i="8"/>
  <c r="H65" i="8"/>
  <c r="H66" i="8"/>
  <c r="Q11" i="8"/>
  <c r="P11" i="8"/>
  <c r="Y42" i="12"/>
  <c r="Z42" i="12" s="1"/>
  <c r="AA42" i="12"/>
  <c r="S45" i="12" l="1"/>
  <c r="R11" i="8"/>
  <c r="AH11" i="8" l="1"/>
  <c r="W11" i="8"/>
  <c r="X11" i="8" s="1"/>
  <c r="Y11" i="8" s="1"/>
  <c r="J12" i="8" l="1"/>
  <c r="Z11" i="8"/>
  <c r="K12" i="8" l="1"/>
  <c r="L12" i="8" s="1"/>
  <c r="S12" i="8"/>
  <c r="M12" i="8" l="1"/>
  <c r="O12" i="8" s="1"/>
  <c r="N12" i="8"/>
  <c r="P12" i="8" l="1"/>
  <c r="Q12" i="8"/>
  <c r="R12" i="8" l="1"/>
  <c r="AH12" i="8" s="1"/>
  <c r="W12" i="8" l="1"/>
  <c r="X12" i="8" s="1"/>
  <c r="Z12" i="8" s="1"/>
  <c r="J13" i="8" l="1"/>
  <c r="S13" i="8" s="1"/>
  <c r="L13" i="8" l="1"/>
  <c r="M13" i="8" s="1"/>
  <c r="O13" i="8" s="1"/>
  <c r="N13" i="8" l="1"/>
  <c r="Q13" i="8"/>
  <c r="P13" i="8"/>
  <c r="R13" i="8" l="1"/>
  <c r="AH13" i="8" l="1"/>
  <c r="W13" i="8"/>
  <c r="X13" i="8" s="1"/>
  <c r="Y13" i="8" s="1"/>
  <c r="J14" i="8" s="1"/>
  <c r="Z13" i="8" l="1"/>
  <c r="S14" i="8"/>
  <c r="K14" i="8"/>
  <c r="L14" i="8" s="1"/>
  <c r="M14" i="8" l="1"/>
  <c r="O14" i="8" s="1"/>
  <c r="N14" i="8"/>
  <c r="Q14" i="8" l="1"/>
  <c r="P14" i="8"/>
  <c r="R14" i="8" l="1"/>
  <c r="AH14" i="8" l="1"/>
  <c r="W14" i="8"/>
  <c r="X14" i="8" s="1"/>
  <c r="Y14" i="8" s="1"/>
  <c r="J15" i="8" l="1"/>
  <c r="Z14" i="8"/>
  <c r="K15" i="8" l="1"/>
  <c r="L15" i="8" s="1"/>
  <c r="S15" i="8"/>
  <c r="N15" i="8" l="1"/>
  <c r="M15" i="8"/>
  <c r="O15" i="8" s="1"/>
  <c r="Q15" i="8" l="1"/>
  <c r="P15" i="8"/>
  <c r="R15" i="8" l="1"/>
  <c r="AH15" i="8" s="1"/>
  <c r="W15" i="8" l="1"/>
  <c r="X15" i="8" s="1"/>
  <c r="Y15" i="8" s="1"/>
  <c r="Z15" i="8" s="1"/>
  <c r="J16" i="8" l="1"/>
  <c r="S16" i="8" s="1"/>
  <c r="K16" i="8" l="1"/>
  <c r="L16" i="8" l="1"/>
  <c r="N16" i="8" s="1"/>
  <c r="M16" i="8" l="1"/>
  <c r="O16" i="8"/>
  <c r="Q16" i="8" s="1"/>
  <c r="AA16" i="8" s="1"/>
  <c r="AB16" i="8" s="1"/>
  <c r="P16" i="8" l="1"/>
  <c r="R16" i="8" s="1"/>
  <c r="W16" i="8" s="1"/>
  <c r="X16" i="8" s="1"/>
  <c r="AH16" i="8" l="1"/>
  <c r="AI16" i="8" s="1"/>
  <c r="J18" i="8"/>
  <c r="Z16" i="8"/>
  <c r="AC16" i="8" s="1"/>
  <c r="L18" i="8" l="1"/>
  <c r="M18" i="8" s="1"/>
  <c r="S18" i="8"/>
  <c r="AD16" i="8"/>
  <c r="AE16" i="8" s="1"/>
  <c r="AF16" i="8" s="1"/>
  <c r="AG16" i="8" l="1"/>
  <c r="AJ16" i="8"/>
  <c r="AK16" i="8" s="1"/>
  <c r="O18" i="8"/>
  <c r="N18" i="8"/>
  <c r="P18" i="8" l="1"/>
  <c r="Q18" i="8"/>
  <c r="R18" i="8" l="1"/>
  <c r="W18" i="8" s="1"/>
  <c r="AH18" i="8"/>
  <c r="X18" i="8"/>
  <c r="Y18" i="8" s="1"/>
  <c r="J19" i="8" s="1"/>
  <c r="S19" i="8" s="1"/>
  <c r="Z18" i="8" l="1"/>
  <c r="N19" i="8" l="1"/>
  <c r="M19" i="8"/>
  <c r="O19" i="8" s="1"/>
  <c r="Q19" i="8" l="1"/>
  <c r="P19" i="8"/>
  <c r="R19" i="8" s="1"/>
  <c r="W19" i="8" s="1"/>
  <c r="AH19" i="8" l="1"/>
  <c r="X19" i="8"/>
  <c r="Z19" i="8" s="1"/>
  <c r="J20" i="8" l="1"/>
  <c r="S20" i="8" s="1"/>
  <c r="K20" i="8" l="1"/>
  <c r="L20" i="8" s="1"/>
  <c r="M20" i="8" s="1"/>
  <c r="O20" i="8" s="1"/>
  <c r="P20" i="8" l="1"/>
  <c r="Q20" i="8"/>
  <c r="N20" i="8"/>
  <c r="R20" i="8" l="1"/>
  <c r="W20" i="8"/>
  <c r="AH20" i="8" l="1"/>
  <c r="X20" i="8" l="1"/>
  <c r="J21" i="8" l="1"/>
  <c r="Z20" i="8"/>
  <c r="S21" i="8" l="1"/>
  <c r="K21" i="8"/>
  <c r="L21" i="8" s="1"/>
  <c r="M21" i="8" l="1"/>
  <c r="O21" i="8" s="1"/>
  <c r="N21" i="8"/>
  <c r="Q21" i="8" l="1"/>
  <c r="P21" i="8"/>
  <c r="R21" i="8" l="1"/>
  <c r="W21" i="8" s="1"/>
  <c r="X21" i="8" s="1"/>
  <c r="Y21" i="8" s="1"/>
  <c r="Z21" i="8" s="1"/>
  <c r="AH21" i="8" l="1"/>
  <c r="J22" i="8"/>
  <c r="S22" i="8" s="1"/>
  <c r="K22" i="8" l="1"/>
  <c r="L22" i="8" s="1"/>
  <c r="N22" i="8" s="1"/>
  <c r="M22" i="8" l="1"/>
  <c r="O22" i="8" s="1"/>
  <c r="P22" i="8" s="1"/>
  <c r="Q22" i="8" l="1"/>
  <c r="R22" i="8" s="1"/>
  <c r="W22" i="8" s="1"/>
  <c r="X22" i="8" s="1"/>
  <c r="Y22" i="8" s="1"/>
  <c r="AH22" i="8" l="1"/>
  <c r="J23" i="8"/>
  <c r="S23" i="8" s="1"/>
  <c r="Z22" i="8"/>
  <c r="K23" i="8" l="1"/>
  <c r="L23" i="8" s="1"/>
  <c r="M23" i="8" l="1"/>
  <c r="O23" i="8" s="1"/>
  <c r="N23" i="8"/>
  <c r="Q23" i="8" l="1"/>
  <c r="P23" i="8"/>
  <c r="R23" i="8" l="1"/>
  <c r="AH23" i="8" l="1"/>
  <c r="W23" i="8"/>
  <c r="X23" i="8" s="1"/>
  <c r="Z23" i="8" s="1"/>
  <c r="J24" i="8" l="1"/>
  <c r="K24" i="8" l="1"/>
  <c r="L24" i="8" s="1"/>
  <c r="N24" i="8" s="1"/>
  <c r="S24" i="8"/>
  <c r="M24" i="8" l="1"/>
  <c r="O24" i="8" s="1"/>
  <c r="P24" i="8" s="1"/>
  <c r="Q24" i="8" l="1"/>
  <c r="R24" i="8" l="1"/>
  <c r="W24" i="8" s="1"/>
  <c r="X24" i="8" s="1"/>
  <c r="AH24" i="8" l="1"/>
  <c r="Z24" i="8"/>
  <c r="J25" i="8"/>
  <c r="S25" i="8" s="1"/>
  <c r="K25" i="8" l="1"/>
  <c r="L25" i="8" s="1"/>
  <c r="N25" i="8" l="1"/>
  <c r="M25" i="8"/>
  <c r="O25" i="8" s="1"/>
  <c r="Q25" i="8" l="1"/>
  <c r="P25" i="8"/>
  <c r="R25" i="8" l="1"/>
  <c r="W25" i="8" l="1"/>
  <c r="X25" i="8" s="1"/>
  <c r="Y25" i="8" s="1"/>
  <c r="AH25" i="8"/>
  <c r="Z25" i="8" l="1"/>
  <c r="J26" i="8"/>
  <c r="S26" i="8" s="1"/>
  <c r="K26" i="8" l="1"/>
  <c r="L26" i="8" s="1"/>
  <c r="M26" i="8" s="1"/>
  <c r="O26" i="8" s="1"/>
  <c r="N26" i="8" l="1"/>
  <c r="Q26" i="8"/>
  <c r="AA26" i="8" s="1"/>
  <c r="AB26" i="8" s="1"/>
  <c r="P26" i="8"/>
  <c r="R26" i="8" l="1"/>
  <c r="AH26" i="8" l="1"/>
  <c r="AI26" i="8" s="1"/>
  <c r="W26" i="8"/>
  <c r="X26" i="8" s="1"/>
  <c r="Y26" i="8" l="1"/>
  <c r="Z26" i="8" s="1"/>
  <c r="AC26" i="8" s="1"/>
  <c r="J28" i="8" l="1"/>
  <c r="AD26" i="8"/>
  <c r="S28" i="8" l="1"/>
  <c r="L28" i="8"/>
  <c r="N28" i="8" s="1"/>
  <c r="K28" i="8"/>
  <c r="AE26" i="8"/>
  <c r="AF26" i="8" s="1"/>
  <c r="M28" i="8" l="1"/>
  <c r="O28" i="8" s="1"/>
  <c r="P28" i="8" s="1"/>
  <c r="AG26" i="8"/>
  <c r="AJ26" i="8"/>
  <c r="AK26" i="8" s="1"/>
  <c r="Q28" i="8" l="1"/>
  <c r="R28" i="8" s="1"/>
  <c r="W28" i="8" s="1"/>
  <c r="X28" i="8" s="1"/>
  <c r="AH28" i="8" l="1"/>
  <c r="Z28" i="8"/>
  <c r="J29" i="8"/>
  <c r="S29" i="8" s="1"/>
  <c r="K29" i="8" l="1"/>
  <c r="L29" i="8" s="1"/>
  <c r="N29" i="8" l="1"/>
  <c r="M29" i="8"/>
  <c r="O29" i="8" s="1"/>
  <c r="P29" i="8" l="1"/>
  <c r="Q29" i="8"/>
  <c r="R29" i="8" l="1"/>
  <c r="W29" i="8" s="1"/>
  <c r="AH29" i="8" l="1"/>
  <c r="X29" i="8"/>
  <c r="J30" i="8" l="1"/>
  <c r="Z29" i="8"/>
  <c r="S30" i="8" l="1"/>
  <c r="K30" i="8"/>
  <c r="L30" i="8" s="1"/>
  <c r="N30" i="8" l="1"/>
  <c r="M30" i="8"/>
  <c r="O30" i="8" s="1"/>
  <c r="Q30" i="8" l="1"/>
  <c r="P30" i="8"/>
  <c r="R30" i="8" l="1"/>
  <c r="W30" i="8" s="1"/>
  <c r="AH30" i="8" l="1"/>
  <c r="X30" i="8"/>
  <c r="Y30" i="8" s="1"/>
  <c r="J31" i="8" l="1"/>
  <c r="S31" i="8" s="1"/>
  <c r="Z30" i="8"/>
  <c r="K31" i="8" l="1"/>
  <c r="L31" i="8" s="1"/>
  <c r="N31" i="8" l="1"/>
  <c r="M31" i="8"/>
  <c r="O31" i="8" s="1"/>
  <c r="P31" i="8" l="1"/>
  <c r="Q31" i="8"/>
  <c r="R31" i="8" l="1"/>
  <c r="W31" i="8" s="1"/>
  <c r="AH31" i="8" l="1"/>
  <c r="X31" i="8"/>
  <c r="Y31" i="8" s="1"/>
  <c r="Z31" i="8" l="1"/>
  <c r="J32" i="8"/>
  <c r="S32" i="8" s="1"/>
  <c r="K32" i="8" l="1"/>
  <c r="L32" i="8" s="1"/>
  <c r="M32" i="8" l="1"/>
  <c r="O32" i="8" s="1"/>
  <c r="N32" i="8"/>
  <c r="Q32" i="8" l="1"/>
  <c r="P32" i="8"/>
  <c r="R32" i="8" l="1"/>
  <c r="AH32" i="8" l="1"/>
  <c r="W32" i="8"/>
  <c r="X32" i="8" s="1"/>
  <c r="Y32" i="8" l="1"/>
  <c r="J33" i="8" s="1"/>
  <c r="Z32" i="8"/>
  <c r="S33" i="8" l="1"/>
  <c r="K33" i="8"/>
  <c r="L33" i="8" s="1"/>
  <c r="M33" i="8"/>
  <c r="O33" i="8" s="1"/>
  <c r="N33" i="8"/>
  <c r="P33" i="8" l="1"/>
  <c r="Q33" i="8"/>
  <c r="R33" i="8" l="1"/>
  <c r="W33" i="8" s="1"/>
  <c r="AH33" i="8" l="1"/>
  <c r="X33" i="8"/>
  <c r="Y33" i="8" s="1"/>
  <c r="Z33" i="8" l="1"/>
  <c r="J34" i="8"/>
  <c r="S34" i="8" s="1"/>
  <c r="K34" i="8" l="1"/>
  <c r="L34" i="8" s="1"/>
  <c r="N34" i="8" l="1"/>
  <c r="M34" i="8"/>
  <c r="O34" i="8" s="1"/>
  <c r="P34" i="8" l="1"/>
  <c r="Q34" i="8"/>
  <c r="R34" i="8" l="1"/>
  <c r="AH34" i="8" l="1"/>
  <c r="W34" i="8"/>
  <c r="X34" i="8" s="1"/>
  <c r="Y34" i="8" l="1"/>
  <c r="J35" i="8" s="1"/>
  <c r="Z34" i="8"/>
  <c r="S35" i="8" l="1"/>
  <c r="K35" i="8"/>
  <c r="L35" i="8" s="1"/>
  <c r="N35" i="8"/>
  <c r="M35" i="8"/>
  <c r="O35" i="8" s="1"/>
  <c r="Q35" i="8" l="1"/>
  <c r="P35" i="8"/>
  <c r="R35" i="8" l="1"/>
  <c r="W35" i="8" l="1"/>
  <c r="X35" i="8" s="1"/>
  <c r="Y35" i="8" s="1"/>
  <c r="AH35" i="8"/>
  <c r="J36" i="8" l="1"/>
  <c r="S36" i="8" s="1"/>
  <c r="Z35" i="8"/>
  <c r="K36" i="8"/>
  <c r="L36" i="8" s="1"/>
  <c r="M36" i="8" l="1"/>
  <c r="O36" i="8" s="1"/>
  <c r="N36" i="8"/>
  <c r="Q36" i="8" l="1"/>
  <c r="P36" i="8"/>
  <c r="R36" i="8" l="1"/>
  <c r="W36" i="8" s="1"/>
  <c r="X36" i="8" s="1"/>
  <c r="Y36" i="8" s="1"/>
  <c r="AA36" i="8"/>
  <c r="AB36" i="8" s="1"/>
  <c r="AH36" i="8" l="1"/>
  <c r="AI36" i="8" s="1"/>
  <c r="Z36" i="8"/>
  <c r="AC36" i="8" s="1"/>
  <c r="J38" i="8"/>
  <c r="S38" i="8" s="1"/>
  <c r="AD36" i="8" l="1"/>
  <c r="AE36" i="8" s="1"/>
  <c r="AF36" i="8" s="1"/>
  <c r="K38" i="8"/>
  <c r="L38" i="8" s="1"/>
  <c r="AG36" i="8" l="1"/>
  <c r="AJ36" i="8"/>
  <c r="AK36" i="8" s="1"/>
  <c r="M38" i="8"/>
  <c r="O38" i="8" s="1"/>
  <c r="N38" i="8"/>
  <c r="Q38" i="8" l="1"/>
  <c r="P38" i="8"/>
  <c r="R38" i="8" l="1"/>
  <c r="AH38" i="8" s="1"/>
  <c r="W38" i="8" l="1"/>
  <c r="X38" i="8" s="1"/>
  <c r="J39" i="8" s="1"/>
  <c r="S39" i="8" s="1"/>
  <c r="Z38" i="8" l="1"/>
  <c r="K39" i="8"/>
  <c r="L39" i="8" s="1"/>
  <c r="M39" i="8" l="1"/>
  <c r="O39" i="8" s="1"/>
  <c r="N39" i="8"/>
  <c r="Q39" i="8" l="1"/>
  <c r="P39" i="8"/>
  <c r="R39" i="8" l="1"/>
  <c r="W39" i="8" s="1"/>
  <c r="X39" i="8" s="1"/>
  <c r="AH39" i="8" l="1"/>
  <c r="J40" i="8"/>
  <c r="S40" i="8" s="1"/>
  <c r="Z39" i="8"/>
  <c r="K40" i="8" l="1"/>
  <c r="L40" i="8" s="1"/>
  <c r="N40" i="8" l="1"/>
  <c r="M40" i="8"/>
  <c r="O40" i="8" s="1"/>
  <c r="P40" i="8" l="1"/>
  <c r="Q40" i="8"/>
  <c r="R40" i="8" l="1"/>
  <c r="AH40" i="8" l="1"/>
  <c r="W40" i="8"/>
  <c r="X40" i="8" s="1"/>
  <c r="Y40" i="8" s="1"/>
  <c r="J41" i="8" l="1"/>
  <c r="S41" i="8" s="1"/>
  <c r="Z40" i="8"/>
  <c r="K41" i="8" l="1"/>
  <c r="L41" i="8" s="1"/>
  <c r="N41" i="8" l="1"/>
  <c r="M41" i="8"/>
  <c r="O41" i="8" s="1"/>
  <c r="P41" i="8" l="1"/>
  <c r="Q41" i="8"/>
  <c r="R41" i="8" l="1"/>
  <c r="W41" i="8" l="1"/>
  <c r="X41" i="8" s="1"/>
  <c r="Y41" i="8" s="1"/>
  <c r="AH41" i="8"/>
  <c r="J42" i="8" l="1"/>
  <c r="S42" i="8" s="1"/>
  <c r="Z41" i="8"/>
  <c r="K42" i="8" l="1"/>
  <c r="L42" i="8" s="1"/>
  <c r="M42" i="8" l="1"/>
  <c r="O42" i="8" s="1"/>
  <c r="N42" i="8"/>
  <c r="Q42" i="8" l="1"/>
  <c r="P42" i="8"/>
  <c r="R42" i="8" l="1"/>
  <c r="AH42" i="8" s="1"/>
  <c r="W42" i="8" l="1"/>
  <c r="X42" i="8" s="1"/>
  <c r="Y42" i="8" l="1"/>
  <c r="Z42" i="8" s="1"/>
  <c r="J43" i="8"/>
  <c r="S43" i="8" s="1"/>
  <c r="K43" i="8" l="1"/>
  <c r="L43" i="8" s="1"/>
  <c r="N43" i="8" s="1"/>
  <c r="M43" i="8" l="1"/>
  <c r="O43" i="8" s="1"/>
  <c r="P43" i="8" s="1"/>
  <c r="Q43" i="8" l="1"/>
  <c r="R43" i="8" s="1"/>
  <c r="AH43" i="8" l="1"/>
  <c r="W43" i="8"/>
  <c r="X43" i="8" s="1"/>
  <c r="Y43" i="8" s="1"/>
  <c r="Z43" i="8" l="1"/>
  <c r="J44" i="8"/>
  <c r="S44" i="8" s="1"/>
  <c r="K44" i="8" l="1"/>
  <c r="L44" i="8" s="1"/>
  <c r="M44" i="8" l="1"/>
  <c r="O44" i="8" s="1"/>
  <c r="N44" i="8"/>
  <c r="Q44" i="8" l="1"/>
  <c r="P44" i="8"/>
  <c r="R44" i="8" l="1"/>
  <c r="AH44" i="8" s="1"/>
  <c r="W44" i="8" l="1"/>
  <c r="X44" i="8" s="1"/>
  <c r="Y44" i="8" l="1"/>
  <c r="Z44" i="8" s="1"/>
  <c r="J45" i="8"/>
  <c r="S45" i="8" s="1"/>
  <c r="K45" i="8" l="1"/>
  <c r="L45" i="8" s="1"/>
  <c r="N45" i="8" s="1"/>
  <c r="M45" i="8" l="1"/>
  <c r="O45" i="8" s="1"/>
  <c r="Q45" i="8" s="1"/>
  <c r="P45" i="8" l="1"/>
  <c r="R45" i="8" s="1"/>
  <c r="W45" i="8" s="1"/>
  <c r="X45" i="8" s="1"/>
  <c r="Y45" i="8" s="1"/>
  <c r="AH45" i="8" l="1"/>
  <c r="J46" i="8"/>
  <c r="S46" i="8" s="1"/>
  <c r="Z45" i="8"/>
  <c r="K46" i="8" l="1"/>
  <c r="L46" i="8" s="1"/>
  <c r="M46" i="8" l="1"/>
  <c r="O46" i="8" s="1"/>
  <c r="N46" i="8"/>
  <c r="Q46" i="8" l="1"/>
  <c r="P46" i="8"/>
  <c r="AA46" i="8" l="1"/>
  <c r="AB46" i="8" s="1"/>
  <c r="R46" i="8"/>
  <c r="W46" i="8" s="1"/>
  <c r="X46" i="8" s="1"/>
  <c r="Y46" i="8" s="1"/>
  <c r="AH46" i="8" l="1"/>
  <c r="AI46" i="8" s="1"/>
  <c r="Z46" i="8"/>
  <c r="AC46" i="8" s="1"/>
  <c r="J48" i="8"/>
  <c r="S48" i="8" s="1"/>
  <c r="AD46" i="8" l="1"/>
  <c r="AE46" i="8" s="1"/>
  <c r="AF46" i="8" s="1"/>
  <c r="K48" i="8"/>
  <c r="L48" i="8" s="1"/>
  <c r="AG46" i="8" l="1"/>
  <c r="AJ46" i="8"/>
  <c r="AK46" i="8" s="1"/>
  <c r="M48" i="8"/>
  <c r="O48" i="8" s="1"/>
  <c r="N48" i="8"/>
  <c r="Q48" i="8" l="1"/>
  <c r="P48" i="8"/>
  <c r="R48" i="8" l="1"/>
  <c r="AH48" i="8" l="1"/>
  <c r="W48" i="8"/>
  <c r="X48" i="8" s="1"/>
  <c r="J49" i="8" s="1"/>
  <c r="S49" i="8" s="1"/>
  <c r="Z48" i="8" l="1"/>
  <c r="K49" i="8"/>
  <c r="L49" i="8" s="1"/>
  <c r="N49" i="8" l="1"/>
  <c r="M49" i="8"/>
  <c r="O49" i="8" s="1"/>
  <c r="Q49" i="8" l="1"/>
  <c r="P49" i="8"/>
  <c r="R49" i="8" l="1"/>
  <c r="AH49" i="8" l="1"/>
  <c r="W49" i="8"/>
  <c r="X49" i="8" s="1"/>
  <c r="J50" i="8" s="1"/>
  <c r="S50" i="8" s="1"/>
  <c r="Z49" i="8" l="1"/>
  <c r="K50" i="8"/>
  <c r="L50" i="8" s="1"/>
  <c r="N50" i="8" l="1"/>
  <c r="M50" i="8"/>
  <c r="O50" i="8" s="1"/>
  <c r="Q50" i="8" l="1"/>
  <c r="P50" i="8"/>
  <c r="R50" i="8" l="1"/>
  <c r="AH50" i="8" l="1"/>
  <c r="W50" i="8"/>
  <c r="X50" i="8" s="1"/>
  <c r="Y50" i="8" l="1"/>
  <c r="J51" i="8" s="1"/>
  <c r="S51" i="8" l="1"/>
  <c r="K51" i="8"/>
  <c r="L51" i="8" s="1"/>
  <c r="N51" i="8" s="1"/>
  <c r="Z50" i="8"/>
  <c r="M51" i="8" l="1"/>
  <c r="O51" i="8" s="1"/>
  <c r="P51" i="8" s="1"/>
  <c r="Q51" i="8"/>
  <c r="R51" i="8" l="1"/>
  <c r="AH51" i="8" l="1"/>
  <c r="W51" i="8"/>
  <c r="X51" i="8" s="1"/>
  <c r="Y51" i="8" l="1"/>
  <c r="Z51" i="8" s="1"/>
  <c r="J52" i="8"/>
  <c r="S52" i="8" s="1"/>
  <c r="K52" i="8" l="1"/>
  <c r="L52" i="8" s="1"/>
  <c r="N52" i="8" s="1"/>
  <c r="M52" i="8" l="1"/>
  <c r="O52" i="8" s="1"/>
  <c r="Q52" i="8" s="1"/>
  <c r="P52" i="8" l="1"/>
  <c r="R52" i="8" s="1"/>
  <c r="AH52" i="8" l="1"/>
  <c r="W52" i="8"/>
  <c r="X52" i="8" s="1"/>
  <c r="Y52" i="8" l="1"/>
  <c r="Z52" i="8" s="1"/>
  <c r="J53" i="8"/>
  <c r="S53" i="8" s="1"/>
  <c r="K53" i="8" l="1"/>
  <c r="L53" i="8" s="1"/>
  <c r="N53" i="8" s="1"/>
  <c r="M53" i="8" l="1"/>
  <c r="O53" i="8" s="1"/>
  <c r="P53" i="8" s="1"/>
  <c r="Q53" i="8" l="1"/>
  <c r="R53" i="8" s="1"/>
  <c r="W53" i="8" s="1"/>
  <c r="AH53" i="8" l="1"/>
  <c r="X53" i="8"/>
  <c r="Y53" i="8" s="1"/>
  <c r="J54" i="8" l="1"/>
  <c r="S54" i="8" s="1"/>
  <c r="Z53" i="8"/>
  <c r="K54" i="8" l="1"/>
  <c r="L54" i="8" s="1"/>
  <c r="N54" i="8" l="1"/>
  <c r="M54" i="8"/>
  <c r="O54" i="8" s="1"/>
  <c r="P54" i="8" l="1"/>
  <c r="Q54" i="8"/>
  <c r="R54" i="8" l="1"/>
  <c r="W54" i="8" s="1"/>
  <c r="AH54" i="8" l="1"/>
  <c r="X54" i="8"/>
  <c r="Y54" i="8" s="1"/>
  <c r="J55" i="8" l="1"/>
  <c r="S55" i="8" s="1"/>
  <c r="Z54" i="8"/>
  <c r="K55" i="8" l="1"/>
  <c r="L55" i="8" s="1"/>
  <c r="N55" i="8" l="1"/>
  <c r="M55" i="8"/>
  <c r="O55" i="8" s="1"/>
  <c r="Q55" i="8" l="1"/>
  <c r="P55" i="8"/>
  <c r="R55" i="8" l="1"/>
  <c r="AH55" i="8" l="1"/>
  <c r="W55" i="8"/>
  <c r="X55" i="8" s="1"/>
  <c r="Y55" i="8" l="1"/>
  <c r="Z55" i="8" s="1"/>
  <c r="J56" i="8"/>
  <c r="S56" i="8" s="1"/>
  <c r="K56" i="8" l="1"/>
  <c r="L56" i="8" s="1"/>
  <c r="M56" i="8" s="1"/>
  <c r="O56" i="8" s="1"/>
  <c r="N56" i="8" l="1"/>
  <c r="Q56" i="8"/>
  <c r="P56" i="8"/>
  <c r="AA56" i="8" l="1"/>
  <c r="AB56" i="8" s="1"/>
  <c r="R56" i="8"/>
  <c r="AH56" i="8" l="1"/>
  <c r="AI56" i="8" s="1"/>
  <c r="W56" i="8"/>
  <c r="X56" i="8" s="1"/>
  <c r="Y56" i="8" s="1"/>
  <c r="Z56" i="8" l="1"/>
  <c r="AC56" i="8" s="1"/>
  <c r="AD56" i="8" l="1"/>
  <c r="AE56" i="8" s="1"/>
  <c r="AF56" i="8" s="1"/>
  <c r="J58" i="8"/>
  <c r="S58" i="8" s="1"/>
  <c r="AG56" i="8" l="1"/>
  <c r="AJ56" i="8"/>
  <c r="AK56" i="8" s="1"/>
  <c r="K58" i="8"/>
  <c r="L58" i="8" s="1"/>
  <c r="N58" i="8" s="1"/>
  <c r="M58" i="8" l="1"/>
  <c r="O58" i="8" s="1"/>
  <c r="P58" i="8" s="1"/>
  <c r="Q58" i="8" l="1"/>
  <c r="R58" i="8" s="1"/>
  <c r="W58" i="8" l="1"/>
  <c r="X58" i="8" s="1"/>
  <c r="AH58" i="8"/>
  <c r="Z58" i="8" l="1"/>
  <c r="J59" i="8"/>
  <c r="S59" i="8" s="1"/>
  <c r="K59" i="8" l="1"/>
  <c r="L59" i="8" s="1"/>
  <c r="N59" i="8" s="1"/>
  <c r="M59" i="8" l="1"/>
  <c r="O59" i="8" s="1"/>
  <c r="P59" i="8" s="1"/>
  <c r="Q59" i="8" l="1"/>
  <c r="R59" i="8" s="1"/>
  <c r="W59" i="8" s="1"/>
  <c r="AH59" i="8" l="1"/>
  <c r="X59" i="8"/>
  <c r="Z59" i="8" l="1"/>
  <c r="J60" i="8"/>
  <c r="S60" i="8" s="1"/>
  <c r="K60" i="8" l="1"/>
  <c r="L60" i="8" s="1"/>
  <c r="N60" i="8" l="1"/>
  <c r="M60" i="8"/>
  <c r="O60" i="8" s="1"/>
  <c r="P60" i="8" l="1"/>
  <c r="Q60" i="8"/>
  <c r="R60" i="8" l="1"/>
  <c r="W60" i="8" s="1"/>
  <c r="X60" i="8" l="1"/>
  <c r="Y60" i="8" s="1"/>
  <c r="AH60" i="8"/>
  <c r="Z60" i="8" l="1"/>
  <c r="J61" i="8"/>
  <c r="S61" i="8" s="1"/>
  <c r="K61" i="8" l="1"/>
  <c r="L61" i="8" s="1"/>
  <c r="M61" i="8" l="1"/>
  <c r="O61" i="8" s="1"/>
  <c r="N61" i="8"/>
  <c r="P61" i="8" l="1"/>
  <c r="Q61" i="8"/>
  <c r="R61" i="8" l="1"/>
  <c r="W61" i="8" s="1"/>
  <c r="X61" i="8" l="1"/>
  <c r="Y61" i="8" s="1"/>
  <c r="AH61" i="8"/>
  <c r="Z61" i="8" l="1"/>
  <c r="J62" i="8"/>
  <c r="S62" i="8" s="1"/>
  <c r="K62" i="8" l="1"/>
  <c r="L62" i="8" s="1"/>
  <c r="M62" i="8" l="1"/>
  <c r="O62" i="8" s="1"/>
  <c r="N62" i="8"/>
  <c r="P62" i="8" l="1"/>
  <c r="Q62" i="8"/>
  <c r="R62" i="8" l="1"/>
  <c r="W62" i="8" s="1"/>
  <c r="AH62" i="8" l="1"/>
  <c r="X62" i="8"/>
  <c r="Y62" i="8" s="1"/>
  <c r="Z62" i="8" l="1"/>
  <c r="J63" i="8"/>
  <c r="S63" i="8" s="1"/>
  <c r="K63" i="8" l="1"/>
  <c r="L63" i="8" s="1"/>
  <c r="M63" i="8" l="1"/>
  <c r="O63" i="8" s="1"/>
  <c r="N63" i="8"/>
  <c r="P63" i="8" l="1"/>
  <c r="Q63" i="8"/>
  <c r="R63" i="8" l="1"/>
  <c r="W63" i="8" s="1"/>
  <c r="AH63" i="8" l="1"/>
  <c r="X63" i="8"/>
  <c r="Y63" i="8" s="1"/>
  <c r="J64" i="8" l="1"/>
  <c r="S64" i="8" s="1"/>
  <c r="Z63" i="8"/>
  <c r="K64" i="8" l="1"/>
  <c r="L64" i="8" s="1"/>
  <c r="M64" i="8" l="1"/>
  <c r="O64" i="8" s="1"/>
  <c r="N64" i="8"/>
  <c r="Q64" i="8" l="1"/>
  <c r="P64" i="8"/>
  <c r="R64" i="8" l="1"/>
  <c r="AH64" i="8" l="1"/>
  <c r="W64" i="8"/>
  <c r="X64" i="8" s="1"/>
  <c r="Y64" i="8" l="1"/>
  <c r="Z64" i="8" s="1"/>
  <c r="J65" i="8"/>
  <c r="K65" i="8" l="1"/>
  <c r="L65" i="8" s="1"/>
  <c r="M65" i="8" s="1"/>
  <c r="O65" i="8" s="1"/>
  <c r="S65" i="8"/>
  <c r="N65" i="8" l="1"/>
  <c r="Q65" i="8"/>
  <c r="P65" i="8"/>
  <c r="R65" i="8" l="1"/>
  <c r="W65" i="8" l="1"/>
  <c r="X65" i="8" s="1"/>
  <c r="Y65" i="8" s="1"/>
  <c r="AH65" i="8"/>
  <c r="Z65" i="8" l="1"/>
  <c r="J66" i="8"/>
  <c r="S66" i="8" s="1"/>
  <c r="K66" i="8" l="1"/>
  <c r="L66" i="8" s="1"/>
  <c r="M66" i="8" s="1"/>
  <c r="N66" i="8" l="1"/>
  <c r="O66" i="8"/>
  <c r="P66" i="8" s="1"/>
  <c r="R38" i="25"/>
  <c r="Q66" i="8" l="1"/>
  <c r="R66" i="8" l="1"/>
  <c r="W66" i="8" s="1"/>
  <c r="X66" i="8" s="1"/>
  <c r="AA66" i="8"/>
  <c r="Y66" i="8" l="1"/>
  <c r="Z66" i="8" s="1"/>
  <c r="AC66" i="8" s="1"/>
  <c r="AH66" i="8"/>
  <c r="W38" i="25"/>
  <c r="AB66" i="8"/>
  <c r="V38" i="25" s="1"/>
  <c r="J68" i="8"/>
  <c r="AI66" i="8" l="1"/>
  <c r="U38" i="25" s="1"/>
  <c r="Q38" i="25"/>
  <c r="AD66" i="8"/>
  <c r="AE66" i="8" s="1"/>
  <c r="K68" i="8"/>
  <c r="L68" i="8" s="1"/>
  <c r="S68" i="8"/>
  <c r="AF66" i="8" l="1"/>
  <c r="M68" i="8"/>
  <c r="O68" i="8" s="1"/>
  <c r="AG66" i="8" l="1"/>
  <c r="T38" i="25" s="1"/>
  <c r="AJ66" i="8"/>
  <c r="Q68" i="8"/>
  <c r="P68" i="8"/>
  <c r="AK66" i="8" l="1"/>
  <c r="R68" i="8"/>
  <c r="W68" i="8" s="1"/>
  <c r="X68" i="8" s="1"/>
  <c r="S38" i="25" l="1"/>
  <c r="AH68" i="8"/>
  <c r="Z68" i="8"/>
  <c r="J69" i="8"/>
  <c r="S69" i="8" l="1"/>
  <c r="K69" i="8"/>
  <c r="L69" i="8" s="1"/>
  <c r="M69" i="8" l="1"/>
  <c r="O69" i="8" s="1"/>
  <c r="Q69" i="8" l="1"/>
  <c r="P69" i="8"/>
  <c r="R69" i="8" l="1"/>
  <c r="AH69" i="8" s="1"/>
  <c r="W69" i="8" l="1"/>
  <c r="X69" i="8" s="1"/>
  <c r="Y69" i="8" s="1"/>
  <c r="J70" i="8" s="1"/>
  <c r="Z69" i="8" l="1"/>
  <c r="K70" i="8"/>
  <c r="L70" i="8" s="1"/>
  <c r="S70" i="8"/>
  <c r="M70" i="8" l="1"/>
  <c r="O70" i="8" s="1"/>
  <c r="Q70" i="8" l="1"/>
  <c r="P70" i="8"/>
  <c r="R70" i="8" l="1"/>
  <c r="W70" i="8" s="1"/>
  <c r="X70" i="8" s="1"/>
  <c r="Y70" i="8" s="1"/>
  <c r="AH70" i="8" l="1"/>
  <c r="J71" i="8"/>
  <c r="Z70" i="8"/>
  <c r="S71" i="8" l="1"/>
  <c r="K71" i="8"/>
  <c r="L71" i="8" s="1"/>
  <c r="M71" i="8" l="1"/>
  <c r="O71" i="8" s="1"/>
  <c r="Q71" i="8" l="1"/>
  <c r="P71" i="8"/>
  <c r="R71" i="8" l="1"/>
  <c r="W71" i="8" s="1"/>
  <c r="X71" i="8" s="1"/>
  <c r="Y71" i="8" s="1"/>
  <c r="AH71" i="8" l="1"/>
  <c r="Z71" i="8"/>
  <c r="J72" i="8"/>
  <c r="K72" i="8" l="1"/>
  <c r="L72" i="8" s="1"/>
  <c r="S72" i="8"/>
  <c r="M72" i="8" l="1"/>
  <c r="O72" i="8" s="1"/>
  <c r="Q72" i="8" l="1"/>
  <c r="P72" i="8"/>
  <c r="R72" i="8" l="1"/>
  <c r="AH72" i="8" s="1"/>
  <c r="W72" i="8" l="1"/>
  <c r="X72" i="8" s="1"/>
  <c r="Y72" i="8" s="1"/>
  <c r="J73" i="8" s="1"/>
  <c r="Z72" i="8" l="1"/>
  <c r="K73" i="8"/>
  <c r="L73" i="8" s="1"/>
  <c r="S73" i="8"/>
  <c r="M73" i="8" l="1"/>
  <c r="O73" i="8" s="1"/>
  <c r="P73" i="8" l="1"/>
  <c r="Q73" i="8"/>
  <c r="AA73" i="8" l="1"/>
  <c r="AB73" i="8" s="1"/>
  <c r="R73" i="8"/>
  <c r="AH73" i="8" l="1"/>
  <c r="AI73" i="8" s="1"/>
  <c r="W73" i="8"/>
  <c r="X73" i="8" s="1"/>
  <c r="Y73" i="8" s="1"/>
  <c r="Z73" i="8" l="1"/>
  <c r="J75" i="8"/>
  <c r="S75" i="8" s="1"/>
  <c r="J96" i="8"/>
  <c r="S96" i="8" s="1"/>
  <c r="AC73" i="8" l="1"/>
  <c r="AD73" i="8" s="1"/>
  <c r="AE73" i="8" s="1"/>
  <c r="AF73" i="8" s="1"/>
  <c r="K96" i="8"/>
  <c r="L96" i="8" s="1"/>
  <c r="K75" i="8"/>
  <c r="L75" i="8" s="1"/>
  <c r="AG73" i="8" l="1"/>
  <c r="AJ73" i="8"/>
  <c r="AK73" i="8" s="1"/>
  <c r="M75" i="8"/>
  <c r="O75" i="8" s="1"/>
  <c r="M96" i="8"/>
  <c r="O96" i="8" s="1"/>
  <c r="P96" i="8" l="1"/>
  <c r="Q96" i="8"/>
  <c r="Q75" i="8"/>
  <c r="P75" i="8"/>
  <c r="R75" i="8" l="1"/>
  <c r="W75" i="8" s="1"/>
  <c r="R96" i="8"/>
  <c r="AH96" i="8" l="1"/>
  <c r="AH75" i="8"/>
  <c r="X75" i="8"/>
  <c r="Z75" i="8" l="1"/>
  <c r="J76" i="8"/>
  <c r="S76" i="8" s="1"/>
  <c r="K76" i="8" l="1"/>
  <c r="L76" i="8" s="1"/>
  <c r="M76" i="8" l="1"/>
  <c r="O76" i="8" s="1"/>
  <c r="Q76" i="8" l="1"/>
  <c r="P76" i="8"/>
  <c r="R76" i="8" l="1"/>
  <c r="W76" i="8" l="1"/>
  <c r="X76" i="8" s="1"/>
  <c r="AH76" i="8"/>
  <c r="J77" i="8" l="1"/>
  <c r="S77" i="8" s="1"/>
  <c r="Z76" i="8"/>
  <c r="K77" i="8" l="1"/>
  <c r="L77" i="8" s="1"/>
  <c r="M77" i="8" s="1"/>
  <c r="O77" i="8" s="1"/>
  <c r="P77" i="8" l="1"/>
  <c r="Q77" i="8"/>
  <c r="R77" i="8" l="1"/>
  <c r="W77" i="8" s="1"/>
  <c r="AH77" i="8" l="1"/>
  <c r="X77" i="8"/>
  <c r="Y77" i="8" s="1"/>
  <c r="J78" i="8" l="1"/>
  <c r="S78" i="8" s="1"/>
  <c r="Z77" i="8"/>
  <c r="K78" i="8" l="1"/>
  <c r="L78" i="8" s="1"/>
  <c r="M78" i="8" l="1"/>
  <c r="O78" i="8" s="1"/>
  <c r="Q78" i="8" l="1"/>
  <c r="P78" i="8"/>
  <c r="R78" i="8" l="1"/>
  <c r="AH78" i="8" l="1"/>
  <c r="W78" i="8"/>
  <c r="X78" i="8" s="1"/>
  <c r="Y78" i="8" l="1"/>
  <c r="J79" i="8" s="1"/>
  <c r="Z78" i="8"/>
  <c r="S79" i="8" l="1"/>
  <c r="K79" i="8"/>
  <c r="L79" i="8" s="1"/>
  <c r="M79" i="8" s="1"/>
  <c r="O79" i="8" s="1"/>
  <c r="Q79" i="8" l="1"/>
  <c r="P79" i="8"/>
  <c r="R79" i="8" l="1"/>
  <c r="AH79" i="8" l="1"/>
  <c r="W79" i="8"/>
  <c r="X79" i="8" s="1"/>
  <c r="Y79" i="8" l="1"/>
  <c r="J80" i="8" s="1"/>
  <c r="S80" i="8" l="1"/>
  <c r="K80" i="8"/>
  <c r="L80" i="8" s="1"/>
  <c r="M80" i="8" s="1"/>
  <c r="O80" i="8" s="1"/>
  <c r="Z79" i="8"/>
  <c r="P80" i="8" l="1"/>
  <c r="Q80" i="8"/>
  <c r="AA80" i="8" s="1"/>
  <c r="AB80" i="8" s="1"/>
  <c r="R80" i="8" l="1"/>
  <c r="W80" i="8" s="1"/>
  <c r="AH80" i="8" l="1"/>
  <c r="AI80" i="8" s="1"/>
  <c r="X80" i="8"/>
  <c r="Y80" i="8" s="1"/>
  <c r="Z80" i="8" l="1"/>
  <c r="J82" i="8"/>
  <c r="S82" i="8" s="1"/>
  <c r="AC80" i="8" l="1"/>
  <c r="AD80" i="8" s="1"/>
  <c r="AE80" i="8" s="1"/>
  <c r="AF80" i="8" s="1"/>
  <c r="K82" i="8"/>
  <c r="L82" i="8" s="1"/>
  <c r="AG80" i="8" l="1"/>
  <c r="AJ80" i="8"/>
  <c r="AK80" i="8" s="1"/>
  <c r="M82" i="8"/>
  <c r="O82" i="8" s="1"/>
  <c r="Q82" i="8" l="1"/>
  <c r="P82" i="8"/>
  <c r="R82" i="8" l="1"/>
  <c r="AH82" i="8" l="1"/>
  <c r="W82" i="8"/>
  <c r="X82" i="8" s="1"/>
  <c r="Z82" i="8" s="1"/>
  <c r="J83" i="8" l="1"/>
  <c r="S83" i="8" s="1"/>
  <c r="K83" i="8" l="1"/>
  <c r="L83" i="8" s="1"/>
  <c r="M83" i="8" s="1"/>
  <c r="O83" i="8" s="1"/>
  <c r="Q83" i="8" l="1"/>
  <c r="P83" i="8"/>
  <c r="R83" i="8" l="1"/>
  <c r="W83" i="8" s="1"/>
  <c r="AH83" i="8" l="1"/>
  <c r="X83" i="8"/>
  <c r="J84" i="8" l="1"/>
  <c r="S84" i="8" s="1"/>
  <c r="Z83" i="8"/>
  <c r="K84" i="8" l="1"/>
  <c r="L84" i="8" s="1"/>
  <c r="M84" i="8" l="1"/>
  <c r="O84" i="8" s="1"/>
  <c r="P84" i="8" l="1"/>
  <c r="Q84" i="8"/>
  <c r="R84" i="8" l="1"/>
  <c r="W84" i="8" s="1"/>
  <c r="AH84" i="8" l="1"/>
  <c r="X84" i="8"/>
  <c r="Y84" i="8" s="1"/>
  <c r="Z84" i="8" l="1"/>
  <c r="J85" i="8"/>
  <c r="S85" i="8" s="1"/>
  <c r="K85" i="8" l="1"/>
  <c r="L85" i="8" s="1"/>
  <c r="M85" i="8" l="1"/>
  <c r="O85" i="8" s="1"/>
  <c r="Q85" i="8" l="1"/>
  <c r="P85" i="8"/>
  <c r="R85" i="8" l="1"/>
  <c r="AH85" i="8" l="1"/>
  <c r="W85" i="8"/>
  <c r="X85" i="8" s="1"/>
  <c r="Y85" i="8" l="1"/>
  <c r="J86" i="8" s="1"/>
  <c r="Z85" i="8"/>
  <c r="S86" i="8" l="1"/>
  <c r="K86" i="8"/>
  <c r="L86" i="8" s="1"/>
  <c r="M86" i="8" s="1"/>
  <c r="O86" i="8" s="1"/>
  <c r="P86" i="8" l="1"/>
  <c r="Q86" i="8"/>
  <c r="R86" i="8" l="1"/>
  <c r="W86" i="8" s="1"/>
  <c r="AH86" i="8" l="1"/>
  <c r="X86" i="8"/>
  <c r="Y86" i="8" s="1"/>
  <c r="J87" i="8" l="1"/>
  <c r="S87" i="8" s="1"/>
  <c r="Z86" i="8"/>
  <c r="K87" i="8" l="1"/>
  <c r="L87" i="8" s="1"/>
  <c r="M87" i="8" l="1"/>
  <c r="O87" i="8" s="1"/>
  <c r="Q87" i="8" l="1"/>
  <c r="AA87" i="8" s="1"/>
  <c r="AB87" i="8" s="1"/>
  <c r="P87" i="8"/>
  <c r="R87" i="8" l="1"/>
  <c r="W87" i="8" s="1"/>
  <c r="AH87" i="8" l="1"/>
  <c r="AI87" i="8" s="1"/>
  <c r="X87" i="8"/>
  <c r="Y87" i="8" l="1"/>
  <c r="Z87" i="8" s="1"/>
  <c r="AC87" i="8" s="1"/>
  <c r="AD87" i="8" s="1"/>
  <c r="AE87" i="8" s="1"/>
  <c r="AF87" i="8" s="1"/>
  <c r="AG87" i="8" s="1"/>
  <c r="J89" i="8" l="1"/>
  <c r="S89" i="8" s="1"/>
  <c r="AJ87" i="8"/>
  <c r="AK87" i="8" s="1"/>
  <c r="K89" i="8"/>
  <c r="L89" i="8" s="1"/>
  <c r="M89" i="8" l="1"/>
  <c r="O89" i="8" s="1"/>
  <c r="Q89" i="8" l="1"/>
  <c r="P89" i="8"/>
  <c r="R89" i="8" l="1"/>
  <c r="AH89" i="8" l="1"/>
  <c r="W89" i="8"/>
  <c r="X89" i="8" s="1"/>
  <c r="Z89" i="8" s="1"/>
  <c r="J90" i="8" l="1"/>
  <c r="S90" i="8" s="1"/>
  <c r="K90" i="8" l="1"/>
  <c r="L90" i="8" s="1"/>
  <c r="M90" i="8" s="1"/>
  <c r="O90" i="8" s="1"/>
  <c r="Q90" i="8" l="1"/>
  <c r="P90" i="8"/>
  <c r="R90" i="8" l="1"/>
  <c r="W90" i="8" l="1"/>
  <c r="X90" i="8" s="1"/>
  <c r="AH90" i="8"/>
  <c r="Z90" i="8" l="1"/>
  <c r="J91" i="8"/>
  <c r="S91" i="8" s="1"/>
  <c r="K91" i="8" l="1"/>
  <c r="L91" i="8" s="1"/>
  <c r="M91" i="8" s="1"/>
  <c r="O91" i="8" s="1"/>
  <c r="P91" i="8" l="1"/>
  <c r="Q91" i="8"/>
  <c r="R91" i="8" l="1"/>
  <c r="W91" i="8" s="1"/>
  <c r="AH91" i="8" l="1"/>
  <c r="X91" i="8"/>
  <c r="Y91" i="8" s="1"/>
  <c r="J92" i="8" l="1"/>
  <c r="S92" i="8" s="1"/>
  <c r="Z91" i="8"/>
  <c r="K92" i="8" l="1"/>
  <c r="L92" i="8" s="1"/>
  <c r="M92" i="8" l="1"/>
  <c r="O92" i="8" s="1"/>
  <c r="Q92" i="8" l="1"/>
  <c r="P92" i="8"/>
  <c r="R92" i="8" l="1"/>
  <c r="AH92" i="8" l="1"/>
  <c r="W92" i="8"/>
  <c r="X92" i="8" s="1"/>
  <c r="Y92" i="8" l="1"/>
  <c r="Z92" i="8" s="1"/>
  <c r="J93" i="8" l="1"/>
  <c r="S93" i="8" s="1"/>
  <c r="K93" i="8"/>
  <c r="L93" i="8" s="1"/>
  <c r="M93" i="8" s="1"/>
  <c r="O93" i="8" s="1"/>
  <c r="Q93" i="8" l="1"/>
  <c r="P93" i="8"/>
  <c r="R93" i="8" l="1"/>
  <c r="W93" i="8" s="1"/>
  <c r="AH93" i="8" l="1"/>
  <c r="X93" i="8"/>
  <c r="Y93" i="8" s="1"/>
  <c r="J94" i="8" l="1"/>
  <c r="S94" i="8" s="1"/>
  <c r="Z93" i="8"/>
  <c r="K94" i="8" l="1"/>
  <c r="L94" i="8" s="1"/>
  <c r="M94" i="8" l="1"/>
  <c r="O94" i="8" s="1"/>
  <c r="P94" i="8" l="1"/>
  <c r="Q94" i="8"/>
  <c r="AA94" i="8" s="1"/>
  <c r="AB94" i="8" s="1"/>
  <c r="R94" i="8" l="1"/>
  <c r="W94" i="8" s="1"/>
  <c r="X94" i="8" l="1"/>
  <c r="W96" i="8"/>
  <c r="X96" i="8" s="1"/>
  <c r="AH94" i="8"/>
  <c r="AI94" i="8" s="1"/>
  <c r="Z94" i="8" l="1"/>
  <c r="AC94" i="8" s="1"/>
  <c r="AD94" i="8" s="1"/>
  <c r="AE94" i="8" s="1"/>
  <c r="AF94" i="8" s="1"/>
  <c r="Y94" i="8"/>
  <c r="J97" i="8"/>
  <c r="Z96" i="8"/>
  <c r="AG94" i="8" l="1"/>
  <c r="AJ94" i="8"/>
  <c r="AK94" i="8" s="1"/>
  <c r="S97" i="8"/>
  <c r="K97" i="8"/>
  <c r="L97" i="8" s="1"/>
  <c r="M97" i="8" s="1"/>
  <c r="O97" i="8" s="1"/>
  <c r="Q97" i="8" l="1"/>
  <c r="P97" i="8"/>
  <c r="R97" i="8" l="1"/>
  <c r="AH97" i="8" s="1"/>
  <c r="W97" i="8" l="1"/>
  <c r="X97" i="8" s="1"/>
  <c r="Z97" i="8" s="1"/>
  <c r="J98" i="8" l="1"/>
  <c r="S98" i="8" s="1"/>
  <c r="K98" i="8" l="1"/>
  <c r="L98" i="8" s="1"/>
  <c r="M98" i="8" s="1"/>
  <c r="O98" i="8" s="1"/>
  <c r="P98" i="8" s="1"/>
  <c r="Q98" i="8" l="1"/>
  <c r="R98" i="8" s="1"/>
  <c r="AH98" i="8" l="1"/>
  <c r="W98" i="8"/>
  <c r="X98" i="8" s="1"/>
  <c r="Y98" i="8" s="1"/>
  <c r="J99" i="8" l="1"/>
  <c r="Z98" i="8"/>
  <c r="S99" i="8" l="1"/>
  <c r="K99" i="8"/>
  <c r="L99" i="8" s="1"/>
  <c r="M99" i="8" s="1"/>
  <c r="O99" i="8" s="1"/>
  <c r="P99" i="8" l="1"/>
  <c r="Q99" i="8"/>
  <c r="R99" i="8" l="1"/>
  <c r="W99" i="8" s="1"/>
  <c r="X99" i="8" s="1"/>
  <c r="Y99" i="8" s="1"/>
  <c r="AH99" i="8" l="1"/>
  <c r="Z99" i="8"/>
  <c r="J100" i="8"/>
  <c r="S100" i="8" l="1"/>
  <c r="K100" i="8"/>
  <c r="L100" i="8" s="1"/>
  <c r="M100" i="8" s="1"/>
  <c r="O100" i="8" s="1"/>
  <c r="P100" i="8" l="1"/>
  <c r="Q100" i="8"/>
  <c r="R100" i="8" l="1"/>
  <c r="W100" i="8" l="1"/>
  <c r="X100" i="8" s="1"/>
  <c r="Y100" i="8" s="1"/>
  <c r="AH100" i="8"/>
  <c r="J101" i="8" l="1"/>
  <c r="Z100" i="8"/>
  <c r="K101" i="8" l="1"/>
  <c r="L101" i="8" s="1"/>
  <c r="M101" i="8" s="1"/>
  <c r="S101" i="8"/>
  <c r="R39" i="25" l="1"/>
  <c r="O101" i="8"/>
  <c r="P101" i="8" l="1"/>
  <c r="Q101" i="8"/>
  <c r="AA101" i="8" s="1"/>
  <c r="AB101" i="8" l="1"/>
  <c r="W39" i="25"/>
  <c r="R101" i="8"/>
  <c r="W101" i="8" s="1"/>
  <c r="X101" i="8" s="1"/>
  <c r="Y101" i="8" s="1"/>
  <c r="V39" i="25"/>
  <c r="AH101" i="8" l="1"/>
  <c r="Q39" i="25" s="1"/>
  <c r="K6" i="15"/>
  <c r="J103" i="8"/>
  <c r="Z101" i="8"/>
  <c r="AC101" i="8" s="1"/>
  <c r="AD101" i="8" s="1"/>
  <c r="AE101" i="8" s="1"/>
  <c r="AF101" i="8" s="1"/>
  <c r="AG101" i="8" s="1"/>
  <c r="T39" i="25" s="1"/>
  <c r="AI101" i="8" l="1"/>
  <c r="U39" i="25" s="1"/>
  <c r="AC6" i="15"/>
  <c r="AC20" i="15" s="1"/>
  <c r="K3" i="25" s="1"/>
  <c r="T40" i="25" s="1"/>
  <c r="S103" i="8"/>
  <c r="K103" i="8"/>
  <c r="L103" i="8" s="1"/>
  <c r="M103" i="8" s="1"/>
  <c r="O103" i="8" s="1"/>
  <c r="L20" i="15"/>
  <c r="L12" i="15"/>
  <c r="L6" i="15"/>
  <c r="K20" i="15"/>
  <c r="G3" i="25" s="1"/>
  <c r="L8" i="15"/>
  <c r="L10" i="15"/>
  <c r="L14" i="15"/>
  <c r="L16" i="15"/>
  <c r="L18" i="15"/>
  <c r="AJ101" i="8" l="1"/>
  <c r="AK101" i="8" s="1"/>
  <c r="AM6" i="15" s="1"/>
  <c r="AM20" i="15" s="1"/>
  <c r="M3" i="25" s="1"/>
  <c r="S40" i="25" s="1"/>
  <c r="H3" i="25"/>
  <c r="S39" i="25"/>
  <c r="Q103" i="8"/>
  <c r="P103" i="8"/>
  <c r="M10" i="15"/>
  <c r="U10" i="15" s="1"/>
  <c r="M8" i="15"/>
  <c r="U8" i="15" s="1"/>
  <c r="M6" i="15"/>
  <c r="U6" i="15" s="1"/>
  <c r="V6" i="15" s="1"/>
  <c r="B8" i="15" s="1"/>
  <c r="M18" i="15"/>
  <c r="U18" i="15" s="1"/>
  <c r="M20" i="15"/>
  <c r="U20" i="15" s="1"/>
  <c r="M16" i="15"/>
  <c r="U16" i="15" s="1"/>
  <c r="M12" i="15"/>
  <c r="U12" i="15" s="1"/>
  <c r="M14" i="15"/>
  <c r="U14" i="15" s="1"/>
  <c r="R103" i="8" l="1"/>
  <c r="AH103" i="8" s="1"/>
  <c r="B7" i="15"/>
  <c r="C8" i="15"/>
  <c r="H8" i="15"/>
  <c r="F8" i="15"/>
  <c r="E8" i="15"/>
  <c r="G8" i="15"/>
  <c r="I8" i="15"/>
  <c r="W103" i="8" l="1"/>
  <c r="X103" i="8" s="1"/>
  <c r="Y103" i="8" s="1"/>
  <c r="J104" i="8" s="1"/>
  <c r="Q8" i="15"/>
  <c r="H7" i="15"/>
  <c r="F7" i="15"/>
  <c r="E7" i="15"/>
  <c r="C7" i="15"/>
  <c r="R8" i="15" s="1"/>
  <c r="I7" i="15"/>
  <c r="T8" i="15" s="1"/>
  <c r="G7" i="15"/>
  <c r="S8" i="15"/>
  <c r="Z103" i="8" l="1"/>
  <c r="V8" i="15"/>
  <c r="B10" i="15" s="1"/>
  <c r="C10" i="15" s="1"/>
  <c r="Q10" i="15" s="1"/>
  <c r="K104" i="8"/>
  <c r="L104" i="8" s="1"/>
  <c r="M104" i="8" s="1"/>
  <c r="O104" i="8" s="1"/>
  <c r="S104" i="8"/>
  <c r="G10" i="15" l="1"/>
  <c r="E10" i="15"/>
  <c r="H10" i="15"/>
  <c r="B9" i="15"/>
  <c r="C9" i="15" s="1"/>
  <c r="R10" i="15" s="1"/>
  <c r="F10" i="15"/>
  <c r="I10" i="15"/>
  <c r="S10" i="15" s="1"/>
  <c r="Q104" i="8"/>
  <c r="P104" i="8"/>
  <c r="I9" i="15" l="1"/>
  <c r="T10" i="15" s="1"/>
  <c r="E9" i="15"/>
  <c r="G9" i="15"/>
  <c r="F9" i="15"/>
  <c r="H9" i="15"/>
  <c r="V10" i="15"/>
  <c r="B12" i="15" s="1"/>
  <c r="C12" i="15" s="1"/>
  <c r="Q12" i="15" s="1"/>
  <c r="R104" i="8"/>
  <c r="F12" i="15" l="1"/>
  <c r="B11" i="15"/>
  <c r="E11" i="15" s="1"/>
  <c r="H12" i="15"/>
  <c r="G12" i="15"/>
  <c r="E12" i="15"/>
  <c r="I12" i="15"/>
  <c r="S12" i="15" s="1"/>
  <c r="W104" i="8"/>
  <c r="X104" i="8" s="1"/>
  <c r="Y104" i="8" s="1"/>
  <c r="AH104" i="8"/>
  <c r="H11" i="15" l="1"/>
  <c r="F11" i="15"/>
  <c r="G11" i="15"/>
  <c r="I11" i="15"/>
  <c r="T12" i="15" s="1"/>
  <c r="C11" i="15"/>
  <c r="R12" i="15" s="1"/>
  <c r="V12" i="15" s="1"/>
  <c r="B14" i="15" s="1"/>
  <c r="B13" i="15" s="1"/>
  <c r="Z104" i="8"/>
  <c r="J105" i="8"/>
  <c r="G14" i="15" l="1"/>
  <c r="C14" i="15"/>
  <c r="H14" i="15"/>
  <c r="F14" i="15"/>
  <c r="E14" i="15"/>
  <c r="I14" i="15"/>
  <c r="S14" i="15" s="1"/>
  <c r="Q14" i="15"/>
  <c r="S105" i="8"/>
  <c r="K105" i="8"/>
  <c r="L105" i="8" s="1"/>
  <c r="M105" i="8" s="1"/>
  <c r="O105" i="8" s="1"/>
  <c r="E13" i="15"/>
  <c r="I13" i="15"/>
  <c r="F13" i="15"/>
  <c r="G13" i="15"/>
  <c r="C13" i="15"/>
  <c r="R14" i="15" s="1"/>
  <c r="H13" i="15"/>
  <c r="T14" i="15" l="1"/>
  <c r="V14" i="15" s="1"/>
  <c r="B16" i="15" s="1"/>
  <c r="Q105" i="8"/>
  <c r="P105" i="8"/>
  <c r="R105" i="8" l="1"/>
  <c r="W105" i="8" s="1"/>
  <c r="X105" i="8" s="1"/>
  <c r="Y105" i="8" s="1"/>
  <c r="F16" i="15"/>
  <c r="G16" i="15"/>
  <c r="E16" i="15"/>
  <c r="C16" i="15"/>
  <c r="B15" i="15"/>
  <c r="I16" i="15"/>
  <c r="S16" i="15" s="1"/>
  <c r="H16" i="15"/>
  <c r="AH105" i="8"/>
  <c r="Q16" i="15" l="1"/>
  <c r="C15" i="15"/>
  <c r="R16" i="15" s="1"/>
  <c r="F15" i="15"/>
  <c r="H15" i="15"/>
  <c r="I15" i="15"/>
  <c r="T16" i="15" s="1"/>
  <c r="E15" i="15"/>
  <c r="G15" i="15"/>
  <c r="Z105" i="8"/>
  <c r="J106" i="8"/>
  <c r="V16" i="15" l="1"/>
  <c r="B18" i="15" s="1"/>
  <c r="K106" i="8"/>
  <c r="L106" i="8" s="1"/>
  <c r="M106" i="8" s="1"/>
  <c r="O106" i="8" s="1"/>
  <c r="S106" i="8"/>
  <c r="Q106" i="8" l="1"/>
  <c r="P106" i="8"/>
  <c r="G18" i="15"/>
  <c r="H18" i="15"/>
  <c r="F18" i="15"/>
  <c r="I18" i="15"/>
  <c r="S18" i="15" s="1"/>
  <c r="E18" i="15"/>
  <c r="B17" i="15"/>
  <c r="C18" i="15"/>
  <c r="Q18" i="15" s="1"/>
  <c r="R106" i="8" l="1"/>
  <c r="W106" i="8" s="1"/>
  <c r="X106" i="8" s="1"/>
  <c r="Y106" i="8" s="1"/>
  <c r="E17" i="15"/>
  <c r="C17" i="15"/>
  <c r="R18" i="15" s="1"/>
  <c r="H17" i="15"/>
  <c r="G17" i="15"/>
  <c r="I17" i="15"/>
  <c r="T18" i="15" s="1"/>
  <c r="F17" i="15"/>
  <c r="AH106" i="8" l="1"/>
  <c r="V18" i="15"/>
  <c r="B20" i="15" s="1"/>
  <c r="C3" i="25" s="1"/>
  <c r="P40" i="25" s="1"/>
  <c r="Z106" i="8"/>
  <c r="J107" i="8"/>
  <c r="E20" i="15" l="1"/>
  <c r="F20" i="15"/>
  <c r="G20" i="15"/>
  <c r="I20" i="15"/>
  <c r="AD20" i="15" s="1"/>
  <c r="H20" i="15"/>
  <c r="C20" i="15"/>
  <c r="Y52" i="15" s="1"/>
  <c r="Z52" i="15" s="1"/>
  <c r="L52" i="15" s="1"/>
  <c r="B19" i="15"/>
  <c r="H19" i="15" s="1"/>
  <c r="S107" i="8"/>
  <c r="K107" i="8"/>
  <c r="L107" i="8" s="1"/>
  <c r="M107" i="8" s="1"/>
  <c r="O107" i="8" s="1"/>
  <c r="Y28" i="15" l="1"/>
  <c r="Z28" i="15" s="1"/>
  <c r="L28" i="15" s="1"/>
  <c r="M28" i="15" s="1"/>
  <c r="S20" i="15"/>
  <c r="Y41" i="15"/>
  <c r="Z41" i="15" s="1"/>
  <c r="L41" i="15" s="1"/>
  <c r="Y44" i="15"/>
  <c r="Z44" i="15" s="1"/>
  <c r="L44" i="15" s="1"/>
  <c r="M44" i="15" s="1"/>
  <c r="Y47" i="15"/>
  <c r="Z47" i="15" s="1"/>
  <c r="L47" i="15" s="1"/>
  <c r="M47" i="15" s="1"/>
  <c r="E19" i="15"/>
  <c r="Y34" i="15"/>
  <c r="Z34" i="15" s="1"/>
  <c r="L34" i="15" s="1"/>
  <c r="M34" i="15" s="1"/>
  <c r="Y51" i="15"/>
  <c r="Z51" i="15" s="1"/>
  <c r="L51" i="15" s="1"/>
  <c r="M51" i="15" s="1"/>
  <c r="G19" i="15"/>
  <c r="Y49" i="15"/>
  <c r="Z49" i="15" s="1"/>
  <c r="L49" i="15" s="1"/>
  <c r="K49" i="15" s="1"/>
  <c r="Y35" i="15"/>
  <c r="Z35" i="15" s="1"/>
  <c r="L35" i="15" s="1"/>
  <c r="Y30" i="15"/>
  <c r="Z30" i="15" s="1"/>
  <c r="L30" i="15" s="1"/>
  <c r="M30" i="15" s="1"/>
  <c r="I19" i="15"/>
  <c r="T20" i="15" s="1"/>
  <c r="Y38" i="15"/>
  <c r="Z38" i="15" s="1"/>
  <c r="L38" i="15" s="1"/>
  <c r="M38" i="15" s="1"/>
  <c r="Y42" i="15"/>
  <c r="Z42" i="15" s="1"/>
  <c r="L42" i="15" s="1"/>
  <c r="M42" i="15" s="1"/>
  <c r="W20" i="15"/>
  <c r="I3" i="25" s="1"/>
  <c r="W40" i="25" s="1"/>
  <c r="Y37" i="15"/>
  <c r="Z37" i="15" s="1"/>
  <c r="L37" i="15" s="1"/>
  <c r="M37" i="15" s="1"/>
  <c r="Y46" i="15"/>
  <c r="Z46" i="15" s="1"/>
  <c r="L46" i="15" s="1"/>
  <c r="K46" i="15" s="1"/>
  <c r="Y40" i="15"/>
  <c r="Z40" i="15" s="1"/>
  <c r="L40" i="15" s="1"/>
  <c r="M40" i="15" s="1"/>
  <c r="Y36" i="15"/>
  <c r="Z36" i="15" s="1"/>
  <c r="L36" i="15" s="1"/>
  <c r="M36" i="15" s="1"/>
  <c r="C19" i="15"/>
  <c r="R20" i="15" s="1"/>
  <c r="Y33" i="15"/>
  <c r="Z33" i="15" s="1"/>
  <c r="L33" i="15" s="1"/>
  <c r="K33" i="15" s="1"/>
  <c r="Y29" i="15"/>
  <c r="Z29" i="15" s="1"/>
  <c r="L29" i="15" s="1"/>
  <c r="M29" i="15" s="1"/>
  <c r="Y39" i="15"/>
  <c r="Z39" i="15" s="1"/>
  <c r="L39" i="15" s="1"/>
  <c r="M39" i="15" s="1"/>
  <c r="Q20" i="15"/>
  <c r="F19" i="15"/>
  <c r="Y31" i="15"/>
  <c r="Z31" i="15" s="1"/>
  <c r="L31" i="15" s="1"/>
  <c r="K31" i="15" s="1"/>
  <c r="Y45" i="15"/>
  <c r="Z45" i="15" s="1"/>
  <c r="L45" i="15" s="1"/>
  <c r="M45" i="15" s="1"/>
  <c r="Y48" i="15"/>
  <c r="Z48" i="15" s="1"/>
  <c r="L48" i="15" s="1"/>
  <c r="K48" i="15" s="1"/>
  <c r="Y43" i="15"/>
  <c r="Z43" i="15" s="1"/>
  <c r="L43" i="15" s="1"/>
  <c r="M43" i="15" s="1"/>
  <c r="Y50" i="15"/>
  <c r="Z50" i="15" s="1"/>
  <c r="L50" i="15" s="1"/>
  <c r="M50" i="15" s="1"/>
  <c r="Y32" i="15"/>
  <c r="Z32" i="15" s="1"/>
  <c r="L32" i="15" s="1"/>
  <c r="M32" i="15" s="1"/>
  <c r="M41" i="15"/>
  <c r="H4" i="25"/>
  <c r="K41" i="15"/>
  <c r="K47" i="15"/>
  <c r="M35" i="15"/>
  <c r="K35" i="15"/>
  <c r="Q107" i="8"/>
  <c r="P107" i="8"/>
  <c r="E3" i="25"/>
  <c r="R40" i="25" s="1"/>
  <c r="AE20" i="15"/>
  <c r="D3" i="25" s="1"/>
  <c r="AF20" i="15"/>
  <c r="K52" i="15"/>
  <c r="M52" i="15"/>
  <c r="K28" i="15" l="1"/>
  <c r="K40" i="15"/>
  <c r="M33" i="15"/>
  <c r="K34" i="15"/>
  <c r="K36" i="15"/>
  <c r="K43" i="15"/>
  <c r="M48" i="15"/>
  <c r="M31" i="15"/>
  <c r="K44" i="15"/>
  <c r="K30" i="15"/>
  <c r="V20" i="15"/>
  <c r="V28" i="15" s="1"/>
  <c r="K32" i="15"/>
  <c r="K38" i="15"/>
  <c r="K51" i="15"/>
  <c r="K45" i="15"/>
  <c r="K42" i="15"/>
  <c r="X20" i="15"/>
  <c r="J3" i="25" s="1"/>
  <c r="V40" i="25" s="1"/>
  <c r="K50" i="15"/>
  <c r="M49" i="15"/>
  <c r="K29" i="15"/>
  <c r="K37" i="15"/>
  <c r="M46" i="15"/>
  <c r="K39" i="15"/>
  <c r="R107" i="8"/>
  <c r="AH107" i="8" s="1"/>
  <c r="AG20" i="15"/>
  <c r="AH20" i="15"/>
  <c r="K6" i="21"/>
  <c r="G4" i="25"/>
  <c r="AA34" i="15" l="1"/>
  <c r="AB34" i="15" s="1"/>
  <c r="AC34" i="15" s="1"/>
  <c r="AA30" i="15"/>
  <c r="AB30" i="15" s="1"/>
  <c r="AC30" i="15" s="1"/>
  <c r="AA40" i="15"/>
  <c r="AB40" i="15" s="1"/>
  <c r="AC40" i="15" s="1"/>
  <c r="AA47" i="15"/>
  <c r="AB47" i="15" s="1"/>
  <c r="AC47" i="15" s="1"/>
  <c r="AA46" i="15"/>
  <c r="AB46" i="15" s="1"/>
  <c r="AC46" i="15" s="1"/>
  <c r="AA49" i="15"/>
  <c r="AB49" i="15" s="1"/>
  <c r="AC49" i="15" s="1"/>
  <c r="AA28" i="15"/>
  <c r="AB28" i="15" s="1"/>
  <c r="AC28" i="15" s="1"/>
  <c r="AA45" i="15"/>
  <c r="AB45" i="15" s="1"/>
  <c r="AC45" i="15" s="1"/>
  <c r="AA44" i="15"/>
  <c r="AB44" i="15" s="1"/>
  <c r="AC44" i="15" s="1"/>
  <c r="AA42" i="15"/>
  <c r="AB42" i="15" s="1"/>
  <c r="AC42" i="15" s="1"/>
  <c r="AA37" i="15"/>
  <c r="AB37" i="15" s="1"/>
  <c r="AC37" i="15" s="1"/>
  <c r="AA50" i="15"/>
  <c r="AB50" i="15" s="1"/>
  <c r="AC50" i="15" s="1"/>
  <c r="AA48" i="15"/>
  <c r="AB48" i="15" s="1"/>
  <c r="AC48" i="15" s="1"/>
  <c r="AA36" i="15"/>
  <c r="AB36" i="15" s="1"/>
  <c r="AC36" i="15" s="1"/>
  <c r="AA41" i="15"/>
  <c r="AB41" i="15" s="1"/>
  <c r="AC41" i="15" s="1"/>
  <c r="AA38" i="15"/>
  <c r="AB38" i="15" s="1"/>
  <c r="AC38" i="15" s="1"/>
  <c r="AA52" i="15"/>
  <c r="AB52" i="15" s="1"/>
  <c r="AC52" i="15" s="1"/>
  <c r="AA39" i="15"/>
  <c r="AB39" i="15" s="1"/>
  <c r="AC39" i="15" s="1"/>
  <c r="AA35" i="15"/>
  <c r="AB35" i="15" s="1"/>
  <c r="AC35" i="15" s="1"/>
  <c r="AA32" i="15"/>
  <c r="AB32" i="15" s="1"/>
  <c r="AC32" i="15" s="1"/>
  <c r="AA43" i="15"/>
  <c r="AB43" i="15" s="1"/>
  <c r="AC43" i="15" s="1"/>
  <c r="AA33" i="15"/>
  <c r="AB33" i="15" s="1"/>
  <c r="AC33" i="15" s="1"/>
  <c r="AA51" i="15"/>
  <c r="AB51" i="15" s="1"/>
  <c r="AC51" i="15" s="1"/>
  <c r="AA29" i="15"/>
  <c r="AB29" i="15" s="1"/>
  <c r="AC29" i="15" s="1"/>
  <c r="AA31" i="15"/>
  <c r="AB31" i="15" s="1"/>
  <c r="AC31" i="15" s="1"/>
  <c r="W107" i="8"/>
  <c r="X107" i="8" s="1"/>
  <c r="Y107" i="8" s="1"/>
  <c r="J108" i="8" s="1"/>
  <c r="K20" i="21"/>
  <c r="G5" i="25" s="1"/>
  <c r="L12" i="21"/>
  <c r="L8" i="21"/>
  <c r="L14" i="21"/>
  <c r="L20" i="21"/>
  <c r="H5" i="25" s="1"/>
  <c r="L10" i="21"/>
  <c r="L18" i="21"/>
  <c r="L16" i="21"/>
  <c r="L6" i="21"/>
  <c r="AI20" i="15"/>
  <c r="AC6" i="21" l="1"/>
  <c r="AC20" i="21" s="1"/>
  <c r="K5" i="25" s="1"/>
  <c r="T42" i="25" s="1"/>
  <c r="K4" i="25"/>
  <c r="T41" i="25" s="1"/>
  <c r="Z107" i="8"/>
  <c r="K108" i="8"/>
  <c r="L108" i="8" s="1"/>
  <c r="M108" i="8" s="1"/>
  <c r="O108" i="8" s="1"/>
  <c r="S108" i="8"/>
  <c r="AJ20" i="15"/>
  <c r="L3" i="25" s="1"/>
  <c r="U40" i="25" s="1"/>
  <c r="F3" i="25"/>
  <c r="Q40" i="25" s="1"/>
  <c r="M18" i="21"/>
  <c r="U18" i="21" s="1"/>
  <c r="M20" i="21"/>
  <c r="U20" i="21" s="1"/>
  <c r="M16" i="21"/>
  <c r="U16" i="21" s="1"/>
  <c r="M14" i="21"/>
  <c r="U14" i="21" s="1"/>
  <c r="M12" i="21"/>
  <c r="U12" i="21" s="1"/>
  <c r="M10" i="21"/>
  <c r="U10" i="21" s="1"/>
  <c r="M8" i="21"/>
  <c r="U8" i="21" s="1"/>
  <c r="M6" i="21"/>
  <c r="U6" i="21" s="1"/>
  <c r="P108" i="8" l="1"/>
  <c r="Q108" i="8"/>
  <c r="AA108" i="8" s="1"/>
  <c r="AB108" i="8" s="1"/>
  <c r="R108" i="8" l="1"/>
  <c r="AH108" i="8" l="1"/>
  <c r="AI108" i="8" s="1"/>
  <c r="W108" i="8"/>
  <c r="X108" i="8" s="1"/>
  <c r="Y108" i="8" s="1"/>
  <c r="Z108" i="8" l="1"/>
  <c r="AC108" i="8" s="1"/>
  <c r="AD108" i="8" s="1"/>
  <c r="AE108" i="8" s="1"/>
  <c r="AF108" i="8" s="1"/>
  <c r="AG108" i="8" s="1"/>
  <c r="J110" i="8"/>
  <c r="AJ108" i="8" l="1"/>
  <c r="AK108" i="8" s="1"/>
  <c r="K110" i="8"/>
  <c r="L110" i="8" s="1"/>
  <c r="M110" i="8" s="1"/>
  <c r="O110" i="8" s="1"/>
  <c r="S110" i="8"/>
  <c r="Q110" i="8" l="1"/>
  <c r="P110" i="8"/>
  <c r="R110" i="8" l="1"/>
  <c r="AH110" i="8" s="1"/>
  <c r="W110" i="8" l="1"/>
  <c r="X110" i="8" s="1"/>
  <c r="Y110" i="8" s="1"/>
  <c r="Z110" i="8" s="1"/>
  <c r="J111" i="8" l="1"/>
  <c r="K111" i="8" s="1"/>
  <c r="L111" i="8" s="1"/>
  <c r="M111" i="8" s="1"/>
  <c r="O111" i="8" s="1"/>
  <c r="S111" i="8" l="1"/>
  <c r="Q111" i="8"/>
  <c r="P111" i="8"/>
  <c r="R111" i="8" l="1"/>
  <c r="W111" i="8" s="1"/>
  <c r="X111" i="8" s="1"/>
  <c r="Y111" i="8" s="1"/>
  <c r="AH111" i="8" l="1"/>
  <c r="Z111" i="8"/>
  <c r="J112" i="8"/>
  <c r="K112" i="8" l="1"/>
  <c r="L112" i="8" s="1"/>
  <c r="M112" i="8" s="1"/>
  <c r="O112" i="8" s="1"/>
  <c r="S112" i="8"/>
  <c r="Q112" i="8" l="1"/>
  <c r="P112" i="8"/>
  <c r="R112" i="8" l="1"/>
  <c r="AH112" i="8" s="1"/>
  <c r="W112" i="8" l="1"/>
  <c r="X112" i="8" s="1"/>
  <c r="Y112" i="8" s="1"/>
  <c r="Z112" i="8" s="1"/>
  <c r="J113" i="8" l="1"/>
  <c r="S113" i="8" s="1"/>
  <c r="K113" i="8"/>
  <c r="L113" i="8" s="1"/>
  <c r="M113" i="8" s="1"/>
  <c r="O113" i="8" s="1"/>
  <c r="Q113" i="8" l="1"/>
  <c r="P113" i="8"/>
  <c r="R113" i="8" l="1"/>
  <c r="W113" i="8" s="1"/>
  <c r="X113" i="8" s="1"/>
  <c r="Y113" i="8" s="1"/>
  <c r="AH113" i="8" l="1"/>
  <c r="J114" i="8"/>
  <c r="Z113" i="8"/>
  <c r="S114" i="8" l="1"/>
  <c r="K114" i="8"/>
  <c r="L114" i="8" s="1"/>
  <c r="M114" i="8" s="1"/>
  <c r="O114" i="8" s="1"/>
  <c r="P114" i="8" l="1"/>
  <c r="Q114" i="8"/>
  <c r="R114" i="8" l="1"/>
  <c r="AH114" i="8" l="1"/>
  <c r="W114" i="8"/>
  <c r="X114" i="8" s="1"/>
  <c r="Y114" i="8" s="1"/>
  <c r="Z114" i="8" l="1"/>
  <c r="J115" i="8"/>
  <c r="S115" i="8" l="1"/>
  <c r="K115" i="8"/>
  <c r="L115" i="8" s="1"/>
  <c r="M115" i="8" s="1"/>
  <c r="O115" i="8" s="1"/>
  <c r="P115" i="8" l="1"/>
  <c r="Q115" i="8"/>
  <c r="AA115" i="8" s="1"/>
  <c r="AB115" i="8" s="1"/>
  <c r="R115" i="8" l="1"/>
  <c r="W115" i="8" l="1"/>
  <c r="X115" i="8" s="1"/>
  <c r="Y115" i="8" s="1"/>
  <c r="AH115" i="8"/>
  <c r="AI115" i="8" s="1"/>
  <c r="Z115" i="8" l="1"/>
  <c r="AC115" i="8" s="1"/>
  <c r="AD115" i="8" s="1"/>
  <c r="AE115" i="8" s="1"/>
  <c r="AF115" i="8" s="1"/>
  <c r="AG115" i="8" s="1"/>
  <c r="J117" i="8"/>
  <c r="S117" i="8" l="1"/>
  <c r="K117" i="8"/>
  <c r="L117" i="8" s="1"/>
  <c r="M117" i="8" s="1"/>
  <c r="O117" i="8" s="1"/>
  <c r="AJ115" i="8"/>
  <c r="AK115" i="8" s="1"/>
  <c r="Q117" i="8" l="1"/>
  <c r="P117" i="8"/>
  <c r="R117" i="8" l="1"/>
  <c r="AH117" i="8" s="1"/>
  <c r="W117" i="8" l="1"/>
  <c r="X117" i="8" s="1"/>
  <c r="Y117" i="8" s="1"/>
  <c r="J118" i="8" s="1"/>
  <c r="Z117" i="8" l="1"/>
  <c r="K118" i="8"/>
  <c r="L118" i="8" s="1"/>
  <c r="M118" i="8" s="1"/>
  <c r="O118" i="8" s="1"/>
  <c r="S118" i="8"/>
  <c r="P118" i="8" l="1"/>
  <c r="Q118" i="8"/>
  <c r="R118" i="8" l="1"/>
  <c r="W118" i="8" l="1"/>
  <c r="X118" i="8" s="1"/>
  <c r="Y118" i="8" s="1"/>
  <c r="AH118" i="8"/>
  <c r="Z118" i="8" l="1"/>
  <c r="J119" i="8"/>
  <c r="K119" i="8" l="1"/>
  <c r="L119" i="8" s="1"/>
  <c r="M119" i="8" s="1"/>
  <c r="O119" i="8" s="1"/>
  <c r="S119" i="8"/>
  <c r="P119" i="8" l="1"/>
  <c r="Q119" i="8"/>
  <c r="R119" i="8" l="1"/>
  <c r="AH119" i="8" l="1"/>
  <c r="W119" i="8"/>
  <c r="X119" i="8" s="1"/>
  <c r="Y119" i="8" s="1"/>
  <c r="Z119" i="8" l="1"/>
  <c r="J120" i="8"/>
  <c r="K120" i="8" l="1"/>
  <c r="L120" i="8" s="1"/>
  <c r="M120" i="8" s="1"/>
  <c r="O120" i="8" s="1"/>
  <c r="S120" i="8"/>
  <c r="P120" i="8" l="1"/>
  <c r="Q120" i="8"/>
  <c r="R120" i="8" l="1"/>
  <c r="AH120" i="8" l="1"/>
  <c r="W120" i="8"/>
  <c r="X120" i="8" s="1"/>
  <c r="Y120" i="8" s="1"/>
  <c r="J121" i="8" l="1"/>
  <c r="Z120" i="8"/>
  <c r="S121" i="8" l="1"/>
  <c r="K121" i="8"/>
  <c r="L121" i="8" s="1"/>
  <c r="M121" i="8" s="1"/>
  <c r="O121" i="8" s="1"/>
  <c r="Q121" i="8" l="1"/>
  <c r="P121" i="8"/>
  <c r="R121" i="8" l="1"/>
  <c r="AH121" i="8" s="1"/>
  <c r="T45" i="12"/>
  <c r="U45" i="12" s="1"/>
  <c r="W45" i="12" s="1"/>
  <c r="W121" i="8" l="1"/>
  <c r="X121" i="8" s="1"/>
  <c r="Y121" i="8" s="1"/>
  <c r="Z121" i="8" s="1"/>
  <c r="X45" i="12"/>
  <c r="S46" i="12"/>
  <c r="T46" i="12" s="1"/>
  <c r="U46" i="12" s="1"/>
  <c r="W46" i="12" s="1"/>
  <c r="J122" i="8" l="1"/>
  <c r="S122" i="8" s="1"/>
  <c r="S47" i="12"/>
  <c r="T47" i="12" s="1"/>
  <c r="U47" i="12" s="1"/>
  <c r="W47" i="12" s="1"/>
  <c r="X46" i="12"/>
  <c r="K122" i="8" l="1"/>
  <c r="L122" i="8" s="1"/>
  <c r="M122" i="8" s="1"/>
  <c r="O122" i="8" s="1"/>
  <c r="Q122" i="8" s="1"/>
  <c r="AA122" i="8" s="1"/>
  <c r="AB122" i="8" s="1"/>
  <c r="S48" i="12"/>
  <c r="X47" i="12"/>
  <c r="P122" i="8" l="1"/>
  <c r="R122" i="8" s="1"/>
  <c r="W122" i="8" s="1"/>
  <c r="X122" i="8" s="1"/>
  <c r="Y122" i="8" s="1"/>
  <c r="T48" i="12"/>
  <c r="U48" i="12" s="1"/>
  <c r="W48" i="12" s="1"/>
  <c r="AH122" i="8" l="1"/>
  <c r="AI122" i="8" s="1"/>
  <c r="J124" i="8"/>
  <c r="Z122" i="8"/>
  <c r="AC122" i="8" s="1"/>
  <c r="AD122" i="8" s="1"/>
  <c r="AE122" i="8" s="1"/>
  <c r="AF122" i="8" s="1"/>
  <c r="AG122" i="8" s="1"/>
  <c r="S49" i="12"/>
  <c r="T49" i="12" s="1"/>
  <c r="U49" i="12" s="1"/>
  <c r="W49" i="12" s="1"/>
  <c r="X48" i="12"/>
  <c r="S124" i="8" l="1"/>
  <c r="K124" i="8"/>
  <c r="L124" i="8" s="1"/>
  <c r="M124" i="8" s="1"/>
  <c r="O124" i="8" s="1"/>
  <c r="AJ122" i="8"/>
  <c r="AK122" i="8" s="1"/>
  <c r="S50" i="12"/>
  <c r="T50" i="12" s="1"/>
  <c r="U50" i="12" s="1"/>
  <c r="W50" i="12" s="1"/>
  <c r="X49" i="12"/>
  <c r="P124" i="8" l="1"/>
  <c r="Q124" i="8"/>
  <c r="S51" i="12"/>
  <c r="X50" i="12"/>
  <c r="R124" i="8" l="1"/>
  <c r="T51" i="12"/>
  <c r="U51" i="12" s="1"/>
  <c r="W51" i="12"/>
  <c r="AH124" i="8" l="1"/>
  <c r="W124" i="8"/>
  <c r="X124" i="8" s="1"/>
  <c r="Y124" i="8" s="1"/>
  <c r="S52" i="12"/>
  <c r="X51" i="12"/>
  <c r="Y44" i="12"/>
  <c r="Z44" i="12" s="1"/>
  <c r="AA44" i="12"/>
  <c r="Y51" i="12"/>
  <c r="Z51" i="12" s="1"/>
  <c r="Y49" i="12"/>
  <c r="Z49" i="12" s="1"/>
  <c r="Z46" i="12"/>
  <c r="Y46" i="12"/>
  <c r="Y45" i="12"/>
  <c r="Z45" i="12" s="1"/>
  <c r="Y50" i="12"/>
  <c r="Z50" i="12" s="1"/>
  <c r="AA46" i="12"/>
  <c r="AA45" i="12"/>
  <c r="AA48" i="12"/>
  <c r="AA50" i="12"/>
  <c r="AA47" i="12"/>
  <c r="Y48" i="12"/>
  <c r="Z48" i="12" s="1"/>
  <c r="AA49" i="12"/>
  <c r="Y47" i="12"/>
  <c r="Z47" i="12" s="1"/>
  <c r="AA51" i="12"/>
  <c r="J125" i="8" l="1"/>
  <c r="Z124" i="8"/>
  <c r="T52" i="12"/>
  <c r="U52" i="12" s="1"/>
  <c r="W52" i="12" s="1"/>
  <c r="S125" i="8" l="1"/>
  <c r="K125" i="8"/>
  <c r="L125" i="8" s="1"/>
  <c r="M125" i="8" s="1"/>
  <c r="O125" i="8" s="1"/>
  <c r="S53" i="12"/>
  <c r="X52" i="12"/>
  <c r="Q125" i="8" l="1"/>
  <c r="P125" i="8"/>
  <c r="AA52" i="12"/>
  <c r="Y52" i="12"/>
  <c r="Z52" i="12" s="1"/>
  <c r="T53" i="12"/>
  <c r="U53" i="12" s="1"/>
  <c r="W53" i="12" s="1"/>
  <c r="R125" i="8" l="1"/>
  <c r="W125" i="8" s="1"/>
  <c r="X125" i="8" s="1"/>
  <c r="Y125" i="8" s="1"/>
  <c r="S54" i="12"/>
  <c r="T54" i="12" s="1"/>
  <c r="U54" i="12" s="1"/>
  <c r="W54" i="12" s="1"/>
  <c r="X53" i="12"/>
  <c r="AH125" i="8" l="1"/>
  <c r="J126" i="8"/>
  <c r="Z125" i="8"/>
  <c r="AA53" i="12"/>
  <c r="Y53" i="12"/>
  <c r="Z53" i="12" s="1"/>
  <c r="S55" i="12"/>
  <c r="X54" i="12"/>
  <c r="S126" i="8" l="1"/>
  <c r="K126" i="8"/>
  <c r="L126" i="8" s="1"/>
  <c r="M126" i="8" s="1"/>
  <c r="O126" i="8" s="1"/>
  <c r="T55" i="12"/>
  <c r="U55" i="12" s="1"/>
  <c r="W55" i="12" s="1"/>
  <c r="X55" i="12" s="1"/>
  <c r="Y54" i="12"/>
  <c r="Z54" i="12" s="1"/>
  <c r="AA54" i="12"/>
  <c r="Q126" i="8" l="1"/>
  <c r="P126" i="8"/>
  <c r="S57" i="12"/>
  <c r="H70" i="8"/>
  <c r="N70" i="8" s="1"/>
  <c r="H69" i="8"/>
  <c r="N69" i="8" s="1"/>
  <c r="H73" i="8"/>
  <c r="N73" i="8" s="1"/>
  <c r="H72" i="8"/>
  <c r="N72" i="8" s="1"/>
  <c r="Y55" i="12"/>
  <c r="Z55" i="12" s="1"/>
  <c r="AA55" i="12"/>
  <c r="H68" i="8"/>
  <c r="N68" i="8" s="1"/>
  <c r="H71" i="8"/>
  <c r="N71" i="8" s="1"/>
  <c r="R126" i="8" l="1"/>
  <c r="AH126" i="8" s="1"/>
  <c r="T57" i="12"/>
  <c r="U57" i="12" s="1"/>
  <c r="W57" i="12" s="1"/>
  <c r="X57" i="12" s="1"/>
  <c r="W126" i="8" l="1"/>
  <c r="X126" i="8" s="1"/>
  <c r="Y126" i="8" s="1"/>
  <c r="Z126" i="8" s="1"/>
  <c r="Y57" i="12"/>
  <c r="Z57" i="12" s="1"/>
  <c r="AA57" i="12"/>
  <c r="S58" i="12"/>
  <c r="T58" i="12" s="1"/>
  <c r="U58" i="12" s="1"/>
  <c r="W58" i="12" s="1"/>
  <c r="J127" i="8" l="1"/>
  <c r="K127" i="8" s="1"/>
  <c r="L127" i="8" s="1"/>
  <c r="M127" i="8" s="1"/>
  <c r="O127" i="8" s="1"/>
  <c r="S127" i="8"/>
  <c r="S59" i="12"/>
  <c r="T59" i="12" s="1"/>
  <c r="U59" i="12" s="1"/>
  <c r="W59" i="12" s="1"/>
  <c r="X58" i="12"/>
  <c r="Q127" i="8" l="1"/>
  <c r="P127" i="8"/>
  <c r="X59" i="12"/>
  <c r="S60" i="12"/>
  <c r="T60" i="12" s="1"/>
  <c r="U60" i="12" s="1"/>
  <c r="W60" i="12" s="1"/>
  <c r="AA58" i="12"/>
  <c r="Y58" i="12"/>
  <c r="Z58" i="12" s="1"/>
  <c r="R127" i="8" l="1"/>
  <c r="AH127" i="8" s="1"/>
  <c r="S61" i="12"/>
  <c r="T61" i="12" s="1"/>
  <c r="U61" i="12" s="1"/>
  <c r="W61" i="12" s="1"/>
  <c r="X60" i="12"/>
  <c r="Y59" i="12"/>
  <c r="Z59" i="12" s="1"/>
  <c r="AA59" i="12"/>
  <c r="W127" i="8" l="1"/>
  <c r="X127" i="8" s="1"/>
  <c r="Y127" i="8" s="1"/>
  <c r="J128" i="8" s="1"/>
  <c r="Y60" i="12"/>
  <c r="Z60" i="12" s="1"/>
  <c r="AA60" i="12"/>
  <c r="S62" i="12"/>
  <c r="T62" i="12" s="1"/>
  <c r="U62" i="12" s="1"/>
  <c r="W62" i="12" s="1"/>
  <c r="X61" i="12"/>
  <c r="Z127" i="8" l="1"/>
  <c r="S128" i="8"/>
  <c r="K128" i="8"/>
  <c r="L128" i="8" s="1"/>
  <c r="M128" i="8" s="1"/>
  <c r="O128" i="8" s="1"/>
  <c r="Y61" i="12"/>
  <c r="Z61" i="12" s="1"/>
  <c r="AA61" i="12"/>
  <c r="S63" i="12"/>
  <c r="T63" i="12" s="1"/>
  <c r="U63" i="12" s="1"/>
  <c r="W63" i="12" s="1"/>
  <c r="X62" i="12"/>
  <c r="P128" i="8" l="1"/>
  <c r="Q128" i="8"/>
  <c r="S64" i="12"/>
  <c r="T64" i="12" s="1"/>
  <c r="U64" i="12" s="1"/>
  <c r="W64" i="12" s="1"/>
  <c r="X63" i="12"/>
  <c r="AA62" i="12"/>
  <c r="Y62" i="12"/>
  <c r="Z62" i="12" s="1"/>
  <c r="R128" i="8" l="1"/>
  <c r="AA63" i="12"/>
  <c r="Y63" i="12"/>
  <c r="Z63" i="12" s="1"/>
  <c r="S65" i="12"/>
  <c r="T65" i="12" s="1"/>
  <c r="U65" i="12" s="1"/>
  <c r="W65" i="12" s="1"/>
  <c r="X64" i="12"/>
  <c r="AH128" i="8" l="1"/>
  <c r="W128" i="8"/>
  <c r="X128" i="8" s="1"/>
  <c r="Y128" i="8" s="1"/>
  <c r="AA64" i="12"/>
  <c r="Y64" i="12"/>
  <c r="Z64" i="12" s="1"/>
  <c r="S66" i="12"/>
  <c r="T66" i="12" s="1"/>
  <c r="U66" i="12" s="1"/>
  <c r="W66" i="12" s="1"/>
  <c r="X65" i="12"/>
  <c r="J129" i="8" l="1"/>
  <c r="Z128" i="8"/>
  <c r="X66" i="12"/>
  <c r="S67" i="12"/>
  <c r="T67" i="12" s="1"/>
  <c r="U67" i="12" s="1"/>
  <c r="W67" i="12" s="1"/>
  <c r="S68" i="12" s="1"/>
  <c r="Y65" i="12"/>
  <c r="Z65" i="12" s="1"/>
  <c r="AA65" i="12"/>
  <c r="S129" i="8" l="1"/>
  <c r="K129" i="8"/>
  <c r="L129" i="8" s="1"/>
  <c r="M129" i="8" s="1"/>
  <c r="O129" i="8" s="1"/>
  <c r="X67" i="12"/>
  <c r="Y66" i="12"/>
  <c r="Z66" i="12" s="1"/>
  <c r="AA66" i="12"/>
  <c r="Y67" i="12"/>
  <c r="Z67" i="12" s="1"/>
  <c r="AA67" i="12"/>
  <c r="T68" i="12"/>
  <c r="U68" i="12" s="1"/>
  <c r="W68" i="12" s="1"/>
  <c r="X68" i="12" s="1"/>
  <c r="P129" i="8" l="1"/>
  <c r="Q129" i="8"/>
  <c r="AA129" i="8" s="1"/>
  <c r="AB129" i="8" s="1"/>
  <c r="H92" i="8"/>
  <c r="N92" i="8" s="1"/>
  <c r="H86" i="8"/>
  <c r="N86" i="8" s="1"/>
  <c r="H87" i="8"/>
  <c r="N87" i="8" s="1"/>
  <c r="H83" i="8"/>
  <c r="N83" i="8" s="1"/>
  <c r="H80" i="8"/>
  <c r="N80" i="8" s="1"/>
  <c r="H75" i="8"/>
  <c r="N75" i="8" s="1"/>
  <c r="AA68" i="12"/>
  <c r="H91" i="8"/>
  <c r="N91" i="8" s="1"/>
  <c r="H84" i="8"/>
  <c r="N84" i="8" s="1"/>
  <c r="H76" i="8"/>
  <c r="N76" i="8" s="1"/>
  <c r="H77" i="8"/>
  <c r="N77" i="8" s="1"/>
  <c r="H85" i="8"/>
  <c r="N85" i="8" s="1"/>
  <c r="H82" i="8"/>
  <c r="N82" i="8" s="1"/>
  <c r="H89" i="8"/>
  <c r="N89" i="8" s="1"/>
  <c r="H78" i="8"/>
  <c r="N78" i="8" s="1"/>
  <c r="H93" i="8"/>
  <c r="N93" i="8" s="1"/>
  <c r="H90" i="8"/>
  <c r="N90" i="8" s="1"/>
  <c r="H94" i="8"/>
  <c r="N94" i="8" s="1"/>
  <c r="H79" i="8"/>
  <c r="N79" i="8" s="1"/>
  <c r="Y68" i="12"/>
  <c r="Z68" i="12" s="1"/>
  <c r="S70" i="12"/>
  <c r="R129" i="8" l="1"/>
  <c r="T70" i="12"/>
  <c r="U70" i="12" s="1"/>
  <c r="W70" i="12" s="1"/>
  <c r="X70" i="12" s="1"/>
  <c r="AH129" i="8" l="1"/>
  <c r="AI129" i="8" s="1"/>
  <c r="W129" i="8"/>
  <c r="X129" i="8" s="1"/>
  <c r="Y129" i="8" s="1"/>
  <c r="AA70" i="12"/>
  <c r="Y70" i="12"/>
  <c r="Z70" i="12" s="1"/>
  <c r="S71" i="12"/>
  <c r="Z129" i="8" l="1"/>
  <c r="AC129" i="8" s="1"/>
  <c r="AD129" i="8" s="1"/>
  <c r="AE129" i="8" s="1"/>
  <c r="AF129" i="8" s="1"/>
  <c r="AG129" i="8" s="1"/>
  <c r="J131" i="8"/>
  <c r="T71" i="12"/>
  <c r="U71" i="12" s="1"/>
  <c r="W71" i="12" s="1"/>
  <c r="AJ129" i="8" l="1"/>
  <c r="AK129" i="8" s="1"/>
  <c r="S131" i="8"/>
  <c r="K131" i="8"/>
  <c r="L131" i="8" s="1"/>
  <c r="M131" i="8" s="1"/>
  <c r="O131" i="8" s="1"/>
  <c r="X71" i="12"/>
  <c r="S72" i="12"/>
  <c r="Q131" i="8" l="1"/>
  <c r="P131" i="8"/>
  <c r="T72" i="12"/>
  <c r="U72" i="12" s="1"/>
  <c r="W72" i="12" s="1"/>
  <c r="Y71" i="12"/>
  <c r="Z71" i="12" s="1"/>
  <c r="AA71" i="12"/>
  <c r="R131" i="8" l="1"/>
  <c r="AH131" i="8" s="1"/>
  <c r="X72" i="12"/>
  <c r="S73" i="12"/>
  <c r="W131" i="8" l="1"/>
  <c r="X131" i="8" s="1"/>
  <c r="Y131" i="8" s="1"/>
  <c r="Z131" i="8" s="1"/>
  <c r="T73" i="12"/>
  <c r="U73" i="12" s="1"/>
  <c r="W73" i="12" s="1"/>
  <c r="Y72" i="12"/>
  <c r="Z72" i="12" s="1"/>
  <c r="AA72" i="12"/>
  <c r="J132" i="8" l="1"/>
  <c r="S132" i="8" s="1"/>
  <c r="X73" i="12"/>
  <c r="S74" i="12"/>
  <c r="K132" i="8" l="1"/>
  <c r="L132" i="8" s="1"/>
  <c r="M132" i="8" s="1"/>
  <c r="O132" i="8" s="1"/>
  <c r="Q132" i="8" s="1"/>
  <c r="T74" i="12"/>
  <c r="U74" i="12" s="1"/>
  <c r="W74" i="12" s="1"/>
  <c r="Y73" i="12"/>
  <c r="Z73" i="12" s="1"/>
  <c r="AA73" i="12"/>
  <c r="P132" i="8" l="1"/>
  <c r="R132" i="8" s="1"/>
  <c r="AH132" i="8" s="1"/>
  <c r="S75" i="12"/>
  <c r="X74" i="12"/>
  <c r="W132" i="8" l="1"/>
  <c r="X132" i="8" s="1"/>
  <c r="Y132" i="8" s="1"/>
  <c r="J133" i="8" s="1"/>
  <c r="AA74" i="12"/>
  <c r="Y74" i="12"/>
  <c r="Z74" i="12" s="1"/>
  <c r="T75" i="12"/>
  <c r="U75" i="12" s="1"/>
  <c r="W75" i="12" s="1"/>
  <c r="Z132" i="8" l="1"/>
  <c r="K133" i="8"/>
  <c r="L133" i="8" s="1"/>
  <c r="M133" i="8" s="1"/>
  <c r="O133" i="8" s="1"/>
  <c r="S133" i="8"/>
  <c r="X75" i="12"/>
  <c r="S76" i="12"/>
  <c r="P133" i="8" l="1"/>
  <c r="Q133" i="8"/>
  <c r="Y75" i="12"/>
  <c r="Z75" i="12" s="1"/>
  <c r="AA75" i="12"/>
  <c r="T76" i="12"/>
  <c r="U76" i="12" s="1"/>
  <c r="W76" i="12" s="1"/>
  <c r="R133" i="8" l="1"/>
  <c r="X76" i="12"/>
  <c r="S77" i="12"/>
  <c r="AH133" i="8" l="1"/>
  <c r="W133" i="8"/>
  <c r="X133" i="8" s="1"/>
  <c r="Y133" i="8" s="1"/>
  <c r="T77" i="12"/>
  <c r="U77" i="12" s="1"/>
  <c r="W77" i="12" s="1"/>
  <c r="Y76" i="12"/>
  <c r="Z76" i="12" s="1"/>
  <c r="AA76" i="12"/>
  <c r="J134" i="8" l="1"/>
  <c r="Z133" i="8"/>
  <c r="X77" i="12"/>
  <c r="S78" i="12"/>
  <c r="S134" i="8" l="1"/>
  <c r="K134" i="8"/>
  <c r="L134" i="8" s="1"/>
  <c r="M134" i="8" s="1"/>
  <c r="O134" i="8" s="1"/>
  <c r="T78" i="12"/>
  <c r="U78" i="12" s="1"/>
  <c r="W78" i="12" s="1"/>
  <c r="AA77" i="12"/>
  <c r="Y77" i="12"/>
  <c r="Z77" i="12" s="1"/>
  <c r="Q134" i="8" l="1"/>
  <c r="P134" i="8"/>
  <c r="S79" i="12"/>
  <c r="X78" i="12"/>
  <c r="R134" i="8" l="1"/>
  <c r="AH134" i="8" s="1"/>
  <c r="S123" i="12"/>
  <c r="Y78" i="12"/>
  <c r="Z78" i="12" s="1"/>
  <c r="AA78" i="12"/>
  <c r="T79" i="12"/>
  <c r="U79" i="12" s="1"/>
  <c r="W79" i="12" s="1"/>
  <c r="W134" i="8" l="1"/>
  <c r="X134" i="8" s="1"/>
  <c r="Y134" i="8" s="1"/>
  <c r="Z134" i="8" s="1"/>
  <c r="S80" i="12"/>
  <c r="X79" i="12"/>
  <c r="T96" i="12"/>
  <c r="U96" i="12" s="1"/>
  <c r="W96" i="12" s="1"/>
  <c r="X96" i="12" s="1"/>
  <c r="T123" i="12"/>
  <c r="U123" i="12" s="1"/>
  <c r="W123" i="12" s="1"/>
  <c r="J135" i="8" l="1"/>
  <c r="S135" i="8"/>
  <c r="K135" i="8"/>
  <c r="L135" i="8" s="1"/>
  <c r="M135" i="8" s="1"/>
  <c r="O135" i="8" s="1"/>
  <c r="S124" i="12"/>
  <c r="X123" i="12"/>
  <c r="Y96" i="12"/>
  <c r="Z96" i="12" s="1"/>
  <c r="AA96" i="12"/>
  <c r="S97" i="12"/>
  <c r="AA79" i="12"/>
  <c r="Y79" i="12"/>
  <c r="Z79" i="12" s="1"/>
  <c r="T80" i="12"/>
  <c r="U80" i="12" s="1"/>
  <c r="W80" i="12" s="1"/>
  <c r="Q135" i="8" l="1"/>
  <c r="P135" i="8"/>
  <c r="S81" i="12"/>
  <c r="X80" i="12"/>
  <c r="AA123" i="12"/>
  <c r="Y123" i="12"/>
  <c r="Z123" i="12" s="1"/>
  <c r="T124" i="12"/>
  <c r="U124" i="12" s="1"/>
  <c r="W124" i="12" s="1"/>
  <c r="T97" i="12"/>
  <c r="U97" i="12" s="1"/>
  <c r="W97" i="12" s="1"/>
  <c r="R135" i="8" l="1"/>
  <c r="AH135" i="8" s="1"/>
  <c r="X97" i="12"/>
  <c r="S98" i="12"/>
  <c r="S125" i="12"/>
  <c r="X124" i="12"/>
  <c r="AA80" i="12"/>
  <c r="Y80" i="12"/>
  <c r="Z80" i="12" s="1"/>
  <c r="T81" i="12"/>
  <c r="U81" i="12" s="1"/>
  <c r="W81" i="12" s="1"/>
  <c r="X81" i="12" s="1"/>
  <c r="S83" i="12" s="1"/>
  <c r="W135" i="8" l="1"/>
  <c r="X135" i="8" s="1"/>
  <c r="Y135" i="8" s="1"/>
  <c r="J136" i="8" s="1"/>
  <c r="T83" i="12"/>
  <c r="U83" i="12" s="1"/>
  <c r="W83" i="12" s="1"/>
  <c r="AA81" i="12"/>
  <c r="Y81" i="12"/>
  <c r="Z81" i="12" s="1"/>
  <c r="T125" i="12"/>
  <c r="U125" i="12" s="1"/>
  <c r="W125" i="12" s="1"/>
  <c r="T98" i="12"/>
  <c r="U98" i="12" s="1"/>
  <c r="W98" i="12" s="1"/>
  <c r="Y124" i="12"/>
  <c r="Z124" i="12" s="1"/>
  <c r="AA124" i="12"/>
  <c r="Y97" i="12"/>
  <c r="Z97" i="12" s="1"/>
  <c r="AA97" i="12"/>
  <c r="Z135" i="8" l="1"/>
  <c r="S136" i="8"/>
  <c r="K136" i="8"/>
  <c r="L136" i="8" s="1"/>
  <c r="M136" i="8" s="1"/>
  <c r="O136" i="8" s="1"/>
  <c r="S126" i="12"/>
  <c r="X125" i="12"/>
  <c r="X98" i="12"/>
  <c r="S99" i="12"/>
  <c r="P136" i="8" l="1"/>
  <c r="Q136" i="8"/>
  <c r="AA136" i="8" s="1"/>
  <c r="AB136" i="8" s="1"/>
  <c r="T84" i="12"/>
  <c r="U84" i="12" s="1"/>
  <c r="W84" i="12" s="1"/>
  <c r="AA83" i="12"/>
  <c r="Y83" i="12"/>
  <c r="Z83" i="12" s="1"/>
  <c r="T99" i="12"/>
  <c r="U99" i="12" s="1"/>
  <c r="W99" i="12" s="1"/>
  <c r="Y98" i="12"/>
  <c r="Z98" i="12" s="1"/>
  <c r="AA98" i="12"/>
  <c r="Y125" i="12"/>
  <c r="Z125" i="12" s="1"/>
  <c r="AA125" i="12"/>
  <c r="T126" i="12"/>
  <c r="U126" i="12" s="1"/>
  <c r="W126" i="12" s="1"/>
  <c r="R136" i="8" l="1"/>
  <c r="X126" i="12"/>
  <c r="S127" i="12"/>
  <c r="X99" i="12"/>
  <c r="S100" i="12"/>
  <c r="AH136" i="8" l="1"/>
  <c r="AI136" i="8" s="1"/>
  <c r="W136" i="8"/>
  <c r="X136" i="8" s="1"/>
  <c r="T85" i="12"/>
  <c r="U85" i="12" s="1"/>
  <c r="W85" i="12" s="1"/>
  <c r="S86" i="12" s="1"/>
  <c r="AA84" i="12"/>
  <c r="Y84" i="12"/>
  <c r="Z84" i="12" s="1"/>
  <c r="T100" i="12"/>
  <c r="U100" i="12" s="1"/>
  <c r="W100" i="12" s="1"/>
  <c r="Y99" i="12"/>
  <c r="Z99" i="12" s="1"/>
  <c r="AA99" i="12"/>
  <c r="T127" i="12"/>
  <c r="U127" i="12" s="1"/>
  <c r="W127" i="12" s="1"/>
  <c r="Y126" i="12"/>
  <c r="Z126" i="12" s="1"/>
  <c r="AA126" i="12"/>
  <c r="Y136" i="8" l="1"/>
  <c r="Z136" i="8" s="1"/>
  <c r="AC136" i="8" s="1"/>
  <c r="AD136" i="8" s="1"/>
  <c r="AE136" i="8" s="1"/>
  <c r="AF136" i="8" s="1"/>
  <c r="S128" i="12"/>
  <c r="X127" i="12"/>
  <c r="X100" i="12"/>
  <c r="S101" i="12"/>
  <c r="AG136" i="8" l="1"/>
  <c r="AJ136" i="8"/>
  <c r="AK136" i="8" s="1"/>
  <c r="AA85" i="12"/>
  <c r="Y85" i="12"/>
  <c r="Z85" i="12" s="1"/>
  <c r="T86" i="12"/>
  <c r="U86" i="12" s="1"/>
  <c r="W86" i="12" s="1"/>
  <c r="S87" i="12" s="1"/>
  <c r="T101" i="12"/>
  <c r="U101" i="12" s="1"/>
  <c r="W101" i="12" s="1"/>
  <c r="AA100" i="12"/>
  <c r="Y100" i="12"/>
  <c r="Z100" i="12" s="1"/>
  <c r="Y127" i="12"/>
  <c r="Z127" i="12" s="1"/>
  <c r="AA127" i="12"/>
  <c r="T128" i="12"/>
  <c r="U128" i="12" s="1"/>
  <c r="W128" i="12" s="1"/>
  <c r="S129" i="12" l="1"/>
  <c r="X128" i="12"/>
  <c r="X101" i="12"/>
  <c r="S102" i="12"/>
  <c r="T87" i="12" l="1"/>
  <c r="U87" i="12" s="1"/>
  <c r="W87" i="12" s="1"/>
  <c r="S88" i="12" s="1"/>
  <c r="AA86" i="12"/>
  <c r="Y86" i="12"/>
  <c r="Z86" i="12" s="1"/>
  <c r="T102" i="12"/>
  <c r="U102" i="12" s="1"/>
  <c r="W102" i="12" s="1"/>
  <c r="Y101" i="12"/>
  <c r="Z101" i="12" s="1"/>
  <c r="AA101" i="12"/>
  <c r="AA128" i="12"/>
  <c r="Y128" i="12"/>
  <c r="Z128" i="12" s="1"/>
  <c r="T129" i="12"/>
  <c r="U129" i="12" s="1"/>
  <c r="W129" i="12" s="1"/>
  <c r="S130" i="12" l="1"/>
  <c r="X129" i="12"/>
  <c r="S103" i="12"/>
  <c r="X102" i="12"/>
  <c r="T88" i="12" l="1"/>
  <c r="U88" i="12" s="1"/>
  <c r="W88" i="12" s="1"/>
  <c r="S89" i="12" s="1"/>
  <c r="AA87" i="12"/>
  <c r="Y87" i="12"/>
  <c r="Z87" i="12" s="1"/>
  <c r="Y102" i="12"/>
  <c r="Z102" i="12" s="1"/>
  <c r="AA102" i="12"/>
  <c r="T103" i="12"/>
  <c r="U103" i="12" s="1"/>
  <c r="W103" i="12" s="1"/>
  <c r="X103" i="12" s="1"/>
  <c r="S105" i="12" s="1"/>
  <c r="AA129" i="12"/>
  <c r="Y129" i="12"/>
  <c r="Z129" i="12" s="1"/>
  <c r="T130" i="12"/>
  <c r="U130" i="12" s="1"/>
  <c r="W130" i="12" s="1"/>
  <c r="X130" i="12" s="1"/>
  <c r="T105" i="12" l="1"/>
  <c r="U105" i="12" s="1"/>
  <c r="W105" i="12" s="1"/>
  <c r="S106" i="12" s="1"/>
  <c r="T106" i="12" s="1"/>
  <c r="U106" i="12" s="1"/>
  <c r="W106" i="12" s="1"/>
  <c r="Y130" i="12"/>
  <c r="Z130" i="12" s="1"/>
  <c r="AA130" i="12"/>
  <c r="H119" i="8"/>
  <c r="N119" i="8" s="1"/>
  <c r="H133" i="8"/>
  <c r="N133" i="8" s="1"/>
  <c r="H106" i="8"/>
  <c r="N106" i="8" s="1"/>
  <c r="H135" i="8"/>
  <c r="N135" i="8" s="1"/>
  <c r="H125" i="8"/>
  <c r="N125" i="8" s="1"/>
  <c r="H103" i="8"/>
  <c r="N103" i="8" s="1"/>
  <c r="H113" i="8"/>
  <c r="N113" i="8" s="1"/>
  <c r="H129" i="8"/>
  <c r="N129" i="8" s="1"/>
  <c r="H99" i="8"/>
  <c r="N99" i="8" s="1"/>
  <c r="Y103" i="12"/>
  <c r="Z103" i="12" s="1"/>
  <c r="H108" i="8"/>
  <c r="N108" i="8" s="1"/>
  <c r="H101" i="8"/>
  <c r="N101" i="8" s="1"/>
  <c r="H96" i="8"/>
  <c r="N96" i="8" s="1"/>
  <c r="H115" i="8"/>
  <c r="N115" i="8" s="1"/>
  <c r="H127" i="8"/>
  <c r="N127" i="8" s="1"/>
  <c r="H117" i="8"/>
  <c r="N117" i="8" s="1"/>
  <c r="H114" i="8"/>
  <c r="N114" i="8" s="1"/>
  <c r="AA103" i="12"/>
  <c r="H111" i="8"/>
  <c r="N111" i="8" s="1"/>
  <c r="H121" i="8"/>
  <c r="N121" i="8" s="1"/>
  <c r="H105" i="8"/>
  <c r="N105" i="8" s="1"/>
  <c r="H97" i="8"/>
  <c r="N97" i="8" s="1"/>
  <c r="H136" i="8"/>
  <c r="N136" i="8" s="1"/>
  <c r="H104" i="8"/>
  <c r="N104" i="8" s="1"/>
  <c r="H120" i="8"/>
  <c r="N120" i="8" s="1"/>
  <c r="H100" i="8"/>
  <c r="N100" i="8" s="1"/>
  <c r="H122" i="8"/>
  <c r="N122" i="8" s="1"/>
  <c r="H98" i="8"/>
  <c r="N98" i="8" s="1"/>
  <c r="H112" i="8"/>
  <c r="N112" i="8" s="1"/>
  <c r="H128" i="8"/>
  <c r="N128" i="8" s="1"/>
  <c r="H131" i="8"/>
  <c r="N131" i="8" s="1"/>
  <c r="H110" i="8"/>
  <c r="N110" i="8" s="1"/>
  <c r="H126" i="8"/>
  <c r="N126" i="8" s="1"/>
  <c r="H134" i="8"/>
  <c r="N134" i="8" s="1"/>
  <c r="H107" i="8"/>
  <c r="N107" i="8" s="1"/>
  <c r="H118" i="8"/>
  <c r="N118" i="8" s="1"/>
  <c r="H124" i="8"/>
  <c r="N124" i="8" s="1"/>
  <c r="H132" i="8"/>
  <c r="N132" i="8" s="1"/>
  <c r="X105" i="12" l="1"/>
  <c r="S107" i="12"/>
  <c r="T107" i="12" s="1"/>
  <c r="U107" i="12" s="1"/>
  <c r="W107" i="12" s="1"/>
  <c r="X106" i="12"/>
  <c r="Y105" i="12"/>
  <c r="Z105" i="12" s="1"/>
  <c r="AA105" i="12"/>
  <c r="T89" i="12"/>
  <c r="U89" i="12" s="1"/>
  <c r="W89" i="12" s="1"/>
  <c r="S90" i="12" s="1"/>
  <c r="AA88" i="12"/>
  <c r="Y88" i="12"/>
  <c r="Z88" i="12" s="1"/>
  <c r="AA106" i="12" l="1"/>
  <c r="Y106" i="12"/>
  <c r="Z106" i="12" s="1"/>
  <c r="S108" i="12"/>
  <c r="T108" i="12" s="1"/>
  <c r="U108" i="12" s="1"/>
  <c r="W108" i="12" s="1"/>
  <c r="X107" i="12"/>
  <c r="T90" i="12"/>
  <c r="U90" i="12" s="1"/>
  <c r="W90" i="12" s="1"/>
  <c r="S91" i="12" s="1"/>
  <c r="AA89" i="12"/>
  <c r="Y89" i="12"/>
  <c r="Z89" i="12" s="1"/>
  <c r="AA107" i="12" l="1"/>
  <c r="Y107" i="12"/>
  <c r="Z107" i="12" s="1"/>
  <c r="S109" i="12"/>
  <c r="T109" i="12" s="1"/>
  <c r="U109" i="12" s="1"/>
  <c r="W109" i="12" s="1"/>
  <c r="X108" i="12"/>
  <c r="AA90" i="12"/>
  <c r="Y90" i="12"/>
  <c r="Z90" i="12" s="1"/>
  <c r="T91" i="12"/>
  <c r="U91" i="12" s="1"/>
  <c r="W91" i="12" s="1"/>
  <c r="S92" i="12" s="1"/>
  <c r="AA108" i="12" l="1"/>
  <c r="Y108" i="12"/>
  <c r="Z108" i="12" s="1"/>
  <c r="S110" i="12"/>
  <c r="T110" i="12" s="1"/>
  <c r="U110" i="12" s="1"/>
  <c r="W110" i="12" s="1"/>
  <c r="X109" i="12"/>
  <c r="AA91" i="12"/>
  <c r="Y91" i="12"/>
  <c r="Z91" i="12" s="1"/>
  <c r="T92" i="12"/>
  <c r="U92" i="12" s="1"/>
  <c r="W92" i="12" s="1"/>
  <c r="S93" i="12" s="1"/>
  <c r="Y109" i="12" l="1"/>
  <c r="Z109" i="12" s="1"/>
  <c r="AA109" i="12"/>
  <c r="S111" i="12"/>
  <c r="T111" i="12" s="1"/>
  <c r="U111" i="12" s="1"/>
  <c r="W111" i="12" s="1"/>
  <c r="X110" i="12"/>
  <c r="T93" i="12"/>
  <c r="U93" i="12" s="1"/>
  <c r="W93" i="12" s="1"/>
  <c r="S94" i="12" s="1"/>
  <c r="AA92" i="12"/>
  <c r="Y92" i="12"/>
  <c r="Z92" i="12" s="1"/>
  <c r="Y110" i="12" l="1"/>
  <c r="Z110" i="12" s="1"/>
  <c r="AA110" i="12"/>
  <c r="S112" i="12"/>
  <c r="T112" i="12" s="1"/>
  <c r="U112" i="12" s="1"/>
  <c r="W112" i="12" s="1"/>
  <c r="X112" i="12" s="1"/>
  <c r="X111" i="12"/>
  <c r="T94" i="12"/>
  <c r="U94" i="12" s="1"/>
  <c r="W94" i="12" s="1"/>
  <c r="AA93" i="12"/>
  <c r="Y93" i="12"/>
  <c r="Z93" i="12" s="1"/>
  <c r="Y111" i="12" l="1"/>
  <c r="Z111" i="12" s="1"/>
  <c r="AA111" i="12"/>
  <c r="S114" i="12"/>
  <c r="Y112" i="12"/>
  <c r="Z112" i="12" s="1"/>
  <c r="AA112" i="12"/>
  <c r="AA94" i="12"/>
  <c r="Y94" i="12"/>
  <c r="Z94" i="12" s="1"/>
  <c r="T114" i="12" l="1"/>
  <c r="U114" i="12" s="1"/>
  <c r="W114" i="12" s="1"/>
  <c r="X114" i="12" s="1"/>
  <c r="Y114" i="12" l="1"/>
  <c r="Z114" i="12" s="1"/>
  <c r="AA114" i="12"/>
  <c r="S115" i="12"/>
  <c r="T115" i="12" s="1"/>
  <c r="U115" i="12" s="1"/>
  <c r="W115" i="12" s="1"/>
  <c r="S116" i="12" l="1"/>
  <c r="T116" i="12" s="1"/>
  <c r="U116" i="12" s="1"/>
  <c r="W116" i="12" s="1"/>
  <c r="X115" i="12"/>
  <c r="AA115" i="12" l="1"/>
  <c r="Y115" i="12"/>
  <c r="Z115" i="12" s="1"/>
  <c r="S117" i="12"/>
  <c r="T117" i="12" s="1"/>
  <c r="U117" i="12" s="1"/>
  <c r="W117" i="12" s="1"/>
  <c r="X116" i="12"/>
  <c r="Y116" i="12" l="1"/>
  <c r="Z116" i="12" s="1"/>
  <c r="AA116" i="12"/>
  <c r="S118" i="12"/>
  <c r="T118" i="12" s="1"/>
  <c r="U118" i="12" s="1"/>
  <c r="W118" i="12" s="1"/>
  <c r="X117" i="12"/>
  <c r="Y117" i="12" l="1"/>
  <c r="Z117" i="12" s="1"/>
  <c r="AA117" i="12"/>
  <c r="S119" i="12"/>
  <c r="T119" i="12" s="1"/>
  <c r="U119" i="12" s="1"/>
  <c r="W119" i="12" s="1"/>
  <c r="X118" i="12"/>
  <c r="AA118" i="12" l="1"/>
  <c r="Y118" i="12"/>
  <c r="Z118" i="12" s="1"/>
  <c r="S120" i="12"/>
  <c r="T120" i="12" s="1"/>
  <c r="U120" i="12" s="1"/>
  <c r="W120" i="12" s="1"/>
  <c r="X119" i="12"/>
  <c r="Y119" i="12" l="1"/>
  <c r="Z119" i="12" s="1"/>
  <c r="AA119" i="12"/>
  <c r="S121" i="12"/>
  <c r="T121" i="12" s="1"/>
  <c r="U121" i="12" s="1"/>
  <c r="W121" i="12" s="1"/>
  <c r="X121" i="12" s="1"/>
  <c r="X120" i="12"/>
  <c r="Y120" i="12" l="1"/>
  <c r="Z120" i="12" s="1"/>
  <c r="AA120" i="12"/>
  <c r="AA121" i="12"/>
  <c r="Y121" i="12"/>
  <c r="Z121" i="12" s="1"/>
  <c r="AE28" i="15"/>
  <c r="AF28" i="15"/>
  <c r="AH28" i="15" s="1"/>
  <c r="AG28" i="15" l="1"/>
  <c r="AI28" i="15" s="1"/>
  <c r="AJ28" i="15" s="1"/>
  <c r="AK28" i="15" s="1"/>
  <c r="AL28" i="15" s="1"/>
  <c r="AD29" i="15" l="1"/>
  <c r="AE29" i="15" s="1"/>
  <c r="AM28" i="15"/>
  <c r="AF29" i="15" l="1"/>
  <c r="AH29" i="15" s="1"/>
  <c r="AG29" i="15" l="1"/>
  <c r="AI29" i="15" s="1"/>
  <c r="AJ29" i="15" s="1"/>
  <c r="AK29" i="15" s="1"/>
  <c r="AL29" i="15" s="1"/>
  <c r="AD30" i="15" s="1"/>
  <c r="AE30" i="15" s="1"/>
  <c r="AM29" i="15" l="1"/>
  <c r="AF30" i="15"/>
  <c r="AG30" i="15" s="1"/>
  <c r="AH30" i="15" l="1"/>
  <c r="AI30" i="15" s="1"/>
  <c r="AJ30" i="15" s="1"/>
  <c r="AK30" i="15" s="1"/>
  <c r="AL30" i="15" s="1"/>
  <c r="AM30" i="15" l="1"/>
  <c r="AD31" i="15"/>
  <c r="AF31" i="15" l="1"/>
  <c r="AE31" i="15"/>
  <c r="AG31" i="15" l="1"/>
  <c r="AH31" i="15"/>
  <c r="AI31" i="15" l="1"/>
  <c r="AJ31" i="15" s="1"/>
  <c r="AK31" i="15" s="1"/>
  <c r="AL31" i="15" s="1"/>
  <c r="AD32" i="15" l="1"/>
  <c r="AM31" i="15"/>
  <c r="AF32" i="15" l="1"/>
  <c r="AE32" i="15"/>
  <c r="AG32" i="15" l="1"/>
  <c r="AH32" i="15"/>
  <c r="AI32" i="15" l="1"/>
  <c r="AJ32" i="15" s="1"/>
  <c r="AK32" i="15" s="1"/>
  <c r="AL32" i="15" s="1"/>
  <c r="AM32" i="15" l="1"/>
  <c r="AD33" i="15"/>
  <c r="AF33" i="15" l="1"/>
  <c r="AE33" i="15"/>
  <c r="AH33" i="15" l="1"/>
  <c r="AG33" i="15"/>
  <c r="AI33" i="15" l="1"/>
  <c r="AJ33" i="15" s="1"/>
  <c r="AK33" i="15" s="1"/>
  <c r="AL33" i="15" s="1"/>
  <c r="AD34" i="15" s="1"/>
  <c r="AM33" i="15" l="1"/>
  <c r="AE34" i="15"/>
  <c r="AF34" i="15"/>
  <c r="AG34" i="15" l="1"/>
  <c r="AH34" i="15"/>
  <c r="AI34" i="15" l="1"/>
  <c r="AJ34" i="15" s="1"/>
  <c r="AK34" i="15" s="1"/>
  <c r="AL34" i="15" s="1"/>
  <c r="AM34" i="15" l="1"/>
  <c r="AD35" i="15"/>
  <c r="AF35" i="15" l="1"/>
  <c r="AE35" i="15"/>
  <c r="AG35" i="15" l="1"/>
  <c r="AH35" i="15"/>
  <c r="AI35" i="15" l="1"/>
  <c r="AJ35" i="15" s="1"/>
  <c r="AK35" i="15" s="1"/>
  <c r="AL35" i="15" s="1"/>
  <c r="AM35" i="15" l="1"/>
  <c r="AD36" i="15"/>
  <c r="AF36" i="15" l="1"/>
  <c r="AE36" i="15"/>
  <c r="AH36" i="15" l="1"/>
  <c r="AG36" i="15"/>
  <c r="AI36" i="15" l="1"/>
  <c r="AJ36" i="15" s="1"/>
  <c r="AK36" i="15" s="1"/>
  <c r="AL36" i="15" s="1"/>
  <c r="AM36" i="15" s="1"/>
  <c r="AD37" i="15" l="1"/>
  <c r="AF37" i="15" s="1"/>
  <c r="AE37" i="15" l="1"/>
  <c r="AH37" i="15"/>
  <c r="AG37" i="15"/>
  <c r="AI37" i="15" l="1"/>
  <c r="AJ37" i="15" s="1"/>
  <c r="AK37" i="15" s="1"/>
  <c r="AL37" i="15" s="1"/>
  <c r="AD38" i="15" s="1"/>
  <c r="AM37" i="15" l="1"/>
  <c r="AE38" i="15"/>
  <c r="AF38" i="15"/>
  <c r="AG38" i="15" l="1"/>
  <c r="AH38" i="15"/>
  <c r="AI38" i="15" l="1"/>
  <c r="AJ38" i="15" s="1"/>
  <c r="AK38" i="15" s="1"/>
  <c r="AL38" i="15" s="1"/>
  <c r="AM38" i="15" l="1"/>
  <c r="AD39" i="15"/>
  <c r="AF39" i="15" l="1"/>
  <c r="AE39" i="15"/>
  <c r="AG39" i="15" l="1"/>
  <c r="AH39" i="15"/>
  <c r="AI39" i="15" l="1"/>
  <c r="AJ39" i="15" s="1"/>
  <c r="AK39" i="15" s="1"/>
  <c r="AL39" i="15" s="1"/>
  <c r="AM39" i="15" l="1"/>
  <c r="AD40" i="15"/>
  <c r="AE40" i="15" l="1"/>
  <c r="AF40" i="15"/>
  <c r="AG40" i="15" l="1"/>
  <c r="AH40" i="15"/>
  <c r="AI40" i="15" l="1"/>
  <c r="AJ40" i="15" s="1"/>
  <c r="AK40" i="15" s="1"/>
  <c r="AL40" i="15" s="1"/>
  <c r="AD41" i="15" s="1"/>
  <c r="AE41" i="15" l="1"/>
  <c r="D4" i="25" s="1"/>
  <c r="E4" i="25"/>
  <c r="R41" i="25" s="1"/>
  <c r="AF41" i="15"/>
  <c r="AM40" i="15"/>
  <c r="AH41" i="15" l="1"/>
  <c r="AG41" i="15" l="1"/>
  <c r="AI41" i="15" s="1"/>
  <c r="F4" i="25" s="1"/>
  <c r="Q41" i="25" s="1"/>
  <c r="AJ41" i="15" l="1"/>
  <c r="L4" i="25" s="1"/>
  <c r="U41" i="25" s="1"/>
  <c r="AK41" i="15" l="1"/>
  <c r="AL41" i="15" s="1"/>
  <c r="AK6" i="21" l="1"/>
  <c r="AK20" i="21" s="1"/>
  <c r="AL6" i="21"/>
  <c r="AL20" i="21" s="1"/>
  <c r="AD42" i="15"/>
  <c r="AE42" i="15" s="1"/>
  <c r="V6" i="21"/>
  <c r="B8" i="21" s="1"/>
  <c r="AM41" i="15"/>
  <c r="AM6" i="21" l="1"/>
  <c r="AM20" i="21" s="1"/>
  <c r="M5" i="25" s="1"/>
  <c r="S42" i="25" s="1"/>
  <c r="M4" i="25"/>
  <c r="S41" i="25" s="1"/>
  <c r="AF42" i="15"/>
  <c r="AG42" i="15" s="1"/>
  <c r="B7" i="21"/>
  <c r="G8" i="21"/>
  <c r="I8" i="21"/>
  <c r="S8" i="21" s="1"/>
  <c r="C8" i="21"/>
  <c r="Q8" i="21" s="1"/>
  <c r="H8" i="21"/>
  <c r="E8" i="21"/>
  <c r="F8" i="21"/>
  <c r="AD28" i="21"/>
  <c r="AH42" i="15" l="1"/>
  <c r="AI42" i="15" s="1"/>
  <c r="AJ42" i="15" s="1"/>
  <c r="AK42" i="15" s="1"/>
  <c r="AL42" i="15" s="1"/>
  <c r="C7" i="21"/>
  <c r="R8" i="21" s="1"/>
  <c r="H7" i="21"/>
  <c r="E7" i="21"/>
  <c r="G7" i="21"/>
  <c r="F7" i="21"/>
  <c r="I7" i="21"/>
  <c r="T8" i="21" s="1"/>
  <c r="AE28" i="21"/>
  <c r="AF28" i="21"/>
  <c r="AH28" i="21" l="1"/>
  <c r="AG28" i="21"/>
  <c r="V8" i="21"/>
  <c r="B10" i="21" s="1"/>
  <c r="AD43" i="15"/>
  <c r="AM42" i="15"/>
  <c r="AI28" i="21" l="1"/>
  <c r="AJ28" i="21" s="1"/>
  <c r="G10" i="21"/>
  <c r="H10" i="21"/>
  <c r="I10" i="21"/>
  <c r="S10" i="21" s="1"/>
  <c r="E10" i="21"/>
  <c r="B9" i="21"/>
  <c r="F10" i="21"/>
  <c r="C10" i="21"/>
  <c r="Q10" i="21" s="1"/>
  <c r="AE43" i="15"/>
  <c r="AF43" i="15"/>
  <c r="I9" i="21" l="1"/>
  <c r="T10" i="21" s="1"/>
  <c r="G9" i="21"/>
  <c r="H9" i="21"/>
  <c r="C9" i="21"/>
  <c r="R10" i="21" s="1"/>
  <c r="V10" i="21" s="1"/>
  <c r="B12" i="21" s="1"/>
  <c r="F9" i="21"/>
  <c r="E9" i="21"/>
  <c r="AG43" i="15"/>
  <c r="AH43" i="15"/>
  <c r="G12" i="21" l="1"/>
  <c r="C12" i="21"/>
  <c r="Q12" i="21" s="1"/>
  <c r="I12" i="21"/>
  <c r="S12" i="21" s="1"/>
  <c r="H12" i="21"/>
  <c r="B11" i="21"/>
  <c r="E12" i="21"/>
  <c r="F12" i="21"/>
  <c r="AI43" i="15"/>
  <c r="AJ43" i="15" s="1"/>
  <c r="AK43" i="15" s="1"/>
  <c r="AL43" i="15" s="1"/>
  <c r="H11" i="21" l="1"/>
  <c r="I11" i="21"/>
  <c r="T12" i="21" s="1"/>
  <c r="E11" i="21"/>
  <c r="C11" i="21"/>
  <c r="R12" i="21" s="1"/>
  <c r="V12" i="21" s="1"/>
  <c r="B14" i="21" s="1"/>
  <c r="F11" i="21"/>
  <c r="G11" i="21"/>
  <c r="AM43" i="15"/>
  <c r="AD44" i="15"/>
  <c r="I14" i="21" l="1"/>
  <c r="S14" i="21" s="1"/>
  <c r="E14" i="21"/>
  <c r="F14" i="21"/>
  <c r="G14" i="21"/>
  <c r="H14" i="21"/>
  <c r="B13" i="21"/>
  <c r="C14" i="21"/>
  <c r="Q14" i="21" s="1"/>
  <c r="AF44" i="15"/>
  <c r="AE44" i="15"/>
  <c r="F13" i="21" l="1"/>
  <c r="G13" i="21"/>
  <c r="I13" i="21"/>
  <c r="T14" i="21" s="1"/>
  <c r="C13" i="21"/>
  <c r="R14" i="21" s="1"/>
  <c r="V14" i="21" s="1"/>
  <c r="B16" i="21" s="1"/>
  <c r="H13" i="21"/>
  <c r="E13" i="21"/>
  <c r="AG44" i="15"/>
  <c r="AH44" i="15"/>
  <c r="B15" i="21" l="1"/>
  <c r="F16" i="21"/>
  <c r="I16" i="21"/>
  <c r="S16" i="21" s="1"/>
  <c r="E16" i="21"/>
  <c r="C16" i="21"/>
  <c r="Q16" i="21" s="1"/>
  <c r="H16" i="21"/>
  <c r="G16" i="21"/>
  <c r="AI44" i="15"/>
  <c r="AJ44" i="15" s="1"/>
  <c r="AK44" i="15" s="1"/>
  <c r="AL44" i="15" s="1"/>
  <c r="AM44" i="15" s="1"/>
  <c r="F15" i="21" l="1"/>
  <c r="C15" i="21"/>
  <c r="R16" i="21" s="1"/>
  <c r="H15" i="21"/>
  <c r="I15" i="21"/>
  <c r="T16" i="21" s="1"/>
  <c r="G15" i="21"/>
  <c r="E15" i="21"/>
  <c r="AD45" i="15"/>
  <c r="AE45" i="15" s="1"/>
  <c r="V16" i="21" l="1"/>
  <c r="B18" i="21" s="1"/>
  <c r="H18" i="21" s="1"/>
  <c r="AF45" i="15"/>
  <c r="AH45" i="15" s="1"/>
  <c r="B17" i="21" l="1"/>
  <c r="E18" i="21"/>
  <c r="I18" i="21"/>
  <c r="S18" i="21" s="1"/>
  <c r="G18" i="21"/>
  <c r="C18" i="21"/>
  <c r="Q18" i="21" s="1"/>
  <c r="F18" i="21"/>
  <c r="C17" i="21"/>
  <c r="F17" i="21"/>
  <c r="H17" i="21"/>
  <c r="I17" i="21"/>
  <c r="E17" i="21"/>
  <c r="G17" i="21"/>
  <c r="AG45" i="15"/>
  <c r="AI45" i="15" s="1"/>
  <c r="AJ45" i="15" s="1"/>
  <c r="AK45" i="15" s="1"/>
  <c r="AL45" i="15" s="1"/>
  <c r="R18" i="21" l="1"/>
  <c r="T18" i="21"/>
  <c r="AM45" i="15"/>
  <c r="AD46" i="15"/>
  <c r="V18" i="21" l="1"/>
  <c r="B20" i="21" s="1"/>
  <c r="C5" i="25" s="1"/>
  <c r="P42" i="25" s="1"/>
  <c r="AE46" i="15"/>
  <c r="AF46" i="15"/>
  <c r="C20" i="21" l="1"/>
  <c r="Y31" i="21" s="1"/>
  <c r="Z31" i="21" s="1"/>
  <c r="L31" i="21" s="1"/>
  <c r="B19" i="21"/>
  <c r="E20" i="21"/>
  <c r="W20" i="21" s="1"/>
  <c r="G20" i="21"/>
  <c r="I20" i="21"/>
  <c r="F20" i="21"/>
  <c r="H20" i="21"/>
  <c r="Y43" i="21"/>
  <c r="Z43" i="21" s="1"/>
  <c r="L43" i="21" s="1"/>
  <c r="Q20" i="21"/>
  <c r="Y29" i="21"/>
  <c r="Z29" i="21" s="1"/>
  <c r="L29" i="21" s="1"/>
  <c r="Y35" i="21"/>
  <c r="Z35" i="21" s="1"/>
  <c r="L35" i="21" s="1"/>
  <c r="Y38" i="21"/>
  <c r="Z38" i="21" s="1"/>
  <c r="L38" i="21" s="1"/>
  <c r="Y45" i="21"/>
  <c r="Z45" i="21" s="1"/>
  <c r="L45" i="21" s="1"/>
  <c r="Y28" i="21"/>
  <c r="Z28" i="21" s="1"/>
  <c r="L28" i="21" s="1"/>
  <c r="Y42" i="21"/>
  <c r="Z42" i="21" s="1"/>
  <c r="L42" i="21" s="1"/>
  <c r="Y41" i="21"/>
  <c r="Z41" i="21" s="1"/>
  <c r="L41" i="21" s="1"/>
  <c r="Y40" i="21"/>
  <c r="Z40" i="21" s="1"/>
  <c r="L40" i="21" s="1"/>
  <c r="Y36" i="21"/>
  <c r="Z36" i="21" s="1"/>
  <c r="L36" i="21" s="1"/>
  <c r="H6" i="25" s="1"/>
  <c r="Y34" i="21"/>
  <c r="Z34" i="21" s="1"/>
  <c r="L34" i="21" s="1"/>
  <c r="Y30" i="21"/>
  <c r="Z30" i="21" s="1"/>
  <c r="L30" i="21" s="1"/>
  <c r="Y47" i="21"/>
  <c r="Z47" i="21" s="1"/>
  <c r="L47" i="21" s="1"/>
  <c r="Y46" i="21"/>
  <c r="Z46" i="21" s="1"/>
  <c r="L46" i="21" s="1"/>
  <c r="Y32" i="21"/>
  <c r="Z32" i="21" s="1"/>
  <c r="L32" i="21" s="1"/>
  <c r="Y44" i="21"/>
  <c r="Z44" i="21" s="1"/>
  <c r="L44" i="21" s="1"/>
  <c r="Y33" i="21"/>
  <c r="Z33" i="21" s="1"/>
  <c r="L33" i="21" s="1"/>
  <c r="Y48" i="21"/>
  <c r="Z48" i="21" s="1"/>
  <c r="L48" i="21" s="1"/>
  <c r="Y39" i="21"/>
  <c r="Z39" i="21" s="1"/>
  <c r="L39" i="21" s="1"/>
  <c r="H19" i="21"/>
  <c r="C19" i="21"/>
  <c r="R20" i="21" s="1"/>
  <c r="E19" i="21"/>
  <c r="F19" i="21"/>
  <c r="G19" i="21"/>
  <c r="I19" i="21"/>
  <c r="T20" i="21" s="1"/>
  <c r="S20" i="21"/>
  <c r="AD20" i="21"/>
  <c r="E5" i="25" s="1"/>
  <c r="R42" i="25" s="1"/>
  <c r="AG46" i="15"/>
  <c r="AH46" i="15"/>
  <c r="Y37" i="21" l="1"/>
  <c r="Z37" i="21" s="1"/>
  <c r="L37" i="21" s="1"/>
  <c r="X20" i="21"/>
  <c r="J5" i="25" s="1"/>
  <c r="V42" i="25" s="1"/>
  <c r="I5" i="25"/>
  <c r="W42" i="25" s="1"/>
  <c r="K30" i="21"/>
  <c r="M30" i="21"/>
  <c r="M38" i="21"/>
  <c r="K38" i="21"/>
  <c r="K34" i="21"/>
  <c r="M34" i="21"/>
  <c r="M35" i="21"/>
  <c r="K35" i="21"/>
  <c r="K39" i="21"/>
  <c r="M39" i="21"/>
  <c r="M48" i="21"/>
  <c r="K48" i="21"/>
  <c r="K36" i="21"/>
  <c r="M36" i="21"/>
  <c r="K37" i="21"/>
  <c r="M37" i="21"/>
  <c r="AA30" i="21"/>
  <c r="AB30" i="21" s="1"/>
  <c r="AC30" i="21" s="1"/>
  <c r="AA33" i="21"/>
  <c r="AB33" i="21" s="1"/>
  <c r="AC33" i="21" s="1"/>
  <c r="AA41" i="21"/>
  <c r="AB41" i="21" s="1"/>
  <c r="AC41" i="21" s="1"/>
  <c r="AA35" i="21"/>
  <c r="AB35" i="21" s="1"/>
  <c r="AC35" i="21" s="1"/>
  <c r="AA45" i="21"/>
  <c r="AB45" i="21" s="1"/>
  <c r="AC45" i="21" s="1"/>
  <c r="AA29" i="21"/>
  <c r="AB29" i="21" s="1"/>
  <c r="AC29" i="21" s="1"/>
  <c r="AA40" i="21"/>
  <c r="AB40" i="21" s="1"/>
  <c r="AC40" i="21" s="1"/>
  <c r="AA38" i="21"/>
  <c r="AB38" i="21" s="1"/>
  <c r="AC38" i="21" s="1"/>
  <c r="AA44" i="21"/>
  <c r="AB44" i="21" s="1"/>
  <c r="AC44" i="21" s="1"/>
  <c r="AA32" i="21"/>
  <c r="AB32" i="21" s="1"/>
  <c r="AC32" i="21" s="1"/>
  <c r="AA31" i="21"/>
  <c r="AB31" i="21" s="1"/>
  <c r="AC31" i="21" s="1"/>
  <c r="AA34" i="21"/>
  <c r="AB34" i="21" s="1"/>
  <c r="AC34" i="21" s="1"/>
  <c r="AA42" i="21"/>
  <c r="AB42" i="21" s="1"/>
  <c r="AC42" i="21" s="1"/>
  <c r="AA43" i="21"/>
  <c r="AB43" i="21" s="1"/>
  <c r="AC43" i="21" s="1"/>
  <c r="AA47" i="21"/>
  <c r="AB47" i="21" s="1"/>
  <c r="AC47" i="21" s="1"/>
  <c r="AA28" i="21"/>
  <c r="AB28" i="21" s="1"/>
  <c r="AA39" i="21"/>
  <c r="AB39" i="21" s="1"/>
  <c r="AC39" i="21" s="1"/>
  <c r="AA36" i="21"/>
  <c r="AB36" i="21" s="1"/>
  <c r="AC36" i="21" s="1"/>
  <c r="K6" i="25" s="1"/>
  <c r="T43" i="25" s="1"/>
  <c r="AE20" i="21"/>
  <c r="D5" i="25" s="1"/>
  <c r="AF20" i="21"/>
  <c r="K44" i="21"/>
  <c r="M44" i="21"/>
  <c r="K41" i="21"/>
  <c r="M41" i="21"/>
  <c r="K29" i="21"/>
  <c r="M29" i="21"/>
  <c r="M40" i="21"/>
  <c r="K40" i="21"/>
  <c r="K32" i="21"/>
  <c r="M32" i="21"/>
  <c r="K42" i="21"/>
  <c r="M42" i="21"/>
  <c r="K31" i="21"/>
  <c r="M31" i="21"/>
  <c r="K33" i="21"/>
  <c r="M33" i="21"/>
  <c r="K46" i="21"/>
  <c r="M46" i="21"/>
  <c r="M28" i="21"/>
  <c r="K28" i="21"/>
  <c r="V20" i="21"/>
  <c r="V28" i="21" s="1"/>
  <c r="K47" i="21"/>
  <c r="M47" i="21"/>
  <c r="K45" i="21"/>
  <c r="M45" i="21"/>
  <c r="M43" i="21"/>
  <c r="K43" i="21"/>
  <c r="AI46" i="15"/>
  <c r="AJ46" i="15" s="1"/>
  <c r="AK46" i="15" s="1"/>
  <c r="AL46" i="15" s="1"/>
  <c r="AM46" i="15" s="1"/>
  <c r="AA48" i="21" l="1"/>
  <c r="AB48" i="21" s="1"/>
  <c r="AC48" i="21" s="1"/>
  <c r="AA37" i="21"/>
  <c r="AB37" i="21" s="1"/>
  <c r="AC37" i="21" s="1"/>
  <c r="AA46" i="21"/>
  <c r="AB46" i="21" s="1"/>
  <c r="AC46" i="21" s="1"/>
  <c r="K6" i="22"/>
  <c r="K20" i="22" s="1"/>
  <c r="G7" i="25" s="1"/>
  <c r="G6" i="25"/>
  <c r="AC6" i="22"/>
  <c r="AC20" i="22" s="1"/>
  <c r="K7" i="25" s="1"/>
  <c r="T44" i="25" s="1"/>
  <c r="AH20" i="21"/>
  <c r="AG20" i="21"/>
  <c r="AK28" i="21"/>
  <c r="AL28" i="21" s="1"/>
  <c r="AC28" i="21"/>
  <c r="AD47" i="15"/>
  <c r="AE47" i="15" s="1"/>
  <c r="L10" i="22" l="1"/>
  <c r="L8" i="22"/>
  <c r="L14" i="22"/>
  <c r="L16" i="22"/>
  <c r="L20" i="22"/>
  <c r="H7" i="25" s="1"/>
  <c r="L12" i="22"/>
  <c r="L18" i="22"/>
  <c r="L6" i="22"/>
  <c r="M12" i="22" s="1"/>
  <c r="U12" i="22" s="1"/>
  <c r="AI20" i="21"/>
  <c r="AJ20" i="21" s="1"/>
  <c r="L5" i="25" s="1"/>
  <c r="U42" i="25" s="1"/>
  <c r="AD29" i="21"/>
  <c r="AM28" i="21"/>
  <c r="AF47" i="15"/>
  <c r="AH47" i="15" s="1"/>
  <c r="M20" i="22" l="1"/>
  <c r="U20" i="22" s="1"/>
  <c r="M16" i="22"/>
  <c r="U16" i="22" s="1"/>
  <c r="F5" i="25"/>
  <c r="Q42" i="25" s="1"/>
  <c r="M6" i="22"/>
  <c r="U6" i="22" s="1"/>
  <c r="M18" i="22"/>
  <c r="U18" i="22" s="1"/>
  <c r="M14" i="22"/>
  <c r="U14" i="22" s="1"/>
  <c r="M8" i="22"/>
  <c r="U8" i="22" s="1"/>
  <c r="M10" i="22"/>
  <c r="U10" i="22" s="1"/>
  <c r="AF29" i="21"/>
  <c r="AE29" i="21"/>
  <c r="AG47" i="15"/>
  <c r="AI47" i="15" s="1"/>
  <c r="AJ47" i="15" s="1"/>
  <c r="AK47" i="15" s="1"/>
  <c r="AL47" i="15" s="1"/>
  <c r="AH29" i="21" l="1"/>
  <c r="AG29" i="21"/>
  <c r="AM47" i="15"/>
  <c r="AD48" i="15"/>
  <c r="AF48" i="15" s="1"/>
  <c r="AI29" i="21" l="1"/>
  <c r="AJ29" i="21" s="1"/>
  <c r="AK29" i="21" s="1"/>
  <c r="AL29" i="21" s="1"/>
  <c r="AD30" i="21" s="1"/>
  <c r="AE48" i="15"/>
  <c r="AH48" i="15"/>
  <c r="AG48" i="15"/>
  <c r="AM29" i="21" l="1"/>
  <c r="AF30" i="21"/>
  <c r="AE30" i="21"/>
  <c r="AI48" i="15"/>
  <c r="AJ48" i="15" s="1"/>
  <c r="AK48" i="15" s="1"/>
  <c r="AL48" i="15" s="1"/>
  <c r="AD49" i="15" s="1"/>
  <c r="AG30" i="21" l="1"/>
  <c r="AH30" i="21"/>
  <c r="AM48" i="15"/>
  <c r="AF49" i="15"/>
  <c r="AE49" i="15"/>
  <c r="AI30" i="21" l="1"/>
  <c r="AJ30" i="21" s="1"/>
  <c r="AK30" i="21" s="1"/>
  <c r="AL30" i="21" s="1"/>
  <c r="AH49" i="15"/>
  <c r="AG49" i="15"/>
  <c r="AD31" i="21" l="1"/>
  <c r="AM30" i="21"/>
  <c r="AI49" i="15"/>
  <c r="AJ49" i="15" s="1"/>
  <c r="AK49" i="15" s="1"/>
  <c r="AL49" i="15" s="1"/>
  <c r="AM49" i="15" s="1"/>
  <c r="AE31" i="21" l="1"/>
  <c r="AF31" i="21"/>
  <c r="AD50" i="15"/>
  <c r="AE50" i="15" s="1"/>
  <c r="AG31" i="21" l="1"/>
  <c r="AH31" i="21"/>
  <c r="AF50" i="15"/>
  <c r="AH50" i="15" s="1"/>
  <c r="AG50" i="15" l="1"/>
  <c r="AI50" i="15" s="1"/>
  <c r="AJ50" i="15" s="1"/>
  <c r="AK50" i="15" s="1"/>
  <c r="AL50" i="15" s="1"/>
  <c r="AD51" i="15" s="1"/>
  <c r="AI31" i="21"/>
  <c r="AJ31" i="21" s="1"/>
  <c r="AK31" i="21" s="1"/>
  <c r="AL31" i="21" s="1"/>
  <c r="AD32" i="21" l="1"/>
  <c r="AM31" i="21"/>
  <c r="AM50" i="15"/>
  <c r="AF51" i="15"/>
  <c r="AE51" i="15"/>
  <c r="AE32" i="21" l="1"/>
  <c r="AF32" i="21"/>
  <c r="AH51" i="15"/>
  <c r="AG51" i="15"/>
  <c r="AH32" i="21" l="1"/>
  <c r="AG32" i="21"/>
  <c r="AI51" i="15"/>
  <c r="AJ51" i="15" s="1"/>
  <c r="AK51" i="15" s="1"/>
  <c r="AL51" i="15" s="1"/>
  <c r="AM51" i="15" s="1"/>
  <c r="AI32" i="21" l="1"/>
  <c r="AJ32" i="21" s="1"/>
  <c r="AK32" i="21" s="1"/>
  <c r="AL32" i="21" s="1"/>
  <c r="AD33" i="21" s="1"/>
  <c r="AD52" i="15"/>
  <c r="AF52" i="15" s="1"/>
  <c r="AM32" i="21" l="1"/>
  <c r="AE33" i="21"/>
  <c r="AF33" i="21"/>
  <c r="AE52" i="15"/>
  <c r="AH52" i="15"/>
  <c r="AG52" i="15"/>
  <c r="AH33" i="21" l="1"/>
  <c r="AG33" i="21"/>
  <c r="AI52" i="15"/>
  <c r="AJ52" i="15" s="1"/>
  <c r="AK52" i="15" s="1"/>
  <c r="AL52" i="15" s="1"/>
  <c r="AM52" i="15" s="1"/>
  <c r="AI33" i="21" l="1"/>
  <c r="AJ33" i="21" s="1"/>
  <c r="AK33" i="21" s="1"/>
  <c r="AL33" i="21" s="1"/>
  <c r="AD34" i="21" s="1"/>
  <c r="AM33" i="21" l="1"/>
  <c r="AF34" i="21"/>
  <c r="AE34" i="21"/>
  <c r="AG34" i="21" l="1"/>
  <c r="AH34" i="21"/>
  <c r="AI34" i="21" l="1"/>
  <c r="AJ34" i="21" s="1"/>
  <c r="AK34" i="21" s="1"/>
  <c r="AL34" i="21" s="1"/>
  <c r="AD35" i="21" l="1"/>
  <c r="AM34" i="21"/>
  <c r="AF35" i="21" l="1"/>
  <c r="AE35" i="21"/>
  <c r="AG35" i="21" l="1"/>
  <c r="AH35" i="21"/>
  <c r="AI35" i="21" l="1"/>
  <c r="AJ35" i="21" s="1"/>
  <c r="AK35" i="21" s="1"/>
  <c r="AL35" i="21" s="1"/>
  <c r="AD36" i="21" l="1"/>
  <c r="E6" i="25" s="1"/>
  <c r="R43" i="25" s="1"/>
  <c r="AM35" i="21"/>
  <c r="AE36" i="21" l="1"/>
  <c r="D6" i="25" s="1"/>
  <c r="AF36" i="21"/>
  <c r="AG36" i="21" l="1"/>
  <c r="AH36" i="21"/>
  <c r="AI36" i="21" l="1"/>
  <c r="AJ36" i="21" l="1"/>
  <c r="F6" i="25"/>
  <c r="Q43" i="25" s="1"/>
  <c r="AK36" i="21" l="1"/>
  <c r="L6" i="25"/>
  <c r="U43" i="25" s="1"/>
  <c r="AL36" i="21" l="1"/>
  <c r="AK6" i="24"/>
  <c r="AK20" i="24" s="1"/>
  <c r="AK6" i="23"/>
  <c r="AK20" i="23" s="1"/>
  <c r="AK6" i="22"/>
  <c r="AK20" i="22" s="1"/>
  <c r="AL6" i="23" l="1"/>
  <c r="AL20" i="23" s="1"/>
  <c r="AD28" i="23" s="1"/>
  <c r="AD37" i="21"/>
  <c r="AL6" i="24"/>
  <c r="AL20" i="24" s="1"/>
  <c r="AD28" i="24" s="1"/>
  <c r="V6" i="22"/>
  <c r="B8" i="22" s="1"/>
  <c r="AL6" i="22"/>
  <c r="AL20" i="22" s="1"/>
  <c r="AD28" i="22" s="1"/>
  <c r="AM36" i="21"/>
  <c r="AM6" i="22" l="1"/>
  <c r="AM20" i="22" s="1"/>
  <c r="M7" i="25" s="1"/>
  <c r="S44" i="25" s="1"/>
  <c r="M6" i="25"/>
  <c r="S43" i="25" s="1"/>
  <c r="AF28" i="22"/>
  <c r="AE28" i="22"/>
  <c r="C8" i="22"/>
  <c r="Q8" i="22" s="1"/>
  <c r="I8" i="22"/>
  <c r="S8" i="22" s="1"/>
  <c r="G8" i="22"/>
  <c r="E8" i="22"/>
  <c r="F8" i="22"/>
  <c r="H8" i="22"/>
  <c r="B7" i="22"/>
  <c r="AE28" i="24"/>
  <c r="AF28" i="24"/>
  <c r="AF37" i="21"/>
  <c r="AE37" i="21"/>
  <c r="AF28" i="23"/>
  <c r="AE28" i="23"/>
  <c r="AG28" i="24" l="1"/>
  <c r="AH28" i="24"/>
  <c r="AG37" i="21"/>
  <c r="AH37" i="21"/>
  <c r="AH28" i="23"/>
  <c r="AG28" i="23"/>
  <c r="G7" i="22"/>
  <c r="F7" i="22"/>
  <c r="C7" i="22"/>
  <c r="R8" i="22" s="1"/>
  <c r="E7" i="22"/>
  <c r="I7" i="22"/>
  <c r="T8" i="22" s="1"/>
  <c r="H7" i="22"/>
  <c r="AG28" i="22"/>
  <c r="AH28" i="22"/>
  <c r="AI28" i="23" l="1"/>
  <c r="AJ28" i="23" s="1"/>
  <c r="AI37" i="21"/>
  <c r="AJ37" i="21" s="1"/>
  <c r="AK37" i="21" s="1"/>
  <c r="AL37" i="21" s="1"/>
  <c r="AM37" i="21" s="1"/>
  <c r="V8" i="22"/>
  <c r="B10" i="22" s="1"/>
  <c r="G10" i="22" s="1"/>
  <c r="AI28" i="22"/>
  <c r="AJ28" i="22" s="1"/>
  <c r="AI28" i="24"/>
  <c r="AJ28" i="24" s="1"/>
  <c r="I10" i="22" l="1"/>
  <c r="S10" i="22" s="1"/>
  <c r="H10" i="22"/>
  <c r="C10" i="22"/>
  <c r="Q10" i="22" s="1"/>
  <c r="F10" i="22"/>
  <c r="E10" i="22"/>
  <c r="AD38" i="21"/>
  <c r="AE38" i="21" s="1"/>
  <c r="B9" i="22"/>
  <c r="E9" i="22" s="1"/>
  <c r="AF38" i="21" l="1"/>
  <c r="AG38" i="21" s="1"/>
  <c r="H9" i="22"/>
  <c r="G9" i="22"/>
  <c r="C9" i="22"/>
  <c r="R10" i="22" s="1"/>
  <c r="F9" i="22"/>
  <c r="I9" i="22"/>
  <c r="T10" i="22" s="1"/>
  <c r="V10" i="22" l="1"/>
  <c r="B12" i="22" s="1"/>
  <c r="F12" i="22" s="1"/>
  <c r="AH38" i="21"/>
  <c r="AI38" i="21" s="1"/>
  <c r="AJ38" i="21" s="1"/>
  <c r="AK38" i="21" s="1"/>
  <c r="AL38" i="21" s="1"/>
  <c r="C12" i="22"/>
  <c r="Q12" i="22" s="1"/>
  <c r="B11" i="22"/>
  <c r="G12" i="22"/>
  <c r="E12" i="22" l="1"/>
  <c r="H12" i="22"/>
  <c r="I12" i="22"/>
  <c r="S12" i="22" s="1"/>
  <c r="E11" i="22"/>
  <c r="C11" i="22"/>
  <c r="R12" i="22" s="1"/>
  <c r="I11" i="22"/>
  <c r="T12" i="22" s="1"/>
  <c r="H11" i="22"/>
  <c r="F11" i="22"/>
  <c r="G11" i="22"/>
  <c r="AD39" i="21"/>
  <c r="AM38" i="21"/>
  <c r="V12" i="22" l="1"/>
  <c r="B14" i="22" s="1"/>
  <c r="I14" i="22" s="1"/>
  <c r="S14" i="22" s="1"/>
  <c r="AE39" i="21"/>
  <c r="AF39" i="21"/>
  <c r="E14" i="22" l="1"/>
  <c r="H14" i="22"/>
  <c r="F14" i="22"/>
  <c r="B13" i="22"/>
  <c r="H13" i="22" s="1"/>
  <c r="G14" i="22"/>
  <c r="C14" i="22"/>
  <c r="Q14" i="22" s="1"/>
  <c r="AG39" i="21"/>
  <c r="AH39" i="21"/>
  <c r="C13" i="22" l="1"/>
  <c r="R14" i="22" s="1"/>
  <c r="E13" i="22"/>
  <c r="I13" i="22"/>
  <c r="T14" i="22" s="1"/>
  <c r="G13" i="22"/>
  <c r="F13" i="22"/>
  <c r="AI39" i="21"/>
  <c r="AJ39" i="21" s="1"/>
  <c r="AK39" i="21" s="1"/>
  <c r="AL39" i="21" s="1"/>
  <c r="V14" i="22"/>
  <c r="B16" i="22" s="1"/>
  <c r="C16" i="22" l="1"/>
  <c r="Q16" i="22" s="1"/>
  <c r="B15" i="22"/>
  <c r="G16" i="22"/>
  <c r="E16" i="22"/>
  <c r="I16" i="22"/>
  <c r="S16" i="22" s="1"/>
  <c r="H16" i="22"/>
  <c r="F16" i="22"/>
  <c r="AD40" i="21"/>
  <c r="AM39" i="21"/>
  <c r="G15" i="22" l="1"/>
  <c r="C15" i="22"/>
  <c r="R16" i="22" s="1"/>
  <c r="F15" i="22"/>
  <c r="I15" i="22"/>
  <c r="T16" i="22" s="1"/>
  <c r="H15" i="22"/>
  <c r="E15" i="22"/>
  <c r="AF40" i="21"/>
  <c r="AE40" i="21"/>
  <c r="V16" i="22" l="1"/>
  <c r="B18" i="22" s="1"/>
  <c r="H18" i="22" s="1"/>
  <c r="AH40" i="21"/>
  <c r="AG40" i="21"/>
  <c r="G18" i="22" l="1"/>
  <c r="F18" i="22"/>
  <c r="I18" i="22"/>
  <c r="S18" i="22" s="1"/>
  <c r="B17" i="22"/>
  <c r="I17" i="22" s="1"/>
  <c r="C18" i="22"/>
  <c r="Q18" i="22" s="1"/>
  <c r="E18" i="22"/>
  <c r="AI40" i="21"/>
  <c r="AJ40" i="21" s="1"/>
  <c r="AK40" i="21" s="1"/>
  <c r="AL40" i="21" s="1"/>
  <c r="T18" i="22" l="1"/>
  <c r="C17" i="22"/>
  <c r="R18" i="22" s="1"/>
  <c r="F17" i="22"/>
  <c r="E17" i="22"/>
  <c r="G17" i="22"/>
  <c r="H17" i="22"/>
  <c r="AD41" i="21"/>
  <c r="AM40" i="21"/>
  <c r="V18" i="22" l="1"/>
  <c r="B20" i="22" s="1"/>
  <c r="H20" i="22" s="1"/>
  <c r="AF41" i="21"/>
  <c r="AE41" i="21"/>
  <c r="C7" i="25" l="1"/>
  <c r="P44" i="25" s="1"/>
  <c r="I20" i="22"/>
  <c r="S20" i="22" s="1"/>
  <c r="G20" i="22"/>
  <c r="C20" i="22"/>
  <c r="Q20" i="22" s="1"/>
  <c r="E20" i="22"/>
  <c r="F20" i="22"/>
  <c r="B19" i="22"/>
  <c r="I19" i="22" s="1"/>
  <c r="AH41" i="21"/>
  <c r="AG41" i="21"/>
  <c r="Y45" i="22" l="1"/>
  <c r="Z45" i="22" s="1"/>
  <c r="L45" i="22" s="1"/>
  <c r="M45" i="22" s="1"/>
  <c r="W20" i="22"/>
  <c r="Y31" i="22"/>
  <c r="Z31" i="22" s="1"/>
  <c r="L31" i="22" s="1"/>
  <c r="Y36" i="22"/>
  <c r="Z36" i="22" s="1"/>
  <c r="L36" i="22" s="1"/>
  <c r="M36" i="22" s="1"/>
  <c r="Y35" i="22"/>
  <c r="Z35" i="22" s="1"/>
  <c r="L35" i="22" s="1"/>
  <c r="K35" i="22" s="1"/>
  <c r="T20" i="22"/>
  <c r="AD20" i="22"/>
  <c r="AE20" i="22" s="1"/>
  <c r="D7" i="25" s="1"/>
  <c r="Y28" i="22"/>
  <c r="Z28" i="22" s="1"/>
  <c r="L28" i="22" s="1"/>
  <c r="M28" i="22" s="1"/>
  <c r="Y33" i="22"/>
  <c r="Z33" i="22" s="1"/>
  <c r="L33" i="22" s="1"/>
  <c r="K33" i="22" s="1"/>
  <c r="Y38" i="22"/>
  <c r="Z38" i="22" s="1"/>
  <c r="L38" i="22" s="1"/>
  <c r="H8" i="25" s="1"/>
  <c r="Y32" i="22"/>
  <c r="Z32" i="22" s="1"/>
  <c r="L32" i="22" s="1"/>
  <c r="M32" i="22" s="1"/>
  <c r="Y48" i="22"/>
  <c r="Z48" i="22" s="1"/>
  <c r="L48" i="22" s="1"/>
  <c r="M48" i="22" s="1"/>
  <c r="K45" i="22"/>
  <c r="Y39" i="22"/>
  <c r="Z39" i="22" s="1"/>
  <c r="L39" i="22" s="1"/>
  <c r="K39" i="22" s="1"/>
  <c r="Y41" i="22"/>
  <c r="Z41" i="22" s="1"/>
  <c r="L41" i="22" s="1"/>
  <c r="M41" i="22" s="1"/>
  <c r="Y42" i="22"/>
  <c r="Z42" i="22" s="1"/>
  <c r="L42" i="22" s="1"/>
  <c r="K42" i="22" s="1"/>
  <c r="Y29" i="22"/>
  <c r="Z29" i="22" s="1"/>
  <c r="L29" i="22" s="1"/>
  <c r="K29" i="22" s="1"/>
  <c r="Y34" i="22"/>
  <c r="Z34" i="22" s="1"/>
  <c r="L34" i="22" s="1"/>
  <c r="M34" i="22" s="1"/>
  <c r="Y47" i="22"/>
  <c r="Z47" i="22" s="1"/>
  <c r="L47" i="22" s="1"/>
  <c r="Y37" i="22"/>
  <c r="Z37" i="22" s="1"/>
  <c r="L37" i="22" s="1"/>
  <c r="K37" i="22" s="1"/>
  <c r="Y30" i="22"/>
  <c r="Z30" i="22" s="1"/>
  <c r="L30" i="22" s="1"/>
  <c r="M30" i="22" s="1"/>
  <c r="Y46" i="22"/>
  <c r="Z46" i="22" s="1"/>
  <c r="L46" i="22" s="1"/>
  <c r="K46" i="22" s="1"/>
  <c r="Y43" i="22"/>
  <c r="Z43" i="22" s="1"/>
  <c r="L43" i="22" s="1"/>
  <c r="M43" i="22" s="1"/>
  <c r="Y40" i="22"/>
  <c r="Z40" i="22" s="1"/>
  <c r="L40" i="22" s="1"/>
  <c r="K40" i="22" s="1"/>
  <c r="Y44" i="22"/>
  <c r="Z44" i="22" s="1"/>
  <c r="L44" i="22" s="1"/>
  <c r="X20" i="22"/>
  <c r="I7" i="25"/>
  <c r="W44" i="25" s="1"/>
  <c r="C19" i="22"/>
  <c r="R20" i="22" s="1"/>
  <c r="V20" i="22" s="1"/>
  <c r="V28" i="22" s="1"/>
  <c r="H19" i="22"/>
  <c r="F19" i="22"/>
  <c r="G19" i="22"/>
  <c r="E19" i="22"/>
  <c r="K48" i="22"/>
  <c r="K32" i="22"/>
  <c r="K36" i="22"/>
  <c r="M35" i="22"/>
  <c r="K31" i="22"/>
  <c r="M31" i="22"/>
  <c r="M37" i="22"/>
  <c r="AI41" i="21"/>
  <c r="AJ41" i="21" s="1"/>
  <c r="AK41" i="21" s="1"/>
  <c r="AL41" i="21" s="1"/>
  <c r="AM41" i="21" s="1"/>
  <c r="E7" i="25" l="1"/>
  <c r="R44" i="25" s="1"/>
  <c r="AF20" i="22"/>
  <c r="AG20" i="22" s="1"/>
  <c r="AA39" i="22"/>
  <c r="AB39" i="22" s="1"/>
  <c r="AC39" i="22" s="1"/>
  <c r="K28" i="22"/>
  <c r="K30" i="22"/>
  <c r="M38" i="22"/>
  <c r="J7" i="25"/>
  <c r="V44" i="25" s="1"/>
  <c r="M42" i="22"/>
  <c r="AA36" i="22"/>
  <c r="AB36" i="22" s="1"/>
  <c r="AC36" i="22" s="1"/>
  <c r="K38" i="22"/>
  <c r="G8" i="25" s="1"/>
  <c r="AA44" i="22"/>
  <c r="AB44" i="22" s="1"/>
  <c r="AC44" i="22" s="1"/>
  <c r="AA31" i="22"/>
  <c r="AB31" i="22" s="1"/>
  <c r="AC31" i="22" s="1"/>
  <c r="M33" i="22"/>
  <c r="AA35" i="22"/>
  <c r="AB35" i="22" s="1"/>
  <c r="AC35" i="22" s="1"/>
  <c r="AA37" i="22"/>
  <c r="AB37" i="22" s="1"/>
  <c r="AC37" i="22" s="1"/>
  <c r="AA47" i="22"/>
  <c r="AB47" i="22" s="1"/>
  <c r="AC47" i="22" s="1"/>
  <c r="AA40" i="22"/>
  <c r="AB40" i="22" s="1"/>
  <c r="AC40" i="22" s="1"/>
  <c r="AA34" i="22"/>
  <c r="AB34" i="22" s="1"/>
  <c r="AC34" i="22" s="1"/>
  <c r="M39" i="22"/>
  <c r="K34" i="22"/>
  <c r="M29" i="22"/>
  <c r="K41" i="22"/>
  <c r="M46" i="22"/>
  <c r="K47" i="22"/>
  <c r="M47" i="22"/>
  <c r="AA30" i="22"/>
  <c r="AB30" i="22" s="1"/>
  <c r="AC30" i="22" s="1"/>
  <c r="AA29" i="22"/>
  <c r="AB29" i="22" s="1"/>
  <c r="AC29" i="22" s="1"/>
  <c r="AA32" i="22"/>
  <c r="AB32" i="22" s="1"/>
  <c r="AC32" i="22" s="1"/>
  <c r="AA42" i="22"/>
  <c r="AB42" i="22" s="1"/>
  <c r="AC42" i="22" s="1"/>
  <c r="K43" i="22"/>
  <c r="AA28" i="22"/>
  <c r="AB28" i="22" s="1"/>
  <c r="AK28" i="22" s="1"/>
  <c r="AL28" i="22" s="1"/>
  <c r="AA41" i="22"/>
  <c r="AB41" i="22" s="1"/>
  <c r="AC41" i="22" s="1"/>
  <c r="AA48" i="22"/>
  <c r="AB48" i="22" s="1"/>
  <c r="AC48" i="22" s="1"/>
  <c r="AA33" i="22"/>
  <c r="AB33" i="22" s="1"/>
  <c r="AC33" i="22" s="1"/>
  <c r="AA43" i="22"/>
  <c r="AB43" i="22" s="1"/>
  <c r="AC43" i="22" s="1"/>
  <c r="AA38" i="22"/>
  <c r="AB38" i="22" s="1"/>
  <c r="AC38" i="22" s="1"/>
  <c r="K8" i="25" s="1"/>
  <c r="T45" i="25" s="1"/>
  <c r="AA46" i="22"/>
  <c r="AB46" i="22" s="1"/>
  <c r="AC46" i="22" s="1"/>
  <c r="AA45" i="22"/>
  <c r="AB45" i="22" s="1"/>
  <c r="AC45" i="22" s="1"/>
  <c r="M40" i="22"/>
  <c r="K44" i="22"/>
  <c r="M44" i="22"/>
  <c r="AH20" i="22"/>
  <c r="AI20" i="22" s="1"/>
  <c r="K6" i="23"/>
  <c r="L6" i="23" s="1"/>
  <c r="AD42" i="21"/>
  <c r="AF42" i="21" s="1"/>
  <c r="AC28" i="22" l="1"/>
  <c r="AC6" i="23"/>
  <c r="AC20" i="23" s="1"/>
  <c r="K9" i="25" s="1"/>
  <c r="T46" i="25" s="1"/>
  <c r="L8" i="23"/>
  <c r="M14" i="23"/>
  <c r="U14" i="23" s="1"/>
  <c r="M20" i="23"/>
  <c r="U20" i="23" s="1"/>
  <c r="M16" i="23"/>
  <c r="U16" i="23" s="1"/>
  <c r="M12" i="23"/>
  <c r="U12" i="23" s="1"/>
  <c r="M6" i="23"/>
  <c r="U6" i="23" s="1"/>
  <c r="M10" i="23"/>
  <c r="U10" i="23" s="1"/>
  <c r="M8" i="23"/>
  <c r="U8" i="23" s="1"/>
  <c r="M18" i="23"/>
  <c r="U18" i="23" s="1"/>
  <c r="AE42" i="21"/>
  <c r="K20" i="23"/>
  <c r="G9" i="25" s="1"/>
  <c r="L16" i="23"/>
  <c r="L18" i="23"/>
  <c r="L10" i="23"/>
  <c r="L14" i="23"/>
  <c r="L12" i="23"/>
  <c r="L20" i="23"/>
  <c r="H9" i="25" s="1"/>
  <c r="AJ20" i="22"/>
  <c r="L7" i="25" s="1"/>
  <c r="U44" i="25" s="1"/>
  <c r="F7" i="25"/>
  <c r="Q44" i="25" s="1"/>
  <c r="AG42" i="21"/>
  <c r="AH42" i="21"/>
  <c r="AD29" i="22"/>
  <c r="AM28" i="22"/>
  <c r="AE29" i="22" l="1"/>
  <c r="AF29" i="22"/>
  <c r="AI42" i="21"/>
  <c r="AJ42" i="21" s="1"/>
  <c r="AK42" i="21" s="1"/>
  <c r="AL42" i="21" s="1"/>
  <c r="AG29" i="22" l="1"/>
  <c r="AH29" i="22"/>
  <c r="AM42" i="21"/>
  <c r="AD43" i="21"/>
  <c r="AF43" i="21" l="1"/>
  <c r="AE43" i="21"/>
  <c r="AI29" i="22"/>
  <c r="AJ29" i="22" s="1"/>
  <c r="AK29" i="22" s="1"/>
  <c r="AL29" i="22" s="1"/>
  <c r="AM29" i="22" l="1"/>
  <c r="AD30" i="22"/>
  <c r="AH43" i="21"/>
  <c r="AG43" i="21"/>
  <c r="AI43" i="21" l="1"/>
  <c r="AJ43" i="21" s="1"/>
  <c r="AK43" i="21" s="1"/>
  <c r="AL43" i="21" s="1"/>
  <c r="AM43" i="21" s="1"/>
  <c r="AE30" i="22"/>
  <c r="AF30" i="22"/>
  <c r="AD44" i="21" l="1"/>
  <c r="AE44" i="21" s="1"/>
  <c r="AH30" i="22"/>
  <c r="AG30" i="22"/>
  <c r="AF44" i="21" l="1"/>
  <c r="AG44" i="21" s="1"/>
  <c r="AI30" i="22"/>
  <c r="AJ30" i="22" s="1"/>
  <c r="AK30" i="22" s="1"/>
  <c r="AL30" i="22" s="1"/>
  <c r="AM30" i="22" s="1"/>
  <c r="AH44" i="21"/>
  <c r="AD31" i="22" l="1"/>
  <c r="AE31" i="22" s="1"/>
  <c r="AI44" i="21"/>
  <c r="AJ44" i="21" s="1"/>
  <c r="AK44" i="21" s="1"/>
  <c r="AL44" i="21" s="1"/>
  <c r="AD45" i="21" s="1"/>
  <c r="AF31" i="22" l="1"/>
  <c r="AG31" i="22" s="1"/>
  <c r="AM44" i="21"/>
  <c r="AF45" i="21"/>
  <c r="AE45" i="21"/>
  <c r="AH31" i="22"/>
  <c r="AI31" i="22" l="1"/>
  <c r="AJ31" i="22" s="1"/>
  <c r="AK31" i="22" s="1"/>
  <c r="AL31" i="22" s="1"/>
  <c r="AM31" i="22" s="1"/>
  <c r="AH45" i="21"/>
  <c r="AG45" i="21"/>
  <c r="AI45" i="21" l="1"/>
  <c r="AJ45" i="21" s="1"/>
  <c r="AK45" i="21" s="1"/>
  <c r="AL45" i="21" s="1"/>
  <c r="AD46" i="21" s="1"/>
  <c r="AF46" i="21" s="1"/>
  <c r="AD32" i="22"/>
  <c r="AE32" i="22" s="1"/>
  <c r="AE46" i="21" l="1"/>
  <c r="AM45" i="21"/>
  <c r="AF32" i="22"/>
  <c r="AG32" i="22" s="1"/>
  <c r="AH46" i="21"/>
  <c r="AG46" i="21"/>
  <c r="AH32" i="22" l="1"/>
  <c r="AI32" i="22" s="1"/>
  <c r="AJ32" i="22" s="1"/>
  <c r="AK32" i="22" s="1"/>
  <c r="AL32" i="22" s="1"/>
  <c r="AD33" i="22" s="1"/>
  <c r="AI46" i="21"/>
  <c r="AJ46" i="21" s="1"/>
  <c r="AK46" i="21" s="1"/>
  <c r="AL46" i="21" s="1"/>
  <c r="AD47" i="21" s="1"/>
  <c r="AM32" i="22" l="1"/>
  <c r="AF33" i="22"/>
  <c r="AE33" i="22"/>
  <c r="AM46" i="21"/>
  <c r="AE47" i="21"/>
  <c r="AF47" i="21"/>
  <c r="AG33" i="22" l="1"/>
  <c r="AH33" i="22"/>
  <c r="AH47" i="21"/>
  <c r="AG47" i="21"/>
  <c r="AI33" i="22" l="1"/>
  <c r="AJ33" i="22" s="1"/>
  <c r="AK33" i="22" s="1"/>
  <c r="AL33" i="22" s="1"/>
  <c r="AI47" i="21"/>
  <c r="AJ47" i="21" s="1"/>
  <c r="AK47" i="21" s="1"/>
  <c r="AL47" i="21" s="1"/>
  <c r="AM33" i="22" l="1"/>
  <c r="AD34" i="22"/>
  <c r="AD48" i="21"/>
  <c r="AM47" i="21"/>
  <c r="AF34" i="22" l="1"/>
  <c r="AE34" i="22"/>
  <c r="AE48" i="21"/>
  <c r="AF48" i="21"/>
  <c r="AG34" i="22" l="1"/>
  <c r="AH34" i="22"/>
  <c r="AH48" i="21"/>
  <c r="AG48" i="21"/>
  <c r="AI34" i="22" l="1"/>
  <c r="AJ34" i="22" s="1"/>
  <c r="AK34" i="22" s="1"/>
  <c r="AL34" i="22" s="1"/>
  <c r="AM34" i="22" s="1"/>
  <c r="AI48" i="21"/>
  <c r="AJ48" i="21" s="1"/>
  <c r="AK48" i="21" s="1"/>
  <c r="AL48" i="21" s="1"/>
  <c r="AM48" i="21" s="1"/>
  <c r="AD35" i="22" l="1"/>
  <c r="AE35" i="22" s="1"/>
  <c r="AF35" i="22" l="1"/>
  <c r="AG35" i="22" s="1"/>
  <c r="AH35" i="22" l="1"/>
  <c r="AI35" i="22" s="1"/>
  <c r="AJ35" i="22" s="1"/>
  <c r="AK35" i="22" s="1"/>
  <c r="AL35" i="22" s="1"/>
  <c r="AD36" i="22" s="1"/>
  <c r="AF36" i="22" s="1"/>
  <c r="AH36" i="22" s="1"/>
  <c r="AG36" i="22" l="1"/>
  <c r="AI36" i="22" s="1"/>
  <c r="AJ36" i="22" s="1"/>
  <c r="AK36" i="22" s="1"/>
  <c r="AL36" i="22" s="1"/>
  <c r="AD37" i="22" s="1"/>
  <c r="AM35" i="22"/>
  <c r="AE36" i="22"/>
  <c r="AM36" i="22" l="1"/>
  <c r="AE37" i="22"/>
  <c r="AF37" i="22"/>
  <c r="AG37" i="22" l="1"/>
  <c r="AH37" i="22"/>
  <c r="AI37" i="22" l="1"/>
  <c r="AJ37" i="22" s="1"/>
  <c r="AK37" i="22" s="1"/>
  <c r="AL37" i="22" s="1"/>
  <c r="AD38" i="22" l="1"/>
  <c r="E8" i="25" s="1"/>
  <c r="R45" i="25" s="1"/>
  <c r="AM37" i="22"/>
  <c r="AF38" i="22" l="1"/>
  <c r="AE38" i="22"/>
  <c r="D8" i="25" s="1"/>
  <c r="AG38" i="22" l="1"/>
  <c r="AH38" i="22"/>
  <c r="AI38" i="22" l="1"/>
  <c r="AJ38" i="22" l="1"/>
  <c r="F8" i="25"/>
  <c r="Q45" i="25" s="1"/>
  <c r="AK38" i="22" l="1"/>
  <c r="AL38" i="22" s="1"/>
  <c r="L8" i="25"/>
  <c r="U45" i="25" s="1"/>
  <c r="AD39" i="22" l="1"/>
  <c r="V6" i="23"/>
  <c r="B8" i="23" s="1"/>
  <c r="AM38" i="22"/>
  <c r="AM6" i="23" l="1"/>
  <c r="AM20" i="23" s="1"/>
  <c r="M9" i="25" s="1"/>
  <c r="S46" i="25" s="1"/>
  <c r="M8" i="25"/>
  <c r="S45" i="25" s="1"/>
  <c r="I8" i="23"/>
  <c r="S8" i="23" s="1"/>
  <c r="G8" i="23"/>
  <c r="B7" i="23"/>
  <c r="E8" i="23"/>
  <c r="F8" i="23"/>
  <c r="H8" i="23"/>
  <c r="C8" i="23"/>
  <c r="Q8" i="23" s="1"/>
  <c r="AF39" i="22"/>
  <c r="AE39" i="22"/>
  <c r="F7" i="23" l="1"/>
  <c r="G7" i="23"/>
  <c r="E7" i="23"/>
  <c r="C7" i="23"/>
  <c r="R8" i="23" s="1"/>
  <c r="I7" i="23"/>
  <c r="T8" i="23" s="1"/>
  <c r="H7" i="23"/>
  <c r="AG39" i="22"/>
  <c r="AH39" i="22"/>
  <c r="AI39" i="22" l="1"/>
  <c r="AJ39" i="22" s="1"/>
  <c r="AK39" i="22" s="1"/>
  <c r="AL39" i="22" s="1"/>
  <c r="AD40" i="22" s="1"/>
  <c r="AE40" i="22" s="1"/>
  <c r="V8" i="23"/>
  <c r="B10" i="23" s="1"/>
  <c r="AM39" i="22" l="1"/>
  <c r="AF40" i="22"/>
  <c r="H10" i="23"/>
  <c r="C10" i="23"/>
  <c r="Q10" i="23" s="1"/>
  <c r="I10" i="23"/>
  <c r="S10" i="23" s="1"/>
  <c r="G10" i="23"/>
  <c r="E10" i="23"/>
  <c r="F10" i="23"/>
  <c r="B9" i="23"/>
  <c r="AH40" i="22" l="1"/>
  <c r="AG40" i="22"/>
  <c r="F9" i="23"/>
  <c r="I9" i="23"/>
  <c r="T10" i="23" s="1"/>
  <c r="G9" i="23"/>
  <c r="E9" i="23"/>
  <c r="C9" i="23"/>
  <c r="R10" i="23" s="1"/>
  <c r="V10" i="23" s="1"/>
  <c r="B12" i="23" s="1"/>
  <c r="H9" i="23"/>
  <c r="AI40" i="22" l="1"/>
  <c r="AJ40" i="22" s="1"/>
  <c r="AK40" i="22" s="1"/>
  <c r="AL40" i="22" s="1"/>
  <c r="AD41" i="22" s="1"/>
  <c r="AF41" i="22" s="1"/>
  <c r="AG41" i="22" s="1"/>
  <c r="F12" i="23"/>
  <c r="E12" i="23"/>
  <c r="G12" i="23"/>
  <c r="I12" i="23"/>
  <c r="S12" i="23" s="1"/>
  <c r="H12" i="23"/>
  <c r="C12" i="23"/>
  <c r="Q12" i="23" s="1"/>
  <c r="B11" i="23"/>
  <c r="AH41" i="22" l="1"/>
  <c r="AM40" i="22"/>
  <c r="AE41" i="22"/>
  <c r="C11" i="23"/>
  <c r="R12" i="23" s="1"/>
  <c r="I11" i="23"/>
  <c r="T12" i="23" s="1"/>
  <c r="H11" i="23"/>
  <c r="E11" i="23"/>
  <c r="F11" i="23"/>
  <c r="G11" i="23"/>
  <c r="AI41" i="22"/>
  <c r="AJ41" i="22" s="1"/>
  <c r="AK41" i="22" s="1"/>
  <c r="AL41" i="22" s="1"/>
  <c r="V12" i="23" l="1"/>
  <c r="B14" i="23" s="1"/>
  <c r="I14" i="23" s="1"/>
  <c r="S14" i="23" s="1"/>
  <c r="AD42" i="22"/>
  <c r="AM41" i="22"/>
  <c r="E14" i="23" l="1"/>
  <c r="F14" i="23"/>
  <c r="B13" i="23"/>
  <c r="I13" i="23" s="1"/>
  <c r="T14" i="23" s="1"/>
  <c r="G14" i="23"/>
  <c r="C14" i="23"/>
  <c r="Q14" i="23" s="1"/>
  <c r="H14" i="23"/>
  <c r="AF42" i="22"/>
  <c r="AE42" i="22"/>
  <c r="H13" i="23" l="1"/>
  <c r="C13" i="23"/>
  <c r="R14" i="23" s="1"/>
  <c r="V14" i="23" s="1"/>
  <c r="B16" i="23" s="1"/>
  <c r="F13" i="23"/>
  <c r="E13" i="23"/>
  <c r="G13" i="23"/>
  <c r="AG42" i="22"/>
  <c r="AH42" i="22"/>
  <c r="G16" i="23" l="1"/>
  <c r="C16" i="23"/>
  <c r="Q16" i="23" s="1"/>
  <c r="E16" i="23"/>
  <c r="F16" i="23"/>
  <c r="B15" i="23"/>
  <c r="I16" i="23"/>
  <c r="S16" i="23" s="1"/>
  <c r="H16" i="23"/>
  <c r="AI42" i="22"/>
  <c r="AJ42" i="22" s="1"/>
  <c r="AK42" i="22" s="1"/>
  <c r="AL42" i="22" s="1"/>
  <c r="AM42" i="22" s="1"/>
  <c r="AD43" i="22" l="1"/>
  <c r="H15" i="23"/>
  <c r="G15" i="23"/>
  <c r="F15" i="23"/>
  <c r="E15" i="23"/>
  <c r="C15" i="23"/>
  <c r="R16" i="23" s="1"/>
  <c r="I15" i="23"/>
  <c r="T16" i="23" s="1"/>
  <c r="AE43" i="22"/>
  <c r="AF43" i="22"/>
  <c r="V16" i="23" l="1"/>
  <c r="B18" i="23" s="1"/>
  <c r="C18" i="23" s="1"/>
  <c r="Q18" i="23" s="1"/>
  <c r="AH43" i="22"/>
  <c r="AG43" i="22"/>
  <c r="H18" i="23" l="1"/>
  <c r="B17" i="23"/>
  <c r="F17" i="23" s="1"/>
  <c r="G18" i="23"/>
  <c r="E18" i="23"/>
  <c r="F18" i="23"/>
  <c r="I18" i="23"/>
  <c r="S18" i="23" s="1"/>
  <c r="AI43" i="22"/>
  <c r="AJ43" i="22" s="1"/>
  <c r="AK43" i="22" s="1"/>
  <c r="AL43" i="22" s="1"/>
  <c r="AM43" i="22" s="1"/>
  <c r="G17" i="23" l="1"/>
  <c r="E17" i="23"/>
  <c r="C17" i="23"/>
  <c r="R18" i="23" s="1"/>
  <c r="H17" i="23"/>
  <c r="I17" i="23"/>
  <c r="T18" i="23" s="1"/>
  <c r="V18" i="23" s="1"/>
  <c r="B20" i="23" s="1"/>
  <c r="C9" i="25" s="1"/>
  <c r="P46" i="25" s="1"/>
  <c r="AD44" i="22"/>
  <c r="AF44" i="22" s="1"/>
  <c r="AE44" i="22" l="1"/>
  <c r="I20" i="23"/>
  <c r="AD20" i="23" s="1"/>
  <c r="G20" i="23"/>
  <c r="E20" i="23"/>
  <c r="B19" i="23"/>
  <c r="F19" i="23" s="1"/>
  <c r="C20" i="23"/>
  <c r="Y32" i="23" s="1"/>
  <c r="Z32" i="23" s="1"/>
  <c r="L32" i="23" s="1"/>
  <c r="H20" i="23"/>
  <c r="F20" i="23"/>
  <c r="AH44" i="22"/>
  <c r="AG44" i="22"/>
  <c r="W20" i="23" l="1"/>
  <c r="S20" i="23"/>
  <c r="Y48" i="23"/>
  <c r="Z48" i="23" s="1"/>
  <c r="L48" i="23" s="1"/>
  <c r="Y34" i="23"/>
  <c r="Z34" i="23" s="1"/>
  <c r="L34" i="23" s="1"/>
  <c r="Y31" i="23"/>
  <c r="Z31" i="23" s="1"/>
  <c r="L31" i="23" s="1"/>
  <c r="Y45" i="23"/>
  <c r="Z45" i="23" s="1"/>
  <c r="L45" i="23" s="1"/>
  <c r="Y42" i="23"/>
  <c r="Z42" i="23" s="1"/>
  <c r="L42" i="23" s="1"/>
  <c r="M42" i="23" s="1"/>
  <c r="Y39" i="23"/>
  <c r="Z39" i="23" s="1"/>
  <c r="L39" i="23" s="1"/>
  <c r="K39" i="23" s="1"/>
  <c r="I19" i="23"/>
  <c r="T20" i="23" s="1"/>
  <c r="Y44" i="23"/>
  <c r="Z44" i="23" s="1"/>
  <c r="L44" i="23" s="1"/>
  <c r="K44" i="23" s="1"/>
  <c r="E19" i="23"/>
  <c r="Y36" i="23"/>
  <c r="Z36" i="23" s="1"/>
  <c r="L36" i="23" s="1"/>
  <c r="Y29" i="23"/>
  <c r="Z29" i="23" s="1"/>
  <c r="L29" i="23" s="1"/>
  <c r="Q20" i="23"/>
  <c r="Y35" i="23"/>
  <c r="Z35" i="23" s="1"/>
  <c r="L35" i="23" s="1"/>
  <c r="K35" i="23" s="1"/>
  <c r="Y40" i="23"/>
  <c r="Z40" i="23" s="1"/>
  <c r="L40" i="23" s="1"/>
  <c r="M40" i="23" s="1"/>
  <c r="C19" i="23"/>
  <c r="R20" i="23" s="1"/>
  <c r="Y37" i="23"/>
  <c r="Z37" i="23" s="1"/>
  <c r="L37" i="23" s="1"/>
  <c r="K37" i="23" s="1"/>
  <c r="Y43" i="23"/>
  <c r="Z43" i="23" s="1"/>
  <c r="L43" i="23" s="1"/>
  <c r="M43" i="23" s="1"/>
  <c r="Y46" i="23"/>
  <c r="Z46" i="23" s="1"/>
  <c r="L46" i="23" s="1"/>
  <c r="M46" i="23" s="1"/>
  <c r="H19" i="23"/>
  <c r="Y30" i="23"/>
  <c r="Z30" i="23" s="1"/>
  <c r="L30" i="23" s="1"/>
  <c r="K30" i="23" s="1"/>
  <c r="Y47" i="23"/>
  <c r="Z47" i="23" s="1"/>
  <c r="L47" i="23" s="1"/>
  <c r="M47" i="23" s="1"/>
  <c r="Y28" i="23"/>
  <c r="Z28" i="23" s="1"/>
  <c r="L28" i="23" s="1"/>
  <c r="K28" i="23" s="1"/>
  <c r="Y33" i="23"/>
  <c r="Z33" i="23" s="1"/>
  <c r="L33" i="23" s="1"/>
  <c r="K33" i="23" s="1"/>
  <c r="Y41" i="23"/>
  <c r="Z41" i="23" s="1"/>
  <c r="L41" i="23" s="1"/>
  <c r="K41" i="23" s="1"/>
  <c r="Y38" i="23"/>
  <c r="Z38" i="23" s="1"/>
  <c r="L38" i="23" s="1"/>
  <c r="M38" i="23" s="1"/>
  <c r="G19" i="23"/>
  <c r="K29" i="23"/>
  <c r="M29" i="23"/>
  <c r="E9" i="25"/>
  <c r="R46" i="25" s="1"/>
  <c r="AF20" i="23"/>
  <c r="AE20" i="23"/>
  <c r="D9" i="25" s="1"/>
  <c r="M32" i="23"/>
  <c r="K32" i="23"/>
  <c r="K46" i="23"/>
  <c r="M31" i="23"/>
  <c r="K31" i="23"/>
  <c r="M36" i="23"/>
  <c r="K36" i="23"/>
  <c r="X20" i="23"/>
  <c r="I9" i="25"/>
  <c r="W46" i="25" s="1"/>
  <c r="M34" i="23"/>
  <c r="K34" i="23"/>
  <c r="M45" i="23"/>
  <c r="K45" i="23"/>
  <c r="K48" i="23"/>
  <c r="M48" i="23"/>
  <c r="AI44" i="22"/>
  <c r="AJ44" i="22" s="1"/>
  <c r="AK44" i="22" s="1"/>
  <c r="AL44" i="22" s="1"/>
  <c r="AM44" i="22" s="1"/>
  <c r="K42" i="23" l="1"/>
  <c r="M30" i="23"/>
  <c r="M39" i="23"/>
  <c r="H10" i="25"/>
  <c r="M35" i="23"/>
  <c r="V20" i="23"/>
  <c r="V28" i="23" s="1"/>
  <c r="M33" i="23"/>
  <c r="M44" i="23"/>
  <c r="K40" i="23"/>
  <c r="M37" i="23"/>
  <c r="K47" i="23"/>
  <c r="K43" i="23"/>
  <c r="K38" i="23"/>
  <c r="M41" i="23"/>
  <c r="M28" i="23"/>
  <c r="AG20" i="23"/>
  <c r="AH20" i="23"/>
  <c r="K6" i="24"/>
  <c r="G10" i="25"/>
  <c r="J9" i="25"/>
  <c r="V46" i="25" s="1"/>
  <c r="AA42" i="23"/>
  <c r="AB42" i="23" s="1"/>
  <c r="AC42" i="23" s="1"/>
  <c r="AA29" i="23"/>
  <c r="AB29" i="23" s="1"/>
  <c r="AC29" i="23" s="1"/>
  <c r="AA46" i="23"/>
  <c r="AB46" i="23" s="1"/>
  <c r="AC46" i="23" s="1"/>
  <c r="AA47" i="23"/>
  <c r="AB47" i="23" s="1"/>
  <c r="AC47" i="23" s="1"/>
  <c r="AA28" i="23"/>
  <c r="AB28" i="23" s="1"/>
  <c r="AA41" i="23"/>
  <c r="AB41" i="23" s="1"/>
  <c r="AC41" i="23" s="1"/>
  <c r="AA34" i="23"/>
  <c r="AB34" i="23" s="1"/>
  <c r="AC34" i="23" s="1"/>
  <c r="AA36" i="23"/>
  <c r="AB36" i="23" s="1"/>
  <c r="AC36" i="23" s="1"/>
  <c r="AA30" i="23"/>
  <c r="AB30" i="23" s="1"/>
  <c r="AC30" i="23" s="1"/>
  <c r="AA43" i="23"/>
  <c r="AB43" i="23" s="1"/>
  <c r="AC43" i="23" s="1"/>
  <c r="AA48" i="23"/>
  <c r="AB48" i="23" s="1"/>
  <c r="AC48" i="23" s="1"/>
  <c r="AA39" i="23"/>
  <c r="AB39" i="23" s="1"/>
  <c r="AC39" i="23" s="1"/>
  <c r="K10" i="25" s="1"/>
  <c r="T47" i="25" s="1"/>
  <c r="AA45" i="23"/>
  <c r="AB45" i="23" s="1"/>
  <c r="AC45" i="23" s="1"/>
  <c r="AA32" i="23"/>
  <c r="AB32" i="23" s="1"/>
  <c r="AC32" i="23" s="1"/>
  <c r="AA33" i="23"/>
  <c r="AB33" i="23" s="1"/>
  <c r="AC33" i="23" s="1"/>
  <c r="AA37" i="23"/>
  <c r="AB37" i="23" s="1"/>
  <c r="AC37" i="23" s="1"/>
  <c r="AA31" i="23"/>
  <c r="AB31" i="23" s="1"/>
  <c r="AC31" i="23" s="1"/>
  <c r="AA44" i="23"/>
  <c r="AB44" i="23" s="1"/>
  <c r="AC44" i="23" s="1"/>
  <c r="AA35" i="23"/>
  <c r="AB35" i="23" s="1"/>
  <c r="AC35" i="23" s="1"/>
  <c r="AA40" i="23"/>
  <c r="AB40" i="23" s="1"/>
  <c r="AC40" i="23" s="1"/>
  <c r="AA38" i="23"/>
  <c r="AB38" i="23" s="1"/>
  <c r="AC38" i="23" s="1"/>
  <c r="AD45" i="22"/>
  <c r="AF45" i="22" s="1"/>
  <c r="AE45" i="22" l="1"/>
  <c r="K20" i="24"/>
  <c r="G11" i="25" s="1"/>
  <c r="L12" i="24"/>
  <c r="L14" i="24"/>
  <c r="L20" i="24"/>
  <c r="H11" i="25" s="1"/>
  <c r="L16" i="24"/>
  <c r="L10" i="24"/>
  <c r="L8" i="24"/>
  <c r="L6" i="24"/>
  <c r="L18" i="24"/>
  <c r="AC28" i="23"/>
  <c r="AK28" i="23"/>
  <c r="AL28" i="23" s="1"/>
  <c r="AC6" i="24"/>
  <c r="AC20" i="24" s="1"/>
  <c r="K11" i="25" s="1"/>
  <c r="T48" i="25" s="1"/>
  <c r="AI20" i="23"/>
  <c r="AG45" i="22"/>
  <c r="AH45" i="22"/>
  <c r="AD29" i="23" l="1"/>
  <c r="AM28" i="23"/>
  <c r="AJ20" i="23"/>
  <c r="L9" i="25" s="1"/>
  <c r="U46" i="25" s="1"/>
  <c r="F9" i="25"/>
  <c r="Q46" i="25" s="1"/>
  <c r="M20" i="24"/>
  <c r="U20" i="24" s="1"/>
  <c r="M6" i="24"/>
  <c r="U6" i="24" s="1"/>
  <c r="V6" i="24" s="1"/>
  <c r="B8" i="24" s="1"/>
  <c r="M18" i="24"/>
  <c r="U18" i="24" s="1"/>
  <c r="M14" i="24"/>
  <c r="U14" i="24" s="1"/>
  <c r="M8" i="24"/>
  <c r="U8" i="24" s="1"/>
  <c r="M16" i="24"/>
  <c r="U16" i="24" s="1"/>
  <c r="M12" i="24"/>
  <c r="U12" i="24" s="1"/>
  <c r="M10" i="24"/>
  <c r="U10" i="24" s="1"/>
  <c r="AI45" i="22"/>
  <c r="AJ45" i="22" s="1"/>
  <c r="AK45" i="22" s="1"/>
  <c r="AL45" i="22" s="1"/>
  <c r="B7" i="24" l="1"/>
  <c r="H8" i="24"/>
  <c r="F8" i="24"/>
  <c r="C8" i="24"/>
  <c r="Q8" i="24" s="1"/>
  <c r="G8" i="24"/>
  <c r="E8" i="24"/>
  <c r="I8" i="24"/>
  <c r="S8" i="24" s="1"/>
  <c r="AF29" i="23"/>
  <c r="AE29" i="23"/>
  <c r="AD46" i="22"/>
  <c r="AM45" i="22"/>
  <c r="AH29" i="23" l="1"/>
  <c r="AG29" i="23"/>
  <c r="I7" i="24"/>
  <c r="T8" i="24" s="1"/>
  <c r="F7" i="24"/>
  <c r="C7" i="24"/>
  <c r="R8" i="24" s="1"/>
  <c r="E7" i="24"/>
  <c r="H7" i="24"/>
  <c r="G7" i="24"/>
  <c r="AF46" i="22"/>
  <c r="AE46" i="22"/>
  <c r="AI29" i="23" l="1"/>
  <c r="AJ29" i="23" s="1"/>
  <c r="AK29" i="23" s="1"/>
  <c r="AL29" i="23" s="1"/>
  <c r="AM29" i="23" s="1"/>
  <c r="V8" i="24"/>
  <c r="B10" i="24" s="1"/>
  <c r="AH46" i="22"/>
  <c r="AG46" i="22"/>
  <c r="AD30" i="23" l="1"/>
  <c r="AF30" i="23" s="1"/>
  <c r="E10" i="24"/>
  <c r="B9" i="24"/>
  <c r="H10" i="24"/>
  <c r="F10" i="24"/>
  <c r="G10" i="24"/>
  <c r="C10" i="24"/>
  <c r="Q10" i="24" s="1"/>
  <c r="I10" i="24"/>
  <c r="S10" i="24" s="1"/>
  <c r="AI46" i="22"/>
  <c r="AJ46" i="22" s="1"/>
  <c r="AK46" i="22" s="1"/>
  <c r="AL46" i="22" s="1"/>
  <c r="AD47" i="22" s="1"/>
  <c r="AE30" i="23" l="1"/>
  <c r="C9" i="24"/>
  <c r="R10" i="24" s="1"/>
  <c r="E9" i="24"/>
  <c r="G9" i="24"/>
  <c r="F9" i="24"/>
  <c r="H9" i="24"/>
  <c r="I9" i="24"/>
  <c r="T10" i="24" s="1"/>
  <c r="AG30" i="23"/>
  <c r="AH30" i="23"/>
  <c r="AM46" i="22"/>
  <c r="AF47" i="22"/>
  <c r="AE47" i="22"/>
  <c r="AI30" i="23" l="1"/>
  <c r="AJ30" i="23" s="1"/>
  <c r="AK30" i="23" s="1"/>
  <c r="AL30" i="23" s="1"/>
  <c r="V10" i="24"/>
  <c r="B12" i="24" s="1"/>
  <c r="AH47" i="22"/>
  <c r="AG47" i="22"/>
  <c r="I12" i="24" l="1"/>
  <c r="S12" i="24" s="1"/>
  <c r="E12" i="24"/>
  <c r="C12" i="24"/>
  <c r="Q12" i="24" s="1"/>
  <c r="B11" i="24"/>
  <c r="H12" i="24"/>
  <c r="F12" i="24"/>
  <c r="G12" i="24"/>
  <c r="AD31" i="23"/>
  <c r="AM30" i="23"/>
  <c r="AI47" i="22"/>
  <c r="AJ47" i="22" s="1"/>
  <c r="AK47" i="22" s="1"/>
  <c r="AL47" i="22" s="1"/>
  <c r="AM47" i="22" s="1"/>
  <c r="F11" i="24" l="1"/>
  <c r="H11" i="24"/>
  <c r="C11" i="24"/>
  <c r="R12" i="24" s="1"/>
  <c r="I11" i="24"/>
  <c r="T12" i="24" s="1"/>
  <c r="G11" i="24"/>
  <c r="E11" i="24"/>
  <c r="AD48" i="22"/>
  <c r="AE48" i="22" s="1"/>
  <c r="AF31" i="23"/>
  <c r="AE31" i="23"/>
  <c r="AF48" i="22" l="1"/>
  <c r="AG48" i="22" s="1"/>
  <c r="AG31" i="23"/>
  <c r="AH31" i="23"/>
  <c r="V12" i="24"/>
  <c r="B14" i="24" s="1"/>
  <c r="AH48" i="22"/>
  <c r="H14" i="24" l="1"/>
  <c r="F14" i="24"/>
  <c r="C14" i="24"/>
  <c r="Q14" i="24" s="1"/>
  <c r="B13" i="24"/>
  <c r="E14" i="24"/>
  <c r="G14" i="24"/>
  <c r="I14" i="24"/>
  <c r="S14" i="24" s="1"/>
  <c r="AI31" i="23"/>
  <c r="AJ31" i="23" s="1"/>
  <c r="AK31" i="23" s="1"/>
  <c r="AL31" i="23" s="1"/>
  <c r="AI48" i="22"/>
  <c r="AJ48" i="22" s="1"/>
  <c r="AK48" i="22" s="1"/>
  <c r="AL48" i="22" s="1"/>
  <c r="AM48" i="22" s="1"/>
  <c r="E13" i="24" l="1"/>
  <c r="C13" i="24"/>
  <c r="R14" i="24" s="1"/>
  <c r="G13" i="24"/>
  <c r="H13" i="24"/>
  <c r="F13" i="24"/>
  <c r="I13" i="24"/>
  <c r="T14" i="24" s="1"/>
  <c r="AD32" i="23"/>
  <c r="AM31" i="23"/>
  <c r="AF32" i="23" l="1"/>
  <c r="AE32" i="23"/>
  <c r="V14" i="24"/>
  <c r="B16" i="24" s="1"/>
  <c r="C16" i="24" l="1"/>
  <c r="Q16" i="24" s="1"/>
  <c r="E16" i="24"/>
  <c r="F16" i="24"/>
  <c r="I16" i="24"/>
  <c r="S16" i="24" s="1"/>
  <c r="B15" i="24"/>
  <c r="G16" i="24"/>
  <c r="H16" i="24"/>
  <c r="AG32" i="23"/>
  <c r="AH32" i="23"/>
  <c r="AI32" i="23" l="1"/>
  <c r="AJ32" i="23" s="1"/>
  <c r="AK32" i="23" s="1"/>
  <c r="AL32" i="23" s="1"/>
  <c r="AD33" i="23" s="1"/>
  <c r="C15" i="24"/>
  <c r="R16" i="24" s="1"/>
  <c r="F15" i="24"/>
  <c r="I15" i="24"/>
  <c r="T16" i="24" s="1"/>
  <c r="H15" i="24"/>
  <c r="E15" i="24"/>
  <c r="G15" i="24"/>
  <c r="AM32" i="23"/>
  <c r="AE33" i="23" l="1"/>
  <c r="AF33" i="23"/>
  <c r="V16" i="24"/>
  <c r="B18" i="24" s="1"/>
  <c r="C18" i="24" l="1"/>
  <c r="Q18" i="24" s="1"/>
  <c r="I18" i="24"/>
  <c r="S18" i="24" s="1"/>
  <c r="G18" i="24"/>
  <c r="B17" i="24"/>
  <c r="F18" i="24"/>
  <c r="H18" i="24"/>
  <c r="E18" i="24"/>
  <c r="AH33" i="23"/>
  <c r="AG33" i="23"/>
  <c r="AI33" i="23" l="1"/>
  <c r="AJ33" i="23" s="1"/>
  <c r="AK33" i="23" s="1"/>
  <c r="AL33" i="23" s="1"/>
  <c r="AD34" i="23" s="1"/>
  <c r="H17" i="24"/>
  <c r="F17" i="24"/>
  <c r="E17" i="24"/>
  <c r="C17" i="24"/>
  <c r="R18" i="24" s="1"/>
  <c r="G17" i="24"/>
  <c r="I17" i="24"/>
  <c r="T18" i="24" s="1"/>
  <c r="V18" i="24" l="1"/>
  <c r="B20" i="24" s="1"/>
  <c r="F20" i="24" s="1"/>
  <c r="AM33" i="23"/>
  <c r="AE34" i="23"/>
  <c r="AF34" i="23"/>
  <c r="I20" i="24" l="1"/>
  <c r="G20" i="24"/>
  <c r="B19" i="24"/>
  <c r="G19" i="24" s="1"/>
  <c r="H20" i="24"/>
  <c r="E20" i="24"/>
  <c r="C20" i="24"/>
  <c r="Q20" i="24" s="1"/>
  <c r="C11" i="25"/>
  <c r="P48" i="25" s="1"/>
  <c r="AG34" i="23"/>
  <c r="AH34" i="23"/>
  <c r="S20" i="24"/>
  <c r="AD20" i="24"/>
  <c r="I19" i="24" l="1"/>
  <c r="T20" i="24" s="1"/>
  <c r="Y32" i="24"/>
  <c r="Z32" i="24" s="1"/>
  <c r="L32" i="24" s="1"/>
  <c r="Y47" i="24"/>
  <c r="Z47" i="24" s="1"/>
  <c r="L47" i="24" s="1"/>
  <c r="Y37" i="24"/>
  <c r="Z37" i="24" s="1"/>
  <c r="L37" i="24" s="1"/>
  <c r="Y36" i="24"/>
  <c r="Z36" i="24" s="1"/>
  <c r="L36" i="24" s="1"/>
  <c r="M36" i="24" s="1"/>
  <c r="Y38" i="24"/>
  <c r="Z38" i="24" s="1"/>
  <c r="L38" i="24" s="1"/>
  <c r="M38" i="24" s="1"/>
  <c r="E19" i="24"/>
  <c r="C19" i="24"/>
  <c r="R20" i="24" s="1"/>
  <c r="V20" i="24" s="1"/>
  <c r="V28" i="24" s="1"/>
  <c r="Y42" i="24"/>
  <c r="Z42" i="24" s="1"/>
  <c r="L42" i="24" s="1"/>
  <c r="M42" i="24" s="1"/>
  <c r="H19" i="24"/>
  <c r="Y41" i="24"/>
  <c r="Z41" i="24" s="1"/>
  <c r="L41" i="24" s="1"/>
  <c r="Y45" i="24"/>
  <c r="Z45" i="24" s="1"/>
  <c r="L45" i="24" s="1"/>
  <c r="W20" i="24"/>
  <c r="I11" i="25" s="1"/>
  <c r="W48" i="25" s="1"/>
  <c r="Y33" i="24"/>
  <c r="Z33" i="24" s="1"/>
  <c r="L33" i="24" s="1"/>
  <c r="K33" i="24" s="1"/>
  <c r="Y28" i="24"/>
  <c r="Z28" i="24" s="1"/>
  <c r="L28" i="24" s="1"/>
  <c r="K28" i="24" s="1"/>
  <c r="Y40" i="24"/>
  <c r="Z40" i="24" s="1"/>
  <c r="L40" i="24" s="1"/>
  <c r="M40" i="24" s="1"/>
  <c r="Y31" i="24"/>
  <c r="Z31" i="24" s="1"/>
  <c r="L31" i="24" s="1"/>
  <c r="M31" i="24" s="1"/>
  <c r="Y48" i="24"/>
  <c r="Z48" i="24" s="1"/>
  <c r="L48" i="24" s="1"/>
  <c r="M48" i="24" s="1"/>
  <c r="F19" i="24"/>
  <c r="Y46" i="24"/>
  <c r="Z46" i="24" s="1"/>
  <c r="L46" i="24" s="1"/>
  <c r="K46" i="24" s="1"/>
  <c r="Y35" i="24"/>
  <c r="Z35" i="24" s="1"/>
  <c r="L35" i="24" s="1"/>
  <c r="M35" i="24" s="1"/>
  <c r="Y44" i="24"/>
  <c r="Z44" i="24" s="1"/>
  <c r="L44" i="24" s="1"/>
  <c r="K44" i="24" s="1"/>
  <c r="Y34" i="24"/>
  <c r="Z34" i="24" s="1"/>
  <c r="L34" i="24" s="1"/>
  <c r="K34" i="24" s="1"/>
  <c r="Y30" i="24"/>
  <c r="Z30" i="24" s="1"/>
  <c r="L30" i="24" s="1"/>
  <c r="K30" i="24" s="1"/>
  <c r="Y29" i="24"/>
  <c r="Z29" i="24" s="1"/>
  <c r="L29" i="24" s="1"/>
  <c r="K29" i="24" s="1"/>
  <c r="Y43" i="24"/>
  <c r="Z43" i="24" s="1"/>
  <c r="L43" i="24" s="1"/>
  <c r="K43" i="24" s="1"/>
  <c r="Y39" i="24"/>
  <c r="Z39" i="24" s="1"/>
  <c r="L39" i="24" s="1"/>
  <c r="K39" i="24" s="1"/>
  <c r="AI34" i="23"/>
  <c r="AJ34" i="23" s="1"/>
  <c r="AK34" i="23" s="1"/>
  <c r="AL34" i="23" s="1"/>
  <c r="K47" i="24"/>
  <c r="M47" i="24"/>
  <c r="M37" i="24"/>
  <c r="K37" i="24"/>
  <c r="M41" i="24"/>
  <c r="K41" i="24"/>
  <c r="K42" i="24"/>
  <c r="E11" i="25"/>
  <c r="R48" i="25" s="1"/>
  <c r="AE20" i="24"/>
  <c r="D11" i="25" s="1"/>
  <c r="AF20" i="24"/>
  <c r="M45" i="24"/>
  <c r="K45" i="24"/>
  <c r="M32" i="24"/>
  <c r="K32" i="24"/>
  <c r="K36" i="24" l="1"/>
  <c r="X20" i="24"/>
  <c r="AA28" i="24" s="1"/>
  <c r="AB28" i="24" s="1"/>
  <c r="K38" i="24"/>
  <c r="G12" i="25" s="1"/>
  <c r="H12" i="25"/>
  <c r="M46" i="24"/>
  <c r="M28" i="24"/>
  <c r="K35" i="24"/>
  <c r="M44" i="24"/>
  <c r="K40" i="24"/>
  <c r="M34" i="24"/>
  <c r="M33" i="24"/>
  <c r="M29" i="24"/>
  <c r="K48" i="24"/>
  <c r="M30" i="24"/>
  <c r="K31" i="24"/>
  <c r="M39" i="24"/>
  <c r="M43" i="24"/>
  <c r="AG20" i="24"/>
  <c r="AH20" i="24"/>
  <c r="J11" i="25"/>
  <c r="V48" i="25" s="1"/>
  <c r="AA33" i="24"/>
  <c r="AB33" i="24" s="1"/>
  <c r="AC33" i="24" s="1"/>
  <c r="AA31" i="24"/>
  <c r="AB31" i="24" s="1"/>
  <c r="AC31" i="24" s="1"/>
  <c r="AA42" i="24"/>
  <c r="AB42" i="24" s="1"/>
  <c r="AC42" i="24" s="1"/>
  <c r="AA44" i="24"/>
  <c r="AB44" i="24" s="1"/>
  <c r="AC44" i="24" s="1"/>
  <c r="AA41" i="24"/>
  <c r="AB41" i="24" s="1"/>
  <c r="AC41" i="24" s="1"/>
  <c r="AA29" i="24"/>
  <c r="AB29" i="24" s="1"/>
  <c r="AC29" i="24" s="1"/>
  <c r="AA38" i="24"/>
  <c r="AB38" i="24" s="1"/>
  <c r="AC38" i="24" s="1"/>
  <c r="K12" i="25" s="1"/>
  <c r="T49" i="25" s="1"/>
  <c r="AA34" i="24"/>
  <c r="AB34" i="24" s="1"/>
  <c r="AC34" i="24" s="1"/>
  <c r="AA39" i="24"/>
  <c r="AB39" i="24" s="1"/>
  <c r="AC39" i="24" s="1"/>
  <c r="AA47" i="24"/>
  <c r="AB47" i="24" s="1"/>
  <c r="AC47" i="24" s="1"/>
  <c r="AA43" i="24"/>
  <c r="AB43" i="24" s="1"/>
  <c r="AC43" i="24" s="1"/>
  <c r="AA46" i="24"/>
  <c r="AB46" i="24" s="1"/>
  <c r="AC46" i="24" s="1"/>
  <c r="AA37" i="24"/>
  <c r="AB37" i="24" s="1"/>
  <c r="AC37" i="24" s="1"/>
  <c r="AA48" i="24"/>
  <c r="AB48" i="24" s="1"/>
  <c r="AC48" i="24" s="1"/>
  <c r="AA30" i="24"/>
  <c r="AB30" i="24" s="1"/>
  <c r="AC30" i="24" s="1"/>
  <c r="AA36" i="24"/>
  <c r="AB36" i="24" s="1"/>
  <c r="AC36" i="24" s="1"/>
  <c r="AA32" i="24"/>
  <c r="AB32" i="24" s="1"/>
  <c r="AC32" i="24" s="1"/>
  <c r="AA45" i="24"/>
  <c r="AB45" i="24" s="1"/>
  <c r="AC45" i="24" s="1"/>
  <c r="AD35" i="23"/>
  <c r="AM34" i="23"/>
  <c r="AA35" i="24" l="1"/>
  <c r="AB35" i="24" s="1"/>
  <c r="AC35" i="24" s="1"/>
  <c r="AA40" i="24"/>
  <c r="AB40" i="24" s="1"/>
  <c r="AC40" i="24" s="1"/>
  <c r="AC28" i="24"/>
  <c r="AK28" i="24"/>
  <c r="AL28" i="24" s="1"/>
  <c r="AD29" i="24" s="1"/>
  <c r="AF35" i="23"/>
  <c r="AE35" i="23"/>
  <c r="AI20" i="24"/>
  <c r="AJ20" i="24" l="1"/>
  <c r="L11" i="25" s="1"/>
  <c r="U48" i="25" s="1"/>
  <c r="F11" i="25"/>
  <c r="Q48" i="25" s="1"/>
  <c r="AH35" i="23"/>
  <c r="AG35" i="23"/>
  <c r="AF29" i="24"/>
  <c r="AE29" i="24"/>
  <c r="AI35" i="23" l="1"/>
  <c r="AJ35" i="23" s="1"/>
  <c r="AK35" i="23" s="1"/>
  <c r="AL35" i="23" s="1"/>
  <c r="AD36" i="23" s="1"/>
  <c r="AH29" i="24"/>
  <c r="AG29" i="24"/>
  <c r="AM35" i="23" l="1"/>
  <c r="AI29" i="24"/>
  <c r="AJ29" i="24" s="1"/>
  <c r="AK29" i="24" s="1"/>
  <c r="AL29" i="24" s="1"/>
  <c r="AD30" i="24" s="1"/>
  <c r="AF36" i="23"/>
  <c r="AE36" i="23"/>
  <c r="AG36" i="23" l="1"/>
  <c r="AH36" i="23"/>
  <c r="AF30" i="24"/>
  <c r="AE30" i="24"/>
  <c r="AI36" i="23" l="1"/>
  <c r="AJ36" i="23" s="1"/>
  <c r="AK36" i="23" s="1"/>
  <c r="AL36" i="23" s="1"/>
  <c r="AM36" i="23" s="1"/>
  <c r="AH30" i="24"/>
  <c r="AG30" i="24"/>
  <c r="AI30" i="24" l="1"/>
  <c r="AJ30" i="24" s="1"/>
  <c r="AK30" i="24" s="1"/>
  <c r="AL30" i="24" s="1"/>
  <c r="AD31" i="24" s="1"/>
  <c r="AF31" i="24" s="1"/>
  <c r="AD37" i="23"/>
  <c r="AE37" i="23" s="1"/>
  <c r="AE31" i="24" l="1"/>
  <c r="AF37" i="23"/>
  <c r="AG37" i="23" s="1"/>
  <c r="AG31" i="24"/>
  <c r="AH31" i="24"/>
  <c r="AH37" i="23" l="1"/>
  <c r="AI37" i="23" s="1"/>
  <c r="AJ37" i="23" s="1"/>
  <c r="AK37" i="23" s="1"/>
  <c r="AL37" i="23" s="1"/>
  <c r="AD38" i="23" s="1"/>
  <c r="AI31" i="24"/>
  <c r="AJ31" i="24" s="1"/>
  <c r="AK31" i="24" s="1"/>
  <c r="AL31" i="24" s="1"/>
  <c r="AD32" i="24" s="1"/>
  <c r="AM37" i="23" l="1"/>
  <c r="AE32" i="24"/>
  <c r="AF32" i="24"/>
  <c r="AF38" i="23"/>
  <c r="AE38" i="23"/>
  <c r="AG38" i="23" l="1"/>
  <c r="AH38" i="23"/>
  <c r="AH32" i="24"/>
  <c r="AG32" i="24"/>
  <c r="AI32" i="24" l="1"/>
  <c r="AJ32" i="24" s="1"/>
  <c r="AK32" i="24" s="1"/>
  <c r="AL32" i="24" s="1"/>
  <c r="AD33" i="24" s="1"/>
  <c r="AF33" i="24" s="1"/>
  <c r="AI38" i="23"/>
  <c r="AJ38" i="23" s="1"/>
  <c r="AK38" i="23" s="1"/>
  <c r="AL38" i="23" s="1"/>
  <c r="AE33" i="24" l="1"/>
  <c r="AD39" i="23"/>
  <c r="AM38" i="23"/>
  <c r="AH33" i="24"/>
  <c r="AG33" i="24"/>
  <c r="AI33" i="24" l="1"/>
  <c r="AJ33" i="24" s="1"/>
  <c r="AK33" i="24" s="1"/>
  <c r="AL33" i="24" s="1"/>
  <c r="AD34" i="24" s="1"/>
  <c r="E10" i="25"/>
  <c r="R47" i="25" s="1"/>
  <c r="AF39" i="23"/>
  <c r="AE39" i="23"/>
  <c r="D10" i="25" s="1"/>
  <c r="AG39" i="23" l="1"/>
  <c r="AH39" i="23"/>
  <c r="AE34" i="24"/>
  <c r="AF34" i="24"/>
  <c r="AG34" i="24" l="1"/>
  <c r="AH34" i="24"/>
  <c r="AI39" i="23"/>
  <c r="AJ39" i="23" l="1"/>
  <c r="F10" i="25"/>
  <c r="Q47" i="25" s="1"/>
  <c r="AI34" i="24"/>
  <c r="AJ34" i="24" s="1"/>
  <c r="AK34" i="24" s="1"/>
  <c r="AL34" i="24" s="1"/>
  <c r="AD35" i="24" s="1"/>
  <c r="AE35" i="24" l="1"/>
  <c r="AF35" i="24"/>
  <c r="AK39" i="23"/>
  <c r="AL39" i="23" s="1"/>
  <c r="L10" i="25"/>
  <c r="U47" i="25" s="1"/>
  <c r="AH35" i="24" l="1"/>
  <c r="AG35" i="24"/>
  <c r="AM39" i="23"/>
  <c r="AD40" i="23"/>
  <c r="AI35" i="24" l="1"/>
  <c r="AJ35" i="24" s="1"/>
  <c r="AK35" i="24" s="1"/>
  <c r="AL35" i="24" s="1"/>
  <c r="AD36" i="24" s="1"/>
  <c r="AF36" i="24" s="1"/>
  <c r="AE40" i="23"/>
  <c r="AF40" i="23"/>
  <c r="AM6" i="24"/>
  <c r="AM20" i="24" s="1"/>
  <c r="M10" i="25"/>
  <c r="S47" i="25" s="1"/>
  <c r="AE36" i="24" l="1"/>
  <c r="AH36" i="24"/>
  <c r="AG36" i="24"/>
  <c r="M11" i="25"/>
  <c r="S48" i="25" s="1"/>
  <c r="AM31" i="24"/>
  <c r="AM28" i="24"/>
  <c r="AM34" i="24"/>
  <c r="AM33" i="24"/>
  <c r="AM30" i="24"/>
  <c r="AM32" i="24"/>
  <c r="AM29" i="24"/>
  <c r="AM35" i="24"/>
  <c r="AG40" i="23"/>
  <c r="AH40" i="23"/>
  <c r="AI36" i="24" l="1"/>
  <c r="AJ36" i="24" s="1"/>
  <c r="AK36" i="24" s="1"/>
  <c r="AL36" i="24" s="1"/>
  <c r="AI40" i="23"/>
  <c r="AJ40" i="23" s="1"/>
  <c r="AK40" i="23" s="1"/>
  <c r="AL40" i="23" s="1"/>
  <c r="AD41" i="23" s="1"/>
  <c r="AD37" i="24" l="1"/>
  <c r="AM36" i="24"/>
  <c r="AM40" i="23"/>
  <c r="AE41" i="23"/>
  <c r="AF41" i="23"/>
  <c r="AE37" i="24" l="1"/>
  <c r="AF37" i="24"/>
  <c r="AH41" i="23"/>
  <c r="AG41" i="23"/>
  <c r="AH37" i="24" l="1"/>
  <c r="AG37" i="24"/>
  <c r="AI41" i="23"/>
  <c r="AJ41" i="23" s="1"/>
  <c r="AK41" i="23" s="1"/>
  <c r="AL41" i="23" s="1"/>
  <c r="AI37" i="24" l="1"/>
  <c r="AJ37" i="24" s="1"/>
  <c r="AK37" i="24" s="1"/>
  <c r="AL37" i="24" s="1"/>
  <c r="AM37" i="24" s="1"/>
  <c r="AD42" i="23"/>
  <c r="AM41" i="23"/>
  <c r="AD38" i="24" l="1"/>
  <c r="AE38" i="24" s="1"/>
  <c r="D12" i="25" s="1"/>
  <c r="AE42" i="23"/>
  <c r="AF42" i="23"/>
  <c r="E12" i="25" l="1"/>
  <c r="R49" i="25" s="1"/>
  <c r="AF38" i="24"/>
  <c r="AH38" i="24" s="1"/>
  <c r="AG42" i="23"/>
  <c r="AH42" i="23"/>
  <c r="AG38" i="24" l="1"/>
  <c r="AI38" i="24" s="1"/>
  <c r="F12" i="25" s="1"/>
  <c r="Q49" i="25" s="1"/>
  <c r="AI42" i="23"/>
  <c r="AJ42" i="23" s="1"/>
  <c r="AK42" i="23" s="1"/>
  <c r="AL42" i="23" s="1"/>
  <c r="AJ38" i="24" l="1"/>
  <c r="L12" i="25" s="1"/>
  <c r="U49" i="25" s="1"/>
  <c r="AD43" i="23"/>
  <c r="AM42" i="23"/>
  <c r="AK38" i="24" l="1"/>
  <c r="AL38" i="24" s="1"/>
  <c r="AM38" i="24" s="1"/>
  <c r="M12" i="25" s="1"/>
  <c r="S49" i="25" s="1"/>
  <c r="AF43" i="23"/>
  <c r="AE43" i="23"/>
  <c r="AD39" i="24" l="1"/>
  <c r="AF39" i="24" s="1"/>
  <c r="AH43" i="23"/>
  <c r="AG43" i="23"/>
  <c r="AE39" i="24" l="1"/>
  <c r="AH39" i="24"/>
  <c r="AG39" i="24"/>
  <c r="AI43" i="23"/>
  <c r="AJ43" i="23" s="1"/>
  <c r="AK43" i="23" s="1"/>
  <c r="AL43" i="23" s="1"/>
  <c r="AD44" i="23" s="1"/>
  <c r="AI39" i="24" l="1"/>
  <c r="AJ39" i="24" s="1"/>
  <c r="AK39" i="24" s="1"/>
  <c r="AL39" i="24" s="1"/>
  <c r="AM39" i="24" s="1"/>
  <c r="AM43" i="23"/>
  <c r="AF44" i="23"/>
  <c r="AE44" i="23"/>
  <c r="AD40" i="24" l="1"/>
  <c r="AF40" i="24"/>
  <c r="AE40" i="24"/>
  <c r="AG44" i="23"/>
  <c r="AH44" i="23"/>
  <c r="AG40" i="24" l="1"/>
  <c r="AH40" i="24"/>
  <c r="AI44" i="23"/>
  <c r="AJ44" i="23" s="1"/>
  <c r="AK44" i="23" s="1"/>
  <c r="AL44" i="23" s="1"/>
  <c r="AI40" i="24" l="1"/>
  <c r="AJ40" i="24" s="1"/>
  <c r="AK40" i="24" s="1"/>
  <c r="AL40" i="24" s="1"/>
  <c r="AM44" i="23"/>
  <c r="AD45" i="23"/>
  <c r="AM40" i="24" l="1"/>
  <c r="AD41" i="24"/>
  <c r="AF45" i="23"/>
  <c r="AE45" i="23"/>
  <c r="AF41" i="24" l="1"/>
  <c r="AE41" i="24"/>
  <c r="AG45" i="23"/>
  <c r="AH45" i="23"/>
  <c r="AG41" i="24" l="1"/>
  <c r="AH41" i="24"/>
  <c r="AI45" i="23"/>
  <c r="AJ45" i="23" s="1"/>
  <c r="AK45" i="23" s="1"/>
  <c r="AL45" i="23" s="1"/>
  <c r="AI41" i="24" l="1"/>
  <c r="AJ41" i="24" s="1"/>
  <c r="AK41" i="24" s="1"/>
  <c r="AL41" i="24" s="1"/>
  <c r="AM45" i="23"/>
  <c r="AD46" i="23"/>
  <c r="AM41" i="24" l="1"/>
  <c r="AD42" i="24"/>
  <c r="AF46" i="23"/>
  <c r="AE46" i="23"/>
  <c r="AF42" i="24" l="1"/>
  <c r="AE42" i="24"/>
  <c r="AG46" i="23"/>
  <c r="AH46" i="23"/>
  <c r="AH42" i="24" l="1"/>
  <c r="AG42" i="24"/>
  <c r="AI46" i="23"/>
  <c r="AJ46" i="23" s="1"/>
  <c r="AK46" i="23" s="1"/>
  <c r="AL46" i="23" s="1"/>
  <c r="AM46" i="23" s="1"/>
  <c r="AI42" i="24" l="1"/>
  <c r="AJ42" i="24" s="1"/>
  <c r="AK42" i="24" s="1"/>
  <c r="AL42" i="24" s="1"/>
  <c r="AD43" i="24" s="1"/>
  <c r="AD47" i="23"/>
  <c r="AF47" i="23" s="1"/>
  <c r="AE47" i="23" l="1"/>
  <c r="AM42" i="24"/>
  <c r="AE43" i="24"/>
  <c r="AF43" i="24"/>
  <c r="AG47" i="23"/>
  <c r="AH47" i="23"/>
  <c r="AH43" i="24" l="1"/>
  <c r="AG43" i="24"/>
  <c r="AI47" i="23"/>
  <c r="AJ47" i="23" s="1"/>
  <c r="AK47" i="23" s="1"/>
  <c r="AL47" i="23" s="1"/>
  <c r="AD48" i="23" s="1"/>
  <c r="AM47" i="23" l="1"/>
  <c r="AI43" i="24"/>
  <c r="AJ43" i="24" s="1"/>
  <c r="AK43" i="24" s="1"/>
  <c r="AL43" i="24" s="1"/>
  <c r="AM43" i="24" s="1"/>
  <c r="AF48" i="23"/>
  <c r="AE48" i="23"/>
  <c r="AD44" i="24" l="1"/>
  <c r="AE44" i="24" s="1"/>
  <c r="AH48" i="23"/>
  <c r="AG48" i="23"/>
  <c r="AF44" i="24" l="1"/>
  <c r="AH44" i="24" s="1"/>
  <c r="AI48" i="23"/>
  <c r="AJ48" i="23" s="1"/>
  <c r="AK48" i="23" s="1"/>
  <c r="AL48" i="23" s="1"/>
  <c r="AM48" i="23" s="1"/>
  <c r="AG44" i="24" l="1"/>
  <c r="AI44" i="24" s="1"/>
  <c r="AJ44" i="24" s="1"/>
  <c r="AK44" i="24" s="1"/>
  <c r="AL44" i="24" s="1"/>
  <c r="AD45" i="24" s="1"/>
  <c r="AM44" i="24" l="1"/>
  <c r="AE45" i="24"/>
  <c r="AF45" i="24"/>
  <c r="AH45" i="24" l="1"/>
  <c r="AG45" i="24"/>
  <c r="AI45" i="24" l="1"/>
  <c r="AJ45" i="24" s="1"/>
  <c r="AK45" i="24" s="1"/>
  <c r="AL45" i="24" s="1"/>
  <c r="AM45" i="24" l="1"/>
  <c r="AD46" i="24"/>
  <c r="AE46" i="24" l="1"/>
  <c r="AF46" i="24"/>
  <c r="AG46" i="24" l="1"/>
  <c r="AH46" i="24"/>
  <c r="AI46" i="24" l="1"/>
  <c r="AJ46" i="24" s="1"/>
  <c r="AK46" i="24" s="1"/>
  <c r="AL46" i="24" s="1"/>
  <c r="AM46" i="24" s="1"/>
  <c r="AD47" i="24" l="1"/>
  <c r="AF47" i="24" s="1"/>
  <c r="AE47" i="24" l="1"/>
  <c r="AH47" i="24"/>
  <c r="AG47" i="24"/>
  <c r="AI47" i="24" l="1"/>
  <c r="AJ47" i="24" s="1"/>
  <c r="AK47" i="24" s="1"/>
  <c r="AL47" i="24" s="1"/>
  <c r="AD48" i="24" l="1"/>
  <c r="AM47" i="24"/>
  <c r="AF48" i="24" l="1"/>
  <c r="AE48" i="24"/>
  <c r="AG48" i="24" l="1"/>
  <c r="AH48" i="24"/>
  <c r="AI48" i="24" l="1"/>
  <c r="AJ48" i="24" s="1"/>
  <c r="AK48" i="24" s="1"/>
  <c r="AL48" i="24" s="1"/>
  <c r="AM48" i="24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99DFD7-02FD-4609-B8A9-D90ACD4403FA}" keepAlive="1" name="Query - Table011 (Page 18-19)" description="Connection to the 'Table011 (Page 18-19)' query in the workbook." type="5" refreshedVersion="0" background="1">
    <dbPr connection="Provider=Microsoft.Mashup.OleDb.1;Data Source=$Workbook$;Location=&quot;Table011 (Page 18-19)&quot;;Extended Properties=&quot;&quot;" command="SELECT * FROM [Table011 (Page 18-19)]"/>
  </connection>
</connections>
</file>

<file path=xl/sharedStrings.xml><?xml version="1.0" encoding="utf-8"?>
<sst xmlns="http://schemas.openxmlformats.org/spreadsheetml/2006/main" count="1367" uniqueCount="350">
  <si>
    <t>P</t>
  </si>
  <si>
    <t>Bo</t>
  </si>
  <si>
    <t>Rs</t>
  </si>
  <si>
    <t>Uo</t>
  </si>
  <si>
    <t>Bg</t>
  </si>
  <si>
    <t>Ug</t>
  </si>
  <si>
    <t>Parameter</t>
  </si>
  <si>
    <t>Symbol</t>
  </si>
  <si>
    <t>Unit</t>
  </si>
  <si>
    <t>Oil compressibility</t>
  </si>
  <si>
    <t>Co</t>
  </si>
  <si>
    <t>Psi-1</t>
  </si>
  <si>
    <t>Water compresibility</t>
  </si>
  <si>
    <t>Cw</t>
  </si>
  <si>
    <t>Matrix compresiblity</t>
  </si>
  <si>
    <t>Cm</t>
  </si>
  <si>
    <t>Fracture compresibility</t>
  </si>
  <si>
    <t>Cf</t>
  </si>
  <si>
    <t>Matrix oil saturation</t>
  </si>
  <si>
    <t>Som</t>
  </si>
  <si>
    <t>Fraction</t>
  </si>
  <si>
    <t>Matrix water saturation</t>
  </si>
  <si>
    <t>Swm</t>
  </si>
  <si>
    <t>Fracture oil saturation</t>
  </si>
  <si>
    <t>Sof</t>
  </si>
  <si>
    <t>Fracture water saturation</t>
  </si>
  <si>
    <t>Swf</t>
  </si>
  <si>
    <t>Matrix porosity</t>
  </si>
  <si>
    <t>Phim</t>
  </si>
  <si>
    <t>Fracture porosity</t>
  </si>
  <si>
    <t>Phi2</t>
  </si>
  <si>
    <t>Effective Oil Compressibility</t>
  </si>
  <si>
    <t>Coe</t>
  </si>
  <si>
    <t>v</t>
  </si>
  <si>
    <t>Bubble point pressure</t>
  </si>
  <si>
    <t>Pob</t>
  </si>
  <si>
    <t>Psi</t>
  </si>
  <si>
    <t>Oil formation volume factor (at Pob)</t>
  </si>
  <si>
    <t>Bob</t>
  </si>
  <si>
    <t>RB/STB</t>
  </si>
  <si>
    <t>Residual oil saturation</t>
  </si>
  <si>
    <t>Sor</t>
  </si>
  <si>
    <t>C'</t>
  </si>
  <si>
    <t>C''</t>
  </si>
  <si>
    <t>w</t>
  </si>
  <si>
    <t>Swi</t>
  </si>
  <si>
    <t>Assumed Np/N</t>
  </si>
  <si>
    <t>So i+1</t>
  </si>
  <si>
    <t>Sg i+1</t>
  </si>
  <si>
    <t>Sof i+1</t>
  </si>
  <si>
    <t>S i+1</t>
  </si>
  <si>
    <t>Krg</t>
  </si>
  <si>
    <t>Kro</t>
  </si>
  <si>
    <t>R i+1</t>
  </si>
  <si>
    <t>Np/N</t>
  </si>
  <si>
    <t>A</t>
  </si>
  <si>
    <t>B</t>
  </si>
  <si>
    <t>C</t>
  </si>
  <si>
    <t>D</t>
  </si>
  <si>
    <t>Calculado</t>
  </si>
  <si>
    <t>Delta Np/N (i+1)</t>
  </si>
  <si>
    <t>Original Oil in Place (total)</t>
  </si>
  <si>
    <t>Nt</t>
  </si>
  <si>
    <t>MMstb</t>
  </si>
  <si>
    <t>Matrix Original Oil in Place</t>
  </si>
  <si>
    <t>Nf</t>
  </si>
  <si>
    <t>Fracture Original Oil in Place</t>
  </si>
  <si>
    <t>Critical Gas Saturation</t>
  </si>
  <si>
    <t>Sgc</t>
  </si>
  <si>
    <t>Oil Rel. Perm @ Critical Gas Saturation</t>
  </si>
  <si>
    <t>Kro°</t>
  </si>
  <si>
    <t>Gas Rel. Perm @ Residual Oil Saturation</t>
  </si>
  <si>
    <t>Krg°</t>
  </si>
  <si>
    <t>Dake´s</t>
  </si>
  <si>
    <t>Time (Mths)</t>
  </si>
  <si>
    <t>P (Psi)</t>
  </si>
  <si>
    <t>Np</t>
  </si>
  <si>
    <t>P (Psia)</t>
  </si>
  <si>
    <t>Pintem (Psia)</t>
  </si>
  <si>
    <t>Rs (scf/Stb)</t>
  </si>
  <si>
    <t>Rs (Eqn))</t>
  </si>
  <si>
    <t>Bo (rb/STB)</t>
  </si>
  <si>
    <t>Bo (Eqn))</t>
  </si>
  <si>
    <t>Bg (cP</t>
  </si>
  <si>
    <t>Bg (Eqn)</t>
  </si>
  <si>
    <t xml:space="preserve">Uo/Ug </t>
  </si>
  <si>
    <t xml:space="preserve">A(p) </t>
  </si>
  <si>
    <t xml:space="preserve">B(p) </t>
  </si>
  <si>
    <t xml:space="preserve">C(p) </t>
  </si>
  <si>
    <t>Som|i-1</t>
  </si>
  <si>
    <t>Krg/Kro|i-1</t>
  </si>
  <si>
    <t>Iterat#</t>
  </si>
  <si>
    <t>Delta Som</t>
  </si>
  <si>
    <t>Som|i</t>
  </si>
  <si>
    <t>Np'/Nb |i</t>
  </si>
  <si>
    <t>Np/N|i</t>
  </si>
  <si>
    <t>Krg/Kro|i</t>
  </si>
  <si>
    <t>GOR|i</t>
  </si>
  <si>
    <t>(Eqn 3.34)</t>
  </si>
  <si>
    <t>(Eqn 3.35)</t>
  </si>
  <si>
    <t>(Eqn 3.36)</t>
  </si>
  <si>
    <t>Som=Som|i-1-DSom/2</t>
  </si>
  <si>
    <t>Regress</t>
  </si>
  <si>
    <t>(Eqn 3.33)</t>
  </si>
  <si>
    <t>(Eqn 3.38´)</t>
  </si>
  <si>
    <t>(Eqn 3.39)</t>
  </si>
  <si>
    <t>(Eqn 3.32)</t>
  </si>
  <si>
    <t>Fraction of STOIIP in Fractures</t>
  </si>
  <si>
    <t>Effective Matrix Compressibility</t>
  </si>
  <si>
    <t>Effective Fracture Compressibility</t>
  </si>
  <si>
    <t>Irreducible Sw for Composite Sysyem</t>
  </si>
  <si>
    <t>Coe m</t>
  </si>
  <si>
    <t>(Np/N)matrix</t>
  </si>
  <si>
    <t>MATERIAL BALANCE FOR THE UNDERSATURATED SYSTEM - BOTH MATRIX AND COMBINED (Matrix&amp;Fracture) SYSTEM</t>
  </si>
  <si>
    <t xml:space="preserve">Uo </t>
  </si>
  <si>
    <t>SLm|i-1</t>
  </si>
  <si>
    <t>Np(MMstb)</t>
  </si>
  <si>
    <t>Npm(MMstb)</t>
  </si>
  <si>
    <t>Matrix</t>
  </si>
  <si>
    <t>Initial Gas Cap</t>
  </si>
  <si>
    <t>m</t>
  </si>
  <si>
    <t>Pb</t>
  </si>
  <si>
    <t>Continuous Gas Injection Index</t>
  </si>
  <si>
    <t>Ig</t>
  </si>
  <si>
    <t>Cpartial</t>
  </si>
  <si>
    <t>Np/N|i+1</t>
  </si>
  <si>
    <t>Partitioning coefficient (Phi|2/Phi|t)</t>
  </si>
  <si>
    <t>Rs (scf/STB)</t>
  </si>
  <si>
    <t>Rs (scf/rcf)</t>
  </si>
  <si>
    <t>Np´/Nb</t>
  </si>
  <si>
    <t>GOR</t>
  </si>
  <si>
    <t>J</t>
  </si>
  <si>
    <t>K2</t>
  </si>
  <si>
    <t>h</t>
  </si>
  <si>
    <t>reh</t>
  </si>
  <si>
    <t>S</t>
  </si>
  <si>
    <t>rev</t>
  </si>
  <si>
    <t>L</t>
  </si>
  <si>
    <t>Xhf</t>
  </si>
  <si>
    <t>Khf*Whf</t>
  </si>
  <si>
    <t>PVT USR</t>
  </si>
  <si>
    <t>J i+1</t>
  </si>
  <si>
    <t>qo i+1</t>
  </si>
  <si>
    <t>a i+1</t>
  </si>
  <si>
    <t>d Np i+1</t>
  </si>
  <si>
    <t>t i+1</t>
  </si>
  <si>
    <t>d t+i</t>
  </si>
  <si>
    <t>Qo AVG</t>
  </si>
  <si>
    <t>Months</t>
  </si>
  <si>
    <t>Time</t>
  </si>
  <si>
    <t>STB/D</t>
  </si>
  <si>
    <t>STB</t>
  </si>
  <si>
    <t>PRODUCTION HISTORY FOR WELL Eagle Ford 1</t>
  </si>
  <si>
    <t>HUFF&amp;PUFF SCHEDULE</t>
  </si>
  <si>
    <t>H&amp;P Cycle</t>
  </si>
  <si>
    <t xml:space="preserve">Injection Period </t>
  </si>
  <si>
    <t>Mths</t>
  </si>
  <si>
    <t xml:space="preserve">Production Period </t>
  </si>
  <si>
    <t>GI Rate</t>
  </si>
  <si>
    <t>MMSCFP/D</t>
  </si>
  <si>
    <t>Npi</t>
  </si>
  <si>
    <t>MMSTB</t>
  </si>
  <si>
    <t>Nr</t>
  </si>
  <si>
    <t>GTginj i</t>
  </si>
  <si>
    <t>f(Pi+1)</t>
  </si>
  <si>
    <t>f´(Pi+1)</t>
  </si>
  <si>
    <t>g(Pi+1)</t>
  </si>
  <si>
    <t>g´(Pi+1)</t>
  </si>
  <si>
    <t>Boi+1</t>
  </si>
  <si>
    <t>Bgi+1</t>
  </si>
  <si>
    <t>(Nri+1*Boi*Coe)</t>
  </si>
  <si>
    <t>Pi+1</t>
  </si>
  <si>
    <t>Eqn(39) Aguil.</t>
  </si>
  <si>
    <t>Reservoir Pressure</t>
  </si>
  <si>
    <t>Reservoir Temperature</t>
  </si>
  <si>
    <t>Tr</t>
  </si>
  <si>
    <t>Pr</t>
  </si>
  <si>
    <t>°R</t>
  </si>
  <si>
    <t>°C</t>
  </si>
  <si>
    <t>Ug inj</t>
  </si>
  <si>
    <t>Bg inj</t>
  </si>
  <si>
    <t>Compound</t>
  </si>
  <si>
    <t>Formula</t>
  </si>
  <si>
    <t>X</t>
  </si>
  <si>
    <t>Metano</t>
  </si>
  <si>
    <r>
      <t>CH</t>
    </r>
    <r>
      <rPr>
        <vertAlign val="subscript"/>
        <sz val="11"/>
        <color theme="1"/>
        <rFont val="Calibri"/>
        <family val="2"/>
        <scheme val="minor"/>
      </rPr>
      <t>4</t>
    </r>
  </si>
  <si>
    <t>Etano</t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</si>
  <si>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6</t>
    </r>
  </si>
  <si>
    <t>Propano</t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</si>
  <si>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8</t>
    </r>
  </si>
  <si>
    <t>CO2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</si>
  <si>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</si>
  <si>
    <t>T [F]</t>
  </si>
  <si>
    <t>90 C</t>
  </si>
  <si>
    <t>F</t>
  </si>
  <si>
    <t>100 C</t>
  </si>
  <si>
    <t>120 C</t>
  </si>
  <si>
    <t>Pres.[Psia]</t>
  </si>
  <si>
    <t>Gas Z-fact.</t>
  </si>
  <si>
    <r>
      <t>Bg (ft</t>
    </r>
    <r>
      <rPr>
        <b/>
        <vertAlign val="superscript"/>
        <sz val="10"/>
        <color indexed="9"/>
        <rFont val="Segoe UI"/>
        <family val="2"/>
      </rPr>
      <t>3</t>
    </r>
    <r>
      <rPr>
        <b/>
        <sz val="10"/>
        <color indexed="9"/>
        <rFont val="Segoe UI"/>
        <family val="2"/>
      </rPr>
      <t>/scf)</t>
    </r>
  </si>
  <si>
    <t xml:space="preserve"> Gas Visc. [cP]</t>
  </si>
  <si>
    <r>
      <t>Bg (ft</t>
    </r>
    <r>
      <rPr>
        <vertAlign val="superscript"/>
        <sz val="10"/>
        <color indexed="9"/>
        <rFont val="Segoe UI"/>
        <family val="2"/>
      </rPr>
      <t>3</t>
    </r>
    <r>
      <rPr>
        <sz val="10"/>
        <color indexed="9"/>
        <rFont val="Segoe UI"/>
        <family val="2"/>
      </rPr>
      <t>/scf)</t>
    </r>
  </si>
  <si>
    <t>Ug res</t>
  </si>
  <si>
    <t>Bg res</t>
  </si>
  <si>
    <t>dBgi+1/dP</t>
  </si>
  <si>
    <t>dBoi+1/dP</t>
  </si>
  <si>
    <t>cP</t>
  </si>
  <si>
    <t>sBl/rBl</t>
  </si>
  <si>
    <t>Qo i+1</t>
  </si>
  <si>
    <t>Reservoir Thickness</t>
  </si>
  <si>
    <t>Ft</t>
  </si>
  <si>
    <t>Well Drainage Area</t>
  </si>
  <si>
    <t>Acres</t>
  </si>
  <si>
    <t>Hyraulic Frac Half Lenght</t>
  </si>
  <si>
    <t>Lenght of Horizontal Well</t>
  </si>
  <si>
    <t>Skin Factor</t>
  </si>
  <si>
    <t>Flow Capacity of Hyd. Fracture</t>
  </si>
  <si>
    <t>mD*Ft</t>
  </si>
  <si>
    <t>Total Flow Capacity of Fractures</t>
  </si>
  <si>
    <t>Khf*Whf+K2*h</t>
  </si>
  <si>
    <t>FBHP</t>
  </si>
  <si>
    <t>Bottomhole Flowing Pressure</t>
  </si>
  <si>
    <t>Abandonment Pressure (for Prim. Recov)</t>
  </si>
  <si>
    <t>Pab</t>
  </si>
  <si>
    <t>Specific Gravity of the Injected Gas</t>
  </si>
  <si>
    <t>SG</t>
  </si>
  <si>
    <t>r eh</t>
  </si>
  <si>
    <t>Mod. Wellbore radius for HF Well</t>
  </si>
  <si>
    <t>rw´</t>
  </si>
  <si>
    <t>Vertical wellbore radius</t>
  </si>
  <si>
    <t>Assumed</t>
  </si>
  <si>
    <t>Hyraulic Frac Width</t>
  </si>
  <si>
    <t>Whf</t>
  </si>
  <si>
    <t>Drainage Radius for Horiz. Well</t>
  </si>
  <si>
    <t>S´</t>
  </si>
  <si>
    <t>Composed Skin Factor: (reh/rw´-0,5+S)</t>
  </si>
  <si>
    <t>Drainage radius</t>
  </si>
  <si>
    <t>re</t>
  </si>
  <si>
    <t>Denom i+1</t>
  </si>
  <si>
    <t>P i+2</t>
  </si>
  <si>
    <t>J i+2</t>
  </si>
  <si>
    <t>Qo i+2</t>
  </si>
  <si>
    <t>d (Np/Nr)i+2</t>
  </si>
  <si>
    <t>d (Np)i+2</t>
  </si>
  <si>
    <t>a i+2</t>
  </si>
  <si>
    <t>Decline/Yr</t>
  </si>
  <si>
    <t>STB/D/Psi</t>
  </si>
  <si>
    <t>dt t+2</t>
  </si>
  <si>
    <t>dt i+1</t>
  </si>
  <si>
    <t>t i+2</t>
  </si>
  <si>
    <t>[ 9 ]</t>
  </si>
  <si>
    <t>[ 5 ]</t>
  </si>
  <si>
    <t>[ 6 ]</t>
  </si>
  <si>
    <t>[ 7 ]</t>
  </si>
  <si>
    <t>[ 10 ]</t>
  </si>
  <si>
    <t>[ 13 ]</t>
  </si>
  <si>
    <t>[ 14 ]</t>
  </si>
  <si>
    <t>[ 18 ]</t>
  </si>
  <si>
    <t>[ 17 ]</t>
  </si>
  <si>
    <t>[ 16 ]</t>
  </si>
  <si>
    <t>Np i+2</t>
  </si>
  <si>
    <t>(Np/N)i+2</t>
  </si>
  <si>
    <t>[ 1 ]</t>
  </si>
  <si>
    <t>[ 2 ]</t>
  </si>
  <si>
    <t>[ 3 ]</t>
  </si>
  <si>
    <t>[ 4 ]</t>
  </si>
  <si>
    <t>Yrs</t>
  </si>
  <si>
    <t>[ 11 ]</t>
  </si>
  <si>
    <t>[ 12 ]</t>
  </si>
  <si>
    <t>D. GT inj i+1</t>
  </si>
  <si>
    <t>GT inj i+1</t>
  </si>
  <si>
    <t>[ 2´ ]</t>
  </si>
  <si>
    <t>GT inj i</t>
  </si>
  <si>
    <t>[ 19 ]</t>
  </si>
  <si>
    <t>Assuming Cylindrical Volume</t>
  </si>
  <si>
    <t>PV</t>
  </si>
  <si>
    <t>Pore Volume (7.758*A*h*PHI)</t>
  </si>
  <si>
    <t>[ 20 ]</t>
  </si>
  <si>
    <t>S i+2</t>
  </si>
  <si>
    <t>Krg i+2</t>
  </si>
  <si>
    <t>Kro i+2</t>
  </si>
  <si>
    <t>Krg i+1</t>
  </si>
  <si>
    <t>Kro i+1</t>
  </si>
  <si>
    <t>scf/STB</t>
  </si>
  <si>
    <t>[ 21 ]</t>
  </si>
  <si>
    <t>R i+2</t>
  </si>
  <si>
    <t>Qg i+1</t>
  </si>
  <si>
    <t>[ 22 ]</t>
  </si>
  <si>
    <t>MMscf</t>
  </si>
  <si>
    <t>Qg i+2</t>
  </si>
  <si>
    <t>GTi prod i+2</t>
  </si>
  <si>
    <t>GTi prod i+1</t>
  </si>
  <si>
    <t>[ 23 ]</t>
  </si>
  <si>
    <t>D. GTi prod i+1</t>
  </si>
  <si>
    <t>D. GTi prod i+2</t>
  </si>
  <si>
    <t>Sg i+2</t>
  </si>
  <si>
    <t>RBl</t>
  </si>
  <si>
    <t>So i+2</t>
  </si>
  <si>
    <t>Gp i+1</t>
  </si>
  <si>
    <t>[ 24 ]</t>
  </si>
  <si>
    <t>Gp i+2</t>
  </si>
  <si>
    <t>sCFg/sCFo</t>
  </si>
  <si>
    <t>qg i+1</t>
  </si>
  <si>
    <t>d Gp i+1</t>
  </si>
  <si>
    <t>Qo</t>
  </si>
  <si>
    <t>Pr Bef. H&amp;P Cycle</t>
  </si>
  <si>
    <t>scf/rcf</t>
  </si>
  <si>
    <t>Nm</t>
  </si>
  <si>
    <t>Pr after GI H&amp;P</t>
  </si>
  <si>
    <t>Eqn. (5)</t>
  </si>
  <si>
    <t>Eqn. (10)</t>
  </si>
  <si>
    <t>Eqn. (11)</t>
  </si>
  <si>
    <t>Eqn. (8)</t>
  </si>
  <si>
    <t>Eqn. (12)</t>
  </si>
  <si>
    <t>Eqn. (13)</t>
  </si>
  <si>
    <t>Eqn. (14)</t>
  </si>
  <si>
    <t>Eqn. (4)</t>
  </si>
  <si>
    <t>Psia</t>
  </si>
  <si>
    <t xml:space="preserve">Eqn(42) </t>
  </si>
  <si>
    <t xml:space="preserve">Eqn(43) </t>
  </si>
  <si>
    <t xml:space="preserve">Eqn(58) </t>
  </si>
  <si>
    <t xml:space="preserve">Eqn(59) </t>
  </si>
  <si>
    <t xml:space="preserve">Eqn(60) </t>
  </si>
  <si>
    <t xml:space="preserve">Eqn(61) </t>
  </si>
  <si>
    <t>Eqn(60) Aguil.</t>
  </si>
  <si>
    <t>Eqn(59) Aguil.</t>
  </si>
  <si>
    <t xml:space="preserve">Eqn(57)* </t>
  </si>
  <si>
    <t xml:space="preserve">Eqn(46) </t>
  </si>
  <si>
    <t xml:space="preserve">Eqn(47) </t>
  </si>
  <si>
    <t xml:space="preserve">Eqn(50) </t>
  </si>
  <si>
    <t xml:space="preserve">Eqn(52) </t>
  </si>
  <si>
    <t xml:space="preserve">Eqn(55) </t>
  </si>
  <si>
    <t xml:space="preserve">Eqn(12) </t>
  </si>
  <si>
    <t xml:space="preserve">Eqn(13) </t>
  </si>
  <si>
    <t xml:space="preserve">Eqn(14) </t>
  </si>
  <si>
    <t>Cycle No. 1 Huff-and-Puff with Gas (Starting at an Average Pr of 2.200 Psi)</t>
  </si>
  <si>
    <t>MM STB</t>
  </si>
  <si>
    <t>Depletion After 1st GI Cycle (Huff) Period:</t>
  </si>
  <si>
    <t>Cycle No. 3 Huff-and-Puff with Gas (Starting at an Average Pr of 3.550 Psi)</t>
  </si>
  <si>
    <t>Cycle No. 2 Huff-and-Puff with Gas (Starting at an Average Pr of 3.500 Psi)</t>
  </si>
  <si>
    <t>Cycle</t>
  </si>
  <si>
    <t>So</t>
  </si>
  <si>
    <t>Sg</t>
  </si>
  <si>
    <t>t</t>
  </si>
  <si>
    <t>Qg</t>
  </si>
  <si>
    <t>Gp</t>
  </si>
  <si>
    <t>T</t>
  </si>
  <si>
    <t>Paper</t>
  </si>
  <si>
    <t>t (meses)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</si>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</sst>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64" formatCode="0.00000"/>
    <numFmt numFmtId="165" formatCode="0.0000"/>
    <numFmt numFmtId="166" formatCode="0.000"/>
    <numFmt numFmtId="167" formatCode="0.000%"/>
    <numFmt numFmtId="168" formatCode="#,##0.0"/>
    <numFmt numFmtId="169" formatCode="#,##0.000"/>
    <numFmt numFmtId="170" formatCode="0.0"/>
    <numFmt numFmtId="171" formatCode="0.00000000"/>
    <numFmt numFmtId="172" formatCode="0.0000%"/>
    <numFmt numFmtId="173" formatCode="0.000000"/>
    <numFmt numFmtId="174" formatCode="0.0000000"/>
    <numFmt numFmtId="175" formatCode="0.000000000"/>
    <numFmt numFmtId="176" formatCode="0.00000%"/>
    <numFmt numFmtId="177" formatCode="#,##0.0000000"/>
    <numFmt numFmtId="178" formatCode="#,##0.00000000"/>
    <numFmt numFmtId="179" formatCode="#,##0.0000"/>
    <numFmt numFmtId="180" formatCode="_-* #,##0.000000000_-;\-* #,##0.000000000_-;_-* &quot;-&quot;??_-;_-@_-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Bembo"/>
      <family val="1"/>
    </font>
    <font>
      <b/>
      <sz val="10"/>
      <color theme="0"/>
      <name val="Segoe UI"/>
      <family val="2"/>
    </font>
    <font>
      <sz val="10"/>
      <color theme="0"/>
      <name val="Segoe UI"/>
      <family val="2"/>
    </font>
    <font>
      <b/>
      <vertAlign val="superscript"/>
      <sz val="10"/>
      <color indexed="9"/>
      <name val="Segoe UI"/>
      <family val="2"/>
    </font>
    <font>
      <b/>
      <sz val="10"/>
      <color indexed="9"/>
      <name val="Segoe UI"/>
      <family val="2"/>
    </font>
    <font>
      <vertAlign val="superscript"/>
      <sz val="10"/>
      <color indexed="9"/>
      <name val="Segoe UI"/>
      <family val="2"/>
    </font>
    <font>
      <sz val="10"/>
      <color indexed="9"/>
      <name val="Segoe UI"/>
      <family val="2"/>
    </font>
    <font>
      <sz val="10"/>
      <name val="Segoe UI"/>
      <family val="2"/>
    </font>
    <font>
      <sz val="10"/>
      <name val="Arial"/>
      <family val="2"/>
    </font>
    <font>
      <b/>
      <sz val="10"/>
      <name val="Segoe UI"/>
      <family val="2"/>
    </font>
    <font>
      <b/>
      <sz val="10"/>
      <name val="Bembo"/>
      <family val="1"/>
    </font>
    <font>
      <b/>
      <sz val="10"/>
      <name val="Arial"/>
      <family val="2"/>
    </font>
    <font>
      <b/>
      <sz val="11"/>
      <color rgb="FF339933"/>
      <name val="Calibri"/>
      <family val="2"/>
      <scheme val="minor"/>
    </font>
    <font>
      <sz val="11"/>
      <color rgb="FF339933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5" fillId="0" borderId="0"/>
    <xf numFmtId="0" fontId="43" fillId="0" borderId="0"/>
    <xf numFmtId="43" fontId="1" fillId="0" borderId="0" applyFont="0" applyFill="0" applyBorder="0" applyAlignment="0" applyProtection="0"/>
  </cellStyleXfs>
  <cellXfs count="45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66" fontId="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2" borderId="0" xfId="0" applyFill="1"/>
    <xf numFmtId="170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6" fontId="3" fillId="0" borderId="0" xfId="1" applyNumberFormat="1" applyFont="1" applyAlignment="1">
      <alignment horizontal="center"/>
    </xf>
    <xf numFmtId="167" fontId="0" fillId="0" borderId="0" xfId="0" applyNumberFormat="1"/>
    <xf numFmtId="0" fontId="9" fillId="0" borderId="0" xfId="0" applyFont="1" applyAlignment="1">
      <alignment horizontal="center"/>
    </xf>
    <xf numFmtId="167" fontId="3" fillId="0" borderId="0" xfId="0" applyNumberFormat="1" applyFont="1"/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168" fontId="10" fillId="0" borderId="0" xfId="0" applyNumberFormat="1" applyFont="1" applyAlignment="1">
      <alignment horizontal="center"/>
    </xf>
    <xf numFmtId="165" fontId="0" fillId="3" borderId="0" xfId="0" applyNumberFormat="1" applyFill="1" applyAlignment="1">
      <alignment horizontal="center"/>
    </xf>
    <xf numFmtId="165" fontId="10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1" fillId="4" borderId="0" xfId="0" applyFont="1" applyFill="1"/>
    <xf numFmtId="0" fontId="12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1" fillId="3" borderId="0" xfId="0" applyFont="1" applyFill="1"/>
    <xf numFmtId="0" fontId="3" fillId="3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168" fontId="0" fillId="3" borderId="0" xfId="0" applyNumberFormat="1" applyFill="1" applyAlignment="1">
      <alignment horizontal="center"/>
    </xf>
    <xf numFmtId="168" fontId="10" fillId="3" borderId="0" xfId="0" applyNumberFormat="1" applyFont="1" applyFill="1" applyAlignment="1">
      <alignment horizontal="center"/>
    </xf>
    <xf numFmtId="0" fontId="0" fillId="3" borderId="0" xfId="0" applyFill="1" applyAlignment="1">
      <alignment horizontal="center"/>
    </xf>
    <xf numFmtId="0" fontId="10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165" fontId="10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3" borderId="0" xfId="0" applyFill="1"/>
    <xf numFmtId="171" fontId="0" fillId="3" borderId="0" xfId="0" applyNumberFormat="1" applyFill="1" applyAlignment="1">
      <alignment horizontal="center"/>
    </xf>
    <xf numFmtId="165" fontId="3" fillId="3" borderId="0" xfId="0" applyNumberFormat="1" applyFon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12" fillId="0" borderId="0" xfId="0" applyFont="1" applyAlignment="1">
      <alignment horizontal="center"/>
    </xf>
    <xf numFmtId="168" fontId="4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11" fontId="8" fillId="0" borderId="0" xfId="0" applyNumberFormat="1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72" fontId="0" fillId="0" borderId="0" xfId="1" applyNumberFormat="1" applyFont="1" applyAlignment="1">
      <alignment horizontal="center"/>
    </xf>
    <xf numFmtId="172" fontId="3" fillId="0" borderId="0" xfId="1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11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6" fontId="14" fillId="0" borderId="0" xfId="1" applyNumberFormat="1" applyFont="1" applyAlignment="1">
      <alignment horizontal="center"/>
    </xf>
    <xf numFmtId="172" fontId="15" fillId="0" borderId="0" xfId="1" applyNumberFormat="1" applyFont="1" applyAlignment="1">
      <alignment horizontal="center"/>
    </xf>
    <xf numFmtId="172" fontId="14" fillId="0" borderId="0" xfId="1" applyNumberFormat="1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/>
    <xf numFmtId="0" fontId="19" fillId="0" borderId="0" xfId="0" applyFont="1"/>
    <xf numFmtId="0" fontId="20" fillId="0" borderId="0" xfId="0" applyFont="1"/>
    <xf numFmtId="0" fontId="10" fillId="0" borderId="0" xfId="0" applyFont="1"/>
    <xf numFmtId="165" fontId="4" fillId="3" borderId="0" xfId="0" applyNumberFormat="1" applyFont="1" applyFill="1" applyAlignment="1">
      <alignment horizontal="center"/>
    </xf>
    <xf numFmtId="0" fontId="21" fillId="0" borderId="0" xfId="0" applyFont="1"/>
    <xf numFmtId="0" fontId="22" fillId="4" borderId="0" xfId="0" applyFont="1" applyFill="1" applyAlignment="1">
      <alignment horizontal="center"/>
    </xf>
    <xf numFmtId="0" fontId="16" fillId="0" borderId="0" xfId="0" applyFont="1"/>
    <xf numFmtId="0" fontId="23" fillId="0" borderId="0" xfId="0" applyFont="1"/>
    <xf numFmtId="165" fontId="22" fillId="0" borderId="0" xfId="0" applyNumberFormat="1" applyFont="1" applyAlignment="1">
      <alignment horizontal="center"/>
    </xf>
    <xf numFmtId="0" fontId="24" fillId="0" borderId="0" xfId="0" applyFont="1"/>
    <xf numFmtId="2" fontId="3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center"/>
    </xf>
    <xf numFmtId="166" fontId="3" fillId="3" borderId="0" xfId="1" applyNumberFormat="1" applyFont="1" applyFill="1" applyAlignment="1">
      <alignment horizontal="center"/>
    </xf>
    <xf numFmtId="167" fontId="8" fillId="3" borderId="0" xfId="1" applyNumberFormat="1" applyFont="1" applyFill="1" applyAlignment="1">
      <alignment horizontal="center"/>
    </xf>
    <xf numFmtId="166" fontId="8" fillId="3" borderId="0" xfId="1" applyNumberFormat="1" applyFont="1" applyFill="1" applyAlignment="1">
      <alignment horizontal="center"/>
    </xf>
    <xf numFmtId="166" fontId="0" fillId="3" borderId="0" xfId="1" applyNumberFormat="1" applyFont="1" applyFill="1" applyAlignment="1">
      <alignment horizontal="center"/>
    </xf>
    <xf numFmtId="167" fontId="6" fillId="3" borderId="0" xfId="1" applyNumberFormat="1" applyFont="1" applyFill="1" applyAlignment="1">
      <alignment horizontal="center"/>
    </xf>
    <xf numFmtId="166" fontId="6" fillId="3" borderId="0" xfId="1" applyNumberFormat="1" applyFont="1" applyFill="1" applyAlignment="1">
      <alignment horizontal="center"/>
    </xf>
    <xf numFmtId="167" fontId="0" fillId="3" borderId="0" xfId="1" applyNumberFormat="1" applyFont="1" applyFill="1" applyAlignment="1">
      <alignment horizontal="center"/>
    </xf>
    <xf numFmtId="0" fontId="25" fillId="3" borderId="0" xfId="0" applyFont="1" applyFill="1" applyAlignment="1">
      <alignment horizontal="center"/>
    </xf>
    <xf numFmtId="166" fontId="26" fillId="3" borderId="0" xfId="1" applyNumberFormat="1" applyFont="1" applyFill="1" applyAlignment="1">
      <alignment horizontal="center"/>
    </xf>
    <xf numFmtId="0" fontId="27" fillId="0" borderId="0" xfId="0" applyFont="1"/>
    <xf numFmtId="0" fontId="8" fillId="0" borderId="0" xfId="0" applyFont="1"/>
    <xf numFmtId="0" fontId="22" fillId="0" borderId="0" xfId="0" applyFont="1" applyAlignment="1">
      <alignment horizontal="center"/>
    </xf>
    <xf numFmtId="175" fontId="0" fillId="0" borderId="0" xfId="0" applyNumberFormat="1" applyAlignment="1">
      <alignment horizontal="center"/>
    </xf>
    <xf numFmtId="171" fontId="3" fillId="0" borderId="0" xfId="0" applyNumberFormat="1" applyFont="1" applyAlignment="1">
      <alignment horizontal="center"/>
    </xf>
    <xf numFmtId="176" fontId="3" fillId="0" borderId="0" xfId="1" applyNumberFormat="1" applyFont="1" applyAlignment="1">
      <alignment horizontal="center"/>
    </xf>
    <xf numFmtId="176" fontId="0" fillId="0" borderId="0" xfId="1" applyNumberFormat="1" applyFont="1" applyAlignment="1">
      <alignment horizontal="center"/>
    </xf>
    <xf numFmtId="173" fontId="9" fillId="0" borderId="0" xfId="1" applyNumberFormat="1" applyFont="1" applyAlignment="1">
      <alignment horizontal="center"/>
    </xf>
    <xf numFmtId="173" fontId="3" fillId="0" borderId="0" xfId="1" applyNumberFormat="1" applyFont="1" applyAlignment="1">
      <alignment horizontal="center"/>
    </xf>
    <xf numFmtId="175" fontId="10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73" fontId="1" fillId="0" borderId="0" xfId="1" applyNumberFormat="1" applyFont="1" applyAlignment="1">
      <alignment horizontal="center"/>
    </xf>
    <xf numFmtId="176" fontId="1" fillId="0" borderId="0" xfId="1" applyNumberFormat="1" applyFont="1" applyAlignment="1">
      <alignment horizontal="center"/>
    </xf>
    <xf numFmtId="0" fontId="12" fillId="0" borderId="0" xfId="0" applyFont="1"/>
    <xf numFmtId="0" fontId="19" fillId="3" borderId="0" xfId="0" applyFont="1" applyFill="1"/>
    <xf numFmtId="0" fontId="20" fillId="3" borderId="0" xfId="0" applyFont="1" applyFill="1"/>
    <xf numFmtId="0" fontId="10" fillId="3" borderId="0" xfId="0" applyFont="1" applyFill="1"/>
    <xf numFmtId="0" fontId="17" fillId="3" borderId="0" xfId="0" applyFont="1" applyFill="1"/>
    <xf numFmtId="171" fontId="3" fillId="3" borderId="0" xfId="0" applyNumberFormat="1" applyFont="1" applyFill="1" applyAlignment="1">
      <alignment horizontal="center"/>
    </xf>
    <xf numFmtId="0" fontId="3" fillId="3" borderId="0" xfId="0" applyFont="1" applyFill="1"/>
    <xf numFmtId="173" fontId="0" fillId="3" borderId="0" xfId="0" applyNumberFormat="1" applyFill="1"/>
    <xf numFmtId="173" fontId="3" fillId="3" borderId="0" xfId="0" applyNumberFormat="1" applyFont="1" applyFill="1"/>
    <xf numFmtId="174" fontId="0" fillId="0" borderId="0" xfId="0" applyNumberFormat="1"/>
    <xf numFmtId="173" fontId="4" fillId="0" borderId="0" xfId="0" applyNumberFormat="1" applyFont="1" applyAlignment="1">
      <alignment horizontal="center"/>
    </xf>
    <xf numFmtId="0" fontId="22" fillId="0" borderId="0" xfId="0" applyFont="1"/>
    <xf numFmtId="0" fontId="4" fillId="0" borderId="0" xfId="0" applyFont="1"/>
    <xf numFmtId="0" fontId="3" fillId="4" borderId="0" xfId="0" applyFont="1" applyFill="1" applyAlignment="1">
      <alignment horizontal="center"/>
    </xf>
    <xf numFmtId="173" fontId="9" fillId="0" borderId="0" xfId="0" applyNumberFormat="1" applyFont="1" applyAlignment="1">
      <alignment horizontal="center"/>
    </xf>
    <xf numFmtId="173" fontId="7" fillId="0" borderId="0" xfId="0" applyNumberFormat="1" applyFont="1" applyAlignment="1">
      <alignment horizontal="center"/>
    </xf>
    <xf numFmtId="173" fontId="7" fillId="0" borderId="0" xfId="0" applyNumberFormat="1" applyFont="1"/>
    <xf numFmtId="0" fontId="28" fillId="0" borderId="0" xfId="0" applyFont="1" applyAlignment="1">
      <alignment horizontal="center"/>
    </xf>
    <xf numFmtId="173" fontId="28" fillId="0" borderId="0" xfId="1" applyNumberFormat="1" applyFont="1" applyAlignment="1">
      <alignment horizontal="center"/>
    </xf>
    <xf numFmtId="173" fontId="29" fillId="0" borderId="0" xfId="1" applyNumberFormat="1" applyFont="1" applyAlignment="1">
      <alignment horizontal="center"/>
    </xf>
    <xf numFmtId="0" fontId="29" fillId="0" borderId="0" xfId="0" applyFont="1" applyAlignment="1">
      <alignment horizontal="center"/>
    </xf>
    <xf numFmtId="166" fontId="30" fillId="0" borderId="0" xfId="0" applyNumberFormat="1" applyFont="1" applyAlignment="1">
      <alignment horizontal="center"/>
    </xf>
    <xf numFmtId="0" fontId="30" fillId="0" borderId="0" xfId="0" applyFont="1" applyAlignment="1">
      <alignment horizontal="center"/>
    </xf>
    <xf numFmtId="165" fontId="3" fillId="0" borderId="0" xfId="1" applyNumberFormat="1" applyFont="1" applyAlignment="1">
      <alignment horizontal="center"/>
    </xf>
    <xf numFmtId="165" fontId="1" fillId="0" borderId="0" xfId="1" applyNumberFormat="1" applyFont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center"/>
    </xf>
    <xf numFmtId="166" fontId="1" fillId="0" borderId="0" xfId="1" applyNumberFormat="1" applyFont="1" applyAlignment="1">
      <alignment horizontal="center"/>
    </xf>
    <xf numFmtId="170" fontId="1" fillId="0" borderId="0" xfId="1" applyNumberFormat="1" applyFont="1" applyAlignment="1">
      <alignment horizontal="center"/>
    </xf>
    <xf numFmtId="2" fontId="1" fillId="0" borderId="0" xfId="1" applyNumberFormat="1" applyFont="1" applyAlignment="1">
      <alignment horizontal="center"/>
    </xf>
    <xf numFmtId="2" fontId="3" fillId="0" borderId="0" xfId="1" applyNumberFormat="1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1" fontId="9" fillId="0" borderId="0" xfId="0" applyNumberFormat="1" applyFont="1" applyAlignment="1">
      <alignment horizontal="center"/>
    </xf>
    <xf numFmtId="0" fontId="8" fillId="3" borderId="0" xfId="0" applyFont="1" applyFill="1" applyAlignment="1">
      <alignment horizontal="center"/>
    </xf>
    <xf numFmtId="0" fontId="31" fillId="0" borderId="0" xfId="0" applyFont="1" applyAlignment="1">
      <alignment horizontal="left"/>
    </xf>
    <xf numFmtId="177" fontId="2" fillId="0" borderId="0" xfId="1" applyNumberFormat="1" applyFont="1" applyAlignment="1">
      <alignment horizontal="center"/>
    </xf>
    <xf numFmtId="165" fontId="7" fillId="0" borderId="0" xfId="1" applyNumberFormat="1" applyFont="1" applyAlignment="1">
      <alignment horizontal="center"/>
    </xf>
    <xf numFmtId="177" fontId="7" fillId="0" borderId="0" xfId="1" applyNumberFormat="1" applyFont="1" applyAlignment="1">
      <alignment horizontal="center"/>
    </xf>
    <xf numFmtId="0" fontId="6" fillId="0" borderId="0" xfId="0" applyFont="1" applyAlignment="1">
      <alignment horizontal="center"/>
    </xf>
    <xf numFmtId="178" fontId="2" fillId="0" borderId="0" xfId="1" applyNumberFormat="1" applyFont="1" applyAlignment="1">
      <alignment horizontal="center"/>
    </xf>
    <xf numFmtId="178" fontId="7" fillId="0" borderId="0" xfId="1" applyNumberFormat="1" applyFont="1" applyAlignment="1">
      <alignment horizontal="center"/>
    </xf>
    <xf numFmtId="0" fontId="32" fillId="0" borderId="0" xfId="0" applyFont="1" applyAlignment="1">
      <alignment horizontal="center"/>
    </xf>
    <xf numFmtId="165" fontId="4" fillId="0" borderId="0" xfId="1" applyNumberFormat="1" applyFont="1" applyAlignment="1">
      <alignment horizontal="center"/>
    </xf>
    <xf numFmtId="178" fontId="4" fillId="0" borderId="0" xfId="1" applyNumberFormat="1" applyFont="1" applyAlignment="1">
      <alignment horizontal="center"/>
    </xf>
    <xf numFmtId="0" fontId="33" fillId="0" borderId="0" xfId="0" applyFont="1" applyAlignment="1">
      <alignment horizontal="center"/>
    </xf>
    <xf numFmtId="4" fontId="3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29" fillId="0" borderId="0" xfId="0" applyFont="1"/>
    <xf numFmtId="166" fontId="22" fillId="0" borderId="0" xfId="0" applyNumberFormat="1" applyFont="1" applyAlignment="1">
      <alignment horizontal="center"/>
    </xf>
    <xf numFmtId="9" fontId="0" fillId="0" borderId="0" xfId="1" applyFont="1"/>
    <xf numFmtId="0" fontId="35" fillId="0" borderId="0" xfId="2"/>
    <xf numFmtId="0" fontId="36" fillId="5" borderId="0" xfId="2" applyFont="1" applyFill="1"/>
    <xf numFmtId="0" fontId="37" fillId="5" borderId="0" xfId="2" applyFont="1" applyFill="1"/>
    <xf numFmtId="0" fontId="42" fillId="0" borderId="0" xfId="2" applyFont="1"/>
    <xf numFmtId="164" fontId="43" fillId="0" borderId="0" xfId="3" applyNumberFormat="1" applyAlignment="1">
      <alignment horizontal="left"/>
    </xf>
    <xf numFmtId="165" fontId="35" fillId="0" borderId="0" xfId="2" applyNumberFormat="1"/>
    <xf numFmtId="165" fontId="43" fillId="0" borderId="0" xfId="3" applyNumberFormat="1" applyAlignment="1">
      <alignment horizontal="left"/>
    </xf>
    <xf numFmtId="0" fontId="43" fillId="0" borderId="0" xfId="3" applyAlignment="1">
      <alignment horizontal="left"/>
    </xf>
    <xf numFmtId="0" fontId="44" fillId="0" borderId="0" xfId="2" applyFont="1"/>
    <xf numFmtId="165" fontId="45" fillId="0" borderId="0" xfId="2" applyNumberFormat="1" applyFont="1"/>
    <xf numFmtId="165" fontId="46" fillId="0" borderId="0" xfId="3" applyNumberFormat="1" applyFont="1" applyAlignment="1">
      <alignment horizontal="left"/>
    </xf>
    <xf numFmtId="0" fontId="2" fillId="0" borderId="0" xfId="0" applyFont="1"/>
    <xf numFmtId="0" fontId="47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173" fontId="29" fillId="0" borderId="0" xfId="0" applyNumberFormat="1" applyFont="1"/>
    <xf numFmtId="165" fontId="48" fillId="0" borderId="0" xfId="1" applyNumberFormat="1" applyFont="1" applyAlignment="1">
      <alignment horizontal="center"/>
    </xf>
    <xf numFmtId="0" fontId="8" fillId="3" borderId="0" xfId="0" applyFont="1" applyFill="1"/>
    <xf numFmtId="11" fontId="8" fillId="3" borderId="0" xfId="0" applyNumberFormat="1" applyFont="1" applyFill="1" applyAlignment="1">
      <alignment horizontal="center"/>
    </xf>
    <xf numFmtId="0" fontId="6" fillId="0" borderId="0" xfId="0" applyFont="1"/>
    <xf numFmtId="2" fontId="6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6" fillId="2" borderId="0" xfId="0" applyFont="1" applyFill="1"/>
    <xf numFmtId="165" fontId="47" fillId="0" borderId="0" xfId="1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70" fontId="47" fillId="0" borderId="0" xfId="1" applyNumberFormat="1" applyFont="1" applyAlignment="1">
      <alignment horizontal="center"/>
    </xf>
    <xf numFmtId="179" fontId="22" fillId="0" borderId="0" xfId="1" applyNumberFormat="1" applyFont="1" applyAlignment="1">
      <alignment horizontal="center"/>
    </xf>
    <xf numFmtId="2" fontId="3" fillId="2" borderId="0" xfId="1" applyNumberFormat="1" applyFont="1" applyFill="1" applyAlignment="1">
      <alignment horizontal="center"/>
    </xf>
    <xf numFmtId="165" fontId="3" fillId="3" borderId="0" xfId="1" applyNumberFormat="1" applyFont="1" applyFill="1" applyAlignment="1">
      <alignment horizontal="center"/>
    </xf>
    <xf numFmtId="2" fontId="3" fillId="3" borderId="0" xfId="1" applyNumberFormat="1" applyFont="1" applyFill="1" applyAlignment="1">
      <alignment horizontal="center"/>
    </xf>
    <xf numFmtId="176" fontId="3" fillId="3" borderId="0" xfId="1" applyNumberFormat="1" applyFont="1" applyFill="1" applyAlignment="1">
      <alignment horizontal="center"/>
    </xf>
    <xf numFmtId="165" fontId="6" fillId="0" borderId="0" xfId="1" applyNumberFormat="1" applyFont="1" applyAlignment="1">
      <alignment horizontal="center"/>
    </xf>
    <xf numFmtId="170" fontId="6" fillId="0" borderId="0" xfId="1" applyNumberFormat="1" applyFont="1" applyAlignment="1">
      <alignment horizontal="center"/>
    </xf>
    <xf numFmtId="4" fontId="6" fillId="0" borderId="0" xfId="1" applyNumberFormat="1" applyFont="1" applyAlignment="1">
      <alignment horizontal="center"/>
    </xf>
    <xf numFmtId="2" fontId="8" fillId="0" borderId="0" xfId="1" applyNumberFormat="1" applyFont="1" applyAlignment="1">
      <alignment horizontal="center"/>
    </xf>
    <xf numFmtId="173" fontId="8" fillId="3" borderId="0" xfId="1" applyNumberFormat="1" applyFont="1" applyFill="1" applyAlignment="1">
      <alignment horizontal="center"/>
    </xf>
    <xf numFmtId="0" fontId="49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165" fontId="50" fillId="0" borderId="0" xfId="1" applyNumberFormat="1" applyFont="1" applyAlignment="1">
      <alignment horizontal="center"/>
    </xf>
    <xf numFmtId="2" fontId="49" fillId="0" borderId="0" xfId="1" applyNumberFormat="1" applyFont="1" applyAlignment="1">
      <alignment horizontal="center"/>
    </xf>
    <xf numFmtId="173" fontId="49" fillId="3" borderId="0" xfId="1" applyNumberFormat="1" applyFont="1" applyFill="1" applyAlignment="1">
      <alignment horizontal="center"/>
    </xf>
    <xf numFmtId="0" fontId="50" fillId="0" borderId="0" xfId="0" applyFont="1"/>
    <xf numFmtId="173" fontId="22" fillId="0" borderId="0" xfId="0" applyNumberFormat="1" applyFont="1" applyAlignment="1">
      <alignment horizontal="center"/>
    </xf>
    <xf numFmtId="173" fontId="3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73" fontId="8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80" fontId="8" fillId="3" borderId="0" xfId="4" applyNumberFormat="1" applyFont="1" applyFill="1" applyAlignment="1">
      <alignment horizontal="center"/>
    </xf>
    <xf numFmtId="4" fontId="22" fillId="0" borderId="0" xfId="0" applyNumberFormat="1" applyFont="1" applyAlignment="1">
      <alignment horizontal="center"/>
    </xf>
    <xf numFmtId="2" fontId="8" fillId="2" borderId="0" xfId="1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173" fontId="22" fillId="2" borderId="0" xfId="0" applyNumberFormat="1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48" fillId="2" borderId="0" xfId="0" applyFont="1" applyFill="1" applyAlignment="1">
      <alignment horizontal="center"/>
    </xf>
    <xf numFmtId="0" fontId="4" fillId="2" borderId="0" xfId="0" applyFont="1" applyFill="1"/>
    <xf numFmtId="0" fontId="2" fillId="2" borderId="0" xfId="0" applyFont="1" applyFill="1"/>
    <xf numFmtId="11" fontId="9" fillId="2" borderId="0" xfId="0" applyNumberFormat="1" applyFont="1" applyFill="1" applyAlignment="1">
      <alignment horizontal="center"/>
    </xf>
    <xf numFmtId="165" fontId="3" fillId="2" borderId="0" xfId="1" applyNumberFormat="1" applyFont="1" applyFill="1" applyAlignment="1">
      <alignment horizontal="center"/>
    </xf>
    <xf numFmtId="170" fontId="6" fillId="2" borderId="0" xfId="1" applyNumberFormat="1" applyFont="1" applyFill="1" applyAlignment="1">
      <alignment horizontal="center"/>
    </xf>
    <xf numFmtId="4" fontId="6" fillId="2" borderId="0" xfId="1" applyNumberFormat="1" applyFont="1" applyFill="1" applyAlignment="1">
      <alignment horizontal="center"/>
    </xf>
    <xf numFmtId="177" fontId="7" fillId="2" borderId="0" xfId="1" applyNumberFormat="1" applyFont="1" applyFill="1" applyAlignment="1">
      <alignment horizontal="center"/>
    </xf>
    <xf numFmtId="178" fontId="7" fillId="2" borderId="0" xfId="1" applyNumberFormat="1" applyFont="1" applyFill="1" applyAlignment="1">
      <alignment horizontal="center"/>
    </xf>
    <xf numFmtId="177" fontId="2" fillId="2" borderId="0" xfId="1" applyNumberFormat="1" applyFont="1" applyFill="1" applyAlignment="1">
      <alignment horizontal="center"/>
    </xf>
    <xf numFmtId="178" fontId="2" fillId="2" borderId="0" xfId="1" applyNumberFormat="1" applyFont="1" applyFill="1" applyAlignment="1">
      <alignment horizontal="center"/>
    </xf>
    <xf numFmtId="178" fontId="4" fillId="2" borderId="0" xfId="1" applyNumberFormat="1" applyFont="1" applyFill="1" applyAlignment="1">
      <alignment horizontal="center"/>
    </xf>
    <xf numFmtId="179" fontId="22" fillId="2" borderId="0" xfId="1" applyNumberFormat="1" applyFont="1" applyFill="1" applyAlignment="1">
      <alignment horizontal="center"/>
    </xf>
    <xf numFmtId="165" fontId="48" fillId="2" borderId="0" xfId="1" applyNumberFormat="1" applyFont="1" applyFill="1" applyAlignment="1">
      <alignment horizontal="center"/>
    </xf>
    <xf numFmtId="165" fontId="1" fillId="2" borderId="0" xfId="1" applyNumberFormat="1" applyFont="1" applyFill="1" applyAlignment="1">
      <alignment horizontal="center"/>
    </xf>
    <xf numFmtId="2" fontId="1" fillId="2" borderId="0" xfId="1" applyNumberFormat="1" applyFont="1" applyFill="1" applyAlignment="1">
      <alignment horizontal="center"/>
    </xf>
    <xf numFmtId="170" fontId="48" fillId="2" borderId="0" xfId="1" applyNumberFormat="1" applyFont="1" applyFill="1" applyAlignment="1">
      <alignment horizontal="center"/>
    </xf>
    <xf numFmtId="166" fontId="49" fillId="2" borderId="0" xfId="1" applyNumberFormat="1" applyFont="1" applyFill="1" applyAlignment="1">
      <alignment horizontal="center"/>
    </xf>
    <xf numFmtId="2" fontId="8" fillId="0" borderId="0" xfId="1" applyNumberFormat="1" applyFont="1" applyFill="1" applyAlignment="1">
      <alignment horizontal="center"/>
    </xf>
    <xf numFmtId="2" fontId="6" fillId="0" borderId="0" xfId="1" applyNumberFormat="1" applyFont="1" applyFill="1" applyAlignment="1">
      <alignment horizontal="center"/>
    </xf>
    <xf numFmtId="166" fontId="8" fillId="0" borderId="0" xfId="1" applyNumberFormat="1" applyFont="1" applyFill="1" applyAlignment="1">
      <alignment horizontal="center"/>
    </xf>
    <xf numFmtId="2" fontId="3" fillId="0" borderId="0" xfId="1" applyNumberFormat="1" applyFont="1" applyFill="1" applyAlignment="1">
      <alignment horizontal="center"/>
    </xf>
    <xf numFmtId="173" fontId="1" fillId="0" borderId="0" xfId="1" applyNumberFormat="1" applyFont="1" applyFill="1" applyAlignment="1">
      <alignment horizontal="center"/>
    </xf>
    <xf numFmtId="173" fontId="29" fillId="0" borderId="0" xfId="1" applyNumberFormat="1" applyFont="1" applyFill="1" applyAlignment="1">
      <alignment horizontal="center"/>
    </xf>
    <xf numFmtId="176" fontId="3" fillId="0" borderId="0" xfId="1" applyNumberFormat="1" applyFont="1" applyFill="1" applyAlignment="1">
      <alignment horizontal="center"/>
    </xf>
    <xf numFmtId="165" fontId="3" fillId="0" borderId="0" xfId="1" applyNumberFormat="1" applyFont="1" applyFill="1" applyAlignment="1">
      <alignment horizontal="center"/>
    </xf>
    <xf numFmtId="165" fontId="1" fillId="0" borderId="0" xfId="1" applyNumberFormat="1" applyFont="1" applyFill="1" applyAlignment="1">
      <alignment horizontal="center"/>
    </xf>
    <xf numFmtId="2" fontId="1" fillId="0" borderId="0" xfId="1" applyNumberFormat="1" applyFont="1" applyFill="1" applyAlignment="1">
      <alignment horizontal="center"/>
    </xf>
    <xf numFmtId="166" fontId="12" fillId="0" borderId="0" xfId="0" applyNumberFormat="1" applyFon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52" fillId="0" borderId="0" xfId="0" applyFont="1"/>
    <xf numFmtId="0" fontId="54" fillId="0" borderId="0" xfId="0" applyFont="1" applyAlignment="1">
      <alignment horizontal="center"/>
    </xf>
    <xf numFmtId="173" fontId="3" fillId="0" borderId="0" xfId="0" applyNumberFormat="1" applyFont="1"/>
    <xf numFmtId="173" fontId="6" fillId="0" borderId="0" xfId="0" applyNumberFormat="1" applyFont="1" applyAlignment="1">
      <alignment horizontal="center"/>
    </xf>
    <xf numFmtId="173" fontId="6" fillId="0" borderId="0" xfId="0" applyNumberFormat="1" applyFont="1"/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29" fillId="6" borderId="0" xfId="0" applyFont="1" applyFill="1"/>
    <xf numFmtId="0" fontId="4" fillId="6" borderId="0" xfId="0" applyFont="1" applyFill="1"/>
    <xf numFmtId="0" fontId="0" fillId="6" borderId="0" xfId="0" applyFill="1"/>
    <xf numFmtId="0" fontId="2" fillId="6" borderId="0" xfId="0" applyFont="1" applyFill="1"/>
    <xf numFmtId="11" fontId="9" fillId="6" borderId="0" xfId="0" applyNumberFormat="1" applyFont="1" applyFill="1" applyAlignment="1">
      <alignment horizontal="center"/>
    </xf>
    <xf numFmtId="165" fontId="3" fillId="6" borderId="0" xfId="1" applyNumberFormat="1" applyFont="1" applyFill="1" applyAlignment="1">
      <alignment horizontal="center"/>
    </xf>
    <xf numFmtId="170" fontId="6" fillId="6" borderId="0" xfId="1" applyNumberFormat="1" applyFont="1" applyFill="1" applyAlignment="1">
      <alignment horizontal="center"/>
    </xf>
    <xf numFmtId="4" fontId="6" fillId="6" borderId="0" xfId="1" applyNumberFormat="1" applyFont="1" applyFill="1" applyAlignment="1">
      <alignment horizontal="center"/>
    </xf>
    <xf numFmtId="177" fontId="7" fillId="6" borderId="0" xfId="1" applyNumberFormat="1" applyFont="1" applyFill="1" applyAlignment="1">
      <alignment horizontal="center"/>
    </xf>
    <xf numFmtId="178" fontId="7" fillId="6" borderId="0" xfId="1" applyNumberFormat="1" applyFont="1" applyFill="1" applyAlignment="1">
      <alignment horizontal="center"/>
    </xf>
    <xf numFmtId="177" fontId="2" fillId="6" borderId="0" xfId="1" applyNumberFormat="1" applyFont="1" applyFill="1" applyAlignment="1">
      <alignment horizontal="center"/>
    </xf>
    <xf numFmtId="178" fontId="2" fillId="6" borderId="0" xfId="1" applyNumberFormat="1" applyFont="1" applyFill="1" applyAlignment="1">
      <alignment horizontal="center"/>
    </xf>
    <xf numFmtId="178" fontId="4" fillId="6" borderId="0" xfId="1" applyNumberFormat="1" applyFont="1" applyFill="1" applyAlignment="1">
      <alignment horizontal="center"/>
    </xf>
    <xf numFmtId="179" fontId="22" fillId="6" borderId="0" xfId="1" applyNumberFormat="1" applyFont="1" applyFill="1" applyAlignment="1">
      <alignment horizontal="center"/>
    </xf>
    <xf numFmtId="165" fontId="47" fillId="6" borderId="0" xfId="1" applyNumberFormat="1" applyFont="1" applyFill="1" applyAlignment="1">
      <alignment horizontal="center"/>
    </xf>
    <xf numFmtId="170" fontId="47" fillId="6" borderId="0" xfId="1" applyNumberFormat="1" applyFont="1" applyFill="1" applyAlignment="1">
      <alignment horizontal="center"/>
    </xf>
    <xf numFmtId="173" fontId="3" fillId="6" borderId="0" xfId="1" applyNumberFormat="1" applyFont="1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173" fontId="49" fillId="6" borderId="0" xfId="1" applyNumberFormat="1" applyFont="1" applyFill="1" applyAlignment="1">
      <alignment horizontal="center"/>
    </xf>
    <xf numFmtId="173" fontId="22" fillId="6" borderId="0" xfId="0" applyNumberFormat="1" applyFont="1" applyFill="1" applyAlignment="1">
      <alignment horizontal="center"/>
    </xf>
    <xf numFmtId="164" fontId="3" fillId="6" borderId="0" xfId="0" applyNumberFormat="1" applyFont="1" applyFill="1" applyAlignment="1">
      <alignment horizontal="center"/>
    </xf>
    <xf numFmtId="0" fontId="28" fillId="0" borderId="0" xfId="0" applyFont="1"/>
    <xf numFmtId="0" fontId="13" fillId="0" borderId="0" xfId="0" applyFont="1"/>
    <xf numFmtId="170" fontId="8" fillId="0" borderId="0" xfId="1" applyNumberFormat="1" applyFont="1" applyFill="1" applyAlignment="1">
      <alignment horizontal="center"/>
    </xf>
    <xf numFmtId="4" fontId="8" fillId="0" borderId="0" xfId="1" applyNumberFormat="1" applyFont="1" applyFill="1" applyAlignment="1">
      <alignment horizontal="center"/>
    </xf>
    <xf numFmtId="179" fontId="22" fillId="0" borderId="0" xfId="1" applyNumberFormat="1" applyFont="1" applyFill="1" applyAlignment="1">
      <alignment horizontal="center"/>
    </xf>
    <xf numFmtId="170" fontId="6" fillId="0" borderId="0" xfId="1" applyNumberFormat="1" applyFont="1" applyFill="1" applyAlignment="1">
      <alignment horizontal="center"/>
    </xf>
    <xf numFmtId="4" fontId="6" fillId="0" borderId="0" xfId="1" applyNumberFormat="1" applyFont="1" applyFill="1" applyAlignment="1">
      <alignment horizontal="center"/>
    </xf>
    <xf numFmtId="177" fontId="7" fillId="0" borderId="0" xfId="1" applyNumberFormat="1" applyFont="1" applyFill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7" fontId="2" fillId="0" borderId="0" xfId="1" applyNumberFormat="1" applyFont="1" applyFill="1" applyAlignment="1">
      <alignment horizontal="center"/>
    </xf>
    <xf numFmtId="178" fontId="2" fillId="0" borderId="0" xfId="1" applyNumberFormat="1" applyFont="1" applyFill="1" applyAlignment="1">
      <alignment horizontal="center"/>
    </xf>
    <xf numFmtId="178" fontId="4" fillId="0" borderId="0" xfId="1" applyNumberFormat="1" applyFont="1" applyFill="1" applyAlignment="1">
      <alignment horizontal="center"/>
    </xf>
    <xf numFmtId="165" fontId="48" fillId="0" borderId="0" xfId="1" applyNumberFormat="1" applyFont="1" applyFill="1" applyAlignment="1">
      <alignment horizontal="center"/>
    </xf>
    <xf numFmtId="170" fontId="48" fillId="0" borderId="0" xfId="1" applyNumberFormat="1" applyFont="1" applyFill="1" applyAlignment="1">
      <alignment horizontal="center"/>
    </xf>
    <xf numFmtId="166" fontId="49" fillId="0" borderId="0" xfId="1" applyNumberFormat="1" applyFont="1" applyFill="1" applyAlignment="1">
      <alignment horizontal="center"/>
    </xf>
    <xf numFmtId="169" fontId="12" fillId="0" borderId="0" xfId="0" applyNumberFormat="1" applyFont="1"/>
    <xf numFmtId="169" fontId="10" fillId="0" borderId="0" xfId="0" applyNumberFormat="1" applyFont="1"/>
    <xf numFmtId="169" fontId="0" fillId="0" borderId="0" xfId="0" applyNumberFormat="1"/>
    <xf numFmtId="0" fontId="57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2" fontId="6" fillId="6" borderId="0" xfId="1" applyNumberFormat="1" applyFont="1" applyFill="1" applyAlignment="1">
      <alignment horizontal="center"/>
    </xf>
    <xf numFmtId="173" fontId="6" fillId="6" borderId="0" xfId="0" applyNumberFormat="1" applyFont="1" applyFill="1" applyAlignment="1">
      <alignment horizontal="center"/>
    </xf>
    <xf numFmtId="165" fontId="6" fillId="6" borderId="0" xfId="0" applyNumberFormat="1" applyFont="1" applyFill="1" applyAlignment="1">
      <alignment horizontal="center"/>
    </xf>
    <xf numFmtId="180" fontId="6" fillId="3" borderId="0" xfId="4" applyNumberFormat="1" applyFont="1" applyFill="1" applyAlignment="1">
      <alignment horizontal="center"/>
    </xf>
    <xf numFmtId="180" fontId="6" fillId="6" borderId="0" xfId="4" applyNumberFormat="1" applyFont="1" applyFill="1" applyAlignment="1">
      <alignment horizontal="center"/>
    </xf>
    <xf numFmtId="4" fontId="8" fillId="0" borderId="0" xfId="1" applyNumberFormat="1" applyFont="1" applyAlignment="1">
      <alignment horizontal="center"/>
    </xf>
    <xf numFmtId="173" fontId="53" fillId="3" borderId="0" xfId="1" applyNumberFormat="1" applyFont="1" applyFill="1" applyAlignment="1">
      <alignment horizontal="center"/>
    </xf>
    <xf numFmtId="170" fontId="8" fillId="0" borderId="0" xfId="1" applyNumberFormat="1" applyFont="1" applyAlignment="1">
      <alignment horizontal="center"/>
    </xf>
    <xf numFmtId="177" fontId="9" fillId="0" borderId="0" xfId="1" applyNumberFormat="1" applyFont="1" applyAlignment="1">
      <alignment horizontal="center"/>
    </xf>
    <xf numFmtId="178" fontId="9" fillId="0" borderId="0" xfId="1" applyNumberFormat="1" applyFont="1" applyAlignment="1">
      <alignment horizontal="center"/>
    </xf>
    <xf numFmtId="177" fontId="13" fillId="0" borderId="0" xfId="1" applyNumberFormat="1" applyFont="1" applyAlignment="1">
      <alignment horizontal="center"/>
    </xf>
    <xf numFmtId="178" fontId="13" fillId="0" borderId="0" xfId="1" applyNumberFormat="1" applyFont="1" applyAlignment="1">
      <alignment horizontal="center"/>
    </xf>
    <xf numFmtId="178" fontId="22" fillId="0" borderId="0" xfId="1" applyNumberFormat="1" applyFont="1" applyAlignment="1">
      <alignment horizontal="center"/>
    </xf>
    <xf numFmtId="173" fontId="50" fillId="3" borderId="0" xfId="1" applyNumberFormat="1" applyFont="1" applyFill="1" applyAlignment="1">
      <alignment horizontal="center"/>
    </xf>
    <xf numFmtId="173" fontId="1" fillId="6" borderId="0" xfId="1" applyNumberFormat="1" applyFont="1" applyFill="1" applyAlignment="1">
      <alignment horizontal="center"/>
    </xf>
    <xf numFmtId="165" fontId="1" fillId="6" borderId="0" xfId="1" applyNumberFormat="1" applyFont="1" applyFill="1" applyAlignment="1">
      <alignment horizontal="center"/>
    </xf>
    <xf numFmtId="2" fontId="1" fillId="6" borderId="0" xfId="1" applyNumberFormat="1" applyFont="1" applyFill="1" applyAlignment="1">
      <alignment horizontal="center"/>
    </xf>
    <xf numFmtId="173" fontId="50" fillId="6" borderId="0" xfId="1" applyNumberFormat="1" applyFont="1" applyFill="1" applyAlignment="1">
      <alignment horizontal="center"/>
    </xf>
    <xf numFmtId="173" fontId="4" fillId="6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1" fontId="7" fillId="6" borderId="0" xfId="0" applyNumberFormat="1" applyFont="1" applyFill="1" applyAlignment="1">
      <alignment horizontal="center"/>
    </xf>
    <xf numFmtId="176" fontId="1" fillId="6" borderId="0" xfId="1" applyNumberFormat="1" applyFont="1" applyFill="1" applyAlignment="1">
      <alignment horizontal="center"/>
    </xf>
    <xf numFmtId="177" fontId="9" fillId="6" borderId="0" xfId="1" applyNumberFormat="1" applyFont="1" applyFill="1" applyAlignment="1">
      <alignment horizontal="center"/>
    </xf>
    <xf numFmtId="178" fontId="9" fillId="6" borderId="0" xfId="1" applyNumberFormat="1" applyFont="1" applyFill="1" applyAlignment="1">
      <alignment horizontal="center"/>
    </xf>
    <xf numFmtId="177" fontId="13" fillId="6" borderId="0" xfId="1" applyNumberFormat="1" applyFont="1" applyFill="1" applyAlignment="1">
      <alignment horizontal="center"/>
    </xf>
    <xf numFmtId="178" fontId="13" fillId="6" borderId="0" xfId="1" applyNumberFormat="1" applyFont="1" applyFill="1" applyAlignment="1">
      <alignment horizontal="center"/>
    </xf>
    <xf numFmtId="178" fontId="22" fillId="6" borderId="0" xfId="1" applyNumberFormat="1" applyFont="1" applyFill="1" applyAlignment="1">
      <alignment horizontal="center"/>
    </xf>
    <xf numFmtId="166" fontId="6" fillId="2" borderId="0" xfId="1" applyNumberFormat="1" applyFont="1" applyFill="1" applyAlignment="1">
      <alignment horizontal="center"/>
    </xf>
    <xf numFmtId="166" fontId="47" fillId="0" borderId="0" xfId="1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28" fillId="2" borderId="0" xfId="0" applyFont="1" applyFill="1"/>
    <xf numFmtId="0" fontId="22" fillId="2" borderId="0" xfId="0" applyFont="1" applyFill="1"/>
    <xf numFmtId="0" fontId="3" fillId="2" borderId="0" xfId="0" applyFont="1" applyFill="1"/>
    <xf numFmtId="0" fontId="13" fillId="2" borderId="0" xfId="0" applyFont="1" applyFill="1"/>
    <xf numFmtId="4" fontId="8" fillId="2" borderId="0" xfId="1" applyNumberFormat="1" applyFont="1" applyFill="1" applyAlignment="1">
      <alignment horizontal="center"/>
    </xf>
    <xf numFmtId="177" fontId="9" fillId="2" borderId="0" xfId="1" applyNumberFormat="1" applyFont="1" applyFill="1" applyAlignment="1">
      <alignment horizontal="center"/>
    </xf>
    <xf numFmtId="178" fontId="9" fillId="2" borderId="0" xfId="1" applyNumberFormat="1" applyFont="1" applyFill="1" applyAlignment="1">
      <alignment horizontal="center"/>
    </xf>
    <xf numFmtId="177" fontId="13" fillId="2" borderId="0" xfId="1" applyNumberFormat="1" applyFont="1" applyFill="1" applyAlignment="1">
      <alignment horizontal="center"/>
    </xf>
    <xf numFmtId="178" fontId="13" fillId="2" borderId="0" xfId="1" applyNumberFormat="1" applyFont="1" applyFill="1" applyAlignment="1">
      <alignment horizontal="center"/>
    </xf>
    <xf numFmtId="178" fontId="22" fillId="2" borderId="0" xfId="1" applyNumberFormat="1" applyFont="1" applyFill="1" applyAlignment="1">
      <alignment horizontal="center"/>
    </xf>
    <xf numFmtId="170" fontId="47" fillId="2" borderId="0" xfId="1" applyNumberFormat="1" applyFont="1" applyFill="1" applyAlignment="1">
      <alignment horizontal="center"/>
    </xf>
    <xf numFmtId="173" fontId="3" fillId="2" borderId="0" xfId="1" applyNumberFormat="1" applyFont="1" applyFill="1" applyAlignment="1">
      <alignment horizontal="center"/>
    </xf>
    <xf numFmtId="180" fontId="8" fillId="2" borderId="0" xfId="4" applyNumberFormat="1" applyFont="1" applyFill="1" applyAlignment="1">
      <alignment horizontal="center"/>
    </xf>
    <xf numFmtId="173" fontId="49" fillId="2" borderId="0" xfId="1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173" fontId="8" fillId="2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9" fillId="2" borderId="0" xfId="0" applyFont="1" applyFill="1"/>
    <xf numFmtId="166" fontId="3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66" fontId="8" fillId="0" borderId="0" xfId="0" applyNumberFormat="1" applyFont="1" applyAlignment="1">
      <alignment horizontal="center"/>
    </xf>
    <xf numFmtId="10" fontId="3" fillId="2" borderId="0" xfId="1" applyNumberFormat="1" applyFont="1" applyFill="1" applyAlignment="1">
      <alignment horizontal="center"/>
    </xf>
    <xf numFmtId="166" fontId="47" fillId="0" borderId="0" xfId="0" applyNumberFormat="1" applyFont="1" applyAlignment="1">
      <alignment horizontal="center"/>
    </xf>
    <xf numFmtId="180" fontId="6" fillId="2" borderId="0" xfId="4" applyNumberFormat="1" applyFont="1" applyFill="1" applyAlignment="1">
      <alignment horizontal="center"/>
    </xf>
    <xf numFmtId="2" fontId="6" fillId="2" borderId="0" xfId="1" applyNumberFormat="1" applyFont="1" applyFill="1" applyAlignment="1">
      <alignment horizontal="center"/>
    </xf>
    <xf numFmtId="173" fontId="6" fillId="2" borderId="0" xfId="0" applyNumberFormat="1" applyFont="1" applyFill="1" applyAlignment="1">
      <alignment horizontal="center"/>
    </xf>
    <xf numFmtId="165" fontId="6" fillId="2" borderId="0" xfId="0" applyNumberFormat="1" applyFont="1" applyFill="1" applyAlignment="1">
      <alignment horizontal="center"/>
    </xf>
    <xf numFmtId="177" fontId="9" fillId="0" borderId="0" xfId="1" applyNumberFormat="1" applyFont="1" applyFill="1" applyAlignment="1">
      <alignment horizontal="center"/>
    </xf>
    <xf numFmtId="178" fontId="9" fillId="0" borderId="0" xfId="1" applyNumberFormat="1" applyFont="1" applyFill="1" applyAlignment="1">
      <alignment horizontal="center"/>
    </xf>
    <xf numFmtId="177" fontId="13" fillId="0" borderId="0" xfId="1" applyNumberFormat="1" applyFont="1" applyFill="1" applyAlignment="1">
      <alignment horizontal="center"/>
    </xf>
    <xf numFmtId="178" fontId="13" fillId="0" borderId="0" xfId="1" applyNumberFormat="1" applyFont="1" applyFill="1" applyAlignment="1">
      <alignment horizontal="center"/>
    </xf>
    <xf numFmtId="178" fontId="22" fillId="0" borderId="0" xfId="1" applyNumberFormat="1" applyFont="1" applyFill="1" applyAlignment="1">
      <alignment horizontal="center"/>
    </xf>
    <xf numFmtId="166" fontId="47" fillId="0" borderId="0" xfId="1" applyNumberFormat="1" applyFont="1" applyFill="1" applyAlignment="1">
      <alignment horizontal="center"/>
    </xf>
    <xf numFmtId="170" fontId="47" fillId="0" borderId="0" xfId="1" applyNumberFormat="1" applyFont="1" applyFill="1" applyAlignment="1">
      <alignment horizontal="center"/>
    </xf>
    <xf numFmtId="173" fontId="3" fillId="0" borderId="0" xfId="1" applyNumberFormat="1" applyFont="1" applyFill="1" applyAlignment="1">
      <alignment horizontal="center"/>
    </xf>
    <xf numFmtId="180" fontId="6" fillId="0" borderId="0" xfId="4" applyNumberFormat="1" applyFont="1" applyFill="1" applyAlignment="1">
      <alignment horizontal="center"/>
    </xf>
    <xf numFmtId="173" fontId="49" fillId="0" borderId="0" xfId="1" applyNumberFormat="1" applyFont="1" applyFill="1" applyAlignment="1">
      <alignment horizontal="center"/>
    </xf>
    <xf numFmtId="166" fontId="47" fillId="2" borderId="0" xfId="1" applyNumberFormat="1" applyFont="1" applyFill="1" applyAlignment="1">
      <alignment horizontal="center"/>
    </xf>
    <xf numFmtId="179" fontId="28" fillId="2" borderId="0" xfId="1" applyNumberFormat="1" applyFont="1" applyFill="1" applyAlignment="1">
      <alignment horizontal="center"/>
    </xf>
    <xf numFmtId="179" fontId="28" fillId="0" borderId="0" xfId="1" applyNumberFormat="1" applyFont="1" applyFill="1" applyAlignment="1">
      <alignment horizontal="center"/>
    </xf>
    <xf numFmtId="10" fontId="3" fillId="3" borderId="0" xfId="1" applyNumberFormat="1" applyFont="1" applyFill="1" applyAlignment="1">
      <alignment horizontal="center"/>
    </xf>
    <xf numFmtId="10" fontId="3" fillId="6" borderId="0" xfId="1" applyNumberFormat="1" applyFont="1" applyFill="1" applyAlignment="1">
      <alignment horizontal="center"/>
    </xf>
    <xf numFmtId="10" fontId="3" fillId="0" borderId="0" xfId="1" applyNumberFormat="1" applyFont="1" applyFill="1" applyAlignment="1">
      <alignment horizontal="center"/>
    </xf>
    <xf numFmtId="166" fontId="6" fillId="2" borderId="0" xfId="0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4" fillId="7" borderId="0" xfId="0" applyFont="1" applyFill="1"/>
    <xf numFmtId="0" fontId="0" fillId="7" borderId="0" xfId="0" applyFill="1"/>
    <xf numFmtId="0" fontId="27" fillId="7" borderId="0" xfId="0" applyFont="1" applyFill="1"/>
    <xf numFmtId="0" fontId="9" fillId="7" borderId="0" xfId="0" applyFont="1" applyFill="1" applyAlignment="1">
      <alignment horizontal="center"/>
    </xf>
    <xf numFmtId="166" fontId="5" fillId="7" borderId="0" xfId="0" applyNumberFormat="1" applyFont="1" applyFill="1" applyAlignment="1">
      <alignment horizontal="center"/>
    </xf>
    <xf numFmtId="173" fontId="1" fillId="7" borderId="0" xfId="1" applyNumberFormat="1" applyFont="1" applyFill="1" applyAlignment="1">
      <alignment horizontal="center"/>
    </xf>
    <xf numFmtId="173" fontId="29" fillId="7" borderId="0" xfId="1" applyNumberFormat="1" applyFont="1" applyFill="1" applyAlignment="1">
      <alignment horizontal="center"/>
    </xf>
    <xf numFmtId="173" fontId="9" fillId="7" borderId="0" xfId="0" applyNumberFormat="1" applyFont="1" applyFill="1" applyAlignment="1">
      <alignment horizontal="center"/>
    </xf>
    <xf numFmtId="173" fontId="6" fillId="7" borderId="0" xfId="0" applyNumberFormat="1" applyFont="1" applyFill="1" applyAlignment="1">
      <alignment horizontal="center"/>
    </xf>
    <xf numFmtId="0" fontId="53" fillId="7" borderId="0" xfId="0" applyFont="1" applyFill="1" applyAlignment="1">
      <alignment horizontal="center"/>
    </xf>
    <xf numFmtId="173" fontId="22" fillId="7" borderId="0" xfId="0" applyNumberFormat="1" applyFont="1" applyFill="1" applyAlignment="1">
      <alignment horizontal="center"/>
    </xf>
    <xf numFmtId="166" fontId="0" fillId="7" borderId="0" xfId="0" applyNumberFormat="1" applyFill="1" applyAlignment="1">
      <alignment horizontal="center"/>
    </xf>
    <xf numFmtId="169" fontId="12" fillId="7" borderId="0" xfId="0" applyNumberFormat="1" applyFont="1" applyFill="1"/>
    <xf numFmtId="165" fontId="10" fillId="7" borderId="0" xfId="0" applyNumberFormat="1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75" fontId="10" fillId="7" borderId="0" xfId="0" applyNumberFormat="1" applyFont="1" applyFill="1" applyAlignment="1">
      <alignment horizontal="center"/>
    </xf>
    <xf numFmtId="171" fontId="3" fillId="7" borderId="0" xfId="0" applyNumberFormat="1" applyFont="1" applyFill="1" applyAlignment="1">
      <alignment horizontal="center"/>
    </xf>
    <xf numFmtId="165" fontId="3" fillId="7" borderId="0" xfId="1" applyNumberFormat="1" applyFont="1" applyFill="1" applyAlignment="1">
      <alignment horizontal="center"/>
    </xf>
    <xf numFmtId="166" fontId="1" fillId="7" borderId="0" xfId="1" applyNumberFormat="1" applyFont="1" applyFill="1" applyAlignment="1">
      <alignment horizontal="center"/>
    </xf>
    <xf numFmtId="170" fontId="1" fillId="7" borderId="0" xfId="1" applyNumberFormat="1" applyFont="1" applyFill="1" applyAlignment="1">
      <alignment horizontal="center"/>
    </xf>
    <xf numFmtId="165" fontId="1" fillId="7" borderId="0" xfId="1" applyNumberFormat="1" applyFont="1" applyFill="1" applyAlignment="1">
      <alignment horizontal="center"/>
    </xf>
    <xf numFmtId="2" fontId="1" fillId="7" borderId="0" xfId="1" applyNumberFormat="1" applyFont="1" applyFill="1" applyAlignment="1">
      <alignment horizontal="center"/>
    </xf>
    <xf numFmtId="2" fontId="3" fillId="7" borderId="0" xfId="1" applyNumberFormat="1" applyFont="1" applyFill="1" applyAlignment="1">
      <alignment horizontal="center"/>
    </xf>
    <xf numFmtId="2" fontId="8" fillId="7" borderId="0" xfId="1" applyNumberFormat="1" applyFont="1" applyFill="1" applyAlignment="1">
      <alignment horizontal="center"/>
    </xf>
    <xf numFmtId="166" fontId="8" fillId="7" borderId="0" xfId="1" applyNumberFormat="1" applyFont="1" applyFill="1" applyAlignment="1">
      <alignment horizontal="center"/>
    </xf>
    <xf numFmtId="10" fontId="3" fillId="0" borderId="0" xfId="1" applyNumberFormat="1" applyFont="1" applyAlignment="1">
      <alignment horizontal="center"/>
    </xf>
    <xf numFmtId="0" fontId="3" fillId="0" borderId="19" xfId="0" applyFont="1" applyBorder="1" applyAlignment="1">
      <alignment horizontal="center"/>
    </xf>
    <xf numFmtId="166" fontId="0" fillId="0" borderId="19" xfId="0" applyNumberFormat="1" applyBorder="1" applyAlignment="1">
      <alignment horizontal="center"/>
    </xf>
    <xf numFmtId="165" fontId="0" fillId="0" borderId="19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67" fontId="0" fillId="0" borderId="19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70" fontId="0" fillId="0" borderId="19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/>
    <xf numFmtId="166" fontId="1" fillId="0" borderId="0" xfId="1" applyNumberFormat="1" applyFont="1" applyFill="1" applyAlignment="1">
      <alignment horizontal="center"/>
    </xf>
    <xf numFmtId="170" fontId="1" fillId="0" borderId="0" xfId="1" applyNumberFormat="1" applyFont="1" applyFill="1" applyAlignment="1">
      <alignment horizontal="center"/>
    </xf>
    <xf numFmtId="176" fontId="1" fillId="0" borderId="0" xfId="1" applyNumberFormat="1" applyFont="1" applyFill="1" applyAlignment="1">
      <alignment horizontal="center"/>
    </xf>
    <xf numFmtId="165" fontId="2" fillId="0" borderId="0" xfId="1" applyNumberFormat="1" applyFont="1" applyAlignment="1">
      <alignment horizontal="center"/>
    </xf>
    <xf numFmtId="1" fontId="1" fillId="0" borderId="0" xfId="1" applyNumberFormat="1" applyFont="1" applyAlignment="1">
      <alignment horizontal="center"/>
    </xf>
    <xf numFmtId="1" fontId="1" fillId="7" borderId="0" xfId="1" applyNumberFormat="1" applyFont="1" applyFill="1" applyAlignment="1">
      <alignment horizontal="center"/>
    </xf>
    <xf numFmtId="176" fontId="0" fillId="0" borderId="0" xfId="1" applyNumberFormat="1" applyFont="1" applyFill="1" applyAlignment="1">
      <alignment horizontal="center"/>
    </xf>
    <xf numFmtId="165" fontId="0" fillId="0" borderId="0" xfId="1" applyNumberFormat="1" applyFont="1" applyFill="1" applyAlignment="1">
      <alignment horizontal="center"/>
    </xf>
    <xf numFmtId="166" fontId="22" fillId="0" borderId="0" xfId="0" applyNumberFormat="1" applyFont="1"/>
    <xf numFmtId="166" fontId="4" fillId="0" borderId="0" xfId="0" applyNumberFormat="1" applyFont="1"/>
    <xf numFmtId="1" fontId="1" fillId="0" borderId="0" xfId="1" applyNumberFormat="1" applyFont="1" applyFill="1" applyAlignment="1">
      <alignment horizontal="center"/>
    </xf>
    <xf numFmtId="172" fontId="1" fillId="0" borderId="0" xfId="1" applyNumberFormat="1" applyFont="1" applyAlignment="1">
      <alignment horizontal="center"/>
    </xf>
    <xf numFmtId="173" fontId="0" fillId="0" borderId="0" xfId="1" applyNumberFormat="1" applyFont="1" applyAlignment="1">
      <alignment horizontal="center"/>
    </xf>
    <xf numFmtId="176" fontId="0" fillId="7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19" xfId="0" applyFont="1" applyBorder="1" applyAlignment="1">
      <alignment horizontal="center" vertical="center" wrapText="1"/>
    </xf>
  </cellXfs>
  <cellStyles count="5">
    <cellStyle name="Comma" xfId="4" builtinId="3"/>
    <cellStyle name="Normal" xfId="0" builtinId="0"/>
    <cellStyle name="Normal 2 2" xfId="2" xr:uid="{611C3AA8-F06F-41DD-A6CB-E41662A20218}"/>
    <cellStyle name="Normal 3" xfId="3" xr:uid="{86D6EABB-F38D-4947-9F57-36B48EB227A5}"/>
    <cellStyle name="Percent" xfId="1" builtinId="5"/>
  </cellStyles>
  <dxfs count="0"/>
  <tableStyles count="0" defaultTableStyle="TableStyleMedium2" defaultPivotStyle="PivotStyleLight16"/>
  <colors>
    <mruColors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PVT_Ginj!$C$7</c:f>
              <c:strCache>
                <c:ptCount val="1"/>
                <c:pt idx="0">
                  <c:v>90 C</c:v>
                </c:pt>
              </c:strCache>
            </c:strRef>
          </c:tx>
          <c:marker>
            <c:symbol val="none"/>
          </c:marker>
          <c:xVal>
            <c:numRef>
              <c:f>PVT_Ginj!$B$10:$B$23</c:f>
              <c:numCache>
                <c:formatCode>General</c:formatCode>
                <c:ptCount val="1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</c:numCache>
            </c:numRef>
          </c:xVal>
          <c:yVal>
            <c:numRef>
              <c:f>PVT_Ginj!$D$10:$D$23</c:f>
              <c:numCache>
                <c:formatCode>0.0000</c:formatCode>
                <c:ptCount val="14"/>
                <c:pt idx="0">
                  <c:v>3.5712652059480002E-2</c:v>
                </c:pt>
                <c:pt idx="1">
                  <c:v>1.7377490296320002E-2</c:v>
                </c:pt>
                <c:pt idx="2">
                  <c:v>1.137370603864E-2</c:v>
                </c:pt>
                <c:pt idx="3">
                  <c:v>8.4515459110499989E-3</c:v>
                </c:pt>
                <c:pt idx="4">
                  <c:v>6.7568808193920003E-3</c:v>
                </c:pt>
                <c:pt idx="5">
                  <c:v>5.6694306141000005E-3</c:v>
                </c:pt>
                <c:pt idx="6">
                  <c:v>4.9227164862857137E-3</c:v>
                </c:pt>
                <c:pt idx="7">
                  <c:v>4.38376249377E-3</c:v>
                </c:pt>
                <c:pt idx="8">
                  <c:v>3.9793258334133337E-3</c:v>
                </c:pt>
                <c:pt idx="9">
                  <c:v>3.6661301099279995E-3</c:v>
                </c:pt>
                <c:pt idx="10">
                  <c:v>3.4171938180000004E-3</c:v>
                </c:pt>
                <c:pt idx="11">
                  <c:v>3.2149483619E-3</c:v>
                </c:pt>
                <c:pt idx="12">
                  <c:v>3.0475721952923081E-3</c:v>
                </c:pt>
                <c:pt idx="13">
                  <c:v>2.9068273721142858E-3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01-4633-B3F0-72E50BE007ED}"/>
            </c:ext>
          </c:extLst>
        </c:ser>
        <c:ser>
          <c:idx val="1"/>
          <c:order val="1"/>
          <c:tx>
            <c:strRef>
              <c:f>PVT_Ginj!$H$7</c:f>
              <c:strCache>
                <c:ptCount val="1"/>
                <c:pt idx="0">
                  <c:v>100 C</c:v>
                </c:pt>
              </c:strCache>
            </c:strRef>
          </c:tx>
          <c:marker>
            <c:symbol val="none"/>
          </c:marker>
          <c:xVal>
            <c:numRef>
              <c:f>PVT_Ginj!$G$10:$G$23</c:f>
              <c:numCache>
                <c:formatCode>General</c:formatCode>
                <c:ptCount val="14"/>
                <c:pt idx="0">
                  <c:v>500.1</c:v>
                </c:pt>
                <c:pt idx="1">
                  <c:v>1000.1</c:v>
                </c:pt>
                <c:pt idx="2">
                  <c:v>1500.1</c:v>
                </c:pt>
                <c:pt idx="3">
                  <c:v>2000.1</c:v>
                </c:pt>
                <c:pt idx="4">
                  <c:v>2500.1</c:v>
                </c:pt>
                <c:pt idx="5">
                  <c:v>3000.1</c:v>
                </c:pt>
                <c:pt idx="6">
                  <c:v>3500.1</c:v>
                </c:pt>
                <c:pt idx="7">
                  <c:v>4000.1</c:v>
                </c:pt>
                <c:pt idx="8">
                  <c:v>4500.1000000000004</c:v>
                </c:pt>
                <c:pt idx="9">
                  <c:v>5000.1000000000004</c:v>
                </c:pt>
                <c:pt idx="10">
                  <c:v>5500.1</c:v>
                </c:pt>
                <c:pt idx="11">
                  <c:v>6000.1</c:v>
                </c:pt>
                <c:pt idx="12">
                  <c:v>6500.1</c:v>
                </c:pt>
                <c:pt idx="13">
                  <c:v>7000.1</c:v>
                </c:pt>
              </c:numCache>
            </c:numRef>
          </c:xVal>
          <c:yVal>
            <c:numRef>
              <c:f>PVT_Ginj!$I$10:$I$23</c:f>
              <c:numCache>
                <c:formatCode>0.0000</c:formatCode>
                <c:ptCount val="14"/>
                <c:pt idx="0">
                  <c:v>3.6829506146130779E-2</c:v>
                </c:pt>
                <c:pt idx="1">
                  <c:v>1.7984597783421655E-2</c:v>
                </c:pt>
                <c:pt idx="2">
                  <c:v>1.1803513077368178E-2</c:v>
                </c:pt>
                <c:pt idx="3">
                  <c:v>8.7867980359382022E-3</c:v>
                </c:pt>
                <c:pt idx="4">
                  <c:v>7.030914474653014E-3</c:v>
                </c:pt>
                <c:pt idx="5">
                  <c:v>5.8995786564981162E-3</c:v>
                </c:pt>
                <c:pt idx="6">
                  <c:v>5.1196095270420851E-3</c:v>
                </c:pt>
                <c:pt idx="7">
                  <c:v>4.5546173617659561E-3</c:v>
                </c:pt>
                <c:pt idx="8">
                  <c:v>4.1293733256416521E-3</c:v>
                </c:pt>
                <c:pt idx="9">
                  <c:v>3.7992752329273414E-3</c:v>
                </c:pt>
                <c:pt idx="10">
                  <c:v>3.5364300500718166E-3</c:v>
                </c:pt>
                <c:pt idx="11">
                  <c:v>3.3225968793853438E-3</c:v>
                </c:pt>
                <c:pt idx="12">
                  <c:v>3.145489269395855E-3</c:v>
                </c:pt>
                <c:pt idx="13">
                  <c:v>2.9964776827759603E-3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01-4633-B3F0-72E50BE007ED}"/>
            </c:ext>
          </c:extLst>
        </c:ser>
        <c:ser>
          <c:idx val="2"/>
          <c:order val="2"/>
          <c:tx>
            <c:strRef>
              <c:f>PVT_Ginj!$M$7</c:f>
              <c:strCache>
                <c:ptCount val="1"/>
                <c:pt idx="0">
                  <c:v>120 C</c:v>
                </c:pt>
              </c:strCache>
            </c:strRef>
          </c:tx>
          <c:marker>
            <c:symbol val="none"/>
          </c:marker>
          <c:xVal>
            <c:numRef>
              <c:f>PVT_Ginj!$L$10:$L$23</c:f>
              <c:numCache>
                <c:formatCode>General</c:formatCode>
                <c:ptCount val="14"/>
                <c:pt idx="0">
                  <c:v>500.1</c:v>
                </c:pt>
                <c:pt idx="1">
                  <c:v>1000.1</c:v>
                </c:pt>
                <c:pt idx="2">
                  <c:v>1500.1</c:v>
                </c:pt>
                <c:pt idx="3">
                  <c:v>2000.1</c:v>
                </c:pt>
                <c:pt idx="4">
                  <c:v>2500.1</c:v>
                </c:pt>
                <c:pt idx="5">
                  <c:v>3000.1</c:v>
                </c:pt>
                <c:pt idx="6">
                  <c:v>3500.1</c:v>
                </c:pt>
                <c:pt idx="7">
                  <c:v>4000.1</c:v>
                </c:pt>
                <c:pt idx="8">
                  <c:v>4500.1000000000004</c:v>
                </c:pt>
                <c:pt idx="9">
                  <c:v>5000.1000000000004</c:v>
                </c:pt>
                <c:pt idx="10">
                  <c:v>5500.1</c:v>
                </c:pt>
                <c:pt idx="11">
                  <c:v>6000.1</c:v>
                </c:pt>
                <c:pt idx="12">
                  <c:v>6500.1</c:v>
                </c:pt>
                <c:pt idx="13">
                  <c:v>7000.1</c:v>
                </c:pt>
              </c:numCache>
            </c:numRef>
          </c:xVal>
          <c:yVal>
            <c:numRef>
              <c:f>PVT_Ginj!$N$10:$N$23</c:f>
              <c:numCache>
                <c:formatCode>0.0000</c:formatCode>
                <c:ptCount val="14"/>
                <c:pt idx="0">
                  <c:v>3.9057177397720459E-2</c:v>
                </c:pt>
                <c:pt idx="1">
                  <c:v>1.9182472506629338E-2</c:v>
                </c:pt>
                <c:pt idx="2">
                  <c:v>1.2646629747830146E-2</c:v>
                </c:pt>
                <c:pt idx="3">
                  <c:v>9.4428804955752222E-3</c:v>
                </c:pt>
                <c:pt idx="4">
                  <c:v>7.567421293084276E-3</c:v>
                </c:pt>
                <c:pt idx="5">
                  <c:v>6.351205687663744E-3</c:v>
                </c:pt>
                <c:pt idx="6">
                  <c:v>5.5072541058026909E-3</c:v>
                </c:pt>
                <c:pt idx="7">
                  <c:v>4.8922533055273613E-3</c:v>
                </c:pt>
                <c:pt idx="8">
                  <c:v>4.4269614593986798E-3</c:v>
                </c:pt>
                <c:pt idx="9">
                  <c:v>4.0642371351772965E-3</c:v>
                </c:pt>
                <c:pt idx="10">
                  <c:v>3.7743902475227721E-3</c:v>
                </c:pt>
                <c:pt idx="11">
                  <c:v>3.5380208661855627E-3</c:v>
                </c:pt>
                <c:pt idx="12">
                  <c:v>3.3418644556237596E-3</c:v>
                </c:pt>
                <c:pt idx="13">
                  <c:v>3.1765892568391876E-3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001-4633-B3F0-72E50BE0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60000"/>
        <c:axId val="187631104"/>
      </c:scatterChart>
      <c:valAx>
        <c:axId val="187760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Pressure [psi]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631104"/>
        <c:crosses val="autoZero"/>
        <c:crossBetween val="midCat"/>
      </c:valAx>
      <c:valAx>
        <c:axId val="18763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Bg (Equation) 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1877600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0371501272264629"/>
          <c:y val="0.25191053408400288"/>
          <c:w val="8.7999999999999995E-2"/>
          <c:h val="0.15069094488188978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4910156836849"/>
          <c:y val="4.3062200956937802E-2"/>
          <c:w val="0.80005397926776867"/>
          <c:h val="0.7349124062841426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378763263352442E-2"/>
                  <c:y val="0.35774973911393604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'PVT SR'!$B$12:$B$18</c:f>
              <c:numCache>
                <c:formatCode>General</c:formatCode>
                <c:ptCount val="7"/>
                <c:pt idx="0">
                  <c:v>2115</c:v>
                </c:pt>
                <c:pt idx="1">
                  <c:v>1815</c:v>
                </c:pt>
                <c:pt idx="2">
                  <c:v>1515</c:v>
                </c:pt>
                <c:pt idx="3">
                  <c:v>1215</c:v>
                </c:pt>
                <c:pt idx="4">
                  <c:v>1015</c:v>
                </c:pt>
                <c:pt idx="5">
                  <c:v>815</c:v>
                </c:pt>
                <c:pt idx="6">
                  <c:v>615</c:v>
                </c:pt>
              </c:numCache>
            </c:numRef>
          </c:xVal>
          <c:yVal>
            <c:numRef>
              <c:f>'PVT SR'!$H$12:$H$18</c:f>
              <c:numCache>
                <c:formatCode>General</c:formatCode>
                <c:ptCount val="7"/>
                <c:pt idx="0">
                  <c:v>1.7479999999999999E-2</c:v>
                </c:pt>
                <c:pt idx="1">
                  <c:v>1.6660000000000001E-2</c:v>
                </c:pt>
                <c:pt idx="2">
                  <c:v>1.5910000000000001E-2</c:v>
                </c:pt>
                <c:pt idx="3">
                  <c:v>1.521E-2</c:v>
                </c:pt>
                <c:pt idx="4">
                  <c:v>1.478E-2</c:v>
                </c:pt>
                <c:pt idx="5">
                  <c:v>1.4370000000000001E-2</c:v>
                </c:pt>
                <c:pt idx="6">
                  <c:v>1.391E-2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1-4733-B9D6-B0443A5CC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846704"/>
        <c:axId val="1122843792"/>
      </c:scatterChart>
      <c:valAx>
        <c:axId val="1122846704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Presión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2843792"/>
        <c:crosses val="autoZero"/>
        <c:crossBetween val="midCat"/>
      </c:valAx>
      <c:valAx>
        <c:axId val="1122843792"/>
        <c:scaling>
          <c:orientation val="minMax"/>
          <c:max val="2.0000000000000004E-2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Ug (cP) [P&lt;=Pb)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284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4121278199526"/>
          <c:y val="5.7803468208092484E-2"/>
          <c:w val="0.80639501311362216"/>
          <c:h val="0.7331247250163094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010799915674763"/>
                  <c:y val="6.650546933078452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'PVT SR'!$B$11:$B$18</c:f>
              <c:numCache>
                <c:formatCode>General</c:formatCode>
                <c:ptCount val="8"/>
                <c:pt idx="0">
                  <c:v>2400</c:v>
                </c:pt>
                <c:pt idx="1">
                  <c:v>2115</c:v>
                </c:pt>
                <c:pt idx="2">
                  <c:v>1815</c:v>
                </c:pt>
                <c:pt idx="3">
                  <c:v>1515</c:v>
                </c:pt>
                <c:pt idx="4">
                  <c:v>1215</c:v>
                </c:pt>
                <c:pt idx="5">
                  <c:v>1015</c:v>
                </c:pt>
                <c:pt idx="6">
                  <c:v>815</c:v>
                </c:pt>
                <c:pt idx="7">
                  <c:v>615</c:v>
                </c:pt>
              </c:numCache>
            </c:numRef>
          </c:xVal>
          <c:yVal>
            <c:numRef>
              <c:f>'PVT SR'!$D$11:$D$18</c:f>
              <c:numCache>
                <c:formatCode>General</c:formatCode>
                <c:ptCount val="8"/>
                <c:pt idx="0">
                  <c:v>119.56901157613535</c:v>
                </c:pt>
                <c:pt idx="1">
                  <c:v>106.23864648263579</c:v>
                </c:pt>
                <c:pt idx="2">
                  <c:v>92.817453250222613</c:v>
                </c:pt>
                <c:pt idx="3">
                  <c:v>79.943009795191443</c:v>
                </c:pt>
                <c:pt idx="4">
                  <c:v>67.095280498664295</c:v>
                </c:pt>
                <c:pt idx="5">
                  <c:v>58.922528940338381</c:v>
                </c:pt>
                <c:pt idx="6">
                  <c:v>51.102404274265361</c:v>
                </c:pt>
                <c:pt idx="7">
                  <c:v>42.756901157613534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2-4301-9A82-2DF38FB6B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846704"/>
        <c:axId val="1122843792"/>
      </c:scatterChart>
      <c:valAx>
        <c:axId val="11228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Presión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2843792"/>
        <c:crosses val="autoZero"/>
        <c:crossBetween val="midCat"/>
      </c:valAx>
      <c:valAx>
        <c:axId val="11228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/>
                  <a:t>Rs (scf/rcf)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284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2469667698652"/>
          <c:y val="3.3794162826420893E-2"/>
          <c:w val="0.84079345235487879"/>
          <c:h val="0.82979014719934197"/>
        </c:manualLayout>
      </c:layout>
      <c:scatterChart>
        <c:scatterStyle val="smoothMarker"/>
        <c:varyColors val="0"/>
        <c:ser>
          <c:idx val="0"/>
          <c:order val="0"/>
          <c:tx>
            <c:v>GOR Paper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Paper!$K$4:$K$50</c:f>
              <c:numCache>
                <c:formatCode>0.0</c:formatCode>
                <c:ptCount val="47"/>
                <c:pt idx="0">
                  <c:v>0</c:v>
                </c:pt>
                <c:pt idx="1">
                  <c:v>0.12</c:v>
                </c:pt>
                <c:pt idx="2">
                  <c:v>0.36</c:v>
                </c:pt>
                <c:pt idx="3">
                  <c:v>0.48</c:v>
                </c:pt>
                <c:pt idx="4">
                  <c:v>0.72</c:v>
                </c:pt>
                <c:pt idx="5">
                  <c:v>0.84000000000000008</c:v>
                </c:pt>
                <c:pt idx="6">
                  <c:v>1.08</c:v>
                </c:pt>
                <c:pt idx="7">
                  <c:v>1.2000000000000002</c:v>
                </c:pt>
                <c:pt idx="8">
                  <c:v>1.44</c:v>
                </c:pt>
                <c:pt idx="9">
                  <c:v>1.56</c:v>
                </c:pt>
                <c:pt idx="10">
                  <c:v>1.7999999999999998</c:v>
                </c:pt>
                <c:pt idx="11">
                  <c:v>2.04</c:v>
                </c:pt>
                <c:pt idx="12">
                  <c:v>2.16</c:v>
                </c:pt>
                <c:pt idx="13">
                  <c:v>2.4000000000000004</c:v>
                </c:pt>
                <c:pt idx="14">
                  <c:v>2.64</c:v>
                </c:pt>
                <c:pt idx="15">
                  <c:v>2.88</c:v>
                </c:pt>
                <c:pt idx="16">
                  <c:v>3.12</c:v>
                </c:pt>
                <c:pt idx="17">
                  <c:v>3.3600000000000003</c:v>
                </c:pt>
                <c:pt idx="18">
                  <c:v>3.5999999999999996</c:v>
                </c:pt>
                <c:pt idx="19">
                  <c:v>3.84</c:v>
                </c:pt>
                <c:pt idx="20">
                  <c:v>4.08</c:v>
                </c:pt>
                <c:pt idx="21">
                  <c:v>4.4399999999999995</c:v>
                </c:pt>
                <c:pt idx="22">
                  <c:v>4.68</c:v>
                </c:pt>
                <c:pt idx="23">
                  <c:v>5.04</c:v>
                </c:pt>
                <c:pt idx="24">
                  <c:v>5.28</c:v>
                </c:pt>
                <c:pt idx="25">
                  <c:v>5.64</c:v>
                </c:pt>
                <c:pt idx="26">
                  <c:v>6</c:v>
                </c:pt>
                <c:pt idx="27">
                  <c:v>6.36</c:v>
                </c:pt>
                <c:pt idx="28">
                  <c:v>6.84</c:v>
                </c:pt>
                <c:pt idx="29">
                  <c:v>7.1999999999999993</c:v>
                </c:pt>
                <c:pt idx="30">
                  <c:v>7.68</c:v>
                </c:pt>
                <c:pt idx="31">
                  <c:v>8.2799999999999994</c:v>
                </c:pt>
                <c:pt idx="32">
                  <c:v>9.48</c:v>
                </c:pt>
                <c:pt idx="33">
                  <c:v>11.040000000000001</c:v>
                </c:pt>
                <c:pt idx="34">
                  <c:v>12.120000000000001</c:v>
                </c:pt>
                <c:pt idx="35">
                  <c:v>21</c:v>
                </c:pt>
                <c:pt idx="36">
                  <c:v>29.64</c:v>
                </c:pt>
                <c:pt idx="37">
                  <c:v>35.400000000000006</c:v>
                </c:pt>
                <c:pt idx="38">
                  <c:v>39</c:v>
                </c:pt>
                <c:pt idx="39">
                  <c:v>41.519999999999996</c:v>
                </c:pt>
                <c:pt idx="40">
                  <c:v>43.68</c:v>
                </c:pt>
                <c:pt idx="41">
                  <c:v>46.08</c:v>
                </c:pt>
                <c:pt idx="42">
                  <c:v>48.72</c:v>
                </c:pt>
                <c:pt idx="43">
                  <c:v>51.480000000000004</c:v>
                </c:pt>
                <c:pt idx="44">
                  <c:v>53.760000000000005</c:v>
                </c:pt>
                <c:pt idx="45">
                  <c:v>54.599999999999994</c:v>
                </c:pt>
                <c:pt idx="46">
                  <c:v>56.760000000000005</c:v>
                </c:pt>
              </c:numCache>
            </c:numRef>
          </c:xVal>
          <c:yVal>
            <c:numRef>
              <c:f>Paper!$F$4:$F$50</c:f>
              <c:numCache>
                <c:formatCode>General</c:formatCode>
                <c:ptCount val="47"/>
                <c:pt idx="0">
                  <c:v>671.4</c:v>
                </c:pt>
                <c:pt idx="1">
                  <c:v>671.4</c:v>
                </c:pt>
                <c:pt idx="2">
                  <c:v>671.4</c:v>
                </c:pt>
                <c:pt idx="3">
                  <c:v>671.4</c:v>
                </c:pt>
                <c:pt idx="4">
                  <c:v>671.4</c:v>
                </c:pt>
                <c:pt idx="5">
                  <c:v>671.4</c:v>
                </c:pt>
                <c:pt idx="6">
                  <c:v>671.4</c:v>
                </c:pt>
                <c:pt idx="7">
                  <c:v>671.4</c:v>
                </c:pt>
                <c:pt idx="8">
                  <c:v>671.4</c:v>
                </c:pt>
                <c:pt idx="9">
                  <c:v>671.4</c:v>
                </c:pt>
                <c:pt idx="10">
                  <c:v>671.4</c:v>
                </c:pt>
                <c:pt idx="11">
                  <c:v>671.4</c:v>
                </c:pt>
                <c:pt idx="12">
                  <c:v>671.4</c:v>
                </c:pt>
                <c:pt idx="13">
                  <c:v>671.4</c:v>
                </c:pt>
                <c:pt idx="14">
                  <c:v>671.4</c:v>
                </c:pt>
                <c:pt idx="15">
                  <c:v>671.4</c:v>
                </c:pt>
                <c:pt idx="16">
                  <c:v>671.4</c:v>
                </c:pt>
                <c:pt idx="17">
                  <c:v>671.4</c:v>
                </c:pt>
                <c:pt idx="18">
                  <c:v>671.4</c:v>
                </c:pt>
                <c:pt idx="19">
                  <c:v>671.4</c:v>
                </c:pt>
                <c:pt idx="20">
                  <c:v>671.4</c:v>
                </c:pt>
                <c:pt idx="21">
                  <c:v>671.4</c:v>
                </c:pt>
                <c:pt idx="22">
                  <c:v>671.4</c:v>
                </c:pt>
                <c:pt idx="23">
                  <c:v>671.4</c:v>
                </c:pt>
                <c:pt idx="24">
                  <c:v>671.4</c:v>
                </c:pt>
                <c:pt idx="25">
                  <c:v>671.4</c:v>
                </c:pt>
                <c:pt idx="26">
                  <c:v>671.4</c:v>
                </c:pt>
                <c:pt idx="27">
                  <c:v>671.4</c:v>
                </c:pt>
                <c:pt idx="28">
                  <c:v>671.4</c:v>
                </c:pt>
                <c:pt idx="29">
                  <c:v>671.4</c:v>
                </c:pt>
                <c:pt idx="30">
                  <c:v>671.4</c:v>
                </c:pt>
                <c:pt idx="31">
                  <c:v>671.4</c:v>
                </c:pt>
                <c:pt idx="32">
                  <c:v>671.4</c:v>
                </c:pt>
                <c:pt idx="33">
                  <c:v>671.4</c:v>
                </c:pt>
                <c:pt idx="34">
                  <c:v>671.4</c:v>
                </c:pt>
                <c:pt idx="35" formatCode="0">
                  <c:v>1808.55</c:v>
                </c:pt>
                <c:pt idx="36" formatCode="0">
                  <c:v>2724.16</c:v>
                </c:pt>
                <c:pt idx="37" formatCode="0">
                  <c:v>3198.17</c:v>
                </c:pt>
                <c:pt idx="38" formatCode="0">
                  <c:v>3542.59</c:v>
                </c:pt>
                <c:pt idx="39" formatCode="0">
                  <c:v>2914.68</c:v>
                </c:pt>
                <c:pt idx="40" formatCode="0">
                  <c:v>3075.53</c:v>
                </c:pt>
                <c:pt idx="41" formatCode="0">
                  <c:v>3173.55</c:v>
                </c:pt>
                <c:pt idx="42" formatCode="0">
                  <c:v>3419.97</c:v>
                </c:pt>
                <c:pt idx="43" formatCode="0">
                  <c:v>3286.33</c:v>
                </c:pt>
                <c:pt idx="44" formatCode="0">
                  <c:v>3509.5</c:v>
                </c:pt>
                <c:pt idx="45" formatCode="0">
                  <c:v>3001.84</c:v>
                </c:pt>
                <c:pt idx="46" formatCode="0">
                  <c:v>3157.72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4C-4136-B639-4175C4811777}"/>
            </c:ext>
          </c:extLst>
        </c:ser>
        <c:ser>
          <c:idx val="1"/>
          <c:order val="1"/>
          <c:tx>
            <c:v>GOR Calculado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Summary!$T$3:$T$49</c:f>
              <c:numCache>
                <c:formatCode>0.0</c:formatCode>
                <c:ptCount val="47"/>
                <c:pt idx="0">
                  <c:v>0</c:v>
                </c:pt>
                <c:pt idx="1">
                  <c:v>0.16375678430827301</c:v>
                </c:pt>
                <c:pt idx="2">
                  <c:v>0.33041117030366957</c:v>
                </c:pt>
                <c:pt idx="3">
                  <c:v>0.50012079545660748</c:v>
                </c:pt>
                <c:pt idx="4">
                  <c:v>0.67305624703904188</c:v>
                </c:pt>
                <c:pt idx="5">
                  <c:v>0.8494025218272816</c:v>
                </c:pt>
                <c:pt idx="6">
                  <c:v>1.0293606974485539</c:v>
                </c:pt>
                <c:pt idx="7">
                  <c:v>1.2131498532976346</c:v>
                </c:pt>
                <c:pt idx="8">
                  <c:v>1.4010092871236615</c:v>
                </c:pt>
                <c:pt idx="9">
                  <c:v>1.5932010836384567</c:v>
                </c:pt>
                <c:pt idx="10">
                  <c:v>1.79001310443982</c:v>
                </c:pt>
                <c:pt idx="11">
                  <c:v>1.9917624849979907</c:v>
                </c:pt>
                <c:pt idx="12">
                  <c:v>2.1987997455310486</c:v>
                </c:pt>
                <c:pt idx="13">
                  <c:v>2.4115136498100878</c:v>
                </c:pt>
                <c:pt idx="14">
                  <c:v>2.6303369813739104</c:v>
                </c:pt>
                <c:pt idx="15">
                  <c:v>2.8557534532020794</c:v>
                </c:pt>
                <c:pt idx="16">
                  <c:v>3.0883060286877608</c:v>
                </c:pt>
                <c:pt idx="17">
                  <c:v>3.3286070146063427</c:v>
                </c:pt>
                <c:pt idx="18">
                  <c:v>3.5773503991292137</c:v>
                </c:pt>
                <c:pt idx="19">
                  <c:v>3.8353270621522899</c:v>
                </c:pt>
                <c:pt idx="20">
                  <c:v>4.1034436997081887</c:v>
                </c:pt>
                <c:pt idx="21">
                  <c:v>4.3827466068829164</c:v>
                </c:pt>
                <c:pt idx="22">
                  <c:v>4.6744518974366782</c:v>
                </c:pt>
                <c:pt idx="23">
                  <c:v>4.9799843708252975</c:v>
                </c:pt>
                <c:pt idx="24">
                  <c:v>5.3010281772012293</c:v>
                </c:pt>
                <c:pt idx="25">
                  <c:v>5.6395938572316631</c:v>
                </c:pt>
                <c:pt idx="26">
                  <c:v>5.9981085490617545</c:v>
                </c:pt>
                <c:pt idx="27">
                  <c:v>6.3795396875415005</c:v>
                </c:pt>
                <c:pt idx="28">
                  <c:v>6.7875683233313335</c:v>
                </c:pt>
                <c:pt idx="29">
                  <c:v>7.2268380465555033</c:v>
                </c:pt>
                <c:pt idx="30">
                  <c:v>7.703322906243999</c:v>
                </c:pt>
                <c:pt idx="31">
                  <c:v>8.2248898730920406</c:v>
                </c:pt>
                <c:pt idx="32">
                  <c:v>9.4508129530644673</c:v>
                </c:pt>
                <c:pt idx="33">
                  <c:v>11.059536602672969</c:v>
                </c:pt>
                <c:pt idx="34">
                  <c:v>12.109893069726656</c:v>
                </c:pt>
                <c:pt idx="35">
                  <c:v>22.386982370470744</c:v>
                </c:pt>
                <c:pt idx="36">
                  <c:v>31.922260370084437</c:v>
                </c:pt>
                <c:pt idx="37">
                  <c:v>37.722260370084435</c:v>
                </c:pt>
                <c:pt idx="38">
                  <c:v>40.860877911811642</c:v>
                </c:pt>
                <c:pt idx="39">
                  <c:v>43.360877911811649</c:v>
                </c:pt>
                <c:pt idx="40">
                  <c:v>45.542312150262859</c:v>
                </c:pt>
                <c:pt idx="41">
                  <c:v>48.042312150262859</c:v>
                </c:pt>
                <c:pt idx="42">
                  <c:v>50.767897890020734</c:v>
                </c:pt>
                <c:pt idx="43">
                  <c:v>53.647897890020744</c:v>
                </c:pt>
                <c:pt idx="44">
                  <c:v>56.13739663134799</c:v>
                </c:pt>
                <c:pt idx="45">
                  <c:v>59.017396631347992</c:v>
                </c:pt>
                <c:pt idx="46">
                  <c:v>60.716712746967644</c:v>
                </c:pt>
              </c:numCache>
            </c:numRef>
          </c:xVal>
          <c:yVal>
            <c:numRef>
              <c:f>Summary!$Q$3:$Q$49</c:f>
              <c:numCache>
                <c:formatCode>0</c:formatCode>
                <c:ptCount val="47"/>
                <c:pt idx="0">
                  <c:v>665.53042957850005</c:v>
                </c:pt>
                <c:pt idx="1">
                  <c:v>665.53042957850005</c:v>
                </c:pt>
                <c:pt idx="2">
                  <c:v>665.53042957850005</c:v>
                </c:pt>
                <c:pt idx="3">
                  <c:v>665.53042957850005</c:v>
                </c:pt>
                <c:pt idx="4">
                  <c:v>665.53042957850005</c:v>
                </c:pt>
                <c:pt idx="5">
                  <c:v>665.53042957850005</c:v>
                </c:pt>
                <c:pt idx="6">
                  <c:v>665.53042957850005</c:v>
                </c:pt>
                <c:pt idx="7">
                  <c:v>665.53042957850005</c:v>
                </c:pt>
                <c:pt idx="8">
                  <c:v>665.53042957850005</c:v>
                </c:pt>
                <c:pt idx="9">
                  <c:v>665.53042957850005</c:v>
                </c:pt>
                <c:pt idx="10">
                  <c:v>665.53042957850005</c:v>
                </c:pt>
                <c:pt idx="11">
                  <c:v>665.53042957850005</c:v>
                </c:pt>
                <c:pt idx="12">
                  <c:v>665.53042957850005</c:v>
                </c:pt>
                <c:pt idx="13">
                  <c:v>665.53042957850005</c:v>
                </c:pt>
                <c:pt idx="14">
                  <c:v>665.53042957850005</c:v>
                </c:pt>
                <c:pt idx="15">
                  <c:v>665.53042957850005</c:v>
                </c:pt>
                <c:pt idx="16">
                  <c:v>665.53042957850005</c:v>
                </c:pt>
                <c:pt idx="17">
                  <c:v>665.53042957850005</c:v>
                </c:pt>
                <c:pt idx="18">
                  <c:v>665.53042957850005</c:v>
                </c:pt>
                <c:pt idx="19">
                  <c:v>665.53042957850005</c:v>
                </c:pt>
                <c:pt idx="20">
                  <c:v>665.53042957850005</c:v>
                </c:pt>
                <c:pt idx="21">
                  <c:v>665.53042957850005</c:v>
                </c:pt>
                <c:pt idx="22">
                  <c:v>665.53042957850005</c:v>
                </c:pt>
                <c:pt idx="23">
                  <c:v>665.53042957850005</c:v>
                </c:pt>
                <c:pt idx="24">
                  <c:v>665.53042957850005</c:v>
                </c:pt>
                <c:pt idx="25">
                  <c:v>665.53042957850005</c:v>
                </c:pt>
                <c:pt idx="26">
                  <c:v>665.53042957850005</c:v>
                </c:pt>
                <c:pt idx="27">
                  <c:v>665.53042957850005</c:v>
                </c:pt>
                <c:pt idx="28">
                  <c:v>665.53042957850005</c:v>
                </c:pt>
                <c:pt idx="29">
                  <c:v>665.53042957850005</c:v>
                </c:pt>
                <c:pt idx="30">
                  <c:v>665.53042957850005</c:v>
                </c:pt>
                <c:pt idx="31">
                  <c:v>665.53042957850005</c:v>
                </c:pt>
                <c:pt idx="32">
                  <c:v>665.53042957850005</c:v>
                </c:pt>
                <c:pt idx="33">
                  <c:v>665.53042957850005</c:v>
                </c:pt>
                <c:pt idx="34">
                  <c:v>665.53042957850005</c:v>
                </c:pt>
                <c:pt idx="35">
                  <c:v>1829.0450717290064</c:v>
                </c:pt>
                <c:pt idx="36">
                  <c:v>2694.1948117192896</c:v>
                </c:pt>
                <c:pt idx="37">
                  <c:v>3231.7963553262794</c:v>
                </c:pt>
                <c:pt idx="38">
                  <c:v>2927.9763624023467</c:v>
                </c:pt>
                <c:pt idx="39">
                  <c:v>3740.0918705355593</c:v>
                </c:pt>
                <c:pt idx="40">
                  <c:v>2483.1400765202347</c:v>
                </c:pt>
                <c:pt idx="41">
                  <c:v>4551.9206648858453</c:v>
                </c:pt>
                <c:pt idx="42">
                  <c:v>2243.478885865055</c:v>
                </c:pt>
                <c:pt idx="43">
                  <c:v>5410.5424418878438</c:v>
                </c:pt>
                <c:pt idx="44">
                  <c:v>2394.5454098007745</c:v>
                </c:pt>
                <c:pt idx="45">
                  <c:v>5792.53836618073</c:v>
                </c:pt>
                <c:pt idx="46">
                  <c:v>2407.078015074675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4C-4136-B639-4175C4811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04288"/>
        <c:axId val="1666844064"/>
      </c:scatterChart>
      <c:valAx>
        <c:axId val="2446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(meses)</a:t>
                </a:r>
                <a:r>
                  <a:rPr lang="es-CO" baseline="0"/>
                  <a:t>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6844064"/>
        <c:crosses val="autoZero"/>
        <c:crossBetween val="midCat"/>
      </c:valAx>
      <c:valAx>
        <c:axId val="16668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460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61410774036129"/>
          <c:y val="0.11328688752615598"/>
          <c:w val="0.1792971186810188"/>
          <c:h val="0.10368736166043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2469667698652"/>
          <c:y val="3.3794162826420893E-2"/>
          <c:w val="0.84079345235487879"/>
          <c:h val="0.82979014719934197"/>
        </c:manualLayout>
      </c:layout>
      <c:scatterChart>
        <c:scatterStyle val="smoothMarker"/>
        <c:varyColors val="0"/>
        <c:ser>
          <c:idx val="0"/>
          <c:order val="0"/>
          <c:tx>
            <c:v>Sg Paper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Paper!$K$4:$K$50</c:f>
              <c:numCache>
                <c:formatCode>0.0</c:formatCode>
                <c:ptCount val="47"/>
                <c:pt idx="0">
                  <c:v>0</c:v>
                </c:pt>
                <c:pt idx="1">
                  <c:v>0.12</c:v>
                </c:pt>
                <c:pt idx="2">
                  <c:v>0.36</c:v>
                </c:pt>
                <c:pt idx="3">
                  <c:v>0.48</c:v>
                </c:pt>
                <c:pt idx="4">
                  <c:v>0.72</c:v>
                </c:pt>
                <c:pt idx="5">
                  <c:v>0.84000000000000008</c:v>
                </c:pt>
                <c:pt idx="6">
                  <c:v>1.08</c:v>
                </c:pt>
                <c:pt idx="7">
                  <c:v>1.2000000000000002</c:v>
                </c:pt>
                <c:pt idx="8">
                  <c:v>1.44</c:v>
                </c:pt>
                <c:pt idx="9">
                  <c:v>1.56</c:v>
                </c:pt>
                <c:pt idx="10">
                  <c:v>1.7999999999999998</c:v>
                </c:pt>
                <c:pt idx="11">
                  <c:v>2.04</c:v>
                </c:pt>
                <c:pt idx="12">
                  <c:v>2.16</c:v>
                </c:pt>
                <c:pt idx="13">
                  <c:v>2.4000000000000004</c:v>
                </c:pt>
                <c:pt idx="14">
                  <c:v>2.64</c:v>
                </c:pt>
                <c:pt idx="15">
                  <c:v>2.88</c:v>
                </c:pt>
                <c:pt idx="16">
                  <c:v>3.12</c:v>
                </c:pt>
                <c:pt idx="17">
                  <c:v>3.3600000000000003</c:v>
                </c:pt>
                <c:pt idx="18">
                  <c:v>3.5999999999999996</c:v>
                </c:pt>
                <c:pt idx="19">
                  <c:v>3.84</c:v>
                </c:pt>
                <c:pt idx="20">
                  <c:v>4.08</c:v>
                </c:pt>
                <c:pt idx="21">
                  <c:v>4.4399999999999995</c:v>
                </c:pt>
                <c:pt idx="22">
                  <c:v>4.68</c:v>
                </c:pt>
                <c:pt idx="23">
                  <c:v>5.04</c:v>
                </c:pt>
                <c:pt idx="24">
                  <c:v>5.28</c:v>
                </c:pt>
                <c:pt idx="25">
                  <c:v>5.64</c:v>
                </c:pt>
                <c:pt idx="26">
                  <c:v>6</c:v>
                </c:pt>
                <c:pt idx="27">
                  <c:v>6.36</c:v>
                </c:pt>
                <c:pt idx="28">
                  <c:v>6.84</c:v>
                </c:pt>
                <c:pt idx="29">
                  <c:v>7.1999999999999993</c:v>
                </c:pt>
                <c:pt idx="30">
                  <c:v>7.68</c:v>
                </c:pt>
                <c:pt idx="31">
                  <c:v>8.2799999999999994</c:v>
                </c:pt>
                <c:pt idx="32">
                  <c:v>9.48</c:v>
                </c:pt>
                <c:pt idx="33">
                  <c:v>11.040000000000001</c:v>
                </c:pt>
                <c:pt idx="34">
                  <c:v>12.120000000000001</c:v>
                </c:pt>
                <c:pt idx="35">
                  <c:v>21</c:v>
                </c:pt>
                <c:pt idx="36">
                  <c:v>29.64</c:v>
                </c:pt>
                <c:pt idx="37">
                  <c:v>35.400000000000006</c:v>
                </c:pt>
                <c:pt idx="38">
                  <c:v>39</c:v>
                </c:pt>
                <c:pt idx="39">
                  <c:v>41.519999999999996</c:v>
                </c:pt>
                <c:pt idx="40">
                  <c:v>43.68</c:v>
                </c:pt>
                <c:pt idx="41">
                  <c:v>46.08</c:v>
                </c:pt>
                <c:pt idx="42">
                  <c:v>48.72</c:v>
                </c:pt>
                <c:pt idx="43">
                  <c:v>51.480000000000004</c:v>
                </c:pt>
                <c:pt idx="44">
                  <c:v>53.760000000000005</c:v>
                </c:pt>
                <c:pt idx="45">
                  <c:v>54.599999999999994</c:v>
                </c:pt>
                <c:pt idx="46">
                  <c:v>56.760000000000005</c:v>
                </c:pt>
              </c:numCache>
            </c:numRef>
          </c:xVal>
          <c:yVal>
            <c:numRef>
              <c:f>Paper!$E$4:$E$50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8.9999999999999993E-3</c:v>
                </c:pt>
                <c:pt idx="36">
                  <c:v>1.7000000000000001E-2</c:v>
                </c:pt>
                <c:pt idx="37">
                  <c:v>5.7000000000000002E-2</c:v>
                </c:pt>
                <c:pt idx="38">
                  <c:v>7.9000000000000001E-2</c:v>
                </c:pt>
                <c:pt idx="39">
                  <c:v>5.5E-2</c:v>
                </c:pt>
                <c:pt idx="40">
                  <c:v>6.7000000000000004E-2</c:v>
                </c:pt>
                <c:pt idx="41">
                  <c:v>0.06</c:v>
                </c:pt>
                <c:pt idx="42">
                  <c:v>7.5999999999999998E-2</c:v>
                </c:pt>
                <c:pt idx="43">
                  <c:v>6.6000000000000003E-2</c:v>
                </c:pt>
                <c:pt idx="44">
                  <c:v>0.08</c:v>
                </c:pt>
                <c:pt idx="45">
                  <c:v>6.8000000000000005E-2</c:v>
                </c:pt>
                <c:pt idx="46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D-463F-9900-3512DA5932E9}"/>
            </c:ext>
          </c:extLst>
        </c:ser>
        <c:ser>
          <c:idx val="1"/>
          <c:order val="1"/>
          <c:tx>
            <c:v>Sg Calculado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Summary!$T$3:$T$49</c:f>
              <c:numCache>
                <c:formatCode>0.0</c:formatCode>
                <c:ptCount val="47"/>
                <c:pt idx="0">
                  <c:v>0</c:v>
                </c:pt>
                <c:pt idx="1">
                  <c:v>0.16375678430827301</c:v>
                </c:pt>
                <c:pt idx="2">
                  <c:v>0.33041117030366957</c:v>
                </c:pt>
                <c:pt idx="3">
                  <c:v>0.50012079545660748</c:v>
                </c:pt>
                <c:pt idx="4">
                  <c:v>0.67305624703904188</c:v>
                </c:pt>
                <c:pt idx="5">
                  <c:v>0.8494025218272816</c:v>
                </c:pt>
                <c:pt idx="6">
                  <c:v>1.0293606974485539</c:v>
                </c:pt>
                <c:pt idx="7">
                  <c:v>1.2131498532976346</c:v>
                </c:pt>
                <c:pt idx="8">
                  <c:v>1.4010092871236615</c:v>
                </c:pt>
                <c:pt idx="9">
                  <c:v>1.5932010836384567</c:v>
                </c:pt>
                <c:pt idx="10">
                  <c:v>1.79001310443982</c:v>
                </c:pt>
                <c:pt idx="11">
                  <c:v>1.9917624849979907</c:v>
                </c:pt>
                <c:pt idx="12">
                  <c:v>2.1987997455310486</c:v>
                </c:pt>
                <c:pt idx="13">
                  <c:v>2.4115136498100878</c:v>
                </c:pt>
                <c:pt idx="14">
                  <c:v>2.6303369813739104</c:v>
                </c:pt>
                <c:pt idx="15">
                  <c:v>2.8557534532020794</c:v>
                </c:pt>
                <c:pt idx="16">
                  <c:v>3.0883060286877608</c:v>
                </c:pt>
                <c:pt idx="17">
                  <c:v>3.3286070146063427</c:v>
                </c:pt>
                <c:pt idx="18">
                  <c:v>3.5773503991292137</c:v>
                </c:pt>
                <c:pt idx="19">
                  <c:v>3.8353270621522899</c:v>
                </c:pt>
                <c:pt idx="20">
                  <c:v>4.1034436997081887</c:v>
                </c:pt>
                <c:pt idx="21">
                  <c:v>4.3827466068829164</c:v>
                </c:pt>
                <c:pt idx="22">
                  <c:v>4.6744518974366782</c:v>
                </c:pt>
                <c:pt idx="23">
                  <c:v>4.9799843708252975</c:v>
                </c:pt>
                <c:pt idx="24">
                  <c:v>5.3010281772012293</c:v>
                </c:pt>
                <c:pt idx="25">
                  <c:v>5.6395938572316631</c:v>
                </c:pt>
                <c:pt idx="26">
                  <c:v>5.9981085490617545</c:v>
                </c:pt>
                <c:pt idx="27">
                  <c:v>6.3795396875415005</c:v>
                </c:pt>
                <c:pt idx="28">
                  <c:v>6.7875683233313335</c:v>
                </c:pt>
                <c:pt idx="29">
                  <c:v>7.2268380465555033</c:v>
                </c:pt>
                <c:pt idx="30">
                  <c:v>7.703322906243999</c:v>
                </c:pt>
                <c:pt idx="31">
                  <c:v>8.2248898730920406</c:v>
                </c:pt>
                <c:pt idx="32">
                  <c:v>9.4508129530644673</c:v>
                </c:pt>
                <c:pt idx="33">
                  <c:v>11.059536602672969</c:v>
                </c:pt>
                <c:pt idx="34">
                  <c:v>12.109893069726656</c:v>
                </c:pt>
                <c:pt idx="35">
                  <c:v>22.386982370470744</c:v>
                </c:pt>
                <c:pt idx="36">
                  <c:v>31.922260370084437</c:v>
                </c:pt>
                <c:pt idx="37">
                  <c:v>37.722260370084435</c:v>
                </c:pt>
                <c:pt idx="38">
                  <c:v>40.860877911811642</c:v>
                </c:pt>
                <c:pt idx="39">
                  <c:v>43.360877911811649</c:v>
                </c:pt>
                <c:pt idx="40">
                  <c:v>45.542312150262859</c:v>
                </c:pt>
                <c:pt idx="41">
                  <c:v>48.042312150262859</c:v>
                </c:pt>
                <c:pt idx="42">
                  <c:v>50.767897890020734</c:v>
                </c:pt>
                <c:pt idx="43">
                  <c:v>53.647897890020744</c:v>
                </c:pt>
                <c:pt idx="44">
                  <c:v>56.13739663134799</c:v>
                </c:pt>
                <c:pt idx="45">
                  <c:v>59.017396631347992</c:v>
                </c:pt>
                <c:pt idx="46">
                  <c:v>60.716712746967644</c:v>
                </c:pt>
              </c:numCache>
            </c:numRef>
          </c:xVal>
          <c:yVal>
            <c:numRef>
              <c:f>Summary!$R$3:$R$49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 formatCode="0.000">
                  <c:v>9.5468715165146767E-3</c:v>
                </c:pt>
                <c:pt idx="36" formatCode="0.000">
                  <c:v>1.7053943069010535E-2</c:v>
                </c:pt>
                <c:pt idx="37" formatCode="0.000">
                  <c:v>5.7177022473130952E-2</c:v>
                </c:pt>
                <c:pt idx="38" formatCode="0.000">
                  <c:v>6.2166172195550221E-2</c:v>
                </c:pt>
                <c:pt idx="39" formatCode="0.000">
                  <c:v>6.7252025491495532E-2</c:v>
                </c:pt>
                <c:pt idx="40" formatCode="0.000">
                  <c:v>5.0285662536479092E-2</c:v>
                </c:pt>
                <c:pt idx="41" formatCode="0.000">
                  <c:v>7.9778007436164131E-2</c:v>
                </c:pt>
                <c:pt idx="42" formatCode="0.000">
                  <c:v>4.5562427491446525E-2</c:v>
                </c:pt>
                <c:pt idx="43" formatCode="0.000">
                  <c:v>9.565555380447463E-2</c:v>
                </c:pt>
                <c:pt idx="44" formatCode="0.000">
                  <c:v>5.052075455719679E-2</c:v>
                </c:pt>
                <c:pt idx="45" formatCode="0.000">
                  <c:v>0.10318365693306719</c:v>
                </c:pt>
                <c:pt idx="46" formatCode="0.000">
                  <c:v>5.0017705370933654E-2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8D-463F-9900-3512DA593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04288"/>
        <c:axId val="1666844064"/>
      </c:scatterChart>
      <c:valAx>
        <c:axId val="2446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(meses)</a:t>
                </a:r>
                <a:r>
                  <a:rPr lang="es-CO" baseline="0"/>
                  <a:t>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6844064"/>
        <c:crosses val="autoZero"/>
        <c:crossBetween val="midCat"/>
      </c:valAx>
      <c:valAx>
        <c:axId val="1666844064"/>
        <c:scaling>
          <c:orientation val="minMax"/>
          <c:max val="0.12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Saturación</a:t>
                </a:r>
                <a:r>
                  <a:rPr lang="es-CO" baseline="0"/>
                  <a:t> de gas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460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61410774036129"/>
          <c:y val="0.11328688752615598"/>
          <c:w val="0.1792971186810188"/>
          <c:h val="0.10368736166043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2469667698652"/>
          <c:y val="3.3794162826420893E-2"/>
          <c:w val="0.84079345235487879"/>
          <c:h val="0.82979014719934197"/>
        </c:manualLayout>
      </c:layout>
      <c:scatterChart>
        <c:scatterStyle val="smoothMarker"/>
        <c:varyColors val="0"/>
        <c:ser>
          <c:idx val="0"/>
          <c:order val="0"/>
          <c:tx>
            <c:v>Qg Paper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Paper!$K$4:$K$50</c:f>
              <c:numCache>
                <c:formatCode>0.0</c:formatCode>
                <c:ptCount val="47"/>
                <c:pt idx="0">
                  <c:v>0</c:v>
                </c:pt>
                <c:pt idx="1">
                  <c:v>0.12</c:v>
                </c:pt>
                <c:pt idx="2">
                  <c:v>0.36</c:v>
                </c:pt>
                <c:pt idx="3">
                  <c:v>0.48</c:v>
                </c:pt>
                <c:pt idx="4">
                  <c:v>0.72</c:v>
                </c:pt>
                <c:pt idx="5">
                  <c:v>0.84000000000000008</c:v>
                </c:pt>
                <c:pt idx="6">
                  <c:v>1.08</c:v>
                </c:pt>
                <c:pt idx="7">
                  <c:v>1.2000000000000002</c:v>
                </c:pt>
                <c:pt idx="8">
                  <c:v>1.44</c:v>
                </c:pt>
                <c:pt idx="9">
                  <c:v>1.56</c:v>
                </c:pt>
                <c:pt idx="10">
                  <c:v>1.7999999999999998</c:v>
                </c:pt>
                <c:pt idx="11">
                  <c:v>2.04</c:v>
                </c:pt>
                <c:pt idx="12">
                  <c:v>2.16</c:v>
                </c:pt>
                <c:pt idx="13">
                  <c:v>2.4000000000000004</c:v>
                </c:pt>
                <c:pt idx="14">
                  <c:v>2.64</c:v>
                </c:pt>
                <c:pt idx="15">
                  <c:v>2.88</c:v>
                </c:pt>
                <c:pt idx="16">
                  <c:v>3.12</c:v>
                </c:pt>
                <c:pt idx="17">
                  <c:v>3.3600000000000003</c:v>
                </c:pt>
                <c:pt idx="18">
                  <c:v>3.5999999999999996</c:v>
                </c:pt>
                <c:pt idx="19">
                  <c:v>3.84</c:v>
                </c:pt>
                <c:pt idx="20">
                  <c:v>4.08</c:v>
                </c:pt>
                <c:pt idx="21">
                  <c:v>4.4399999999999995</c:v>
                </c:pt>
                <c:pt idx="22">
                  <c:v>4.68</c:v>
                </c:pt>
                <c:pt idx="23">
                  <c:v>5.04</c:v>
                </c:pt>
                <c:pt idx="24">
                  <c:v>5.28</c:v>
                </c:pt>
                <c:pt idx="25">
                  <c:v>5.64</c:v>
                </c:pt>
                <c:pt idx="26">
                  <c:v>6</c:v>
                </c:pt>
                <c:pt idx="27">
                  <c:v>6.36</c:v>
                </c:pt>
                <c:pt idx="28">
                  <c:v>6.84</c:v>
                </c:pt>
                <c:pt idx="29">
                  <c:v>7.1999999999999993</c:v>
                </c:pt>
                <c:pt idx="30">
                  <c:v>7.68</c:v>
                </c:pt>
                <c:pt idx="31">
                  <c:v>8.2799999999999994</c:v>
                </c:pt>
                <c:pt idx="32">
                  <c:v>9.48</c:v>
                </c:pt>
                <c:pt idx="33">
                  <c:v>11.040000000000001</c:v>
                </c:pt>
                <c:pt idx="34">
                  <c:v>12.120000000000001</c:v>
                </c:pt>
                <c:pt idx="35">
                  <c:v>21</c:v>
                </c:pt>
                <c:pt idx="36">
                  <c:v>29.64</c:v>
                </c:pt>
                <c:pt idx="37">
                  <c:v>35.400000000000006</c:v>
                </c:pt>
                <c:pt idx="38">
                  <c:v>39</c:v>
                </c:pt>
                <c:pt idx="39">
                  <c:v>41.519999999999996</c:v>
                </c:pt>
                <c:pt idx="40">
                  <c:v>43.68</c:v>
                </c:pt>
                <c:pt idx="41">
                  <c:v>46.08</c:v>
                </c:pt>
                <c:pt idx="42">
                  <c:v>48.72</c:v>
                </c:pt>
                <c:pt idx="43">
                  <c:v>51.480000000000004</c:v>
                </c:pt>
                <c:pt idx="44">
                  <c:v>53.760000000000005</c:v>
                </c:pt>
                <c:pt idx="45">
                  <c:v>54.599999999999994</c:v>
                </c:pt>
                <c:pt idx="46">
                  <c:v>56.760000000000005</c:v>
                </c:pt>
              </c:numCache>
            </c:numRef>
          </c:xVal>
          <c:yVal>
            <c:numRef>
              <c:f>Paper!$L$4:$L$50</c:f>
              <c:numCache>
                <c:formatCode>General</c:formatCode>
                <c:ptCount val="47"/>
                <c:pt idx="0">
                  <c:v>0.26300000000000001</c:v>
                </c:pt>
                <c:pt idx="1">
                  <c:v>0.25800000000000001</c:v>
                </c:pt>
                <c:pt idx="2">
                  <c:v>0.253</c:v>
                </c:pt>
                <c:pt idx="3">
                  <c:v>0.247</c:v>
                </c:pt>
                <c:pt idx="4">
                  <c:v>0.24199999999999999</c:v>
                </c:pt>
                <c:pt idx="5">
                  <c:v>0.23699999999999999</c:v>
                </c:pt>
                <c:pt idx="6">
                  <c:v>0.23100000000000001</c:v>
                </c:pt>
                <c:pt idx="7">
                  <c:v>0.22600000000000001</c:v>
                </c:pt>
                <c:pt idx="8">
                  <c:v>0.221</c:v>
                </c:pt>
                <c:pt idx="9">
                  <c:v>0.215</c:v>
                </c:pt>
                <c:pt idx="10">
                  <c:v>0.20899999999999999</c:v>
                </c:pt>
                <c:pt idx="11">
                  <c:v>0.20399999999999999</c:v>
                </c:pt>
                <c:pt idx="12">
                  <c:v>0.19800000000000001</c:v>
                </c:pt>
                <c:pt idx="13">
                  <c:v>0.192</c:v>
                </c:pt>
                <c:pt idx="14">
                  <c:v>0.186</c:v>
                </c:pt>
                <c:pt idx="15">
                  <c:v>0.18</c:v>
                </c:pt>
                <c:pt idx="16">
                  <c:v>0.17399999999999999</c:v>
                </c:pt>
                <c:pt idx="17">
                  <c:v>0.16800000000000001</c:v>
                </c:pt>
                <c:pt idx="18">
                  <c:v>0.16200000000000001</c:v>
                </c:pt>
                <c:pt idx="19">
                  <c:v>0.155</c:v>
                </c:pt>
                <c:pt idx="20">
                  <c:v>0.14899999999999999</c:v>
                </c:pt>
                <c:pt idx="21">
                  <c:v>0.14299999999999999</c:v>
                </c:pt>
                <c:pt idx="22">
                  <c:v>0.13600000000000001</c:v>
                </c:pt>
                <c:pt idx="23">
                  <c:v>0.129</c:v>
                </c:pt>
                <c:pt idx="24">
                  <c:v>0.123</c:v>
                </c:pt>
                <c:pt idx="25">
                  <c:v>0.11600000000000001</c:v>
                </c:pt>
                <c:pt idx="26">
                  <c:v>0.109</c:v>
                </c:pt>
                <c:pt idx="27">
                  <c:v>0.10199999999999999</c:v>
                </c:pt>
                <c:pt idx="28">
                  <c:v>9.5000000000000001E-2</c:v>
                </c:pt>
                <c:pt idx="29">
                  <c:v>8.7999999999999995E-2</c:v>
                </c:pt>
                <c:pt idx="30">
                  <c:v>0.08</c:v>
                </c:pt>
                <c:pt idx="31">
                  <c:v>7.2999999999999995E-2</c:v>
                </c:pt>
                <c:pt idx="32">
                  <c:v>5.7000000000000002E-2</c:v>
                </c:pt>
                <c:pt idx="33">
                  <c:v>4.2000000000000003E-2</c:v>
                </c:pt>
                <c:pt idx="34">
                  <c:v>3.4000000000000002E-2</c:v>
                </c:pt>
                <c:pt idx="35">
                  <c:v>6.5000000000000002E-2</c:v>
                </c:pt>
                <c:pt idx="36">
                  <c:v>6.4000000000000001E-2</c:v>
                </c:pt>
                <c:pt idx="37">
                  <c:v>0.97699999999999998</c:v>
                </c:pt>
                <c:pt idx="38">
                  <c:v>0.29899999999999999</c:v>
                </c:pt>
                <c:pt idx="39">
                  <c:v>0.79300000000000004</c:v>
                </c:pt>
                <c:pt idx="40">
                  <c:v>0.59299999999999997</c:v>
                </c:pt>
                <c:pt idx="41">
                  <c:v>0.872</c:v>
                </c:pt>
                <c:pt idx="42">
                  <c:v>0.60799999999999998</c:v>
                </c:pt>
                <c:pt idx="43">
                  <c:v>0.78800000000000003</c:v>
                </c:pt>
                <c:pt idx="44">
                  <c:v>0.56899999999999995</c:v>
                </c:pt>
                <c:pt idx="45">
                  <c:v>0.51300000000000001</c:v>
                </c:pt>
                <c:pt idx="46">
                  <c:v>0.36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62-43EC-B52F-E19AAE5296B1}"/>
            </c:ext>
          </c:extLst>
        </c:ser>
        <c:ser>
          <c:idx val="1"/>
          <c:order val="1"/>
          <c:tx>
            <c:v>Qg Calculado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Summary!$T$3:$T$49</c:f>
              <c:numCache>
                <c:formatCode>0.0</c:formatCode>
                <c:ptCount val="47"/>
                <c:pt idx="0">
                  <c:v>0</c:v>
                </c:pt>
                <c:pt idx="1">
                  <c:v>0.16375678430827301</c:v>
                </c:pt>
                <c:pt idx="2">
                  <c:v>0.33041117030366957</c:v>
                </c:pt>
                <c:pt idx="3">
                  <c:v>0.50012079545660748</c:v>
                </c:pt>
                <c:pt idx="4">
                  <c:v>0.67305624703904188</c:v>
                </c:pt>
                <c:pt idx="5">
                  <c:v>0.8494025218272816</c:v>
                </c:pt>
                <c:pt idx="6">
                  <c:v>1.0293606974485539</c:v>
                </c:pt>
                <c:pt idx="7">
                  <c:v>1.2131498532976346</c:v>
                </c:pt>
                <c:pt idx="8">
                  <c:v>1.4010092871236615</c:v>
                </c:pt>
                <c:pt idx="9">
                  <c:v>1.5932010836384567</c:v>
                </c:pt>
                <c:pt idx="10">
                  <c:v>1.79001310443982</c:v>
                </c:pt>
                <c:pt idx="11">
                  <c:v>1.9917624849979907</c:v>
                </c:pt>
                <c:pt idx="12">
                  <c:v>2.1987997455310486</c:v>
                </c:pt>
                <c:pt idx="13">
                  <c:v>2.4115136498100878</c:v>
                </c:pt>
                <c:pt idx="14">
                  <c:v>2.6303369813739104</c:v>
                </c:pt>
                <c:pt idx="15">
                  <c:v>2.8557534532020794</c:v>
                </c:pt>
                <c:pt idx="16">
                  <c:v>3.0883060286877608</c:v>
                </c:pt>
                <c:pt idx="17">
                  <c:v>3.3286070146063427</c:v>
                </c:pt>
                <c:pt idx="18">
                  <c:v>3.5773503991292137</c:v>
                </c:pt>
                <c:pt idx="19">
                  <c:v>3.8353270621522899</c:v>
                </c:pt>
                <c:pt idx="20">
                  <c:v>4.1034436997081887</c:v>
                </c:pt>
                <c:pt idx="21">
                  <c:v>4.3827466068829164</c:v>
                </c:pt>
                <c:pt idx="22">
                  <c:v>4.6744518974366782</c:v>
                </c:pt>
                <c:pt idx="23">
                  <c:v>4.9799843708252975</c:v>
                </c:pt>
                <c:pt idx="24">
                  <c:v>5.3010281772012293</c:v>
                </c:pt>
                <c:pt idx="25">
                  <c:v>5.6395938572316631</c:v>
                </c:pt>
                <c:pt idx="26">
                  <c:v>5.9981085490617545</c:v>
                </c:pt>
                <c:pt idx="27">
                  <c:v>6.3795396875415005</c:v>
                </c:pt>
                <c:pt idx="28">
                  <c:v>6.7875683233313335</c:v>
                </c:pt>
                <c:pt idx="29">
                  <c:v>7.2268380465555033</c:v>
                </c:pt>
                <c:pt idx="30">
                  <c:v>7.703322906243999</c:v>
                </c:pt>
                <c:pt idx="31">
                  <c:v>8.2248898730920406</c:v>
                </c:pt>
                <c:pt idx="32">
                  <c:v>9.4508129530644673</c:v>
                </c:pt>
                <c:pt idx="33">
                  <c:v>11.059536602672969</c:v>
                </c:pt>
                <c:pt idx="34">
                  <c:v>12.109893069726656</c:v>
                </c:pt>
                <c:pt idx="35">
                  <c:v>22.386982370470744</c:v>
                </c:pt>
                <c:pt idx="36">
                  <c:v>31.922260370084437</c:v>
                </c:pt>
                <c:pt idx="37">
                  <c:v>37.722260370084435</c:v>
                </c:pt>
                <c:pt idx="38">
                  <c:v>40.860877911811642</c:v>
                </c:pt>
                <c:pt idx="39">
                  <c:v>43.360877911811649</c:v>
                </c:pt>
                <c:pt idx="40">
                  <c:v>45.542312150262859</c:v>
                </c:pt>
                <c:pt idx="41">
                  <c:v>48.042312150262859</c:v>
                </c:pt>
                <c:pt idx="42">
                  <c:v>50.767897890020734</c:v>
                </c:pt>
                <c:pt idx="43">
                  <c:v>53.647897890020744</c:v>
                </c:pt>
                <c:pt idx="44">
                  <c:v>56.13739663134799</c:v>
                </c:pt>
                <c:pt idx="45">
                  <c:v>59.017396631347992</c:v>
                </c:pt>
                <c:pt idx="46">
                  <c:v>60.716712746967644</c:v>
                </c:pt>
              </c:numCache>
            </c:numRef>
          </c:xVal>
          <c:yVal>
            <c:numRef>
              <c:f>Summary!$U$3:$U$49</c:f>
              <c:numCache>
                <c:formatCode>0.000</c:formatCode>
                <c:ptCount val="47"/>
                <c:pt idx="0">
                  <c:v>0.26318095999999996</c:v>
                </c:pt>
                <c:pt idx="1">
                  <c:v>0.25811366786374051</c:v>
                </c:pt>
                <c:pt idx="2">
                  <c:v>0.25299022478900912</c:v>
                </c:pt>
                <c:pt idx="3">
                  <c:v>0.24780938334811295</c:v>
                </c:pt>
                <c:pt idx="4">
                  <c:v>0.24256986064403993</c:v>
                </c:pt>
                <c:pt idx="5">
                  <c:v>0.23727033703139247</c:v>
                </c:pt>
                <c:pt idx="6">
                  <c:v>0.23190945478163197</c:v>
                </c:pt>
                <c:pt idx="7">
                  <c:v>0.22648581668978526</c:v>
                </c:pt>
                <c:pt idx="8">
                  <c:v>0.22099798461959425</c:v>
                </c:pt>
                <c:pt idx="9">
                  <c:v>0.21544447798391256</c:v>
                </c:pt>
                <c:pt idx="10">
                  <c:v>0.20982377215696035</c:v>
                </c:pt>
                <c:pt idx="11">
                  <c:v>0.20413429681484638</c:v>
                </c:pt>
                <c:pt idx="12">
                  <c:v>0.19837443420054554</c:v>
                </c:pt>
                <c:pt idx="13">
                  <c:v>0.19254251730929026</c:v>
                </c:pt>
                <c:pt idx="14">
                  <c:v>0.18663682799008105</c:v>
                </c:pt>
                <c:pt idx="15">
                  <c:v>0.18065559495876005</c:v>
                </c:pt>
                <c:pt idx="16">
                  <c:v>0.17459699171779997</c:v>
                </c:pt>
                <c:pt idx="17">
                  <c:v>0.16845913437766039</c:v>
                </c:pt>
                <c:pt idx="18">
                  <c:v>0.16224007937423232</c:v>
                </c:pt>
                <c:pt idx="19">
                  <c:v>0.15593782107654292</c:v>
                </c:pt>
                <c:pt idx="20">
                  <c:v>0.14955028927851383</c:v>
                </c:pt>
                <c:pt idx="21">
                  <c:v>0.14307534656816429</c:v>
                </c:pt>
                <c:pt idx="22">
                  <c:v>0.13651078556721374</c:v>
                </c:pt>
                <c:pt idx="23">
                  <c:v>0.12985432603357355</c:v>
                </c:pt>
                <c:pt idx="24">
                  <c:v>0.12310361181871605</c:v>
                </c:pt>
                <c:pt idx="25">
                  <c:v>0.11625620767136843</c:v>
                </c:pt>
                <c:pt idx="26">
                  <c:v>0.10930959587839868</c:v>
                </c:pt>
                <c:pt idx="27">
                  <c:v>0.1022611727331354</c:v>
                </c:pt>
                <c:pt idx="28">
                  <c:v>9.5108244820689206E-2</c:v>
                </c:pt>
                <c:pt idx="29">
                  <c:v>8.7848025109115394E-2</c:v>
                </c:pt>
                <c:pt idx="30">
                  <c:v>8.0477628834474443E-2</c:v>
                </c:pt>
                <c:pt idx="31">
                  <c:v>7.299406916699791E-2</c:v>
                </c:pt>
                <c:pt idx="32">
                  <c:v>5.7674974359415654E-2</c:v>
                </c:pt>
                <c:pt idx="33">
                  <c:v>4.1864624897393406E-2</c:v>
                </c:pt>
                <c:pt idx="34">
                  <c:v>3.3766539565259664E-2</c:v>
                </c:pt>
                <c:pt idx="35">
                  <c:v>6.7464253476158045E-2</c:v>
                </c:pt>
                <c:pt idx="36">
                  <c:v>6.5527762131883105E-2</c:v>
                </c:pt>
                <c:pt idx="37">
                  <c:v>0.96114625032866963</c:v>
                </c:pt>
                <c:pt idx="38">
                  <c:v>0.51839138835031517</c:v>
                </c:pt>
                <c:pt idx="39">
                  <c:v>1.0644762903235441</c:v>
                </c:pt>
                <c:pt idx="40">
                  <c:v>0.49105676876420429</c:v>
                </c:pt>
                <c:pt idx="41">
                  <c:v>1.3210980592331134</c:v>
                </c:pt>
                <c:pt idx="42">
                  <c:v>0.40894200291590621</c:v>
                </c:pt>
                <c:pt idx="43">
                  <c:v>1.4058382578992246</c:v>
                </c:pt>
                <c:pt idx="44">
                  <c:v>0.39861664180469136</c:v>
                </c:pt>
                <c:pt idx="45">
                  <c:v>1.396919045647087</c:v>
                </c:pt>
                <c:pt idx="46">
                  <c:v>0.4261675504368756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62-43EC-B52F-E19AAE529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04288"/>
        <c:axId val="1666844064"/>
      </c:scatterChart>
      <c:valAx>
        <c:axId val="2446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(meses)</a:t>
                </a:r>
                <a:r>
                  <a:rPr lang="es-CO" baseline="0"/>
                  <a:t>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6844064"/>
        <c:crosses val="autoZero"/>
        <c:crossBetween val="midCat"/>
      </c:valAx>
      <c:valAx>
        <c:axId val="1666844064"/>
        <c:scaling>
          <c:orientation val="minMax"/>
          <c:max val="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Caudal de gas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460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61410774036129"/>
          <c:y val="0.11328688752615598"/>
          <c:w val="0.1792971186810188"/>
          <c:h val="0.10368736166043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2469667698652"/>
          <c:y val="3.3794162826420893E-2"/>
          <c:w val="0.84079345235487879"/>
          <c:h val="0.82979014719934197"/>
        </c:manualLayout>
      </c:layout>
      <c:scatterChart>
        <c:scatterStyle val="smoothMarker"/>
        <c:varyColors val="0"/>
        <c:ser>
          <c:idx val="0"/>
          <c:order val="0"/>
          <c:tx>
            <c:v>Qo Paper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Paper!$K$4:$K$50</c:f>
              <c:numCache>
                <c:formatCode>0.0</c:formatCode>
                <c:ptCount val="47"/>
                <c:pt idx="0">
                  <c:v>0</c:v>
                </c:pt>
                <c:pt idx="1">
                  <c:v>0.12</c:v>
                </c:pt>
                <c:pt idx="2">
                  <c:v>0.36</c:v>
                </c:pt>
                <c:pt idx="3">
                  <c:v>0.48</c:v>
                </c:pt>
                <c:pt idx="4">
                  <c:v>0.72</c:v>
                </c:pt>
                <c:pt idx="5">
                  <c:v>0.84000000000000008</c:v>
                </c:pt>
                <c:pt idx="6">
                  <c:v>1.08</c:v>
                </c:pt>
                <c:pt idx="7">
                  <c:v>1.2000000000000002</c:v>
                </c:pt>
                <c:pt idx="8">
                  <c:v>1.44</c:v>
                </c:pt>
                <c:pt idx="9">
                  <c:v>1.56</c:v>
                </c:pt>
                <c:pt idx="10">
                  <c:v>1.7999999999999998</c:v>
                </c:pt>
                <c:pt idx="11">
                  <c:v>2.04</c:v>
                </c:pt>
                <c:pt idx="12">
                  <c:v>2.16</c:v>
                </c:pt>
                <c:pt idx="13">
                  <c:v>2.4000000000000004</c:v>
                </c:pt>
                <c:pt idx="14">
                  <c:v>2.64</c:v>
                </c:pt>
                <c:pt idx="15">
                  <c:v>2.88</c:v>
                </c:pt>
                <c:pt idx="16">
                  <c:v>3.12</c:v>
                </c:pt>
                <c:pt idx="17">
                  <c:v>3.3600000000000003</c:v>
                </c:pt>
                <c:pt idx="18">
                  <c:v>3.5999999999999996</c:v>
                </c:pt>
                <c:pt idx="19">
                  <c:v>3.84</c:v>
                </c:pt>
                <c:pt idx="20">
                  <c:v>4.08</c:v>
                </c:pt>
                <c:pt idx="21">
                  <c:v>4.4399999999999995</c:v>
                </c:pt>
                <c:pt idx="22">
                  <c:v>4.68</c:v>
                </c:pt>
                <c:pt idx="23">
                  <c:v>5.04</c:v>
                </c:pt>
                <c:pt idx="24">
                  <c:v>5.28</c:v>
                </c:pt>
                <c:pt idx="25">
                  <c:v>5.64</c:v>
                </c:pt>
                <c:pt idx="26">
                  <c:v>6</c:v>
                </c:pt>
                <c:pt idx="27">
                  <c:v>6.36</c:v>
                </c:pt>
                <c:pt idx="28">
                  <c:v>6.84</c:v>
                </c:pt>
                <c:pt idx="29">
                  <c:v>7.1999999999999993</c:v>
                </c:pt>
                <c:pt idx="30">
                  <c:v>7.68</c:v>
                </c:pt>
                <c:pt idx="31">
                  <c:v>8.2799999999999994</c:v>
                </c:pt>
                <c:pt idx="32">
                  <c:v>9.48</c:v>
                </c:pt>
                <c:pt idx="33">
                  <c:v>11.040000000000001</c:v>
                </c:pt>
                <c:pt idx="34">
                  <c:v>12.120000000000001</c:v>
                </c:pt>
                <c:pt idx="35">
                  <c:v>21</c:v>
                </c:pt>
                <c:pt idx="36">
                  <c:v>29.64</c:v>
                </c:pt>
                <c:pt idx="37">
                  <c:v>35.400000000000006</c:v>
                </c:pt>
                <c:pt idx="38">
                  <c:v>39</c:v>
                </c:pt>
                <c:pt idx="39">
                  <c:v>41.519999999999996</c:v>
                </c:pt>
                <c:pt idx="40">
                  <c:v>43.68</c:v>
                </c:pt>
                <c:pt idx="41">
                  <c:v>46.08</c:v>
                </c:pt>
                <c:pt idx="42">
                  <c:v>48.72</c:v>
                </c:pt>
                <c:pt idx="43">
                  <c:v>51.480000000000004</c:v>
                </c:pt>
                <c:pt idx="44">
                  <c:v>53.760000000000005</c:v>
                </c:pt>
                <c:pt idx="45">
                  <c:v>54.599999999999994</c:v>
                </c:pt>
                <c:pt idx="46">
                  <c:v>56.760000000000005</c:v>
                </c:pt>
              </c:numCache>
            </c:numRef>
          </c:xVal>
          <c:yVal>
            <c:numRef>
              <c:f>Paper!$J$4:$J$50</c:f>
              <c:numCache>
                <c:formatCode>General</c:formatCode>
                <c:ptCount val="47"/>
                <c:pt idx="0">
                  <c:v>391.3</c:v>
                </c:pt>
                <c:pt idx="1">
                  <c:v>383.8</c:v>
                </c:pt>
                <c:pt idx="2">
                  <c:v>376.1</c:v>
                </c:pt>
                <c:pt idx="3">
                  <c:v>368.4</c:v>
                </c:pt>
                <c:pt idx="4">
                  <c:v>360.6</c:v>
                </c:pt>
                <c:pt idx="5">
                  <c:v>352.7</c:v>
                </c:pt>
                <c:pt idx="6">
                  <c:v>344.7</c:v>
                </c:pt>
                <c:pt idx="7">
                  <c:v>336.6</c:v>
                </c:pt>
                <c:pt idx="8">
                  <c:v>328.4</c:v>
                </c:pt>
                <c:pt idx="9">
                  <c:v>320.2</c:v>
                </c:pt>
                <c:pt idx="10">
                  <c:v>311.8</c:v>
                </c:pt>
                <c:pt idx="11">
                  <c:v>303.3</c:v>
                </c:pt>
                <c:pt idx="12">
                  <c:v>294.7</c:v>
                </c:pt>
                <c:pt idx="13">
                  <c:v>286.10000000000002</c:v>
                </c:pt>
                <c:pt idx="14">
                  <c:v>277.3</c:v>
                </c:pt>
                <c:pt idx="15">
                  <c:v>268.39999999999998</c:v>
                </c:pt>
                <c:pt idx="16">
                  <c:v>259.3</c:v>
                </c:pt>
                <c:pt idx="17">
                  <c:v>250.2</c:v>
                </c:pt>
                <c:pt idx="18">
                  <c:v>241</c:v>
                </c:pt>
                <c:pt idx="19">
                  <c:v>231.6</c:v>
                </c:pt>
                <c:pt idx="20">
                  <c:v>222.1</c:v>
                </c:pt>
                <c:pt idx="21">
                  <c:v>212.5</c:v>
                </c:pt>
                <c:pt idx="22">
                  <c:v>202.7</c:v>
                </c:pt>
                <c:pt idx="23">
                  <c:v>192.8</c:v>
                </c:pt>
                <c:pt idx="24">
                  <c:v>182.8</c:v>
                </c:pt>
                <c:pt idx="25">
                  <c:v>172.6</c:v>
                </c:pt>
                <c:pt idx="26">
                  <c:v>162.30000000000001</c:v>
                </c:pt>
                <c:pt idx="27">
                  <c:v>151.80000000000001</c:v>
                </c:pt>
                <c:pt idx="28">
                  <c:v>141.19999999999999</c:v>
                </c:pt>
                <c:pt idx="29">
                  <c:v>130.4</c:v>
                </c:pt>
                <c:pt idx="30">
                  <c:v>119.4</c:v>
                </c:pt>
                <c:pt idx="31">
                  <c:v>108.3</c:v>
                </c:pt>
                <c:pt idx="32">
                  <c:v>85.6</c:v>
                </c:pt>
                <c:pt idx="33">
                  <c:v>62.1</c:v>
                </c:pt>
                <c:pt idx="34">
                  <c:v>50.1</c:v>
                </c:pt>
                <c:pt idx="35">
                  <c:v>35.9</c:v>
                </c:pt>
                <c:pt idx="36">
                  <c:v>23.4</c:v>
                </c:pt>
                <c:pt idx="37">
                  <c:v>305.39999999999998</c:v>
                </c:pt>
                <c:pt idx="38">
                  <c:v>172.6</c:v>
                </c:pt>
                <c:pt idx="39">
                  <c:v>272.2</c:v>
                </c:pt>
                <c:pt idx="40">
                  <c:v>192.8</c:v>
                </c:pt>
                <c:pt idx="41">
                  <c:v>274.8</c:v>
                </c:pt>
                <c:pt idx="42">
                  <c:v>177.7</c:v>
                </c:pt>
                <c:pt idx="43">
                  <c:v>239.6</c:v>
                </c:pt>
                <c:pt idx="44">
                  <c:v>162.30000000000001</c:v>
                </c:pt>
                <c:pt idx="45">
                  <c:v>171</c:v>
                </c:pt>
                <c:pt idx="46">
                  <c:v>113.9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0B-40EE-9704-0462C56ABDFD}"/>
            </c:ext>
          </c:extLst>
        </c:ser>
        <c:ser>
          <c:idx val="1"/>
          <c:order val="1"/>
          <c:tx>
            <c:v>Qo Calculado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Summary!$T$3:$T$49</c:f>
              <c:numCache>
                <c:formatCode>0.0</c:formatCode>
                <c:ptCount val="47"/>
                <c:pt idx="0">
                  <c:v>0</c:v>
                </c:pt>
                <c:pt idx="1">
                  <c:v>0.16375678430827301</c:v>
                </c:pt>
                <c:pt idx="2">
                  <c:v>0.33041117030366957</c:v>
                </c:pt>
                <c:pt idx="3">
                  <c:v>0.50012079545660748</c:v>
                </c:pt>
                <c:pt idx="4">
                  <c:v>0.67305624703904188</c:v>
                </c:pt>
                <c:pt idx="5">
                  <c:v>0.8494025218272816</c:v>
                </c:pt>
                <c:pt idx="6">
                  <c:v>1.0293606974485539</c:v>
                </c:pt>
                <c:pt idx="7">
                  <c:v>1.2131498532976346</c:v>
                </c:pt>
                <c:pt idx="8">
                  <c:v>1.4010092871236615</c:v>
                </c:pt>
                <c:pt idx="9">
                  <c:v>1.5932010836384567</c:v>
                </c:pt>
                <c:pt idx="10">
                  <c:v>1.79001310443982</c:v>
                </c:pt>
                <c:pt idx="11">
                  <c:v>1.9917624849979907</c:v>
                </c:pt>
                <c:pt idx="12">
                  <c:v>2.1987997455310486</c:v>
                </c:pt>
                <c:pt idx="13">
                  <c:v>2.4115136498100878</c:v>
                </c:pt>
                <c:pt idx="14">
                  <c:v>2.6303369813739104</c:v>
                </c:pt>
                <c:pt idx="15">
                  <c:v>2.8557534532020794</c:v>
                </c:pt>
                <c:pt idx="16">
                  <c:v>3.0883060286877608</c:v>
                </c:pt>
                <c:pt idx="17">
                  <c:v>3.3286070146063427</c:v>
                </c:pt>
                <c:pt idx="18">
                  <c:v>3.5773503991292137</c:v>
                </c:pt>
                <c:pt idx="19">
                  <c:v>3.8353270621522899</c:v>
                </c:pt>
                <c:pt idx="20">
                  <c:v>4.1034436997081887</c:v>
                </c:pt>
                <c:pt idx="21">
                  <c:v>4.3827466068829164</c:v>
                </c:pt>
                <c:pt idx="22">
                  <c:v>4.6744518974366782</c:v>
                </c:pt>
                <c:pt idx="23">
                  <c:v>4.9799843708252975</c:v>
                </c:pt>
                <c:pt idx="24">
                  <c:v>5.3010281772012293</c:v>
                </c:pt>
                <c:pt idx="25">
                  <c:v>5.6395938572316631</c:v>
                </c:pt>
                <c:pt idx="26">
                  <c:v>5.9981085490617545</c:v>
                </c:pt>
                <c:pt idx="27">
                  <c:v>6.3795396875415005</c:v>
                </c:pt>
                <c:pt idx="28">
                  <c:v>6.7875683233313335</c:v>
                </c:pt>
                <c:pt idx="29">
                  <c:v>7.2268380465555033</c:v>
                </c:pt>
                <c:pt idx="30">
                  <c:v>7.703322906243999</c:v>
                </c:pt>
                <c:pt idx="31">
                  <c:v>8.2248898730920406</c:v>
                </c:pt>
                <c:pt idx="32">
                  <c:v>9.4508129530644673</c:v>
                </c:pt>
                <c:pt idx="33">
                  <c:v>11.059536602672969</c:v>
                </c:pt>
                <c:pt idx="34">
                  <c:v>12.109893069726656</c:v>
                </c:pt>
                <c:pt idx="35">
                  <c:v>22.386982370470744</c:v>
                </c:pt>
                <c:pt idx="36">
                  <c:v>31.922260370084437</c:v>
                </c:pt>
                <c:pt idx="37">
                  <c:v>37.722260370084435</c:v>
                </c:pt>
                <c:pt idx="38">
                  <c:v>40.860877911811642</c:v>
                </c:pt>
                <c:pt idx="39">
                  <c:v>43.360877911811649</c:v>
                </c:pt>
                <c:pt idx="40">
                  <c:v>45.542312150262859</c:v>
                </c:pt>
                <c:pt idx="41">
                  <c:v>48.042312150262859</c:v>
                </c:pt>
                <c:pt idx="42">
                  <c:v>50.767897890020734</c:v>
                </c:pt>
                <c:pt idx="43">
                  <c:v>53.647897890020744</c:v>
                </c:pt>
                <c:pt idx="44">
                  <c:v>56.13739663134799</c:v>
                </c:pt>
                <c:pt idx="45">
                  <c:v>59.017396631347992</c:v>
                </c:pt>
                <c:pt idx="46">
                  <c:v>60.716712746967644</c:v>
                </c:pt>
              </c:numCache>
            </c:numRef>
          </c:xVal>
          <c:yVal>
            <c:numRef>
              <c:f>Summary!$V$3:$V$49</c:f>
              <c:numCache>
                <c:formatCode>0.0</c:formatCode>
                <c:ptCount val="47"/>
                <c:pt idx="0">
                  <c:v>391.99999999999994</c:v>
                </c:pt>
                <c:pt idx="1">
                  <c:v>384.45242316384241</c:v>
                </c:pt>
                <c:pt idx="2">
                  <c:v>376.82121122018697</c:v>
                </c:pt>
                <c:pt idx="3">
                  <c:v>369.10450616359282</c:v>
                </c:pt>
                <c:pt idx="4">
                  <c:v>361.30039715815178</c:v>
                </c:pt>
                <c:pt idx="5">
                  <c:v>353.40691863235793</c:v>
                </c:pt>
                <c:pt idx="6">
                  <c:v>345.42204829103036</c:v>
                </c:pt>
                <c:pt idx="7">
                  <c:v>337.34370504004477</c:v>
                </c:pt>
                <c:pt idx="8">
                  <c:v>329.16974681937836</c:v>
                </c:pt>
                <c:pt idx="9">
                  <c:v>320.89796833970712</c:v>
                </c:pt>
                <c:pt idx="10">
                  <c:v>312.52609871750775</c:v>
                </c:pt>
                <c:pt idx="11">
                  <c:v>304.05179900331609</c:v>
                </c:pt>
                <c:pt idx="12">
                  <c:v>295.47265959746426</c:v>
                </c:pt>
                <c:pt idx="13">
                  <c:v>286.78619754727617</c:v>
                </c:pt>
                <c:pt idx="14">
                  <c:v>277.98985371932594</c:v>
                </c:pt>
                <c:pt idx="15">
                  <c:v>269.08098983997149</c:v>
                </c:pt>
                <c:pt idx="16">
                  <c:v>260.05688539694358</c:v>
                </c:pt>
                <c:pt idx="17">
                  <c:v>250.91473439432272</c:v>
                </c:pt>
                <c:pt idx="18">
                  <c:v>241.65164195274261</c:v>
                </c:pt>
                <c:pt idx="19">
                  <c:v>232.26462074613917</c:v>
                </c:pt>
                <c:pt idx="20">
                  <c:v>222.75058726580153</c:v>
                </c:pt>
                <c:pt idx="21">
                  <c:v>213.10635790188016</c:v>
                </c:pt>
                <c:pt idx="22">
                  <c:v>203.32864483185938</c:v>
                </c:pt>
                <c:pt idx="23">
                  <c:v>193.41405170480732</c:v>
                </c:pt>
                <c:pt idx="24">
                  <c:v>183.35906910947014</c:v>
                </c:pt>
                <c:pt idx="25">
                  <c:v>173.16006981347141</c:v>
                </c:pt>
                <c:pt idx="26">
                  <c:v>162.81330376001472</c:v>
                </c:pt>
                <c:pt idx="27">
                  <c:v>152.31489280755369</c:v>
                </c:pt>
                <c:pt idx="28">
                  <c:v>141.66082519689178</c:v>
                </c:pt>
                <c:pt idx="29">
                  <c:v>130.84694972908844</c:v>
                </c:pt>
                <c:pt idx="30">
                  <c:v>119.86896963638245</c:v>
                </c:pt>
                <c:pt idx="31">
                  <c:v>108.72243612707842</c:v>
                </c:pt>
                <c:pt idx="32">
                  <c:v>85.90511239449441</c:v>
                </c:pt>
                <c:pt idx="33">
                  <c:v>62.356079861469517</c:v>
                </c:pt>
                <c:pt idx="34">
                  <c:v>50.294229147814448</c:v>
                </c:pt>
                <c:pt idx="35">
                  <c:v>36.884959544700401</c:v>
                </c:pt>
                <c:pt idx="36">
                  <c:v>24.321835171995904</c:v>
                </c:pt>
                <c:pt idx="37">
                  <c:v>297.40309866511785</c:v>
                </c:pt>
                <c:pt idx="38">
                  <c:v>177.04766848765996</c:v>
                </c:pt>
                <c:pt idx="39">
                  <c:v>284.61233765659273</c:v>
                </c:pt>
                <c:pt idx="40">
                  <c:v>197.75637041481366</c:v>
                </c:pt>
                <c:pt idx="41">
                  <c:v>290.22870926205923</c:v>
                </c:pt>
                <c:pt idx="42">
                  <c:v>182.28029935669474</c:v>
                </c:pt>
                <c:pt idx="43">
                  <c:v>259.83314482765616</c:v>
                </c:pt>
                <c:pt idx="44">
                  <c:v>166.46860826826256</c:v>
                </c:pt>
                <c:pt idx="45">
                  <c:v>241.1583587953231</c:v>
                </c:pt>
                <c:pt idx="46">
                  <c:v>177.04766848765996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0B-40EE-9704-0462C56AB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04288"/>
        <c:axId val="1666844064"/>
      </c:scatterChart>
      <c:valAx>
        <c:axId val="2446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(meses)</a:t>
                </a:r>
                <a:r>
                  <a:rPr lang="es-CO" baseline="0"/>
                  <a:t>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6844064"/>
        <c:crosses val="autoZero"/>
        <c:crossBetween val="midCat"/>
      </c:valAx>
      <c:valAx>
        <c:axId val="1666844064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Caudal de aceite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460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61410774036129"/>
          <c:y val="0.11328688752615598"/>
          <c:w val="0.1792971186810188"/>
          <c:h val="0.10368736166043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2469667698652"/>
          <c:y val="3.3794162826420893E-2"/>
          <c:w val="0.84079345235487879"/>
          <c:h val="0.82979014719934197"/>
        </c:manualLayout>
      </c:layout>
      <c:scatterChart>
        <c:scatterStyle val="smoothMarker"/>
        <c:varyColors val="0"/>
        <c:ser>
          <c:idx val="0"/>
          <c:order val="0"/>
          <c:tx>
            <c:v>Presión Paper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Paper!$K$4:$K$50</c:f>
              <c:numCache>
                <c:formatCode>0.0</c:formatCode>
                <c:ptCount val="47"/>
                <c:pt idx="0">
                  <c:v>0</c:v>
                </c:pt>
                <c:pt idx="1">
                  <c:v>0.12</c:v>
                </c:pt>
                <c:pt idx="2">
                  <c:v>0.36</c:v>
                </c:pt>
                <c:pt idx="3">
                  <c:v>0.48</c:v>
                </c:pt>
                <c:pt idx="4">
                  <c:v>0.72</c:v>
                </c:pt>
                <c:pt idx="5">
                  <c:v>0.84000000000000008</c:v>
                </c:pt>
                <c:pt idx="6">
                  <c:v>1.08</c:v>
                </c:pt>
                <c:pt idx="7">
                  <c:v>1.2000000000000002</c:v>
                </c:pt>
                <c:pt idx="8">
                  <c:v>1.44</c:v>
                </c:pt>
                <c:pt idx="9">
                  <c:v>1.56</c:v>
                </c:pt>
                <c:pt idx="10">
                  <c:v>1.7999999999999998</c:v>
                </c:pt>
                <c:pt idx="11">
                  <c:v>2.04</c:v>
                </c:pt>
                <c:pt idx="12">
                  <c:v>2.16</c:v>
                </c:pt>
                <c:pt idx="13">
                  <c:v>2.4000000000000004</c:v>
                </c:pt>
                <c:pt idx="14">
                  <c:v>2.64</c:v>
                </c:pt>
                <c:pt idx="15">
                  <c:v>2.88</c:v>
                </c:pt>
                <c:pt idx="16">
                  <c:v>3.12</c:v>
                </c:pt>
                <c:pt idx="17">
                  <c:v>3.3600000000000003</c:v>
                </c:pt>
                <c:pt idx="18">
                  <c:v>3.5999999999999996</c:v>
                </c:pt>
                <c:pt idx="19">
                  <c:v>3.84</c:v>
                </c:pt>
                <c:pt idx="20">
                  <c:v>4.08</c:v>
                </c:pt>
                <c:pt idx="21">
                  <c:v>4.4399999999999995</c:v>
                </c:pt>
                <c:pt idx="22">
                  <c:v>4.68</c:v>
                </c:pt>
                <c:pt idx="23">
                  <c:v>5.04</c:v>
                </c:pt>
                <c:pt idx="24">
                  <c:v>5.28</c:v>
                </c:pt>
                <c:pt idx="25">
                  <c:v>5.64</c:v>
                </c:pt>
                <c:pt idx="26">
                  <c:v>6</c:v>
                </c:pt>
                <c:pt idx="27">
                  <c:v>6.36</c:v>
                </c:pt>
                <c:pt idx="28">
                  <c:v>6.84</c:v>
                </c:pt>
                <c:pt idx="29">
                  <c:v>7.1999999999999993</c:v>
                </c:pt>
                <c:pt idx="30">
                  <c:v>7.68</c:v>
                </c:pt>
                <c:pt idx="31">
                  <c:v>8.2799999999999994</c:v>
                </c:pt>
                <c:pt idx="32">
                  <c:v>9.48</c:v>
                </c:pt>
                <c:pt idx="33">
                  <c:v>11.040000000000001</c:v>
                </c:pt>
                <c:pt idx="34">
                  <c:v>12.120000000000001</c:v>
                </c:pt>
                <c:pt idx="35">
                  <c:v>21</c:v>
                </c:pt>
                <c:pt idx="36">
                  <c:v>29.64</c:v>
                </c:pt>
                <c:pt idx="37">
                  <c:v>35.400000000000006</c:v>
                </c:pt>
                <c:pt idx="38">
                  <c:v>39</c:v>
                </c:pt>
                <c:pt idx="39">
                  <c:v>41.519999999999996</c:v>
                </c:pt>
                <c:pt idx="40">
                  <c:v>43.68</c:v>
                </c:pt>
                <c:pt idx="41">
                  <c:v>46.08</c:v>
                </c:pt>
                <c:pt idx="42">
                  <c:v>48.72</c:v>
                </c:pt>
                <c:pt idx="43">
                  <c:v>51.480000000000004</c:v>
                </c:pt>
                <c:pt idx="44">
                  <c:v>53.760000000000005</c:v>
                </c:pt>
                <c:pt idx="45">
                  <c:v>54.599999999999994</c:v>
                </c:pt>
                <c:pt idx="46">
                  <c:v>56.760000000000005</c:v>
                </c:pt>
              </c:numCache>
            </c:numRef>
          </c:xVal>
          <c:yVal>
            <c:numRef>
              <c:f>Paper!$C$4:$C$50</c:f>
              <c:numCache>
                <c:formatCode>General</c:formatCode>
                <c:ptCount val="47"/>
                <c:pt idx="0">
                  <c:v>6000</c:v>
                </c:pt>
                <c:pt idx="1">
                  <c:v>5900</c:v>
                </c:pt>
                <c:pt idx="2">
                  <c:v>5800</c:v>
                </c:pt>
                <c:pt idx="3">
                  <c:v>5700</c:v>
                </c:pt>
                <c:pt idx="4">
                  <c:v>5600</c:v>
                </c:pt>
                <c:pt idx="5">
                  <c:v>5500</c:v>
                </c:pt>
                <c:pt idx="6">
                  <c:v>5400</c:v>
                </c:pt>
                <c:pt idx="7">
                  <c:v>5300</c:v>
                </c:pt>
                <c:pt idx="8">
                  <c:v>5200</c:v>
                </c:pt>
                <c:pt idx="9">
                  <c:v>5100</c:v>
                </c:pt>
                <c:pt idx="10">
                  <c:v>5000</c:v>
                </c:pt>
                <c:pt idx="11">
                  <c:v>4900</c:v>
                </c:pt>
                <c:pt idx="12">
                  <c:v>4800</c:v>
                </c:pt>
                <c:pt idx="13">
                  <c:v>4700</c:v>
                </c:pt>
                <c:pt idx="14">
                  <c:v>4600</c:v>
                </c:pt>
                <c:pt idx="15">
                  <c:v>4500</c:v>
                </c:pt>
                <c:pt idx="16">
                  <c:v>4400</c:v>
                </c:pt>
                <c:pt idx="17">
                  <c:v>4300</c:v>
                </c:pt>
                <c:pt idx="18">
                  <c:v>4200</c:v>
                </c:pt>
                <c:pt idx="19">
                  <c:v>4100</c:v>
                </c:pt>
                <c:pt idx="20">
                  <c:v>4000</c:v>
                </c:pt>
                <c:pt idx="21">
                  <c:v>3900</c:v>
                </c:pt>
                <c:pt idx="22">
                  <c:v>3800</c:v>
                </c:pt>
                <c:pt idx="23">
                  <c:v>3700</c:v>
                </c:pt>
                <c:pt idx="24">
                  <c:v>3600</c:v>
                </c:pt>
                <c:pt idx="25">
                  <c:v>3500</c:v>
                </c:pt>
                <c:pt idx="26">
                  <c:v>3400</c:v>
                </c:pt>
                <c:pt idx="27">
                  <c:v>3300</c:v>
                </c:pt>
                <c:pt idx="28">
                  <c:v>3200</c:v>
                </c:pt>
                <c:pt idx="29">
                  <c:v>3100</c:v>
                </c:pt>
                <c:pt idx="30">
                  <c:v>3000</c:v>
                </c:pt>
                <c:pt idx="31">
                  <c:v>2900</c:v>
                </c:pt>
                <c:pt idx="32">
                  <c:v>2700</c:v>
                </c:pt>
                <c:pt idx="33">
                  <c:v>2500</c:v>
                </c:pt>
                <c:pt idx="34">
                  <c:v>2400</c:v>
                </c:pt>
                <c:pt idx="35">
                  <c:v>2300</c:v>
                </c:pt>
                <c:pt idx="36">
                  <c:v>2200</c:v>
                </c:pt>
                <c:pt idx="37">
                  <c:v>4924</c:v>
                </c:pt>
                <c:pt idx="38">
                  <c:v>3500</c:v>
                </c:pt>
                <c:pt idx="39">
                  <c:v>4543</c:v>
                </c:pt>
                <c:pt idx="40">
                  <c:v>3700</c:v>
                </c:pt>
                <c:pt idx="41">
                  <c:v>4572</c:v>
                </c:pt>
                <c:pt idx="42">
                  <c:v>3550</c:v>
                </c:pt>
                <c:pt idx="43">
                  <c:v>4186</c:v>
                </c:pt>
                <c:pt idx="44">
                  <c:v>3400</c:v>
                </c:pt>
                <c:pt idx="45">
                  <c:v>3484</c:v>
                </c:pt>
                <c:pt idx="46">
                  <c:v>2950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F7-4465-9BE5-217B020400B8}"/>
            </c:ext>
          </c:extLst>
        </c:ser>
        <c:ser>
          <c:idx val="1"/>
          <c:order val="1"/>
          <c:tx>
            <c:v>Presión Calculado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Summary!$T$3:$T$49</c:f>
              <c:numCache>
                <c:formatCode>0.0</c:formatCode>
                <c:ptCount val="47"/>
                <c:pt idx="0">
                  <c:v>0</c:v>
                </c:pt>
                <c:pt idx="1">
                  <c:v>0.16375678430827301</c:v>
                </c:pt>
                <c:pt idx="2">
                  <c:v>0.33041117030366957</c:v>
                </c:pt>
                <c:pt idx="3">
                  <c:v>0.50012079545660748</c:v>
                </c:pt>
                <c:pt idx="4">
                  <c:v>0.67305624703904188</c:v>
                </c:pt>
                <c:pt idx="5">
                  <c:v>0.8494025218272816</c:v>
                </c:pt>
                <c:pt idx="6">
                  <c:v>1.0293606974485539</c:v>
                </c:pt>
                <c:pt idx="7">
                  <c:v>1.2131498532976346</c:v>
                </c:pt>
                <c:pt idx="8">
                  <c:v>1.4010092871236615</c:v>
                </c:pt>
                <c:pt idx="9">
                  <c:v>1.5932010836384567</c:v>
                </c:pt>
                <c:pt idx="10">
                  <c:v>1.79001310443982</c:v>
                </c:pt>
                <c:pt idx="11">
                  <c:v>1.9917624849979907</c:v>
                </c:pt>
                <c:pt idx="12">
                  <c:v>2.1987997455310486</c:v>
                </c:pt>
                <c:pt idx="13">
                  <c:v>2.4115136498100878</c:v>
                </c:pt>
                <c:pt idx="14">
                  <c:v>2.6303369813739104</c:v>
                </c:pt>
                <c:pt idx="15">
                  <c:v>2.8557534532020794</c:v>
                </c:pt>
                <c:pt idx="16">
                  <c:v>3.0883060286877608</c:v>
                </c:pt>
                <c:pt idx="17">
                  <c:v>3.3286070146063427</c:v>
                </c:pt>
                <c:pt idx="18">
                  <c:v>3.5773503991292137</c:v>
                </c:pt>
                <c:pt idx="19">
                  <c:v>3.8353270621522899</c:v>
                </c:pt>
                <c:pt idx="20">
                  <c:v>4.1034436997081887</c:v>
                </c:pt>
                <c:pt idx="21">
                  <c:v>4.3827466068829164</c:v>
                </c:pt>
                <c:pt idx="22">
                  <c:v>4.6744518974366782</c:v>
                </c:pt>
                <c:pt idx="23">
                  <c:v>4.9799843708252975</c:v>
                </c:pt>
                <c:pt idx="24">
                  <c:v>5.3010281772012293</c:v>
                </c:pt>
                <c:pt idx="25">
                  <c:v>5.6395938572316631</c:v>
                </c:pt>
                <c:pt idx="26">
                  <c:v>5.9981085490617545</c:v>
                </c:pt>
                <c:pt idx="27">
                  <c:v>6.3795396875415005</c:v>
                </c:pt>
                <c:pt idx="28">
                  <c:v>6.7875683233313335</c:v>
                </c:pt>
                <c:pt idx="29">
                  <c:v>7.2268380465555033</c:v>
                </c:pt>
                <c:pt idx="30">
                  <c:v>7.703322906243999</c:v>
                </c:pt>
                <c:pt idx="31">
                  <c:v>8.2248898730920406</c:v>
                </c:pt>
                <c:pt idx="32">
                  <c:v>9.4508129530644673</c:v>
                </c:pt>
                <c:pt idx="33">
                  <c:v>11.059536602672969</c:v>
                </c:pt>
                <c:pt idx="34">
                  <c:v>12.109893069726656</c:v>
                </c:pt>
                <c:pt idx="35">
                  <c:v>22.386982370470744</c:v>
                </c:pt>
                <c:pt idx="36">
                  <c:v>31.922260370084437</c:v>
                </c:pt>
                <c:pt idx="37">
                  <c:v>37.722260370084435</c:v>
                </c:pt>
                <c:pt idx="38">
                  <c:v>40.860877911811642</c:v>
                </c:pt>
                <c:pt idx="39">
                  <c:v>43.360877911811649</c:v>
                </c:pt>
                <c:pt idx="40">
                  <c:v>45.542312150262859</c:v>
                </c:pt>
                <c:pt idx="41">
                  <c:v>48.042312150262859</c:v>
                </c:pt>
                <c:pt idx="42">
                  <c:v>50.767897890020734</c:v>
                </c:pt>
                <c:pt idx="43">
                  <c:v>53.647897890020744</c:v>
                </c:pt>
                <c:pt idx="44">
                  <c:v>56.13739663134799</c:v>
                </c:pt>
                <c:pt idx="45">
                  <c:v>59.017396631347992</c:v>
                </c:pt>
                <c:pt idx="46">
                  <c:v>60.716712746967644</c:v>
                </c:pt>
              </c:numCache>
            </c:numRef>
          </c:xVal>
          <c:yVal>
            <c:numRef>
              <c:f>Summary!$P$3:$P$49</c:f>
              <c:numCache>
                <c:formatCode>General</c:formatCode>
                <c:ptCount val="47"/>
                <c:pt idx="0">
                  <c:v>6000</c:v>
                </c:pt>
                <c:pt idx="1">
                  <c:v>5900</c:v>
                </c:pt>
                <c:pt idx="2">
                  <c:v>5800</c:v>
                </c:pt>
                <c:pt idx="3">
                  <c:v>5700</c:v>
                </c:pt>
                <c:pt idx="4">
                  <c:v>5600</c:v>
                </c:pt>
                <c:pt idx="5">
                  <c:v>5500</c:v>
                </c:pt>
                <c:pt idx="6">
                  <c:v>5400</c:v>
                </c:pt>
                <c:pt idx="7">
                  <c:v>5300</c:v>
                </c:pt>
                <c:pt idx="8">
                  <c:v>5200</c:v>
                </c:pt>
                <c:pt idx="9">
                  <c:v>5100</c:v>
                </c:pt>
                <c:pt idx="10">
                  <c:v>5000</c:v>
                </c:pt>
                <c:pt idx="11">
                  <c:v>4900</c:v>
                </c:pt>
                <c:pt idx="12">
                  <c:v>4800</c:v>
                </c:pt>
                <c:pt idx="13">
                  <c:v>4700</c:v>
                </c:pt>
                <c:pt idx="14">
                  <c:v>4600</c:v>
                </c:pt>
                <c:pt idx="15">
                  <c:v>4500</c:v>
                </c:pt>
                <c:pt idx="16">
                  <c:v>4400</c:v>
                </c:pt>
                <c:pt idx="17">
                  <c:v>4300</c:v>
                </c:pt>
                <c:pt idx="18" formatCode="0">
                  <c:v>4200</c:v>
                </c:pt>
                <c:pt idx="19">
                  <c:v>4100</c:v>
                </c:pt>
                <c:pt idx="20">
                  <c:v>4000</c:v>
                </c:pt>
                <c:pt idx="21">
                  <c:v>3900</c:v>
                </c:pt>
                <c:pt idx="22">
                  <c:v>3800</c:v>
                </c:pt>
                <c:pt idx="23">
                  <c:v>3700</c:v>
                </c:pt>
                <c:pt idx="24">
                  <c:v>3600</c:v>
                </c:pt>
                <c:pt idx="25">
                  <c:v>3500</c:v>
                </c:pt>
                <c:pt idx="26">
                  <c:v>3400</c:v>
                </c:pt>
                <c:pt idx="27">
                  <c:v>3300</c:v>
                </c:pt>
                <c:pt idx="28">
                  <c:v>3200</c:v>
                </c:pt>
                <c:pt idx="29">
                  <c:v>3100</c:v>
                </c:pt>
                <c:pt idx="30">
                  <c:v>3000</c:v>
                </c:pt>
                <c:pt idx="31">
                  <c:v>2900</c:v>
                </c:pt>
                <c:pt idx="32">
                  <c:v>2700</c:v>
                </c:pt>
                <c:pt idx="33">
                  <c:v>2500</c:v>
                </c:pt>
                <c:pt idx="34">
                  <c:v>2400</c:v>
                </c:pt>
                <c:pt idx="35">
                  <c:v>2300</c:v>
                </c:pt>
                <c:pt idx="36">
                  <c:v>2200</c:v>
                </c:pt>
                <c:pt idx="37" formatCode="0">
                  <c:v>4746.8893226857899</c:v>
                </c:pt>
                <c:pt idx="38" formatCode="0">
                  <c:v>3500</c:v>
                </c:pt>
                <c:pt idx="39" formatCode="0">
                  <c:v>4604.2146638657014</c:v>
                </c:pt>
                <c:pt idx="40" formatCode="0">
                  <c:v>3700</c:v>
                </c:pt>
                <c:pt idx="41" formatCode="0">
                  <c:v>4666.5467006080735</c:v>
                </c:pt>
                <c:pt idx="42" formatCode="0">
                  <c:v>3550</c:v>
                </c:pt>
                <c:pt idx="43" formatCode="0">
                  <c:v>4334.9962334889406</c:v>
                </c:pt>
                <c:pt idx="44" formatCode="0">
                  <c:v>3400</c:v>
                </c:pt>
                <c:pt idx="45" formatCode="0">
                  <c:v>4138.1759339176751</c:v>
                </c:pt>
                <c:pt idx="46" formatCode="0">
                  <c:v>2900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F7-4465-9BE5-217B02040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04288"/>
        <c:axId val="1666844064"/>
      </c:scatterChart>
      <c:valAx>
        <c:axId val="2446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(meses)</a:t>
                </a:r>
                <a:r>
                  <a:rPr lang="es-CO" baseline="0"/>
                  <a:t>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6844064"/>
        <c:crosses val="autoZero"/>
        <c:crossBetween val="midCat"/>
      </c:valAx>
      <c:valAx>
        <c:axId val="1666844064"/>
        <c:scaling>
          <c:orientation val="minMax"/>
          <c:max val="7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Presión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460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61410774036129"/>
          <c:y val="0.11328688752615598"/>
          <c:w val="0.20913725910757841"/>
          <c:h val="0.16205909745152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2469667698652"/>
          <c:y val="3.3794162826420893E-2"/>
          <c:w val="0.84079345235487879"/>
          <c:h val="0.82979014719934197"/>
        </c:manualLayout>
      </c:layout>
      <c:scatterChart>
        <c:scatterStyle val="smoothMarker"/>
        <c:varyColors val="0"/>
        <c:ser>
          <c:idx val="0"/>
          <c:order val="0"/>
          <c:tx>
            <c:v>Tiempo Paper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Paper!$B$4:$B$50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Paper!$K$4:$K$50</c:f>
              <c:numCache>
                <c:formatCode>0.0</c:formatCode>
                <c:ptCount val="47"/>
                <c:pt idx="0">
                  <c:v>0</c:v>
                </c:pt>
                <c:pt idx="1">
                  <c:v>0.12</c:v>
                </c:pt>
                <c:pt idx="2">
                  <c:v>0.36</c:v>
                </c:pt>
                <c:pt idx="3">
                  <c:v>0.48</c:v>
                </c:pt>
                <c:pt idx="4">
                  <c:v>0.72</c:v>
                </c:pt>
                <c:pt idx="5">
                  <c:v>0.84000000000000008</c:v>
                </c:pt>
                <c:pt idx="6">
                  <c:v>1.08</c:v>
                </c:pt>
                <c:pt idx="7">
                  <c:v>1.2000000000000002</c:v>
                </c:pt>
                <c:pt idx="8">
                  <c:v>1.44</c:v>
                </c:pt>
                <c:pt idx="9">
                  <c:v>1.56</c:v>
                </c:pt>
                <c:pt idx="10">
                  <c:v>1.7999999999999998</c:v>
                </c:pt>
                <c:pt idx="11">
                  <c:v>2.04</c:v>
                </c:pt>
                <c:pt idx="12">
                  <c:v>2.16</c:v>
                </c:pt>
                <c:pt idx="13">
                  <c:v>2.4000000000000004</c:v>
                </c:pt>
                <c:pt idx="14">
                  <c:v>2.64</c:v>
                </c:pt>
                <c:pt idx="15">
                  <c:v>2.88</c:v>
                </c:pt>
                <c:pt idx="16">
                  <c:v>3.12</c:v>
                </c:pt>
                <c:pt idx="17">
                  <c:v>3.3600000000000003</c:v>
                </c:pt>
                <c:pt idx="18">
                  <c:v>3.5999999999999996</c:v>
                </c:pt>
                <c:pt idx="19">
                  <c:v>3.84</c:v>
                </c:pt>
                <c:pt idx="20">
                  <c:v>4.08</c:v>
                </c:pt>
                <c:pt idx="21">
                  <c:v>4.4399999999999995</c:v>
                </c:pt>
                <c:pt idx="22">
                  <c:v>4.68</c:v>
                </c:pt>
                <c:pt idx="23">
                  <c:v>5.04</c:v>
                </c:pt>
                <c:pt idx="24">
                  <c:v>5.28</c:v>
                </c:pt>
                <c:pt idx="25">
                  <c:v>5.64</c:v>
                </c:pt>
                <c:pt idx="26">
                  <c:v>6</c:v>
                </c:pt>
                <c:pt idx="27">
                  <c:v>6.36</c:v>
                </c:pt>
                <c:pt idx="28">
                  <c:v>6.84</c:v>
                </c:pt>
                <c:pt idx="29">
                  <c:v>7.1999999999999993</c:v>
                </c:pt>
                <c:pt idx="30">
                  <c:v>7.68</c:v>
                </c:pt>
                <c:pt idx="31">
                  <c:v>8.2799999999999994</c:v>
                </c:pt>
                <c:pt idx="32">
                  <c:v>9.48</c:v>
                </c:pt>
                <c:pt idx="33">
                  <c:v>11.040000000000001</c:v>
                </c:pt>
                <c:pt idx="34">
                  <c:v>12.120000000000001</c:v>
                </c:pt>
                <c:pt idx="35">
                  <c:v>21</c:v>
                </c:pt>
                <c:pt idx="36">
                  <c:v>29.64</c:v>
                </c:pt>
                <c:pt idx="37">
                  <c:v>35.400000000000006</c:v>
                </c:pt>
                <c:pt idx="38">
                  <c:v>39</c:v>
                </c:pt>
                <c:pt idx="39">
                  <c:v>41.519999999999996</c:v>
                </c:pt>
                <c:pt idx="40">
                  <c:v>43.68</c:v>
                </c:pt>
                <c:pt idx="41">
                  <c:v>46.08</c:v>
                </c:pt>
                <c:pt idx="42">
                  <c:v>48.72</c:v>
                </c:pt>
                <c:pt idx="43">
                  <c:v>51.480000000000004</c:v>
                </c:pt>
                <c:pt idx="44">
                  <c:v>53.760000000000005</c:v>
                </c:pt>
                <c:pt idx="45">
                  <c:v>54.599999999999994</c:v>
                </c:pt>
                <c:pt idx="46">
                  <c:v>56.760000000000005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03-4B5E-A687-5417B5F54364}"/>
            </c:ext>
          </c:extLst>
        </c:ser>
        <c:ser>
          <c:idx val="1"/>
          <c:order val="1"/>
          <c:tx>
            <c:v>Tiempo Calculado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Summary!$O$3:$O$49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 formatCode="0">
                  <c:v>37</c:v>
                </c:pt>
                <c:pt idx="38" formatCode="0">
                  <c:v>38</c:v>
                </c:pt>
                <c:pt idx="39" formatCode="0">
                  <c:v>39</c:v>
                </c:pt>
                <c:pt idx="40" formatCode="0">
                  <c:v>40</c:v>
                </c:pt>
                <c:pt idx="41" formatCode="0">
                  <c:v>41</c:v>
                </c:pt>
                <c:pt idx="42" formatCode="0">
                  <c:v>42</c:v>
                </c:pt>
                <c:pt idx="43" formatCode="0">
                  <c:v>43</c:v>
                </c:pt>
                <c:pt idx="44" formatCode="0">
                  <c:v>44</c:v>
                </c:pt>
                <c:pt idx="45" formatCode="0">
                  <c:v>45</c:v>
                </c:pt>
                <c:pt idx="46" formatCode="0">
                  <c:v>46</c:v>
                </c:pt>
              </c:numCache>
            </c:numRef>
          </c:xVal>
          <c:yVal>
            <c:numRef>
              <c:f>Summary!$T$3:$T$49</c:f>
              <c:numCache>
                <c:formatCode>0.0</c:formatCode>
                <c:ptCount val="47"/>
                <c:pt idx="0">
                  <c:v>0</c:v>
                </c:pt>
                <c:pt idx="1">
                  <c:v>0.16375678430827301</c:v>
                </c:pt>
                <c:pt idx="2">
                  <c:v>0.33041117030366957</c:v>
                </c:pt>
                <c:pt idx="3">
                  <c:v>0.50012079545660748</c:v>
                </c:pt>
                <c:pt idx="4">
                  <c:v>0.67305624703904188</c:v>
                </c:pt>
                <c:pt idx="5">
                  <c:v>0.8494025218272816</c:v>
                </c:pt>
                <c:pt idx="6">
                  <c:v>1.0293606974485539</c:v>
                </c:pt>
                <c:pt idx="7">
                  <c:v>1.2131498532976346</c:v>
                </c:pt>
                <c:pt idx="8">
                  <c:v>1.4010092871236615</c:v>
                </c:pt>
                <c:pt idx="9">
                  <c:v>1.5932010836384567</c:v>
                </c:pt>
                <c:pt idx="10">
                  <c:v>1.79001310443982</c:v>
                </c:pt>
                <c:pt idx="11">
                  <c:v>1.9917624849979907</c:v>
                </c:pt>
                <c:pt idx="12">
                  <c:v>2.1987997455310486</c:v>
                </c:pt>
                <c:pt idx="13">
                  <c:v>2.4115136498100878</c:v>
                </c:pt>
                <c:pt idx="14">
                  <c:v>2.6303369813739104</c:v>
                </c:pt>
                <c:pt idx="15">
                  <c:v>2.8557534532020794</c:v>
                </c:pt>
                <c:pt idx="16">
                  <c:v>3.0883060286877608</c:v>
                </c:pt>
                <c:pt idx="17">
                  <c:v>3.3286070146063427</c:v>
                </c:pt>
                <c:pt idx="18">
                  <c:v>3.5773503991292137</c:v>
                </c:pt>
                <c:pt idx="19">
                  <c:v>3.8353270621522899</c:v>
                </c:pt>
                <c:pt idx="20">
                  <c:v>4.1034436997081887</c:v>
                </c:pt>
                <c:pt idx="21">
                  <c:v>4.3827466068829164</c:v>
                </c:pt>
                <c:pt idx="22">
                  <c:v>4.6744518974366782</c:v>
                </c:pt>
                <c:pt idx="23">
                  <c:v>4.9799843708252975</c:v>
                </c:pt>
                <c:pt idx="24">
                  <c:v>5.3010281772012293</c:v>
                </c:pt>
                <c:pt idx="25">
                  <c:v>5.6395938572316631</c:v>
                </c:pt>
                <c:pt idx="26">
                  <c:v>5.9981085490617545</c:v>
                </c:pt>
                <c:pt idx="27">
                  <c:v>6.3795396875415005</c:v>
                </c:pt>
                <c:pt idx="28">
                  <c:v>6.7875683233313335</c:v>
                </c:pt>
                <c:pt idx="29">
                  <c:v>7.2268380465555033</c:v>
                </c:pt>
                <c:pt idx="30">
                  <c:v>7.703322906243999</c:v>
                </c:pt>
                <c:pt idx="31">
                  <c:v>8.2248898730920406</c:v>
                </c:pt>
                <c:pt idx="32">
                  <c:v>9.4508129530644673</c:v>
                </c:pt>
                <c:pt idx="33">
                  <c:v>11.059536602672969</c:v>
                </c:pt>
                <c:pt idx="34">
                  <c:v>12.109893069726656</c:v>
                </c:pt>
                <c:pt idx="35">
                  <c:v>22.386982370470744</c:v>
                </c:pt>
                <c:pt idx="36">
                  <c:v>31.922260370084437</c:v>
                </c:pt>
                <c:pt idx="37">
                  <c:v>37.722260370084435</c:v>
                </c:pt>
                <c:pt idx="38">
                  <c:v>40.860877911811642</c:v>
                </c:pt>
                <c:pt idx="39">
                  <c:v>43.360877911811649</c:v>
                </c:pt>
                <c:pt idx="40">
                  <c:v>45.542312150262859</c:v>
                </c:pt>
                <c:pt idx="41">
                  <c:v>48.042312150262859</c:v>
                </c:pt>
                <c:pt idx="42">
                  <c:v>50.767897890020734</c:v>
                </c:pt>
                <c:pt idx="43">
                  <c:v>53.647897890020744</c:v>
                </c:pt>
                <c:pt idx="44">
                  <c:v>56.13739663134799</c:v>
                </c:pt>
                <c:pt idx="45">
                  <c:v>59.017396631347992</c:v>
                </c:pt>
                <c:pt idx="46">
                  <c:v>60.716712746967644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03-4B5E-A687-5417B5F54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04288"/>
        <c:axId val="1666844064"/>
      </c:scatterChart>
      <c:valAx>
        <c:axId val="2446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Puntos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6844064"/>
        <c:crosses val="autoZero"/>
        <c:crossBetween val="midCat"/>
      </c:valAx>
      <c:valAx>
        <c:axId val="1666844064"/>
        <c:scaling>
          <c:orientation val="minMax"/>
          <c:max val="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Tiempo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460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61410774036129"/>
          <c:y val="0.11328688752615598"/>
          <c:w val="0.20913725910757841"/>
          <c:h val="0.16205909745152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72469667698652"/>
          <c:y val="3.3794162826420893E-2"/>
          <c:w val="0.84079345235487879"/>
          <c:h val="0.82979014719934197"/>
        </c:manualLayout>
      </c:layout>
      <c:scatterChart>
        <c:scatterStyle val="smoothMarker"/>
        <c:varyColors val="0"/>
        <c:ser>
          <c:idx val="0"/>
          <c:order val="0"/>
          <c:tx>
            <c:v>Indice productividad Paper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Paper!$K$4:$K$50</c:f>
              <c:numCache>
                <c:formatCode>0.0</c:formatCode>
                <c:ptCount val="47"/>
                <c:pt idx="0">
                  <c:v>0</c:v>
                </c:pt>
                <c:pt idx="1">
                  <c:v>0.12</c:v>
                </c:pt>
                <c:pt idx="2">
                  <c:v>0.36</c:v>
                </c:pt>
                <c:pt idx="3">
                  <c:v>0.48</c:v>
                </c:pt>
                <c:pt idx="4">
                  <c:v>0.72</c:v>
                </c:pt>
                <c:pt idx="5">
                  <c:v>0.84000000000000008</c:v>
                </c:pt>
                <c:pt idx="6">
                  <c:v>1.08</c:v>
                </c:pt>
                <c:pt idx="7">
                  <c:v>1.2000000000000002</c:v>
                </c:pt>
                <c:pt idx="8">
                  <c:v>1.44</c:v>
                </c:pt>
                <c:pt idx="9">
                  <c:v>1.56</c:v>
                </c:pt>
                <c:pt idx="10">
                  <c:v>1.7999999999999998</c:v>
                </c:pt>
                <c:pt idx="11">
                  <c:v>2.04</c:v>
                </c:pt>
                <c:pt idx="12">
                  <c:v>2.16</c:v>
                </c:pt>
                <c:pt idx="13">
                  <c:v>2.4000000000000004</c:v>
                </c:pt>
                <c:pt idx="14">
                  <c:v>2.64</c:v>
                </c:pt>
                <c:pt idx="15">
                  <c:v>2.88</c:v>
                </c:pt>
                <c:pt idx="16">
                  <c:v>3.12</c:v>
                </c:pt>
                <c:pt idx="17">
                  <c:v>3.3600000000000003</c:v>
                </c:pt>
                <c:pt idx="18">
                  <c:v>3.5999999999999996</c:v>
                </c:pt>
                <c:pt idx="19">
                  <c:v>3.84</c:v>
                </c:pt>
                <c:pt idx="20">
                  <c:v>4.08</c:v>
                </c:pt>
                <c:pt idx="21">
                  <c:v>4.4399999999999995</c:v>
                </c:pt>
                <c:pt idx="22">
                  <c:v>4.68</c:v>
                </c:pt>
                <c:pt idx="23">
                  <c:v>5.04</c:v>
                </c:pt>
                <c:pt idx="24">
                  <c:v>5.28</c:v>
                </c:pt>
                <c:pt idx="25">
                  <c:v>5.64</c:v>
                </c:pt>
                <c:pt idx="26">
                  <c:v>6</c:v>
                </c:pt>
                <c:pt idx="27">
                  <c:v>6.36</c:v>
                </c:pt>
                <c:pt idx="28">
                  <c:v>6.84</c:v>
                </c:pt>
                <c:pt idx="29">
                  <c:v>7.1999999999999993</c:v>
                </c:pt>
                <c:pt idx="30">
                  <c:v>7.68</c:v>
                </c:pt>
                <c:pt idx="31">
                  <c:v>8.2799999999999994</c:v>
                </c:pt>
                <c:pt idx="32">
                  <c:v>9.48</c:v>
                </c:pt>
                <c:pt idx="33">
                  <c:v>11.040000000000001</c:v>
                </c:pt>
                <c:pt idx="34">
                  <c:v>12.120000000000001</c:v>
                </c:pt>
                <c:pt idx="35">
                  <c:v>21</c:v>
                </c:pt>
                <c:pt idx="36">
                  <c:v>29.64</c:v>
                </c:pt>
                <c:pt idx="37">
                  <c:v>35.400000000000006</c:v>
                </c:pt>
                <c:pt idx="38">
                  <c:v>39</c:v>
                </c:pt>
                <c:pt idx="39">
                  <c:v>41.519999999999996</c:v>
                </c:pt>
                <c:pt idx="40">
                  <c:v>43.68</c:v>
                </c:pt>
                <c:pt idx="41">
                  <c:v>46.08</c:v>
                </c:pt>
                <c:pt idx="42">
                  <c:v>48.72</c:v>
                </c:pt>
                <c:pt idx="43">
                  <c:v>51.480000000000004</c:v>
                </c:pt>
                <c:pt idx="44">
                  <c:v>53.760000000000005</c:v>
                </c:pt>
                <c:pt idx="45">
                  <c:v>54.599999999999994</c:v>
                </c:pt>
                <c:pt idx="46">
                  <c:v>56.760000000000005</c:v>
                </c:pt>
              </c:numCache>
            </c:numRef>
          </c:xVal>
          <c:yVal>
            <c:numRef>
              <c:f>Paper!$I$4:$I$50</c:f>
              <c:numCache>
                <c:formatCode>General</c:formatCode>
                <c:ptCount val="47"/>
                <c:pt idx="0">
                  <c:v>9.8000000000000004E-2</c:v>
                </c:pt>
                <c:pt idx="1">
                  <c:v>9.8000000000000004E-2</c:v>
                </c:pt>
                <c:pt idx="2">
                  <c:v>9.9000000000000005E-2</c:v>
                </c:pt>
                <c:pt idx="3" formatCode="0.000">
                  <c:v>0.1</c:v>
                </c:pt>
                <c:pt idx="4" formatCode="0.000">
                  <c:v>0.1</c:v>
                </c:pt>
                <c:pt idx="5">
                  <c:v>0.10100000000000001</c:v>
                </c:pt>
                <c:pt idx="6">
                  <c:v>0.10100000000000001</c:v>
                </c:pt>
                <c:pt idx="7">
                  <c:v>0.10199999999999999</c:v>
                </c:pt>
                <c:pt idx="8">
                  <c:v>0.10299999999999999</c:v>
                </c:pt>
                <c:pt idx="9">
                  <c:v>0.10299999999999999</c:v>
                </c:pt>
                <c:pt idx="10">
                  <c:v>0.104</c:v>
                </c:pt>
                <c:pt idx="11">
                  <c:v>0.105</c:v>
                </c:pt>
                <c:pt idx="12">
                  <c:v>0.105</c:v>
                </c:pt>
                <c:pt idx="13">
                  <c:v>0.106</c:v>
                </c:pt>
                <c:pt idx="14">
                  <c:v>0.107</c:v>
                </c:pt>
                <c:pt idx="15">
                  <c:v>0.107</c:v>
                </c:pt>
                <c:pt idx="16">
                  <c:v>0.108</c:v>
                </c:pt>
                <c:pt idx="17">
                  <c:v>0.109</c:v>
                </c:pt>
                <c:pt idx="18" formatCode="0.000">
                  <c:v>0.11</c:v>
                </c:pt>
                <c:pt idx="19" formatCode="0.000">
                  <c:v>0.11</c:v>
                </c:pt>
                <c:pt idx="20">
                  <c:v>0.111</c:v>
                </c:pt>
                <c:pt idx="21">
                  <c:v>0.112</c:v>
                </c:pt>
                <c:pt idx="22">
                  <c:v>0.113</c:v>
                </c:pt>
                <c:pt idx="23">
                  <c:v>0.113</c:v>
                </c:pt>
                <c:pt idx="24">
                  <c:v>0.114</c:v>
                </c:pt>
                <c:pt idx="25">
                  <c:v>0.115</c:v>
                </c:pt>
                <c:pt idx="26">
                  <c:v>0.11600000000000001</c:v>
                </c:pt>
                <c:pt idx="27">
                  <c:v>0.11700000000000001</c:v>
                </c:pt>
                <c:pt idx="28">
                  <c:v>0.11799999999999999</c:v>
                </c:pt>
                <c:pt idx="29">
                  <c:v>0.11899999999999999</c:v>
                </c:pt>
                <c:pt idx="30">
                  <c:v>0.11899999999999999</c:v>
                </c:pt>
                <c:pt idx="31" formatCode="0.000">
                  <c:v>0.12</c:v>
                </c:pt>
                <c:pt idx="32">
                  <c:v>0.122</c:v>
                </c:pt>
                <c:pt idx="33">
                  <c:v>0.124</c:v>
                </c:pt>
                <c:pt idx="34">
                  <c:v>0.125</c:v>
                </c:pt>
                <c:pt idx="35" formatCode="0.000">
                  <c:v>0.12</c:v>
                </c:pt>
                <c:pt idx="36">
                  <c:v>0.11700000000000001</c:v>
                </c:pt>
                <c:pt idx="37">
                  <c:v>0.104</c:v>
                </c:pt>
                <c:pt idx="38">
                  <c:v>0.115</c:v>
                </c:pt>
                <c:pt idx="39">
                  <c:v>0.107</c:v>
                </c:pt>
                <c:pt idx="40">
                  <c:v>0.113</c:v>
                </c:pt>
                <c:pt idx="41">
                  <c:v>0.107</c:v>
                </c:pt>
                <c:pt idx="42">
                  <c:v>0.115</c:v>
                </c:pt>
                <c:pt idx="43" formatCode="0.000">
                  <c:v>0.11</c:v>
                </c:pt>
                <c:pt idx="44">
                  <c:v>0.11600000000000001</c:v>
                </c:pt>
                <c:pt idx="45">
                  <c:v>0.115</c:v>
                </c:pt>
                <c:pt idx="46" formatCode="0.000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AE-48DB-A13C-89C3B2D9037C}"/>
            </c:ext>
          </c:extLst>
        </c:ser>
        <c:ser>
          <c:idx val="1"/>
          <c:order val="1"/>
          <c:tx>
            <c:v>Indice productividad calculado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Summary!$T$3:$T$49</c:f>
              <c:numCache>
                <c:formatCode>0.0</c:formatCode>
                <c:ptCount val="47"/>
                <c:pt idx="0">
                  <c:v>0</c:v>
                </c:pt>
                <c:pt idx="1">
                  <c:v>0.16375678430827301</c:v>
                </c:pt>
                <c:pt idx="2">
                  <c:v>0.33041117030366957</c:v>
                </c:pt>
                <c:pt idx="3">
                  <c:v>0.50012079545660748</c:v>
                </c:pt>
                <c:pt idx="4">
                  <c:v>0.67305624703904188</c:v>
                </c:pt>
                <c:pt idx="5">
                  <c:v>0.8494025218272816</c:v>
                </c:pt>
                <c:pt idx="6">
                  <c:v>1.0293606974485539</c:v>
                </c:pt>
                <c:pt idx="7">
                  <c:v>1.2131498532976346</c:v>
                </c:pt>
                <c:pt idx="8">
                  <c:v>1.4010092871236615</c:v>
                </c:pt>
                <c:pt idx="9">
                  <c:v>1.5932010836384567</c:v>
                </c:pt>
                <c:pt idx="10">
                  <c:v>1.79001310443982</c:v>
                </c:pt>
                <c:pt idx="11">
                  <c:v>1.9917624849979907</c:v>
                </c:pt>
                <c:pt idx="12">
                  <c:v>2.1987997455310486</c:v>
                </c:pt>
                <c:pt idx="13">
                  <c:v>2.4115136498100878</c:v>
                </c:pt>
                <c:pt idx="14">
                  <c:v>2.6303369813739104</c:v>
                </c:pt>
                <c:pt idx="15">
                  <c:v>2.8557534532020794</c:v>
                </c:pt>
                <c:pt idx="16">
                  <c:v>3.0883060286877608</c:v>
                </c:pt>
                <c:pt idx="17">
                  <c:v>3.3286070146063427</c:v>
                </c:pt>
                <c:pt idx="18">
                  <c:v>3.5773503991292137</c:v>
                </c:pt>
                <c:pt idx="19">
                  <c:v>3.8353270621522899</c:v>
                </c:pt>
                <c:pt idx="20">
                  <c:v>4.1034436997081887</c:v>
                </c:pt>
                <c:pt idx="21">
                  <c:v>4.3827466068829164</c:v>
                </c:pt>
                <c:pt idx="22">
                  <c:v>4.6744518974366782</c:v>
                </c:pt>
                <c:pt idx="23">
                  <c:v>4.9799843708252975</c:v>
                </c:pt>
                <c:pt idx="24">
                  <c:v>5.3010281772012293</c:v>
                </c:pt>
                <c:pt idx="25">
                  <c:v>5.6395938572316631</c:v>
                </c:pt>
                <c:pt idx="26">
                  <c:v>5.9981085490617545</c:v>
                </c:pt>
                <c:pt idx="27">
                  <c:v>6.3795396875415005</c:v>
                </c:pt>
                <c:pt idx="28">
                  <c:v>6.7875683233313335</c:v>
                </c:pt>
                <c:pt idx="29">
                  <c:v>7.2268380465555033</c:v>
                </c:pt>
                <c:pt idx="30">
                  <c:v>7.703322906243999</c:v>
                </c:pt>
                <c:pt idx="31">
                  <c:v>8.2248898730920406</c:v>
                </c:pt>
                <c:pt idx="32">
                  <c:v>9.4508129530644673</c:v>
                </c:pt>
                <c:pt idx="33">
                  <c:v>11.059536602672969</c:v>
                </c:pt>
                <c:pt idx="34">
                  <c:v>12.109893069726656</c:v>
                </c:pt>
                <c:pt idx="35">
                  <c:v>22.386982370470744</c:v>
                </c:pt>
                <c:pt idx="36">
                  <c:v>31.922260370084437</c:v>
                </c:pt>
                <c:pt idx="37">
                  <c:v>37.722260370084435</c:v>
                </c:pt>
                <c:pt idx="38">
                  <c:v>40.860877911811642</c:v>
                </c:pt>
                <c:pt idx="39">
                  <c:v>43.360877911811649</c:v>
                </c:pt>
                <c:pt idx="40">
                  <c:v>45.542312150262859</c:v>
                </c:pt>
                <c:pt idx="41">
                  <c:v>48.042312150262859</c:v>
                </c:pt>
                <c:pt idx="42">
                  <c:v>50.767897890020734</c:v>
                </c:pt>
                <c:pt idx="43">
                  <c:v>53.647897890020744</c:v>
                </c:pt>
                <c:pt idx="44">
                  <c:v>56.13739663134799</c:v>
                </c:pt>
                <c:pt idx="45">
                  <c:v>59.017396631347992</c:v>
                </c:pt>
                <c:pt idx="46">
                  <c:v>60.716712746967644</c:v>
                </c:pt>
              </c:numCache>
            </c:numRef>
          </c:xVal>
          <c:yVal>
            <c:numRef>
              <c:f>Summary!$W$3:$W$49</c:f>
              <c:numCache>
                <c:formatCode>0.000</c:formatCode>
                <c:ptCount val="47"/>
                <c:pt idx="0">
                  <c:v>9.799999999999999E-2</c:v>
                </c:pt>
                <c:pt idx="1">
                  <c:v>9.8577544400985234E-2</c:v>
                </c:pt>
                <c:pt idx="2">
                  <c:v>9.9163476636891304E-2</c:v>
                </c:pt>
                <c:pt idx="3">
                  <c:v>9.9757974638808866E-2</c:v>
                </c:pt>
                <c:pt idx="4">
                  <c:v>0.10036122143281993</c:v>
                </c:pt>
                <c:pt idx="5">
                  <c:v>0.10097340532353084</c:v>
                </c:pt>
                <c:pt idx="6">
                  <c:v>0.10159472008559717</c:v>
                </c:pt>
                <c:pt idx="7">
                  <c:v>0.10222536516364993</c:v>
                </c:pt>
                <c:pt idx="8">
                  <c:v>0.10286554588105574</c:v>
                </c:pt>
                <c:pt idx="9">
                  <c:v>0.10351547365797004</c:v>
                </c:pt>
                <c:pt idx="10">
                  <c:v>0.10417536623916925</c:v>
                </c:pt>
                <c:pt idx="11">
                  <c:v>0.10484544793217797</c:v>
                </c:pt>
                <c:pt idx="12">
                  <c:v>0.10552594985623724</c:v>
                </c:pt>
                <c:pt idx="13">
                  <c:v>0.10621711020269488</c:v>
                </c:pt>
                <c:pt idx="14">
                  <c:v>0.10691917450743306</c:v>
                </c:pt>
                <c:pt idx="15">
                  <c:v>0.1076323959359886</c:v>
                </c:pt>
                <c:pt idx="16">
                  <c:v>0.10835703558205984</c:v>
                </c:pt>
                <c:pt idx="17">
                  <c:v>0.10909336278014031</c:v>
                </c:pt>
                <c:pt idx="18">
                  <c:v>0.10984165543306482</c:v>
                </c:pt>
                <c:pt idx="19">
                  <c:v>0.11060220035530437</c:v>
                </c:pt>
                <c:pt idx="20">
                  <c:v>0.11137529363290076</c:v>
                </c:pt>
                <c:pt idx="21">
                  <c:v>0.11216124100098956</c:v>
                </c:pt>
                <c:pt idx="22">
                  <c:v>0.11296035823992187</c:v>
                </c:pt>
                <c:pt idx="23">
                  <c:v>0.11377297159106313</c:v>
                </c:pt>
                <c:pt idx="24">
                  <c:v>0.11459941819341883</c:v>
                </c:pt>
                <c:pt idx="25">
                  <c:v>0.11544004654231428</c:v>
                </c:pt>
                <c:pt idx="26">
                  <c:v>0.11629521697143909</c:v>
                </c:pt>
                <c:pt idx="27">
                  <c:v>0.11716530215965668</c:v>
                </c:pt>
                <c:pt idx="28">
                  <c:v>0.11805068766407648</c:v>
                </c:pt>
                <c:pt idx="29">
                  <c:v>0.11895177248098948</c:v>
                </c:pt>
                <c:pt idx="30">
                  <c:v>0.11986896963638244</c:v>
                </c:pt>
                <c:pt idx="31">
                  <c:v>0.12080270680786491</c:v>
                </c:pt>
                <c:pt idx="32">
                  <c:v>0.12272158913499202</c:v>
                </c:pt>
                <c:pt idx="33">
                  <c:v>0.12471215972293903</c:v>
                </c:pt>
                <c:pt idx="34">
                  <c:v>0.12573557286953613</c:v>
                </c:pt>
                <c:pt idx="35">
                  <c:v>0.12294986514900133</c:v>
                </c:pt>
                <c:pt idx="36">
                  <c:v>0.12160917585997952</c:v>
                </c:pt>
                <c:pt idx="37">
                  <c:v>0.10826905045243319</c:v>
                </c:pt>
                <c:pt idx="38">
                  <c:v>0.11803177899177331</c:v>
                </c:pt>
                <c:pt idx="39">
                  <c:v>0.109289123360558</c:v>
                </c:pt>
                <c:pt idx="40">
                  <c:v>0.11632727671459628</c:v>
                </c:pt>
                <c:pt idx="41">
                  <c:v>0.10884066241775406</c:v>
                </c:pt>
                <c:pt idx="42">
                  <c:v>0.11760019313335145</c:v>
                </c:pt>
                <c:pt idx="43">
                  <c:v>0.11127775758310954</c:v>
                </c:pt>
                <c:pt idx="44">
                  <c:v>0.11890614876304469</c:v>
                </c:pt>
                <c:pt idx="45">
                  <c:v>0.11278695778483505</c:v>
                </c:pt>
                <c:pt idx="46">
                  <c:v>0.11803177899177331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AE-48DB-A13C-89C3B2D90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604288"/>
        <c:axId val="1666844064"/>
      </c:scatterChart>
      <c:valAx>
        <c:axId val="24460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(meses)</a:t>
                </a:r>
                <a:r>
                  <a:rPr lang="es-CO" baseline="0"/>
                  <a:t>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66844064"/>
        <c:crosses val="autoZero"/>
        <c:crossBetween val="midCat"/>
      </c:valAx>
      <c:valAx>
        <c:axId val="1666844064"/>
        <c:scaling>
          <c:orientation val="minMax"/>
          <c:max val="0.16000000000000003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Indice de productividad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44604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61410774036129"/>
          <c:y val="0.11328688752615598"/>
          <c:w val="0.48409283875230619"/>
          <c:h val="0.162059097451528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70603674540682"/>
          <c:y val="5.0925925925925923E-2"/>
          <c:w val="0.80082786526684169"/>
          <c:h val="0.78148950131233597"/>
        </c:manualLayout>
      </c:layout>
      <c:scatterChart>
        <c:scatterStyle val="smoothMarker"/>
        <c:varyColors val="0"/>
        <c:ser>
          <c:idx val="0"/>
          <c:order val="0"/>
          <c:tx>
            <c:v>Sg Paper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'Graphs Cycles'!$N$4:$N$8</c:f>
              <c:numCache>
                <c:formatCode>0.0</c:formatCode>
                <c:ptCount val="5"/>
                <c:pt idx="0">
                  <c:v>35.400000000000006</c:v>
                </c:pt>
                <c:pt idx="1">
                  <c:v>41.519999999999996</c:v>
                </c:pt>
                <c:pt idx="2">
                  <c:v>46.08</c:v>
                </c:pt>
                <c:pt idx="3">
                  <c:v>51.480000000000004</c:v>
                </c:pt>
                <c:pt idx="4">
                  <c:v>54.599999999999994</c:v>
                </c:pt>
              </c:numCache>
            </c:numRef>
          </c:xVal>
          <c:yVal>
            <c:numRef>
              <c:f>'Graphs Cycles'!$L$4:$L$8</c:f>
              <c:numCache>
                <c:formatCode>0.00</c:formatCode>
                <c:ptCount val="5"/>
                <c:pt idx="0">
                  <c:v>5.7000000000000002E-2</c:v>
                </c:pt>
                <c:pt idx="1">
                  <c:v>5.5E-2</c:v>
                </c:pt>
                <c:pt idx="2">
                  <c:v>0.06</c:v>
                </c:pt>
                <c:pt idx="3">
                  <c:v>6.6000000000000003E-2</c:v>
                </c:pt>
                <c:pt idx="4">
                  <c:v>6.8000000000000005E-2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A2-41EA-9FF4-1C0B50C55E43}"/>
            </c:ext>
          </c:extLst>
        </c:ser>
        <c:ser>
          <c:idx val="1"/>
          <c:order val="1"/>
          <c:tx>
            <c:v>Sg Calculado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 Cycles'!$F$4:$F$8</c:f>
              <c:numCache>
                <c:formatCode>0.0</c:formatCode>
                <c:ptCount val="5"/>
                <c:pt idx="0">
                  <c:v>33.334909768955271</c:v>
                </c:pt>
                <c:pt idx="1">
                  <c:v>39.129941160571704</c:v>
                </c:pt>
                <c:pt idx="2">
                  <c:v>43.856459093029322</c:v>
                </c:pt>
                <c:pt idx="3">
                  <c:v>49.482482284415141</c:v>
                </c:pt>
                <c:pt idx="4">
                  <c:v>54.864479036847513</c:v>
                </c:pt>
              </c:numCache>
            </c:numRef>
          </c:xVal>
          <c:yVal>
            <c:numRef>
              <c:f>'Graphs Cycles'!$D$4:$D$8</c:f>
              <c:numCache>
                <c:formatCode>0.00</c:formatCode>
                <c:ptCount val="5"/>
                <c:pt idx="0">
                  <c:v>5.635483060947416E-2</c:v>
                </c:pt>
                <c:pt idx="1">
                  <c:v>6.6977754139112416E-2</c:v>
                </c:pt>
                <c:pt idx="2">
                  <c:v>7.9644433996961861E-2</c:v>
                </c:pt>
                <c:pt idx="3">
                  <c:v>9.5567428686171838E-2</c:v>
                </c:pt>
                <c:pt idx="4">
                  <c:v>0.10314920596785299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A2-41EA-9FF4-1C0B50C55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721104"/>
        <c:axId val="538126880"/>
      </c:scatterChart>
      <c:valAx>
        <c:axId val="151772110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(meses)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126880"/>
        <c:crosses val="autoZero"/>
        <c:crossBetween val="midCat"/>
      </c:valAx>
      <c:valAx>
        <c:axId val="5381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Saturación</a:t>
                </a:r>
                <a:r>
                  <a:rPr lang="es-CO" baseline="0"/>
                  <a:t> de gas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772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31867891513561"/>
          <c:y val="9.3170749489647139E-2"/>
          <c:w val="0.2110146544181976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66580106220086"/>
          <c:y val="7.5379933951768938E-2"/>
          <c:w val="0.77798630243578182"/>
          <c:h val="0.7451438186051857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PVT_Ginj!$C$7</c:f>
              <c:strCache>
                <c:ptCount val="1"/>
                <c:pt idx="0">
                  <c:v>90 C</c:v>
                </c:pt>
              </c:strCache>
            </c:strRef>
          </c:tx>
          <c:spPr>
            <a:ln w="38100">
              <a:prstDash val="dashDot"/>
            </a:ln>
          </c:spPr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5378311794333436"/>
                  <c:y val="1.0899268947330579E-2"/>
                </c:manualLayout>
              </c:layout>
              <c:numFmt formatCode="General" sourceLinked="0"/>
            </c:trendlineLbl>
          </c:trendline>
          <c:xVal>
            <c:numRef>
              <c:f>PVT_Ginj!$B$35:$B$47</c:f>
              <c:numCache>
                <c:formatCode>General</c:formatCode>
                <c:ptCount val="1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</c:numCache>
            </c:numRef>
          </c:xVal>
          <c:yVal>
            <c:numRef>
              <c:f>PVT_Ginj!$E$35:$E$47</c:f>
              <c:numCache>
                <c:formatCode>0.0000</c:formatCode>
                <c:ptCount val="13"/>
                <c:pt idx="0">
                  <c:v>1.43762E-2</c:v>
                </c:pt>
                <c:pt idx="1">
                  <c:v>1.52006E-2</c:v>
                </c:pt>
                <c:pt idx="2">
                  <c:v>1.6160500000000001E-2</c:v>
                </c:pt>
                <c:pt idx="3">
                  <c:v>1.7232299999999999E-2</c:v>
                </c:pt>
                <c:pt idx="4">
                  <c:v>1.8386699999999999E-2</c:v>
                </c:pt>
                <c:pt idx="5">
                  <c:v>1.95928E-2</c:v>
                </c:pt>
                <c:pt idx="6">
                  <c:v>2.0823000000000001E-2</c:v>
                </c:pt>
                <c:pt idx="7">
                  <c:v>2.2056200000000001E-2</c:v>
                </c:pt>
                <c:pt idx="8">
                  <c:v>2.3278400000000001E-2</c:v>
                </c:pt>
                <c:pt idx="9">
                  <c:v>2.44814E-2</c:v>
                </c:pt>
                <c:pt idx="10">
                  <c:v>2.56609E-2</c:v>
                </c:pt>
                <c:pt idx="11">
                  <c:v>2.6815100000000001E-2</c:v>
                </c:pt>
                <c:pt idx="12">
                  <c:v>2.79434E-2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1B-4CAD-8C55-3F6911CFFD91}"/>
            </c:ext>
          </c:extLst>
        </c:ser>
        <c:ser>
          <c:idx val="1"/>
          <c:order val="1"/>
          <c:tx>
            <c:strRef>
              <c:f>PVT_Ginj!$H$7</c:f>
              <c:strCache>
                <c:ptCount val="1"/>
                <c:pt idx="0">
                  <c:v>100 C</c:v>
                </c:pt>
              </c:strCache>
            </c:strRef>
          </c:tx>
          <c:spPr>
            <a:ln w="41275">
              <a:prstDash val="sysDot"/>
            </a:ln>
          </c:spPr>
          <c:marker>
            <c:symbol val="none"/>
          </c:marke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28519991110958709"/>
                  <c:y val="0.12287153729398984"/>
                </c:manualLayout>
              </c:layout>
              <c:numFmt formatCode="General" sourceLinked="0"/>
            </c:trendlineLbl>
          </c:trendline>
          <c:xVal>
            <c:numRef>
              <c:f>PVT_Ginj!$G$35:$G$47</c:f>
              <c:numCache>
                <c:formatCode>General</c:formatCode>
                <c:ptCount val="13"/>
                <c:pt idx="0">
                  <c:v>1000.1</c:v>
                </c:pt>
                <c:pt idx="1">
                  <c:v>1500.1</c:v>
                </c:pt>
                <c:pt idx="2">
                  <c:v>2000.1</c:v>
                </c:pt>
                <c:pt idx="3">
                  <c:v>2500.1</c:v>
                </c:pt>
                <c:pt idx="4">
                  <c:v>3000.1</c:v>
                </c:pt>
                <c:pt idx="5">
                  <c:v>3500.1</c:v>
                </c:pt>
                <c:pt idx="6">
                  <c:v>4000.1</c:v>
                </c:pt>
                <c:pt idx="7">
                  <c:v>4500.1000000000004</c:v>
                </c:pt>
                <c:pt idx="8">
                  <c:v>5000.1000000000004</c:v>
                </c:pt>
                <c:pt idx="9">
                  <c:v>5500.1</c:v>
                </c:pt>
                <c:pt idx="10">
                  <c:v>6000.1</c:v>
                </c:pt>
                <c:pt idx="11">
                  <c:v>6500.1</c:v>
                </c:pt>
                <c:pt idx="12">
                  <c:v>7000.1</c:v>
                </c:pt>
              </c:numCache>
            </c:numRef>
          </c:xVal>
          <c:yVal>
            <c:numRef>
              <c:f>PVT_Ginj!$J$35:$J$47</c:f>
              <c:numCache>
                <c:formatCode>0.0000</c:formatCode>
                <c:ptCount val="13"/>
                <c:pt idx="0">
                  <c:v>1.46251E-2</c:v>
                </c:pt>
                <c:pt idx="1">
                  <c:v>1.5407300000000001E-2</c:v>
                </c:pt>
                <c:pt idx="2">
                  <c:v>1.6311699999999998E-2</c:v>
                </c:pt>
                <c:pt idx="3">
                  <c:v>1.7317200000000001E-2</c:v>
                </c:pt>
                <c:pt idx="4">
                  <c:v>1.8398600000000001E-2</c:v>
                </c:pt>
                <c:pt idx="5">
                  <c:v>1.9529999999999999E-2</c:v>
                </c:pt>
                <c:pt idx="6">
                  <c:v>2.06876E-2</c:v>
                </c:pt>
                <c:pt idx="7">
                  <c:v>2.1852900000000001E-2</c:v>
                </c:pt>
                <c:pt idx="8">
                  <c:v>2.3012700000000001E-2</c:v>
                </c:pt>
                <c:pt idx="9">
                  <c:v>2.4158800000000001E-2</c:v>
                </c:pt>
                <c:pt idx="10">
                  <c:v>2.52865E-2</c:v>
                </c:pt>
                <c:pt idx="11">
                  <c:v>2.6393400000000001E-2</c:v>
                </c:pt>
                <c:pt idx="12">
                  <c:v>2.74784E-2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1B-4CAD-8C55-3F6911CFFD91}"/>
            </c:ext>
          </c:extLst>
        </c:ser>
        <c:ser>
          <c:idx val="2"/>
          <c:order val="2"/>
          <c:tx>
            <c:strRef>
              <c:f>PVT_Ginj!$M$7</c:f>
              <c:strCache>
                <c:ptCount val="1"/>
                <c:pt idx="0">
                  <c:v>120 C</c:v>
                </c:pt>
              </c:strCache>
            </c:strRef>
          </c:tx>
          <c:marker>
            <c:symbol val="none"/>
          </c:marker>
          <c:trendline>
            <c:spPr>
              <a:ln w="38100">
                <a:solidFill>
                  <a:srgbClr val="339933"/>
                </a:solidFill>
                <a:prstDash val="sysDash"/>
              </a:ln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4352962859897368"/>
                  <c:y val="0.23951811553383603"/>
                </c:manualLayout>
              </c:layout>
              <c:tx>
                <c:rich>
                  <a:bodyPr/>
                  <a:lstStyle/>
                  <a:p>
                    <a:pPr>
                      <a:defRPr>
                        <a:solidFill>
                          <a:srgbClr val="339933"/>
                        </a:solidFill>
                      </a:defRPr>
                    </a:pPr>
                    <a:r>
                      <a:rPr lang="en-US" sz="1400" b="1" baseline="0">
                        <a:solidFill>
                          <a:srgbClr val="339933"/>
                        </a:solidFill>
                      </a:rPr>
                      <a:t>y = 4E-11x</a:t>
                    </a:r>
                    <a:r>
                      <a:rPr lang="en-US" sz="1400" b="1" baseline="30000">
                        <a:solidFill>
                          <a:srgbClr val="339933"/>
                        </a:solidFill>
                      </a:rPr>
                      <a:t>2</a:t>
                    </a:r>
                    <a:r>
                      <a:rPr lang="en-US" sz="1400" b="1" baseline="0">
                        <a:solidFill>
                          <a:srgbClr val="339933"/>
                        </a:solidFill>
                      </a:rPr>
                      <a:t> + 2E-06x + 0,0133</a:t>
                    </a:r>
                    <a:br>
                      <a:rPr lang="en-US" sz="1400" b="1" baseline="0">
                        <a:solidFill>
                          <a:srgbClr val="339933"/>
                        </a:solidFill>
                      </a:rPr>
                    </a:br>
                    <a:r>
                      <a:rPr lang="en-US" sz="1400" b="1" baseline="0">
                        <a:solidFill>
                          <a:srgbClr val="339933"/>
                        </a:solidFill>
                      </a:rPr>
                      <a:t>R² = 0,9995</a:t>
                    </a:r>
                    <a:endParaRPr lang="en-US" sz="1400" b="1">
                      <a:solidFill>
                        <a:srgbClr val="339933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PVT_Ginj!$L$35:$L$47</c:f>
              <c:numCache>
                <c:formatCode>General</c:formatCode>
                <c:ptCount val="13"/>
                <c:pt idx="0">
                  <c:v>1000.1</c:v>
                </c:pt>
                <c:pt idx="1">
                  <c:v>1500.1</c:v>
                </c:pt>
                <c:pt idx="2">
                  <c:v>2000.1</c:v>
                </c:pt>
                <c:pt idx="3">
                  <c:v>2500.1</c:v>
                </c:pt>
                <c:pt idx="4">
                  <c:v>3000.1</c:v>
                </c:pt>
                <c:pt idx="5">
                  <c:v>3500.1</c:v>
                </c:pt>
                <c:pt idx="6">
                  <c:v>4000.1</c:v>
                </c:pt>
                <c:pt idx="7">
                  <c:v>4500.1000000000004</c:v>
                </c:pt>
                <c:pt idx="8">
                  <c:v>5000.1000000000004</c:v>
                </c:pt>
                <c:pt idx="9">
                  <c:v>5500.1</c:v>
                </c:pt>
                <c:pt idx="10">
                  <c:v>6000.1</c:v>
                </c:pt>
                <c:pt idx="11">
                  <c:v>6500.1</c:v>
                </c:pt>
                <c:pt idx="12">
                  <c:v>7000.1</c:v>
                </c:pt>
              </c:numCache>
            </c:numRef>
          </c:xVal>
          <c:yVal>
            <c:numRef>
              <c:f>PVT_Ginj!$O$35:$O$47</c:f>
              <c:numCache>
                <c:formatCode>0.0000</c:formatCode>
                <c:ptCount val="13"/>
                <c:pt idx="0">
                  <c:v>1.51228E-2</c:v>
                </c:pt>
                <c:pt idx="1">
                  <c:v>1.58329E-2</c:v>
                </c:pt>
                <c:pt idx="2">
                  <c:v>1.6644800000000001E-2</c:v>
                </c:pt>
                <c:pt idx="3">
                  <c:v>1.75406E-2</c:v>
                </c:pt>
                <c:pt idx="4">
                  <c:v>1.8501E-2</c:v>
                </c:pt>
                <c:pt idx="5">
                  <c:v>1.9506800000000001E-2</c:v>
                </c:pt>
                <c:pt idx="6">
                  <c:v>2.0540200000000002E-2</c:v>
                </c:pt>
                <c:pt idx="7">
                  <c:v>2.1586899999999999E-2</c:v>
                </c:pt>
                <c:pt idx="8">
                  <c:v>2.2635599999999999E-2</c:v>
                </c:pt>
                <c:pt idx="9">
                  <c:v>2.36787E-2</c:v>
                </c:pt>
                <c:pt idx="10">
                  <c:v>2.4711400000000001E-2</c:v>
                </c:pt>
                <c:pt idx="11">
                  <c:v>2.57304E-2</c:v>
                </c:pt>
                <c:pt idx="12">
                  <c:v>2.6734399999999998E-2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51B-4CAD-8C55-3F6911CFF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3600"/>
        <c:axId val="187679872"/>
      </c:scatterChart>
      <c:valAx>
        <c:axId val="187673600"/>
        <c:scaling>
          <c:orientation val="minMax"/>
          <c:max val="7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Pressure [psi]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>
              <a:defRPr sz="1200" b="1" i="0" baseline="0"/>
            </a:pPr>
            <a:endParaRPr lang="es-CO"/>
          </a:p>
        </c:txPr>
        <c:crossAx val="187679872"/>
        <c:crosses val="autoZero"/>
        <c:crossBetween val="midCat"/>
      </c:valAx>
      <c:valAx>
        <c:axId val="187679872"/>
        <c:scaling>
          <c:orientation val="minMax"/>
          <c:max val="3.0000000000000006E-2"/>
          <c:min val="1.0000000000000002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Ug (CH4)</a:t>
                </a:r>
              </a:p>
            </c:rich>
          </c:tx>
          <c:layout>
            <c:manualLayout>
              <c:xMode val="edge"/>
              <c:yMode val="edge"/>
              <c:x val="1.0238213196134034E-2"/>
              <c:y val="0.41463206525436191"/>
            </c:manualLayout>
          </c:layout>
          <c:overlay val="0"/>
        </c:title>
        <c:numFmt formatCode="0.0000" sourceLinked="0"/>
        <c:majorTickMark val="cross"/>
        <c:minorTickMark val="in"/>
        <c:tickLblPos val="nextTo"/>
        <c:spPr>
          <a:ln w="9525"/>
        </c:spPr>
        <c:txPr>
          <a:bodyPr/>
          <a:lstStyle/>
          <a:p>
            <a:pPr>
              <a:defRPr sz="1200" b="1" i="0" baseline="0"/>
            </a:pPr>
            <a:endParaRPr lang="es-CO"/>
          </a:p>
        </c:txPr>
        <c:crossAx val="187673600"/>
        <c:crosses val="autoZero"/>
        <c:crossBetween val="midCat"/>
      </c:valAx>
      <c:spPr>
        <a:ln>
          <a:solidFill>
            <a:schemeClr val="tx1">
              <a:tint val="75000"/>
            </a:scheme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805414402093276"/>
          <c:y val="0.40516781148997627"/>
          <c:w val="0.25921265382723346"/>
          <c:h val="0.3875477087079919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70603674540682"/>
          <c:y val="5.0925925925925923E-2"/>
          <c:w val="0.80082786526684169"/>
          <c:h val="0.78148950131233597"/>
        </c:manualLayout>
      </c:layout>
      <c:scatterChart>
        <c:scatterStyle val="smoothMarker"/>
        <c:varyColors val="0"/>
        <c:ser>
          <c:idx val="0"/>
          <c:order val="0"/>
          <c:tx>
            <c:v>GOR Paper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'Graphs Cycles'!$N$4:$N$8</c:f>
              <c:numCache>
                <c:formatCode>0.0</c:formatCode>
                <c:ptCount val="5"/>
                <c:pt idx="0">
                  <c:v>35.400000000000006</c:v>
                </c:pt>
                <c:pt idx="1">
                  <c:v>41.519999999999996</c:v>
                </c:pt>
                <c:pt idx="2">
                  <c:v>46.08</c:v>
                </c:pt>
                <c:pt idx="3">
                  <c:v>51.480000000000004</c:v>
                </c:pt>
                <c:pt idx="4">
                  <c:v>54.599999999999994</c:v>
                </c:pt>
              </c:numCache>
            </c:numRef>
          </c:xVal>
          <c:yVal>
            <c:numRef>
              <c:f>'Graphs Cycles'!$K$4:$K$8</c:f>
              <c:numCache>
                <c:formatCode>0</c:formatCode>
                <c:ptCount val="5"/>
                <c:pt idx="0">
                  <c:v>3198.17</c:v>
                </c:pt>
                <c:pt idx="1">
                  <c:v>2914.68</c:v>
                </c:pt>
                <c:pt idx="2">
                  <c:v>3173.55</c:v>
                </c:pt>
                <c:pt idx="3">
                  <c:v>3286.33</c:v>
                </c:pt>
                <c:pt idx="4">
                  <c:v>3001.84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23-4DDD-833A-1EFBEBBDABDE}"/>
            </c:ext>
          </c:extLst>
        </c:ser>
        <c:ser>
          <c:idx val="1"/>
          <c:order val="1"/>
          <c:tx>
            <c:v>GOR Calculado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 Cycles'!$F$4:$F$8</c:f>
              <c:numCache>
                <c:formatCode>0.0</c:formatCode>
                <c:ptCount val="5"/>
                <c:pt idx="0">
                  <c:v>33.334909768955271</c:v>
                </c:pt>
                <c:pt idx="1">
                  <c:v>39.129941160571704</c:v>
                </c:pt>
                <c:pt idx="2">
                  <c:v>43.856459093029322</c:v>
                </c:pt>
                <c:pt idx="3">
                  <c:v>49.482482284415141</c:v>
                </c:pt>
                <c:pt idx="4">
                  <c:v>54.864479036847513</c:v>
                </c:pt>
              </c:numCache>
            </c:numRef>
          </c:xVal>
          <c:yVal>
            <c:numRef>
              <c:f>'Graphs Cycles'!$C$4:$C$8</c:f>
              <c:numCache>
                <c:formatCode>0</c:formatCode>
                <c:ptCount val="5"/>
                <c:pt idx="0">
                  <c:v>3215.9157036861629</c:v>
                </c:pt>
                <c:pt idx="1">
                  <c:v>3734.1108178518884</c:v>
                </c:pt>
                <c:pt idx="2">
                  <c:v>4548.3359261653441</c:v>
                </c:pt>
                <c:pt idx="3">
                  <c:v>5407.7336941485646</c:v>
                </c:pt>
                <c:pt idx="4">
                  <c:v>5791.3567996348365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23-4DDD-833A-1EFBEBBD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721104"/>
        <c:axId val="538126880"/>
      </c:scatterChart>
      <c:valAx>
        <c:axId val="151772110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(meses)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126880"/>
        <c:crosses val="autoZero"/>
        <c:crossBetween val="midCat"/>
      </c:valAx>
      <c:valAx>
        <c:axId val="5381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GOR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772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31867891513561"/>
          <c:y val="9.3170749489647139E-2"/>
          <c:w val="0.26101465441819777"/>
          <c:h val="0.20717701953922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70603674540682"/>
          <c:y val="5.0925925925925923E-2"/>
          <c:w val="0.80082786526684169"/>
          <c:h val="0.78148950131233597"/>
        </c:manualLayout>
      </c:layout>
      <c:scatterChart>
        <c:scatterStyle val="smoothMarker"/>
        <c:varyColors val="0"/>
        <c:ser>
          <c:idx val="0"/>
          <c:order val="0"/>
          <c:tx>
            <c:v>Qg Paper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'Graphs Cycles'!$N$4:$N$8</c:f>
              <c:numCache>
                <c:formatCode>0.0</c:formatCode>
                <c:ptCount val="5"/>
                <c:pt idx="0">
                  <c:v>35.400000000000006</c:v>
                </c:pt>
                <c:pt idx="1">
                  <c:v>41.519999999999996</c:v>
                </c:pt>
                <c:pt idx="2">
                  <c:v>46.08</c:v>
                </c:pt>
                <c:pt idx="3">
                  <c:v>51.480000000000004</c:v>
                </c:pt>
                <c:pt idx="4">
                  <c:v>54.599999999999994</c:v>
                </c:pt>
              </c:numCache>
            </c:numRef>
          </c:xVal>
          <c:yVal>
            <c:numRef>
              <c:f>'Graphs Cycles'!$O$4:$O$8</c:f>
              <c:numCache>
                <c:formatCode>0.00</c:formatCode>
                <c:ptCount val="5"/>
                <c:pt idx="0">
                  <c:v>0.97699999999999998</c:v>
                </c:pt>
                <c:pt idx="1">
                  <c:v>0.79300000000000004</c:v>
                </c:pt>
                <c:pt idx="2">
                  <c:v>0.872</c:v>
                </c:pt>
                <c:pt idx="3">
                  <c:v>0.78800000000000003</c:v>
                </c:pt>
                <c:pt idx="4">
                  <c:v>0.51300000000000001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5-44A3-8412-E5CB769CEE3A}"/>
            </c:ext>
          </c:extLst>
        </c:ser>
        <c:ser>
          <c:idx val="1"/>
          <c:order val="1"/>
          <c:tx>
            <c:v>Qg Calculado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 Cycles'!$F$4:$F$8</c:f>
              <c:numCache>
                <c:formatCode>0.0</c:formatCode>
                <c:ptCount val="5"/>
                <c:pt idx="0">
                  <c:v>33.334909768955271</c:v>
                </c:pt>
                <c:pt idx="1">
                  <c:v>39.129941160571704</c:v>
                </c:pt>
                <c:pt idx="2">
                  <c:v>43.856459093029322</c:v>
                </c:pt>
                <c:pt idx="3">
                  <c:v>49.482482284415141</c:v>
                </c:pt>
                <c:pt idx="4">
                  <c:v>54.864479036847513</c:v>
                </c:pt>
              </c:numCache>
            </c:numRef>
          </c:xVal>
          <c:yVal>
            <c:numRef>
              <c:f>'Graphs Cycles'!$G$4:$G$8</c:f>
              <c:numCache>
                <c:formatCode>0.00</c:formatCode>
                <c:ptCount val="5"/>
                <c:pt idx="0">
                  <c:v>0.97786833186592725</c:v>
                </c:pt>
                <c:pt idx="1">
                  <c:v>1.0696962841391517</c:v>
                </c:pt>
                <c:pt idx="2">
                  <c:v>1.3235324497732748</c:v>
                </c:pt>
                <c:pt idx="3">
                  <c:v>1.4073109208256076</c:v>
                </c:pt>
                <c:pt idx="4">
                  <c:v>1.3974712890212235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EE5-44A3-8412-E5CB769CE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721104"/>
        <c:axId val="538126880"/>
      </c:scatterChart>
      <c:valAx>
        <c:axId val="151772110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(meses)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126880"/>
        <c:crosses val="autoZero"/>
        <c:crossBetween val="midCat"/>
      </c:valAx>
      <c:valAx>
        <c:axId val="5381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Caudal</a:t>
                </a:r>
                <a:r>
                  <a:rPr lang="es-CO" baseline="0"/>
                  <a:t> de gas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772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731867891513561"/>
          <c:y val="9.3170749489647139E-2"/>
          <c:w val="0.26101465441819777"/>
          <c:h val="0.20717701953922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70603674540682"/>
          <c:y val="5.0925925925925923E-2"/>
          <c:w val="0.80082786526684169"/>
          <c:h val="0.78148950131233597"/>
        </c:manualLayout>
      </c:layout>
      <c:scatterChart>
        <c:scatterStyle val="smoothMarker"/>
        <c:varyColors val="0"/>
        <c:ser>
          <c:idx val="0"/>
          <c:order val="0"/>
          <c:tx>
            <c:v>Qo Paper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'Graphs Cycles'!$N$4:$N$8</c:f>
              <c:numCache>
                <c:formatCode>0.0</c:formatCode>
                <c:ptCount val="5"/>
                <c:pt idx="0">
                  <c:v>35.400000000000006</c:v>
                </c:pt>
                <c:pt idx="1">
                  <c:v>41.519999999999996</c:v>
                </c:pt>
                <c:pt idx="2">
                  <c:v>46.08</c:v>
                </c:pt>
                <c:pt idx="3">
                  <c:v>51.480000000000004</c:v>
                </c:pt>
                <c:pt idx="4">
                  <c:v>54.599999999999994</c:v>
                </c:pt>
              </c:numCache>
            </c:numRef>
          </c:xVal>
          <c:yVal>
            <c:numRef>
              <c:f>'Graphs Cycles'!$P$4:$P$8</c:f>
              <c:numCache>
                <c:formatCode>0</c:formatCode>
                <c:ptCount val="5"/>
                <c:pt idx="0">
                  <c:v>305.39999999999998</c:v>
                </c:pt>
                <c:pt idx="1">
                  <c:v>272.2</c:v>
                </c:pt>
                <c:pt idx="2">
                  <c:v>274.8</c:v>
                </c:pt>
                <c:pt idx="3">
                  <c:v>239.6</c:v>
                </c:pt>
                <c:pt idx="4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2-4217-B2EB-8866241DB301}"/>
            </c:ext>
          </c:extLst>
        </c:ser>
        <c:ser>
          <c:idx val="1"/>
          <c:order val="1"/>
          <c:tx>
            <c:v>Qo Calculado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 Cycles'!$F$4:$F$8</c:f>
              <c:numCache>
                <c:formatCode>0.0</c:formatCode>
                <c:ptCount val="5"/>
                <c:pt idx="0">
                  <c:v>33.334909768955271</c:v>
                </c:pt>
                <c:pt idx="1">
                  <c:v>39.129941160571704</c:v>
                </c:pt>
                <c:pt idx="2">
                  <c:v>43.856459093029322</c:v>
                </c:pt>
                <c:pt idx="3">
                  <c:v>49.482482284415141</c:v>
                </c:pt>
                <c:pt idx="4">
                  <c:v>54.864479036847513</c:v>
                </c:pt>
              </c:numCache>
            </c:numRef>
          </c:xVal>
          <c:yVal>
            <c:numRef>
              <c:f>'Graphs Cycles'!$H$4:$H$8</c:f>
              <c:numCache>
                <c:formatCode>0</c:formatCode>
                <c:ptCount val="5"/>
                <c:pt idx="0">
                  <c:v>304.07150621052352</c:v>
                </c:pt>
                <c:pt idx="1">
                  <c:v>286.46613245252132</c:v>
                </c:pt>
                <c:pt idx="2">
                  <c:v>290.99267759871282</c:v>
                </c:pt>
                <c:pt idx="3">
                  <c:v>260.24042610463374</c:v>
                </c:pt>
                <c:pt idx="4">
                  <c:v>241.3029169795476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E2-4217-B2EB-8866241DB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721104"/>
        <c:axId val="538126880"/>
      </c:scatterChart>
      <c:valAx>
        <c:axId val="151772110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(meses)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126880"/>
        <c:crosses val="autoZero"/>
        <c:crossBetween val="midCat"/>
      </c:valAx>
      <c:valAx>
        <c:axId val="5381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Caudal</a:t>
                </a:r>
                <a:r>
                  <a:rPr lang="es-CO" baseline="0"/>
                  <a:t> de aceite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772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65201224846895"/>
          <c:y val="0.32928186060075826"/>
          <c:w val="0.26101465441819777"/>
          <c:h val="0.20717701953922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70603674540682"/>
          <c:y val="5.0925925925925923E-2"/>
          <c:w val="0.80082786526684169"/>
          <c:h val="0.78148950131233597"/>
        </c:manualLayout>
      </c:layout>
      <c:scatterChart>
        <c:scatterStyle val="smoothMarker"/>
        <c:varyColors val="0"/>
        <c:ser>
          <c:idx val="0"/>
          <c:order val="0"/>
          <c:tx>
            <c:v>Presión Paper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'Graphs Cycles'!$N$4:$N$8</c:f>
              <c:numCache>
                <c:formatCode>0.0</c:formatCode>
                <c:ptCount val="5"/>
                <c:pt idx="0">
                  <c:v>35.400000000000006</c:v>
                </c:pt>
                <c:pt idx="1">
                  <c:v>41.519999999999996</c:v>
                </c:pt>
                <c:pt idx="2">
                  <c:v>46.08</c:v>
                </c:pt>
                <c:pt idx="3">
                  <c:v>51.480000000000004</c:v>
                </c:pt>
                <c:pt idx="4">
                  <c:v>54.599999999999994</c:v>
                </c:pt>
              </c:numCache>
            </c:numRef>
          </c:xVal>
          <c:yVal>
            <c:numRef>
              <c:f>'Graphs Cycles'!$J$4:$J$8</c:f>
              <c:numCache>
                <c:formatCode>General</c:formatCode>
                <c:ptCount val="5"/>
                <c:pt idx="0">
                  <c:v>4924</c:v>
                </c:pt>
                <c:pt idx="1">
                  <c:v>4543</c:v>
                </c:pt>
                <c:pt idx="2">
                  <c:v>4572</c:v>
                </c:pt>
                <c:pt idx="3">
                  <c:v>4186</c:v>
                </c:pt>
                <c:pt idx="4">
                  <c:v>3484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8C-4AFE-8CC3-8DC3027B4516}"/>
            </c:ext>
          </c:extLst>
        </c:ser>
        <c:ser>
          <c:idx val="1"/>
          <c:order val="1"/>
          <c:tx>
            <c:v>Presión calculado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'Graphs Cycles'!$F$4:$F$8</c:f>
              <c:numCache>
                <c:formatCode>0.0</c:formatCode>
                <c:ptCount val="5"/>
                <c:pt idx="0">
                  <c:v>33.334909768955271</c:v>
                </c:pt>
                <c:pt idx="1">
                  <c:v>39.129941160571704</c:v>
                </c:pt>
                <c:pt idx="2">
                  <c:v>43.856459093029322</c:v>
                </c:pt>
                <c:pt idx="3">
                  <c:v>49.482482284415141</c:v>
                </c:pt>
                <c:pt idx="4">
                  <c:v>54.864479036847513</c:v>
                </c:pt>
              </c:numCache>
            </c:numRef>
          </c:xVal>
          <c:yVal>
            <c:numRef>
              <c:f>'Graphs Cycles'!$B$4:$B$8</c:f>
              <c:numCache>
                <c:formatCode>0</c:formatCode>
                <c:ptCount val="5"/>
                <c:pt idx="0">
                  <c:v>4822.2966475862013</c:v>
                </c:pt>
                <c:pt idx="1">
                  <c:v>4624.7342307279414</c:v>
                </c:pt>
                <c:pt idx="2">
                  <c:v>4675.0635087536302</c:v>
                </c:pt>
                <c:pt idx="3">
                  <c:v>4339.3461474646047</c:v>
                </c:pt>
                <c:pt idx="4">
                  <c:v>4139.6798906282193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8C-4AFE-8CC3-8DC3027B4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721104"/>
        <c:axId val="538126880"/>
      </c:scatterChart>
      <c:valAx>
        <c:axId val="151772110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(meses)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8126880"/>
        <c:crosses val="autoZero"/>
        <c:crossBetween val="midCat"/>
      </c:valAx>
      <c:valAx>
        <c:axId val="5381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baseline="0"/>
                  <a:t>Presión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7721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65201224846895"/>
          <c:y val="0.32928186060075826"/>
          <c:w val="0.26101465441819777"/>
          <c:h val="0.20717701953922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32502611930791"/>
          <c:y val="3.0847470827676221E-2"/>
          <c:w val="0.84197232627474961"/>
          <c:h val="0.799911130159313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PVT_Ginj!$C$7</c:f>
              <c:strCache>
                <c:ptCount val="1"/>
                <c:pt idx="0">
                  <c:v>90 C</c:v>
                </c:pt>
              </c:strCache>
            </c:strRef>
          </c:tx>
          <c:spPr>
            <a:ln w="31750">
              <a:prstDash val="dashDot"/>
            </a:ln>
          </c:spPr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-0.27965178503172533"/>
                  <c:y val="-0.2329123843619105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>
                        <a:solidFill>
                          <a:srgbClr val="0070C0"/>
                        </a:solidFill>
                      </a:rPr>
                      <a:t>y = 9,1436x</a:t>
                    </a:r>
                    <a:r>
                      <a:rPr lang="en-US" sz="1400" baseline="30000">
                        <a:solidFill>
                          <a:srgbClr val="0070C0"/>
                        </a:solidFill>
                      </a:rPr>
                      <a:t>-0,917</a:t>
                    </a:r>
                    <a:br>
                      <a:rPr lang="en-US" sz="1400" baseline="0">
                        <a:solidFill>
                          <a:srgbClr val="0070C0"/>
                        </a:solidFill>
                      </a:rPr>
                    </a:br>
                    <a:r>
                      <a:rPr lang="en-US" sz="1400" baseline="0">
                        <a:solidFill>
                          <a:srgbClr val="0070C0"/>
                        </a:solidFill>
                      </a:rPr>
                      <a:t>R² = 0,9957</a:t>
                    </a:r>
                    <a:endParaRPr lang="en-US" sz="1400">
                      <a:solidFill>
                        <a:srgbClr val="0070C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PVT_Ginj!$B$35:$B$47</c:f>
              <c:numCache>
                <c:formatCode>General</c:formatCode>
                <c:ptCount val="13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5500</c:v>
                </c:pt>
                <c:pt idx="10">
                  <c:v>6000</c:v>
                </c:pt>
                <c:pt idx="11">
                  <c:v>6500</c:v>
                </c:pt>
                <c:pt idx="12">
                  <c:v>7000</c:v>
                </c:pt>
              </c:numCache>
            </c:numRef>
          </c:xVal>
          <c:yVal>
            <c:numRef>
              <c:f>PVT_Ginj!$D$35:$D$47</c:f>
              <c:numCache>
                <c:formatCode>0.0000</c:formatCode>
                <c:ptCount val="13"/>
                <c:pt idx="0">
                  <c:v>1.7377490296320002E-2</c:v>
                </c:pt>
                <c:pt idx="1">
                  <c:v>1.137370603864E-2</c:v>
                </c:pt>
                <c:pt idx="2">
                  <c:v>8.4515459110499989E-3</c:v>
                </c:pt>
                <c:pt idx="3">
                  <c:v>6.7568808193920003E-3</c:v>
                </c:pt>
                <c:pt idx="4">
                  <c:v>5.6694306141000005E-3</c:v>
                </c:pt>
                <c:pt idx="5">
                  <c:v>4.9227164862857137E-3</c:v>
                </c:pt>
                <c:pt idx="6">
                  <c:v>4.38376249377E-3</c:v>
                </c:pt>
                <c:pt idx="7">
                  <c:v>3.9793258334133337E-3</c:v>
                </c:pt>
                <c:pt idx="8">
                  <c:v>3.6661301099279995E-3</c:v>
                </c:pt>
                <c:pt idx="9">
                  <c:v>3.4171938180000004E-3</c:v>
                </c:pt>
                <c:pt idx="10">
                  <c:v>3.2149483619E-3</c:v>
                </c:pt>
                <c:pt idx="11">
                  <c:v>3.0475721952923081E-3</c:v>
                </c:pt>
                <c:pt idx="12">
                  <c:v>2.9068273721142858E-3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D4-43F6-B477-91BA0AD10547}"/>
            </c:ext>
          </c:extLst>
        </c:ser>
        <c:ser>
          <c:idx val="1"/>
          <c:order val="1"/>
          <c:tx>
            <c:strRef>
              <c:f>PVT_Ginj!$H$7</c:f>
              <c:strCache>
                <c:ptCount val="1"/>
                <c:pt idx="0">
                  <c:v>100 C</c:v>
                </c:pt>
              </c:strCache>
            </c:strRef>
          </c:tx>
          <c:spPr>
            <a:ln w="38100">
              <a:prstDash val="sysDot"/>
            </a:ln>
          </c:spPr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-0.25862816298448132"/>
                  <c:y val="-0.43729388821822723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y = 9,6806x</a:t>
                    </a:r>
                    <a:r>
                      <a:rPr lang="en-US" sz="1400" baseline="30000">
                        <a:solidFill>
                          <a:srgbClr val="FF0000"/>
                        </a:solidFill>
                      </a:rPr>
                      <a:t>-0,919</a:t>
                    </a:r>
                    <a:br>
                      <a:rPr lang="en-US" sz="1400" baseline="0">
                        <a:solidFill>
                          <a:srgbClr val="FF0000"/>
                        </a:solidFill>
                      </a:rPr>
                    </a:br>
                    <a:r>
                      <a:rPr lang="en-US" sz="1400" baseline="0">
                        <a:solidFill>
                          <a:srgbClr val="FF0000"/>
                        </a:solidFill>
                      </a:rPr>
                      <a:t>R² = 0,9963</a:t>
                    </a:r>
                    <a:endParaRPr lang="en-US" sz="1400">
                      <a:solidFill>
                        <a:srgbClr val="FF0000"/>
                      </a:solidFill>
                    </a:endParaRPr>
                  </a:p>
                </c:rich>
              </c:tx>
              <c:numFmt formatCode="#,##0.00000000" sourceLinked="0"/>
            </c:trendlineLbl>
          </c:trendline>
          <c:xVal>
            <c:numRef>
              <c:f>PVT_Ginj!$G$35:$G$47</c:f>
              <c:numCache>
                <c:formatCode>General</c:formatCode>
                <c:ptCount val="13"/>
                <c:pt idx="0">
                  <c:v>1000.1</c:v>
                </c:pt>
                <c:pt idx="1">
                  <c:v>1500.1</c:v>
                </c:pt>
                <c:pt idx="2">
                  <c:v>2000.1</c:v>
                </c:pt>
                <c:pt idx="3">
                  <c:v>2500.1</c:v>
                </c:pt>
                <c:pt idx="4">
                  <c:v>3000.1</c:v>
                </c:pt>
                <c:pt idx="5">
                  <c:v>3500.1</c:v>
                </c:pt>
                <c:pt idx="6">
                  <c:v>4000.1</c:v>
                </c:pt>
                <c:pt idx="7">
                  <c:v>4500.1000000000004</c:v>
                </c:pt>
                <c:pt idx="8">
                  <c:v>5000.1000000000004</c:v>
                </c:pt>
                <c:pt idx="9">
                  <c:v>5500.1</c:v>
                </c:pt>
                <c:pt idx="10">
                  <c:v>6000.1</c:v>
                </c:pt>
                <c:pt idx="11">
                  <c:v>6500.1</c:v>
                </c:pt>
                <c:pt idx="12">
                  <c:v>7000.1</c:v>
                </c:pt>
              </c:numCache>
            </c:numRef>
          </c:xVal>
          <c:yVal>
            <c:numRef>
              <c:f>PVT_Ginj!$I$35:$I$47</c:f>
              <c:numCache>
                <c:formatCode>0.0000</c:formatCode>
                <c:ptCount val="13"/>
                <c:pt idx="0">
                  <c:v>1.7984597783421655E-2</c:v>
                </c:pt>
                <c:pt idx="1">
                  <c:v>1.1803513077368178E-2</c:v>
                </c:pt>
                <c:pt idx="2">
                  <c:v>8.7867980359382022E-3</c:v>
                </c:pt>
                <c:pt idx="3">
                  <c:v>7.030914474653014E-3</c:v>
                </c:pt>
                <c:pt idx="4">
                  <c:v>5.8995786564981162E-3</c:v>
                </c:pt>
                <c:pt idx="5">
                  <c:v>5.1196095270420851E-3</c:v>
                </c:pt>
                <c:pt idx="6">
                  <c:v>4.5546173617659561E-3</c:v>
                </c:pt>
                <c:pt idx="7">
                  <c:v>4.1293733256416521E-3</c:v>
                </c:pt>
                <c:pt idx="8">
                  <c:v>3.7992752329273414E-3</c:v>
                </c:pt>
                <c:pt idx="9">
                  <c:v>3.5364300500718166E-3</c:v>
                </c:pt>
                <c:pt idx="10">
                  <c:v>3.3225968793853438E-3</c:v>
                </c:pt>
                <c:pt idx="11">
                  <c:v>3.145489269395855E-3</c:v>
                </c:pt>
                <c:pt idx="12">
                  <c:v>2.9964776827759603E-3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D4-43F6-B477-91BA0AD10547}"/>
            </c:ext>
          </c:extLst>
        </c:ser>
        <c:ser>
          <c:idx val="2"/>
          <c:order val="2"/>
          <c:tx>
            <c:strRef>
              <c:f>PVT_Ginj!$M$7</c:f>
              <c:strCache>
                <c:ptCount val="1"/>
                <c:pt idx="0">
                  <c:v>120 C</c:v>
                </c:pt>
              </c:strCache>
            </c:strRef>
          </c:tx>
          <c:spPr>
            <a:ln w="34925">
              <a:solidFill>
                <a:srgbClr val="00B050"/>
              </a:solidFill>
              <a:prstDash val="sysDash"/>
            </a:ln>
          </c:spPr>
          <c:marker>
            <c:symbol val="none"/>
          </c:marker>
          <c:trendline>
            <c:trendlineType val="power"/>
            <c:dispRSqr val="1"/>
            <c:dispEq val="1"/>
            <c:trendlineLbl>
              <c:layout>
                <c:manualLayout>
                  <c:x val="-0.26348253191652016"/>
                  <c:y val="-0.61268705662858991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400" baseline="0">
                        <a:solidFill>
                          <a:schemeClr val="accent6"/>
                        </a:solidFill>
                      </a:rPr>
                      <a:t>y = 8,4132x</a:t>
                    </a:r>
                    <a:r>
                      <a:rPr lang="en-US" sz="1400" baseline="30000">
                        <a:solidFill>
                          <a:schemeClr val="accent6"/>
                        </a:solidFill>
                      </a:rPr>
                      <a:t>-0,895</a:t>
                    </a:r>
                    <a:br>
                      <a:rPr lang="en-US" sz="1400" baseline="0">
                        <a:solidFill>
                          <a:schemeClr val="accent6"/>
                        </a:solidFill>
                      </a:rPr>
                    </a:br>
                    <a:r>
                      <a:rPr lang="en-US" sz="1400" baseline="0">
                        <a:solidFill>
                          <a:schemeClr val="accent6"/>
                        </a:solidFill>
                      </a:rPr>
                      <a:t>R² = 0,9967</a:t>
                    </a:r>
                    <a:endParaRPr lang="en-US" sz="1400">
                      <a:solidFill>
                        <a:schemeClr val="accent6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PVT_Ginj!$L$35:$L$47</c:f>
              <c:numCache>
                <c:formatCode>General</c:formatCode>
                <c:ptCount val="13"/>
                <c:pt idx="0">
                  <c:v>1000.1</c:v>
                </c:pt>
                <c:pt idx="1">
                  <c:v>1500.1</c:v>
                </c:pt>
                <c:pt idx="2">
                  <c:v>2000.1</c:v>
                </c:pt>
                <c:pt idx="3">
                  <c:v>2500.1</c:v>
                </c:pt>
                <c:pt idx="4">
                  <c:v>3000.1</c:v>
                </c:pt>
                <c:pt idx="5">
                  <c:v>3500.1</c:v>
                </c:pt>
                <c:pt idx="6">
                  <c:v>4000.1</c:v>
                </c:pt>
                <c:pt idx="7">
                  <c:v>4500.1000000000004</c:v>
                </c:pt>
                <c:pt idx="8">
                  <c:v>5000.1000000000004</c:v>
                </c:pt>
                <c:pt idx="9">
                  <c:v>5500.1</c:v>
                </c:pt>
                <c:pt idx="10">
                  <c:v>6000.1</c:v>
                </c:pt>
                <c:pt idx="11">
                  <c:v>6500.1</c:v>
                </c:pt>
                <c:pt idx="12">
                  <c:v>7000.1</c:v>
                </c:pt>
              </c:numCache>
            </c:numRef>
          </c:xVal>
          <c:yVal>
            <c:numRef>
              <c:f>PVT_Ginj!$N$35:$N$47</c:f>
              <c:numCache>
                <c:formatCode>0.0000</c:formatCode>
                <c:ptCount val="13"/>
                <c:pt idx="0">
                  <c:v>1.9182472506629338E-2</c:v>
                </c:pt>
                <c:pt idx="1">
                  <c:v>1.2646629747830146E-2</c:v>
                </c:pt>
                <c:pt idx="2">
                  <c:v>9.4428804955752222E-3</c:v>
                </c:pt>
                <c:pt idx="3">
                  <c:v>7.567421293084276E-3</c:v>
                </c:pt>
                <c:pt idx="4">
                  <c:v>6.351205687663744E-3</c:v>
                </c:pt>
                <c:pt idx="5">
                  <c:v>5.5072541058026909E-3</c:v>
                </c:pt>
                <c:pt idx="6">
                  <c:v>4.8922533055273613E-3</c:v>
                </c:pt>
                <c:pt idx="7">
                  <c:v>4.4269614593986798E-3</c:v>
                </c:pt>
                <c:pt idx="8">
                  <c:v>4.0642371351772965E-3</c:v>
                </c:pt>
                <c:pt idx="9">
                  <c:v>3.7743902475227721E-3</c:v>
                </c:pt>
                <c:pt idx="10">
                  <c:v>3.5380208661855627E-3</c:v>
                </c:pt>
                <c:pt idx="11">
                  <c:v>3.3418644556237596E-3</c:v>
                </c:pt>
                <c:pt idx="12">
                  <c:v>3.1765892568391876E-3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D4-43F6-B477-91BA0AD10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3600"/>
        <c:axId val="187679872"/>
      </c:scatterChart>
      <c:valAx>
        <c:axId val="187673600"/>
        <c:scaling>
          <c:orientation val="minMax"/>
          <c:max val="7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/>
                  <a:t>Pressure [psi]</a:t>
                </a:r>
              </a:p>
            </c:rich>
          </c:tx>
          <c:overlay val="0"/>
        </c:title>
        <c:numFmt formatCode="General" sourceLinked="1"/>
        <c:majorTickMark val="cross"/>
        <c:minorTickMark val="in"/>
        <c:tickLblPos val="nextTo"/>
        <c:spPr>
          <a:ln/>
        </c:spPr>
        <c:txPr>
          <a:bodyPr/>
          <a:lstStyle/>
          <a:p>
            <a:pPr>
              <a:defRPr sz="1200" b="1" i="0" baseline="0"/>
            </a:pPr>
            <a:endParaRPr lang="es-CO"/>
          </a:p>
        </c:txPr>
        <c:crossAx val="187679872"/>
        <c:crosses val="autoZero"/>
        <c:crossBetween val="midCat"/>
      </c:valAx>
      <c:valAx>
        <c:axId val="187679872"/>
        <c:scaling>
          <c:orientation val="minMax"/>
          <c:max val="2.0000000000000004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Bg (CH4)</a:t>
                </a:r>
              </a:p>
            </c:rich>
          </c:tx>
          <c:overlay val="0"/>
        </c:title>
        <c:numFmt formatCode="0.0000" sourceLinked="0"/>
        <c:majorTickMark val="cross"/>
        <c:minorTickMark val="in"/>
        <c:tickLblPos val="nextTo"/>
        <c:spPr>
          <a:ln w="9525"/>
        </c:spPr>
        <c:txPr>
          <a:bodyPr/>
          <a:lstStyle/>
          <a:p>
            <a:pPr>
              <a:defRPr sz="1200" b="1" i="0" baseline="0"/>
            </a:pPr>
            <a:endParaRPr lang="es-CO"/>
          </a:p>
        </c:txPr>
        <c:crossAx val="187673600"/>
        <c:crosses val="autoZero"/>
        <c:crossBetween val="midCat"/>
      </c:valAx>
      <c:spPr>
        <a:ln>
          <a:solidFill>
            <a:schemeClr val="tx1">
              <a:tint val="75000"/>
            </a:schemeClr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143974721606401"/>
          <c:y val="0.35205259659825039"/>
          <c:w val="0.17192594857681626"/>
          <c:h val="0.3014516482598116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4925784035093557E-2"/>
                  <c:y val="-8.7966497262634419E-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'PVT USR'!$B$4:$B$10</c:f>
              <c:numCache>
                <c:formatCode>General</c:formatCode>
                <c:ptCount val="7"/>
                <c:pt idx="0">
                  <c:v>6015</c:v>
                </c:pt>
                <c:pt idx="1">
                  <c:v>5515</c:v>
                </c:pt>
                <c:pt idx="2">
                  <c:v>5015</c:v>
                </c:pt>
                <c:pt idx="3">
                  <c:v>4515</c:v>
                </c:pt>
                <c:pt idx="4">
                  <c:v>4015</c:v>
                </c:pt>
                <c:pt idx="5">
                  <c:v>3515</c:v>
                </c:pt>
                <c:pt idx="6">
                  <c:v>3015</c:v>
                </c:pt>
              </c:numCache>
            </c:numRef>
          </c:xVal>
          <c:yVal>
            <c:numRef>
              <c:f>'PVT USR'!$F$4:$F$10</c:f>
              <c:numCache>
                <c:formatCode>General</c:formatCode>
                <c:ptCount val="7"/>
                <c:pt idx="0">
                  <c:v>0.80320000000000003</c:v>
                </c:pt>
                <c:pt idx="1">
                  <c:v>0.76780000000000004</c:v>
                </c:pt>
                <c:pt idx="2">
                  <c:v>0.74109999999999998</c:v>
                </c:pt>
                <c:pt idx="3">
                  <c:v>0.71089999999999998</c:v>
                </c:pt>
                <c:pt idx="4">
                  <c:v>0.68510000000000004</c:v>
                </c:pt>
                <c:pt idx="5">
                  <c:v>0.66300000000000003</c:v>
                </c:pt>
                <c:pt idx="6">
                  <c:v>0.63300000000000001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74-4431-AE1E-28697DC9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846704"/>
        <c:axId val="1122843792"/>
      </c:scatterChart>
      <c:valAx>
        <c:axId val="11228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Presión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2843792"/>
        <c:crosses val="autoZero"/>
        <c:crossBetween val="midCat"/>
      </c:valAx>
      <c:valAx>
        <c:axId val="112284379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284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4910156836849"/>
          <c:y val="4.3062200956937802E-2"/>
          <c:w val="0.80005397926776867"/>
          <c:h val="0.7349124062841426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0253986430066278"/>
                  <c:y val="0.16944618166748296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'PVT USR'!$B$4:$B$10</c:f>
              <c:numCache>
                <c:formatCode>General</c:formatCode>
                <c:ptCount val="7"/>
                <c:pt idx="0">
                  <c:v>6015</c:v>
                </c:pt>
                <c:pt idx="1">
                  <c:v>5515</c:v>
                </c:pt>
                <c:pt idx="2">
                  <c:v>5015</c:v>
                </c:pt>
                <c:pt idx="3">
                  <c:v>4515</c:v>
                </c:pt>
                <c:pt idx="4">
                  <c:v>4015</c:v>
                </c:pt>
                <c:pt idx="5">
                  <c:v>3515</c:v>
                </c:pt>
                <c:pt idx="6">
                  <c:v>3015</c:v>
                </c:pt>
              </c:numCache>
            </c:numRef>
          </c:xVal>
          <c:yVal>
            <c:numRef>
              <c:f>'PVT USR'!$E$4:$E$10</c:f>
              <c:numCache>
                <c:formatCode>General</c:formatCode>
                <c:ptCount val="7"/>
                <c:pt idx="0">
                  <c:v>1.3866000000000001</c:v>
                </c:pt>
                <c:pt idx="1">
                  <c:v>1.3931</c:v>
                </c:pt>
                <c:pt idx="2">
                  <c:v>1.3998999999999999</c:v>
                </c:pt>
                <c:pt idx="3">
                  <c:v>1.4071</c:v>
                </c:pt>
                <c:pt idx="4">
                  <c:v>1.4149</c:v>
                </c:pt>
                <c:pt idx="5">
                  <c:v>1.4233</c:v>
                </c:pt>
                <c:pt idx="6">
                  <c:v>1.4328000000000001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60-4CD4-A710-180ED6A2B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846704"/>
        <c:axId val="1122843792"/>
      </c:scatterChart>
      <c:valAx>
        <c:axId val="1122846704"/>
        <c:scaling>
          <c:orientation val="minMax"/>
          <c:max val="6500"/>
          <c:min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Presión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2843792"/>
        <c:crosses val="autoZero"/>
        <c:crossBetween val="midCat"/>
        <c:majorUnit val="500"/>
      </c:valAx>
      <c:valAx>
        <c:axId val="11228437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Bo (rb/STB) [P&gt;=Pb]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284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4121278199526"/>
          <c:y val="5.7803468208092484E-2"/>
          <c:w val="0.80639501311362216"/>
          <c:h val="0.7331247250163094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733643980762322"/>
                  <c:y val="-2.1350113027779043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'PVT SR'!$B$11:$B$18</c:f>
              <c:numCache>
                <c:formatCode>General</c:formatCode>
                <c:ptCount val="8"/>
                <c:pt idx="0">
                  <c:v>2400</c:v>
                </c:pt>
                <c:pt idx="1">
                  <c:v>2115</c:v>
                </c:pt>
                <c:pt idx="2">
                  <c:v>1815</c:v>
                </c:pt>
                <c:pt idx="3">
                  <c:v>1515</c:v>
                </c:pt>
                <c:pt idx="4">
                  <c:v>1215</c:v>
                </c:pt>
                <c:pt idx="5">
                  <c:v>1015</c:v>
                </c:pt>
                <c:pt idx="6">
                  <c:v>815</c:v>
                </c:pt>
                <c:pt idx="7">
                  <c:v>615</c:v>
                </c:pt>
              </c:numCache>
            </c:numRef>
          </c:xVal>
          <c:yVal>
            <c:numRef>
              <c:f>'PVT SR'!$C$11:$C$18</c:f>
              <c:numCache>
                <c:formatCode>General</c:formatCode>
                <c:ptCount val="8"/>
                <c:pt idx="0">
                  <c:v>671.38</c:v>
                </c:pt>
                <c:pt idx="1">
                  <c:v>596.53</c:v>
                </c:pt>
                <c:pt idx="2">
                  <c:v>521.16999999999996</c:v>
                </c:pt>
                <c:pt idx="3">
                  <c:v>448.88</c:v>
                </c:pt>
                <c:pt idx="4">
                  <c:v>376.74</c:v>
                </c:pt>
                <c:pt idx="5">
                  <c:v>330.85</c:v>
                </c:pt>
                <c:pt idx="6">
                  <c:v>286.94</c:v>
                </c:pt>
                <c:pt idx="7">
                  <c:v>240.08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8-499F-BE43-B5A661884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846704"/>
        <c:axId val="1122843792"/>
      </c:scatterChart>
      <c:valAx>
        <c:axId val="11228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Presión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2843792"/>
        <c:crosses val="autoZero"/>
        <c:crossBetween val="midCat"/>
      </c:valAx>
      <c:valAx>
        <c:axId val="11228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Rs (scf/STB)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284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14910156836849"/>
          <c:y val="4.3062200956937802E-2"/>
          <c:w val="0.80005397926776867"/>
          <c:h val="0.7349124062841426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6774031255568253E-2"/>
                  <c:y val="0.2870813397129187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'PVT SR'!$B$11:$B$18</c:f>
              <c:numCache>
                <c:formatCode>General</c:formatCode>
                <c:ptCount val="8"/>
                <c:pt idx="0">
                  <c:v>2400</c:v>
                </c:pt>
                <c:pt idx="1">
                  <c:v>2115</c:v>
                </c:pt>
                <c:pt idx="2">
                  <c:v>1815</c:v>
                </c:pt>
                <c:pt idx="3">
                  <c:v>1515</c:v>
                </c:pt>
                <c:pt idx="4">
                  <c:v>1215</c:v>
                </c:pt>
                <c:pt idx="5">
                  <c:v>1015</c:v>
                </c:pt>
                <c:pt idx="6">
                  <c:v>815</c:v>
                </c:pt>
                <c:pt idx="7">
                  <c:v>615</c:v>
                </c:pt>
              </c:numCache>
            </c:numRef>
          </c:xVal>
          <c:yVal>
            <c:numRef>
              <c:f>'PVT SR'!$E$11:$E$18</c:f>
              <c:numCache>
                <c:formatCode>General</c:formatCode>
                <c:ptCount val="8"/>
                <c:pt idx="0">
                  <c:v>1.4459</c:v>
                </c:pt>
                <c:pt idx="1">
                  <c:v>1.4063000000000001</c:v>
                </c:pt>
                <c:pt idx="2">
                  <c:v>1.3723000000000001</c:v>
                </c:pt>
                <c:pt idx="3">
                  <c:v>1.3371999999999999</c:v>
                </c:pt>
                <c:pt idx="4">
                  <c:v>1.3038000000000001</c:v>
                </c:pt>
                <c:pt idx="5">
                  <c:v>1.2823</c:v>
                </c:pt>
                <c:pt idx="6">
                  <c:v>1.262</c:v>
                </c:pt>
                <c:pt idx="7">
                  <c:v>1.2383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71-4733-B9D6-B0443A5CC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846704"/>
        <c:axId val="1122843792"/>
      </c:scatterChart>
      <c:valAx>
        <c:axId val="11228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Presión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2843792"/>
        <c:crosses val="autoZero"/>
        <c:crossBetween val="midCat"/>
      </c:valAx>
      <c:valAx>
        <c:axId val="112284379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Bo (rb/STB) [P&lt;=Pb)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284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2675453891945848"/>
                  <c:y val="-0.43080021097841237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'PVT SR'!$B$11:$B$18</c:f>
              <c:numCache>
                <c:formatCode>General</c:formatCode>
                <c:ptCount val="8"/>
                <c:pt idx="0">
                  <c:v>2400</c:v>
                </c:pt>
                <c:pt idx="1">
                  <c:v>2115</c:v>
                </c:pt>
                <c:pt idx="2">
                  <c:v>1815</c:v>
                </c:pt>
                <c:pt idx="3">
                  <c:v>1515</c:v>
                </c:pt>
                <c:pt idx="4">
                  <c:v>1215</c:v>
                </c:pt>
                <c:pt idx="5">
                  <c:v>1015</c:v>
                </c:pt>
                <c:pt idx="6">
                  <c:v>815</c:v>
                </c:pt>
                <c:pt idx="7">
                  <c:v>615</c:v>
                </c:pt>
              </c:numCache>
            </c:numRef>
          </c:xVal>
          <c:yVal>
            <c:numRef>
              <c:f>'PVT SR'!$F$11:$F$18</c:f>
              <c:numCache>
                <c:formatCode>General</c:formatCode>
                <c:ptCount val="8"/>
                <c:pt idx="0">
                  <c:v>0.5968</c:v>
                </c:pt>
                <c:pt idx="1">
                  <c:v>0.5978</c:v>
                </c:pt>
                <c:pt idx="2">
                  <c:v>0.59819999999999995</c:v>
                </c:pt>
                <c:pt idx="3">
                  <c:v>0.61099999999999999</c:v>
                </c:pt>
                <c:pt idx="4">
                  <c:v>0.64380000000000004</c:v>
                </c:pt>
                <c:pt idx="5">
                  <c:v>0.67789999999999995</c:v>
                </c:pt>
                <c:pt idx="6">
                  <c:v>0.72860000000000003</c:v>
                </c:pt>
                <c:pt idx="7">
                  <c:v>0.7702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55-4F65-BE86-9E7A7BEA6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846704"/>
        <c:axId val="1122843792"/>
      </c:scatterChart>
      <c:valAx>
        <c:axId val="112284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Presión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2843792"/>
        <c:crosses val="autoZero"/>
        <c:crossBetween val="midCat"/>
      </c:valAx>
      <c:valAx>
        <c:axId val="1122843792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Uo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284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9933377300504416E-2"/>
                  <c:y val="-0.17008482635322758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'PVT SR'!$B$12:$B$21</c:f>
              <c:numCache>
                <c:formatCode>General</c:formatCode>
                <c:ptCount val="10"/>
                <c:pt idx="0">
                  <c:v>2115</c:v>
                </c:pt>
                <c:pt idx="1">
                  <c:v>1815</c:v>
                </c:pt>
                <c:pt idx="2">
                  <c:v>1515</c:v>
                </c:pt>
                <c:pt idx="3">
                  <c:v>1215</c:v>
                </c:pt>
                <c:pt idx="4">
                  <c:v>1015</c:v>
                </c:pt>
                <c:pt idx="5">
                  <c:v>815</c:v>
                </c:pt>
                <c:pt idx="6">
                  <c:v>615</c:v>
                </c:pt>
                <c:pt idx="7">
                  <c:v>415</c:v>
                </c:pt>
                <c:pt idx="8">
                  <c:v>215</c:v>
                </c:pt>
                <c:pt idx="9">
                  <c:v>15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F4-45F9-8B5C-720A14438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66064"/>
        <c:axId val="1122964400"/>
      </c:scatterChart>
      <c:valAx>
        <c:axId val="11229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Presión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2964400"/>
        <c:crossesAt val="1.0000000000000002E-3"/>
        <c:crossBetween val="midCat"/>
      </c:valAx>
      <c:valAx>
        <c:axId val="1122964400"/>
        <c:scaling>
          <c:logBase val="10"/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Bg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296606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183092</xdr:colOff>
      <xdr:row>2</xdr:row>
      <xdr:rowOff>189441</xdr:rowOff>
    </xdr:from>
    <xdr:to>
      <xdr:col>33</xdr:col>
      <xdr:colOff>397933</xdr:colOff>
      <xdr:row>18</xdr:row>
      <xdr:rowOff>85338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6E4FF0-F710-43B5-8641-0D059FECBBC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33865</xdr:colOff>
      <xdr:row>20</xdr:row>
      <xdr:rowOff>59267</xdr:rowOff>
    </xdr:from>
    <xdr:to>
      <xdr:col>31</xdr:col>
      <xdr:colOff>460961</xdr:colOff>
      <xdr:row>38</xdr:row>
      <xdr:rowOff>146048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6A1259-EBCB-42E8-B36C-12E515DA479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0</xdr:colOff>
      <xdr:row>1</xdr:row>
      <xdr:rowOff>0</xdr:rowOff>
    </xdr:from>
    <xdr:ext cx="2545080" cy="9251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9BEA297-C710-45C0-9355-7ADAF1816441}"/>
                </a:ext>
              </a:extLst>
            </xdr:cNvPr>
            <xdr:cNvSpPr txBox="1"/>
          </xdr:nvSpPr>
          <xdr:spPr>
            <a:xfrm>
              <a:off x="2697480" y="182880"/>
              <a:ext cx="2545080" cy="925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400" b="0" i="1">
                            <a:latin typeface="Cambria Math"/>
                          </a:rPr>
                          <m:t>𝐵</m:t>
                        </m:r>
                      </m:e>
                      <m:sub>
                        <m:r>
                          <a:rPr lang="es-CO" sz="1400" b="0" i="1">
                            <a:latin typeface="Cambria Math"/>
                          </a:rPr>
                          <m:t>𝑔</m:t>
                        </m:r>
                      </m:sub>
                    </m:sSub>
                    <m:d>
                      <m:dPr>
                        <m:begChr m:val="["/>
                        <m:endChr m:val="]"/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𝑓𝑡</m:t>
                                </m:r>
                              </m:e>
                              <m:sup>
                                <m:r>
                                  <a:rPr lang="es-CO" sz="14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  <m:t>3</m:t>
                                </m:r>
                              </m:sup>
                            </m:sSup>
                          </m:num>
                          <m:den>
                            <m:r>
                              <a:rPr lang="es-CO" sz="1400" b="0" i="1">
                                <a:latin typeface="Cambria Math"/>
                              </a:rPr>
                              <m:t>𝑠𝑐𝑓</m:t>
                            </m:r>
                          </m:den>
                        </m:f>
                      </m:e>
                    </m:d>
                    <m:r>
                      <a:rPr lang="es-CO" sz="1400" b="0" i="1">
                        <a:latin typeface="Cambria Math"/>
                      </a:rPr>
                      <m:t>=0.02827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CO" sz="1400" b="0" i="1">
                        <a:latin typeface="Cambria Math"/>
                      </a:rPr>
                      <m:t>𝑍</m:t>
                    </m:r>
                    <m:r>
                      <a:rPr lang="es-CO" sz="1400" b="0" i="1">
                        <a:latin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CO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ctrlPr>
                              <a:rPr lang="es-CO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CO" sz="1400" b="0" i="1">
                                <a:latin typeface="Cambria Math"/>
                              </a:rPr>
                              <m:t>𝑇</m:t>
                            </m:r>
                          </m:num>
                          <m:den>
                            <m:r>
                              <a:rPr lang="es-CO" sz="1400" b="0" i="1">
                                <a:latin typeface="Cambria Math"/>
                              </a:rPr>
                              <m:t>𝑃</m:t>
                            </m:r>
                          </m:den>
                        </m:f>
                      </m:e>
                    </m:d>
                  </m:oMath>
                </m:oMathPara>
              </a14:m>
              <a:endParaRPr lang="es-CO" sz="1400" b="0" i="1">
                <a:latin typeface="Cambria Math"/>
              </a:endParaRPr>
            </a:p>
            <a:p>
              <a:r>
                <a:rPr lang="es-CO" sz="1100" b="0"/>
                <a:t>T: R --&gt; (F+460)</a:t>
              </a:r>
            </a:p>
            <a:p>
              <a:r>
                <a:rPr lang="es-CO" sz="1100" b="0"/>
                <a:t>P:</a:t>
              </a:r>
              <a:r>
                <a:rPr lang="es-CO" sz="1100" b="0" baseline="0"/>
                <a:t> Psia</a:t>
              </a:r>
              <a14:m>
                <m:oMath xmlns:m="http://schemas.openxmlformats.org/officeDocument/2006/math">
                  <m:r>
                    <a:rPr lang="es-CO" sz="1100" b="0" i="1">
                      <a:latin typeface="Cambria Math"/>
                    </a:rPr>
                    <m:t> 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9BEA297-C710-45C0-9355-7ADAF1816441}"/>
                </a:ext>
              </a:extLst>
            </xdr:cNvPr>
            <xdr:cNvSpPr txBox="1"/>
          </xdr:nvSpPr>
          <xdr:spPr>
            <a:xfrm>
              <a:off x="2697480" y="182880"/>
              <a:ext cx="2545080" cy="9251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:r>
                <a:rPr lang="es-CO" sz="1400" b="0" i="0">
                  <a:latin typeface="Cambria Math"/>
                </a:rPr>
                <a:t>𝐵</a:t>
              </a:r>
              <a:r>
                <a:rPr lang="en-US" sz="1400" b="0" i="0">
                  <a:latin typeface="Cambria Math" panose="02040503050406030204" pitchFamily="18" charset="0"/>
                </a:rPr>
                <a:t>_</a:t>
              </a:r>
              <a:r>
                <a:rPr lang="es-CO" sz="1400" b="0" i="0">
                  <a:latin typeface="Cambria Math"/>
                </a:rPr>
                <a:t>𝑔</a:t>
              </a:r>
              <a:r>
                <a:rPr lang="es-CO" sz="1400" b="0" i="0">
                  <a:latin typeface="Cambria Math" panose="02040503050406030204" pitchFamily="18" charset="0"/>
                </a:rPr>
                <a:t> [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𝑓𝑡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3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s-CO" sz="1400" b="0" i="0">
                  <a:latin typeface="Cambria Math"/>
                </a:rPr>
                <a:t>𝑠𝑐𝑓</a:t>
              </a:r>
              <a:r>
                <a:rPr lang="es-CO" sz="1400" b="0" i="0">
                  <a:latin typeface="Cambria Math" panose="02040503050406030204" pitchFamily="18" charset="0"/>
                </a:rPr>
                <a:t>]</a:t>
              </a:r>
              <a:r>
                <a:rPr lang="es-CO" sz="1400" b="0" i="0">
                  <a:latin typeface="Cambria Math"/>
                </a:rPr>
                <a:t>=0.02827</a:t>
              </a:r>
              <a:r>
                <a:rPr lang="es-CO" sz="1400" b="0" i="0">
                  <a:latin typeface="Cambria Math" panose="02040503050406030204" pitchFamily="18" charset="0"/>
                </a:rPr>
                <a:t>∗</a:t>
              </a:r>
              <a:r>
                <a:rPr lang="es-CO" sz="1400" b="0" i="0">
                  <a:latin typeface="Cambria Math"/>
                </a:rPr>
                <a:t>𝑍</a:t>
              </a:r>
              <a:r>
                <a:rPr lang="es-CO" sz="1400" b="0" i="0">
                  <a:latin typeface="Cambria Math" panose="02040503050406030204" pitchFamily="18" charset="0"/>
                </a:rPr>
                <a:t>∗(</a:t>
              </a:r>
              <a:r>
                <a:rPr lang="es-CO" sz="1400" b="0" i="0">
                  <a:latin typeface="Cambria Math"/>
                </a:rPr>
                <a:t>𝑇</a:t>
              </a:r>
              <a:r>
                <a:rPr lang="es-CO" sz="1400" b="0" i="0">
                  <a:latin typeface="Cambria Math" panose="02040503050406030204" pitchFamily="18" charset="0"/>
                </a:rPr>
                <a:t>/</a:t>
              </a:r>
              <a:r>
                <a:rPr lang="es-CO" sz="1400" b="0" i="0">
                  <a:latin typeface="Cambria Math"/>
                </a:rPr>
                <a:t>𝑃</a:t>
              </a:r>
              <a:r>
                <a:rPr lang="es-CO" sz="1400" b="0" i="0">
                  <a:latin typeface="Cambria Math" panose="02040503050406030204" pitchFamily="18" charset="0"/>
                </a:rPr>
                <a:t>)</a:t>
              </a:r>
              <a:endParaRPr lang="es-CO" sz="1400" b="0" i="1">
                <a:latin typeface="Cambria Math"/>
              </a:endParaRPr>
            </a:p>
            <a:p>
              <a:r>
                <a:rPr lang="es-CO" sz="1100" b="0"/>
                <a:t>T: R --&gt; (F+460)</a:t>
              </a:r>
            </a:p>
            <a:p>
              <a:r>
                <a:rPr lang="es-CO" sz="1100" b="0"/>
                <a:t>P:</a:t>
              </a:r>
              <a:r>
                <a:rPr lang="es-CO" sz="1100" b="0" baseline="0"/>
                <a:t> Psia</a:t>
              </a:r>
              <a:r>
                <a:rPr lang="es-CO" sz="1100" b="0" i="0">
                  <a:latin typeface="Cambria Math"/>
                </a:rPr>
                <a:t> 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11</xdr:col>
      <xdr:colOff>482601</xdr:colOff>
      <xdr:row>19</xdr:row>
      <xdr:rowOff>110067</xdr:rowOff>
    </xdr:from>
    <xdr:to>
      <xdr:col>21</xdr:col>
      <xdr:colOff>296334</xdr:colOff>
      <xdr:row>39</xdr:row>
      <xdr:rowOff>17219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4E427ABF-5D17-4E1A-B647-9257E614DB9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283845</xdr:colOff>
      <xdr:row>1</xdr:row>
      <xdr:rowOff>187325</xdr:rowOff>
    </xdr:from>
    <xdr:to>
      <xdr:col>25</xdr:col>
      <xdr:colOff>8353</xdr:colOff>
      <xdr:row>16</xdr:row>
      <xdr:rowOff>80645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0CB24-345C-4083-AE27-EEA273613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2</xdr:row>
      <xdr:rowOff>19050</xdr:rowOff>
    </xdr:from>
    <xdr:to>
      <xdr:col>16</xdr:col>
      <xdr:colOff>369486</xdr:colOff>
      <xdr:row>16</xdr:row>
      <xdr:rowOff>95250</xdr:rowOff>
    </xdr:to>
    <xdr:graphicFrame macro="">
      <xdr:nvGraphicFramePr>
        <xdr:cNvPr id="6" name="Chart 2">
          <a:extLst>
            <a:ext uri="{FF2B5EF4-FFF2-40B4-BE49-F238E27FC236}">
              <a16:creationId xmlns:a16="http://schemas.microsoft.com/office/drawing/2014/main" id="{2E8C1780-C6E7-4D96-899D-D37264A51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447315</xdr:colOff>
      <xdr:row>2</xdr:row>
      <xdr:rowOff>29014</xdr:rowOff>
    </xdr:from>
    <xdr:to>
      <xdr:col>16</xdr:col>
      <xdr:colOff>158700</xdr:colOff>
      <xdr:row>16</xdr:row>
      <xdr:rowOff>105214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4671BC-9171-46A5-86EC-4CB74F32B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530679</xdr:colOff>
      <xdr:row>2</xdr:row>
      <xdr:rowOff>27214</xdr:rowOff>
    </xdr:from>
    <xdr:to>
      <xdr:col>24</xdr:col>
      <xdr:colOff>233415</xdr:colOff>
      <xdr:row>16</xdr:row>
      <xdr:rowOff>103414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DD7556-C610-4652-9315-254334C7A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45720</xdr:colOff>
      <xdr:row>16</xdr:row>
      <xdr:rowOff>139700</xdr:rowOff>
    </xdr:from>
    <xdr:to>
      <xdr:col>32</xdr:col>
      <xdr:colOff>360778</xdr:colOff>
      <xdr:row>31</xdr:row>
      <xdr:rowOff>33020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599369-60FB-4B82-A5B3-CF99AA79D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523876</xdr:colOff>
      <xdr:row>16</xdr:row>
      <xdr:rowOff>167053</xdr:rowOff>
    </xdr:from>
    <xdr:to>
      <xdr:col>24</xdr:col>
      <xdr:colOff>230799</xdr:colOff>
      <xdr:row>31</xdr:row>
      <xdr:rowOff>52753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00F489-4508-4086-9FDE-73B45306B3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435429</xdr:colOff>
      <xdr:row>17</xdr:row>
      <xdr:rowOff>44994</xdr:rowOff>
    </xdr:from>
    <xdr:to>
      <xdr:col>16</xdr:col>
      <xdr:colOff>138165</xdr:colOff>
      <xdr:row>31</xdr:row>
      <xdr:rowOff>119924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974B5CBB-24BC-0FB7-8FC8-498E7DD0EC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304799</xdr:colOff>
      <xdr:row>23</xdr:row>
      <xdr:rowOff>143934</xdr:rowOff>
    </xdr:from>
    <xdr:to>
      <xdr:col>8</xdr:col>
      <xdr:colOff>399724</xdr:colOff>
      <xdr:row>38</xdr:row>
      <xdr:rowOff>33867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0E232252-8F18-431E-AF91-347E6338C3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501015</xdr:colOff>
      <xdr:row>2</xdr:row>
      <xdr:rowOff>43815</xdr:rowOff>
    </xdr:from>
    <xdr:to>
      <xdr:col>40</xdr:col>
      <xdr:colOff>500785</xdr:colOff>
      <xdr:row>5</xdr:row>
      <xdr:rowOff>135169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F0D252-33FD-4777-8D92-A2C4D65A1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341965" y="424815"/>
          <a:ext cx="1771420" cy="693334"/>
        </a:xfrm>
        <a:prstGeom prst="rect">
          <a:avLst/>
        </a:prstGeom>
      </xdr:spPr>
    </xdr:pic>
    <xdr:clientData/>
  </xdr:twoCellAnchor>
  <xdr:twoCellAnchor editAs="oneCell">
    <xdr:from>
      <xdr:col>38</xdr:col>
      <xdr:colOff>81915</xdr:colOff>
      <xdr:row>8</xdr:row>
      <xdr:rowOff>87630</xdr:rowOff>
    </xdr:from>
    <xdr:to>
      <xdr:col>40</xdr:col>
      <xdr:colOff>129382</xdr:colOff>
      <xdr:row>11</xdr:row>
      <xdr:rowOff>154225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4EB5128-5210-4341-927F-FF2777AF9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085290" y="1421130"/>
          <a:ext cx="1228567" cy="638095"/>
        </a:xfrm>
        <a:prstGeom prst="rect">
          <a:avLst/>
        </a:prstGeom>
      </xdr:spPr>
    </xdr:pic>
    <xdr:clientData/>
  </xdr:twoCellAnchor>
  <xdr:twoCellAnchor editAs="oneCell">
    <xdr:from>
      <xdr:col>38</xdr:col>
      <xdr:colOff>34290</xdr:colOff>
      <xdr:row>13</xdr:row>
      <xdr:rowOff>1905</xdr:rowOff>
    </xdr:from>
    <xdr:to>
      <xdr:col>41</xdr:col>
      <xdr:colOff>167391</xdr:colOff>
      <xdr:row>15</xdr:row>
      <xdr:rowOff>180906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EF4919-1E4A-4941-8398-05D89EF27E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037665" y="2287905"/>
          <a:ext cx="1904751" cy="560001"/>
        </a:xfrm>
        <a:prstGeom prst="rect">
          <a:avLst/>
        </a:prstGeom>
      </xdr:spPr>
    </xdr:pic>
    <xdr:clientData/>
  </xdr:twoCellAnchor>
  <xdr:twoCellAnchor editAs="oneCell">
    <xdr:from>
      <xdr:col>38</xdr:col>
      <xdr:colOff>30480</xdr:colOff>
      <xdr:row>58</xdr:row>
      <xdr:rowOff>11430</xdr:rowOff>
    </xdr:from>
    <xdr:to>
      <xdr:col>41</xdr:col>
      <xdr:colOff>192153</xdr:colOff>
      <xdr:row>61</xdr:row>
      <xdr:rowOff>152312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F765673-8EEA-4807-A42F-01408CE6C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033855" y="3249930"/>
          <a:ext cx="1933323" cy="712382"/>
        </a:xfrm>
        <a:prstGeom prst="rect">
          <a:avLst/>
        </a:prstGeom>
      </xdr:spPr>
    </xdr:pic>
    <xdr:clientData/>
  </xdr:twoCellAnchor>
  <xdr:oneCellAnchor>
    <xdr:from>
      <xdr:col>38</xdr:col>
      <xdr:colOff>30480</xdr:colOff>
      <xdr:row>18</xdr:row>
      <xdr:rowOff>11430</xdr:rowOff>
    </xdr:from>
    <xdr:ext cx="1990473" cy="689522"/>
    <xdr:pic>
      <xdr:nvPicPr>
        <xdr:cNvPr id="6" name="Picture 4">
          <a:extLst>
            <a:ext uri="{FF2B5EF4-FFF2-40B4-BE49-F238E27FC236}">
              <a16:creationId xmlns:a16="http://schemas.microsoft.com/office/drawing/2014/main" id="{21BCEBC8-124F-492B-BF77-FFDD29A4E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904440" y="4949190"/>
          <a:ext cx="1990473" cy="689522"/>
        </a:xfrm>
        <a:prstGeom prst="rect">
          <a:avLst/>
        </a:prstGeom>
      </xdr:spPr>
    </xdr:pic>
    <xdr:clientData/>
  </xdr:oneCellAnchor>
  <xdr:oneCellAnchor>
    <xdr:from>
      <xdr:col>38</xdr:col>
      <xdr:colOff>30480</xdr:colOff>
      <xdr:row>48</xdr:row>
      <xdr:rowOff>11430</xdr:rowOff>
    </xdr:from>
    <xdr:ext cx="1990473" cy="689522"/>
    <xdr:pic>
      <xdr:nvPicPr>
        <xdr:cNvPr id="11" name="Picture 4">
          <a:extLst>
            <a:ext uri="{FF2B5EF4-FFF2-40B4-BE49-F238E27FC236}">
              <a16:creationId xmlns:a16="http://schemas.microsoft.com/office/drawing/2014/main" id="{BBA16C3D-B05C-4346-ADD4-D0E1842EA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904440" y="6777990"/>
          <a:ext cx="1990473" cy="689522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10583</xdr:colOff>
      <xdr:row>4</xdr:row>
      <xdr:rowOff>184150</xdr:rowOff>
    </xdr:from>
    <xdr:to>
      <xdr:col>11</xdr:col>
      <xdr:colOff>444500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7D3ADF-A4E8-BDFB-B344-6981F7DDE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</xdr:row>
      <xdr:rowOff>0</xdr:rowOff>
    </xdr:from>
    <xdr:to>
      <xdr:col>22</xdr:col>
      <xdr:colOff>433917</xdr:colOff>
      <xdr:row>26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ADA0F5-7422-4DA1-A60D-7EA57FAC7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29</xdr:row>
      <xdr:rowOff>0</xdr:rowOff>
    </xdr:from>
    <xdr:to>
      <xdr:col>11</xdr:col>
      <xdr:colOff>433917</xdr:colOff>
      <xdr:row>50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B9E0DF-B4B8-4A53-9021-7D4F15353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29</xdr:row>
      <xdr:rowOff>0</xdr:rowOff>
    </xdr:from>
    <xdr:to>
      <xdr:col>22</xdr:col>
      <xdr:colOff>433917</xdr:colOff>
      <xdr:row>50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19F3EF-E0B6-412E-B150-CBA2D0612F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53</xdr:row>
      <xdr:rowOff>0</xdr:rowOff>
    </xdr:from>
    <xdr:to>
      <xdr:col>11</xdr:col>
      <xdr:colOff>433917</xdr:colOff>
      <xdr:row>74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8D4A71-5D29-478E-BC28-B59927C72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53</xdr:row>
      <xdr:rowOff>0</xdr:rowOff>
    </xdr:from>
    <xdr:to>
      <xdr:col>22</xdr:col>
      <xdr:colOff>433917</xdr:colOff>
      <xdr:row>74</xdr:row>
      <xdr:rowOff>133350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48B7568-4FF2-4701-BEC8-EA66CDB5DD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11</xdr:col>
      <xdr:colOff>433917</xdr:colOff>
      <xdr:row>98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A74894-FB92-4CFF-A156-32B9C8D13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14287</xdr:rowOff>
    </xdr:from>
    <xdr:to>
      <xdr:col>8</xdr:col>
      <xdr:colOff>304800</xdr:colOff>
      <xdr:row>23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C3C1F-921E-8AE8-590F-8B2E76C293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</xdr:row>
      <xdr:rowOff>0</xdr:rowOff>
    </xdr:from>
    <xdr:to>
      <xdr:col>16</xdr:col>
      <xdr:colOff>304800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5FAF1-88AB-4DF9-AF7A-3F0C9DF99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25</xdr:row>
      <xdr:rowOff>0</xdr:rowOff>
    </xdr:from>
    <xdr:to>
      <xdr:col>8</xdr:col>
      <xdr:colOff>304800</xdr:colOff>
      <xdr:row>39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EF8F24-803E-4E92-A734-923E77D1A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25</xdr:row>
      <xdr:rowOff>0</xdr:rowOff>
    </xdr:from>
    <xdr:to>
      <xdr:col>16</xdr:col>
      <xdr:colOff>304800</xdr:colOff>
      <xdr:row>39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1FA48D-DFA3-4E78-934A-66155DCF4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3175</xdr:colOff>
      <xdr:row>40</xdr:row>
      <xdr:rowOff>118533</xdr:rowOff>
    </xdr:from>
    <xdr:to>
      <xdr:col>8</xdr:col>
      <xdr:colOff>312208</xdr:colOff>
      <xdr:row>55</xdr:row>
      <xdr:rowOff>4233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772839-5784-4B3C-98AC-2AD0C7524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DCCD-AB43-43E2-969E-114E43DEF492}">
  <dimension ref="A1:R52"/>
  <sheetViews>
    <sheetView topLeftCell="A42" workbookViewId="0">
      <selection activeCell="A50" sqref="A50:XFD50"/>
    </sheetView>
  </sheetViews>
  <sheetFormatPr defaultColWidth="8.85546875" defaultRowHeight="15" x14ac:dyDescent="0.25"/>
  <cols>
    <col min="1" max="1" width="33.85546875" bestFit="1" customWidth="1"/>
    <col min="2" max="2" width="14.28515625" customWidth="1"/>
    <col min="4" max="4" width="13.42578125" customWidth="1"/>
    <col min="5" max="5" width="10.140625" customWidth="1"/>
    <col min="14" max="14" width="16.7109375" customWidth="1"/>
    <col min="15" max="15" width="11.85546875" customWidth="1"/>
    <col min="16" max="18" width="17.5703125" customWidth="1"/>
  </cols>
  <sheetData>
    <row r="1" spans="1:18" ht="15.75" thickBot="1" x14ac:dyDescent="0.3"/>
    <row r="2" spans="1:18" ht="16.5" thickTop="1" thickBot="1" x14ac:dyDescent="0.3">
      <c r="A2" s="4" t="s">
        <v>6</v>
      </c>
      <c r="B2" s="5" t="s">
        <v>7</v>
      </c>
      <c r="C2" s="5" t="s">
        <v>8</v>
      </c>
      <c r="D2" s="5"/>
      <c r="H2" t="s">
        <v>152</v>
      </c>
      <c r="M2" s="444" t="s">
        <v>153</v>
      </c>
      <c r="N2" s="445"/>
      <c r="O2" s="445"/>
      <c r="P2" s="445"/>
      <c r="Q2" s="445"/>
      <c r="R2" s="446"/>
    </row>
    <row r="3" spans="1:18" ht="15.75" thickBot="1" x14ac:dyDescent="0.3">
      <c r="A3" t="s">
        <v>9</v>
      </c>
      <c r="B3" s="1" t="s">
        <v>10</v>
      </c>
      <c r="C3" s="1" t="s">
        <v>11</v>
      </c>
      <c r="D3" s="6">
        <v>1.0000000000000001E-5</v>
      </c>
      <c r="H3" t="s">
        <v>149</v>
      </c>
      <c r="I3" t="s">
        <v>147</v>
      </c>
      <c r="J3" t="s">
        <v>76</v>
      </c>
      <c r="M3" s="259" t="s">
        <v>154</v>
      </c>
      <c r="N3" s="260" t="s">
        <v>155</v>
      </c>
      <c r="O3" s="260" t="s">
        <v>158</v>
      </c>
      <c r="P3" s="260" t="s">
        <v>157</v>
      </c>
      <c r="Q3" s="260" t="s">
        <v>305</v>
      </c>
      <c r="R3" s="261" t="s">
        <v>308</v>
      </c>
    </row>
    <row r="4" spans="1:18" ht="15.75" thickTop="1" x14ac:dyDescent="0.25">
      <c r="A4" t="s">
        <v>12</v>
      </c>
      <c r="B4" s="1" t="s">
        <v>13</v>
      </c>
      <c r="C4" s="1" t="s">
        <v>11</v>
      </c>
      <c r="D4" s="6">
        <v>3.0000000000000001E-6</v>
      </c>
      <c r="H4" t="s">
        <v>148</v>
      </c>
      <c r="I4" t="s">
        <v>150</v>
      </c>
      <c r="J4" t="s">
        <v>151</v>
      </c>
      <c r="M4" s="146"/>
      <c r="N4" s="153" t="s">
        <v>156</v>
      </c>
      <c r="O4" s="153" t="s">
        <v>159</v>
      </c>
      <c r="P4" s="256" t="s">
        <v>156</v>
      </c>
      <c r="Q4" s="153" t="s">
        <v>36</v>
      </c>
      <c r="R4" s="154" t="s">
        <v>36</v>
      </c>
    </row>
    <row r="5" spans="1:18" x14ac:dyDescent="0.25">
      <c r="A5" t="s">
        <v>14</v>
      </c>
      <c r="B5" s="1" t="s">
        <v>15</v>
      </c>
      <c r="C5" s="1" t="s">
        <v>11</v>
      </c>
      <c r="D5" s="6">
        <v>9.9999999999999995E-7</v>
      </c>
      <c r="M5" s="147">
        <v>1</v>
      </c>
      <c r="N5" s="148">
        <v>5.8</v>
      </c>
      <c r="O5" s="149">
        <v>1.5</v>
      </c>
      <c r="P5" s="257">
        <v>3.58</v>
      </c>
      <c r="Q5" s="148">
        <v>2200</v>
      </c>
      <c r="R5" s="144">
        <v>4924</v>
      </c>
    </row>
    <row r="6" spans="1:18" x14ac:dyDescent="0.25">
      <c r="A6" s="98" t="s">
        <v>16</v>
      </c>
      <c r="B6" s="21" t="s">
        <v>17</v>
      </c>
      <c r="C6" s="21" t="s">
        <v>11</v>
      </c>
      <c r="D6" s="61">
        <f>D25*(1-D10)-D4*D10</f>
        <v>9.9599999999999987E-7</v>
      </c>
      <c r="M6" s="147">
        <v>2</v>
      </c>
      <c r="N6" s="148">
        <v>2.5</v>
      </c>
      <c r="O6" s="149">
        <v>0.5</v>
      </c>
      <c r="P6" s="257">
        <v>2.11</v>
      </c>
      <c r="Q6" s="148">
        <v>3500</v>
      </c>
      <c r="R6" s="144">
        <v>4543</v>
      </c>
    </row>
    <row r="7" spans="1:18" x14ac:dyDescent="0.25">
      <c r="A7" t="s">
        <v>18</v>
      </c>
      <c r="B7" s="1" t="s">
        <v>19</v>
      </c>
      <c r="C7" s="1" t="s">
        <v>20</v>
      </c>
      <c r="D7" s="1">
        <v>0.5</v>
      </c>
      <c r="M7" s="147">
        <v>3</v>
      </c>
      <c r="N7" s="148">
        <v>2.5</v>
      </c>
      <c r="O7" s="149">
        <v>0.8</v>
      </c>
      <c r="P7" s="257">
        <v>2.61</v>
      </c>
      <c r="Q7" s="148">
        <v>3700</v>
      </c>
      <c r="R7" s="144">
        <v>4572</v>
      </c>
    </row>
    <row r="8" spans="1:18" x14ac:dyDescent="0.25">
      <c r="A8" t="s">
        <v>21</v>
      </c>
      <c r="B8" s="1" t="s">
        <v>22</v>
      </c>
      <c r="C8" s="1" t="s">
        <v>20</v>
      </c>
      <c r="D8" s="1">
        <v>0.5</v>
      </c>
      <c r="M8" s="147">
        <v>4</v>
      </c>
      <c r="N8" s="148">
        <v>2.88</v>
      </c>
      <c r="O8" s="149">
        <v>0.5</v>
      </c>
      <c r="P8" s="257">
        <v>2.2200000000000002</v>
      </c>
      <c r="Q8" s="148">
        <v>3550</v>
      </c>
      <c r="R8" s="144">
        <v>4186</v>
      </c>
    </row>
    <row r="9" spans="1:18" ht="15.75" thickBot="1" x14ac:dyDescent="0.3">
      <c r="A9" t="s">
        <v>23</v>
      </c>
      <c r="B9" s="1" t="s">
        <v>24</v>
      </c>
      <c r="C9" s="1" t="s">
        <v>20</v>
      </c>
      <c r="D9" s="1">
        <v>0.9</v>
      </c>
      <c r="M9" s="150">
        <v>5</v>
      </c>
      <c r="N9" s="151">
        <v>0.9</v>
      </c>
      <c r="O9" s="152">
        <v>0.5</v>
      </c>
      <c r="P9" s="258">
        <v>2.12</v>
      </c>
      <c r="Q9" s="151">
        <v>3400</v>
      </c>
      <c r="R9" s="145">
        <v>3484</v>
      </c>
    </row>
    <row r="10" spans="1:18" x14ac:dyDescent="0.25">
      <c r="A10" t="s">
        <v>25</v>
      </c>
      <c r="B10" s="1" t="s">
        <v>26</v>
      </c>
      <c r="C10" s="1" t="s">
        <v>20</v>
      </c>
      <c r="D10" s="1">
        <v>0.1</v>
      </c>
    </row>
    <row r="11" spans="1:18" x14ac:dyDescent="0.25">
      <c r="A11" t="s">
        <v>27</v>
      </c>
      <c r="B11" s="1" t="s">
        <v>28</v>
      </c>
      <c r="C11" s="1" t="s">
        <v>20</v>
      </c>
      <c r="D11" s="1">
        <v>5.9700000000000003E-2</v>
      </c>
    </row>
    <row r="12" spans="1:18" x14ac:dyDescent="0.25">
      <c r="A12" t="s">
        <v>29</v>
      </c>
      <c r="B12" s="1" t="s">
        <v>30</v>
      </c>
      <c r="C12" s="1" t="s">
        <v>20</v>
      </c>
      <c r="D12" s="1">
        <v>5.5000000000000003E-4</v>
      </c>
    </row>
    <row r="13" spans="1:18" x14ac:dyDescent="0.25">
      <c r="A13" t="s">
        <v>110</v>
      </c>
      <c r="B13" s="1" t="s">
        <v>45</v>
      </c>
      <c r="C13" s="1" t="s">
        <v>20</v>
      </c>
      <c r="D13" s="1">
        <v>0.496</v>
      </c>
    </row>
    <row r="14" spans="1:18" x14ac:dyDescent="0.25">
      <c r="A14" s="189" t="s">
        <v>31</v>
      </c>
      <c r="B14" s="156" t="s">
        <v>32</v>
      </c>
      <c r="C14" s="156" t="s">
        <v>11</v>
      </c>
      <c r="D14" s="190">
        <v>1.49E-5</v>
      </c>
    </row>
    <row r="15" spans="1:18" x14ac:dyDescent="0.25">
      <c r="B15" s="1"/>
      <c r="C15" s="1"/>
      <c r="D15" s="1"/>
    </row>
    <row r="16" spans="1:18" x14ac:dyDescent="0.25">
      <c r="A16" t="s">
        <v>126</v>
      </c>
      <c r="B16" s="5" t="s">
        <v>33</v>
      </c>
      <c r="C16" s="1" t="s">
        <v>20</v>
      </c>
      <c r="D16" s="119">
        <f>D12/(D11+D12)</f>
        <v>9.1286307053941914E-3</v>
      </c>
      <c r="E16">
        <v>9.1299999999999992E-3</v>
      </c>
    </row>
    <row r="17" spans="1:6" x14ac:dyDescent="0.25">
      <c r="A17" t="s">
        <v>34</v>
      </c>
      <c r="B17" s="5" t="s">
        <v>35</v>
      </c>
      <c r="C17" s="5" t="s">
        <v>36</v>
      </c>
      <c r="D17" s="5">
        <v>2400</v>
      </c>
    </row>
    <row r="18" spans="1:6" x14ac:dyDescent="0.25">
      <c r="A18" t="s">
        <v>37</v>
      </c>
      <c r="B18" s="5" t="s">
        <v>38</v>
      </c>
      <c r="C18" s="5" t="s">
        <v>39</v>
      </c>
      <c r="D18" s="5">
        <v>1.4459</v>
      </c>
    </row>
    <row r="19" spans="1:6" x14ac:dyDescent="0.25">
      <c r="A19" t="s">
        <v>40</v>
      </c>
      <c r="B19" s="1" t="s">
        <v>41</v>
      </c>
      <c r="C19" s="1" t="s">
        <v>20</v>
      </c>
      <c r="D19" s="1">
        <v>0.2</v>
      </c>
    </row>
    <row r="20" spans="1:6" x14ac:dyDescent="0.25">
      <c r="B20" s="1"/>
      <c r="C20" s="1"/>
      <c r="D20" s="1"/>
    </row>
    <row r="21" spans="1:6" x14ac:dyDescent="0.25">
      <c r="A21" t="s">
        <v>61</v>
      </c>
      <c r="B21" s="1" t="s">
        <v>62</v>
      </c>
      <c r="C21" s="1" t="s">
        <v>63</v>
      </c>
      <c r="D21" s="17">
        <v>1.298</v>
      </c>
    </row>
    <row r="22" spans="1:6" x14ac:dyDescent="0.25">
      <c r="A22" t="s">
        <v>64</v>
      </c>
      <c r="B22" s="1" t="s">
        <v>307</v>
      </c>
      <c r="C22" s="1" t="s">
        <v>63</v>
      </c>
      <c r="D22" s="17">
        <v>1.2769999999999999</v>
      </c>
    </row>
    <row r="23" spans="1:6" x14ac:dyDescent="0.25">
      <c r="A23" t="s">
        <v>66</v>
      </c>
      <c r="B23" s="1" t="s">
        <v>65</v>
      </c>
      <c r="C23" s="1" t="s">
        <v>63</v>
      </c>
      <c r="D23" s="17">
        <v>2.1000000000000001E-2</v>
      </c>
    </row>
    <row r="24" spans="1:6" x14ac:dyDescent="0.25">
      <c r="A24" t="s">
        <v>108</v>
      </c>
      <c r="B24" s="1" t="s">
        <v>42</v>
      </c>
      <c r="C24" s="1"/>
      <c r="D24" s="6">
        <v>5.0000000000000004E-6</v>
      </c>
    </row>
    <row r="25" spans="1:6" x14ac:dyDescent="0.25">
      <c r="A25" t="s">
        <v>109</v>
      </c>
      <c r="B25" s="1" t="s">
        <v>43</v>
      </c>
      <c r="C25" s="1"/>
      <c r="D25" s="6">
        <v>1.44E-6</v>
      </c>
    </row>
    <row r="26" spans="1:6" x14ac:dyDescent="0.25">
      <c r="A26" t="s">
        <v>107</v>
      </c>
      <c r="B26" s="5" t="s">
        <v>44</v>
      </c>
      <c r="C26" s="1"/>
      <c r="D26" s="1">
        <f>D23/D21</f>
        <v>1.6178736517719568E-2</v>
      </c>
    </row>
    <row r="27" spans="1:6" x14ac:dyDescent="0.25">
      <c r="A27" t="s">
        <v>67</v>
      </c>
      <c r="B27" s="1" t="s">
        <v>68</v>
      </c>
      <c r="C27" s="1" t="s">
        <v>20</v>
      </c>
      <c r="D27" s="19">
        <v>0</v>
      </c>
    </row>
    <row r="28" spans="1:6" x14ac:dyDescent="0.25">
      <c r="A28" t="s">
        <v>69</v>
      </c>
      <c r="B28" s="1" t="s">
        <v>70</v>
      </c>
      <c r="C28" s="1" t="s">
        <v>20</v>
      </c>
      <c r="D28" s="19">
        <v>1</v>
      </c>
    </row>
    <row r="29" spans="1:6" x14ac:dyDescent="0.25">
      <c r="A29" t="s">
        <v>71</v>
      </c>
      <c r="B29" s="1" t="s">
        <v>72</v>
      </c>
      <c r="C29" s="1" t="s">
        <v>20</v>
      </c>
      <c r="D29" s="19">
        <v>1</v>
      </c>
    </row>
    <row r="31" spans="1:6" x14ac:dyDescent="0.25">
      <c r="A31" t="s">
        <v>173</v>
      </c>
      <c r="B31" s="1" t="s">
        <v>176</v>
      </c>
      <c r="C31" s="1" t="s">
        <v>36</v>
      </c>
      <c r="D31" s="19">
        <v>6000</v>
      </c>
    </row>
    <row r="32" spans="1:6" x14ac:dyDescent="0.25">
      <c r="A32" t="s">
        <v>174</v>
      </c>
      <c r="B32" s="1" t="s">
        <v>175</v>
      </c>
      <c r="C32" t="s">
        <v>178</v>
      </c>
      <c r="D32" s="3">
        <f>(E32-491.67)/1.8</f>
        <v>108.3333333333333</v>
      </c>
      <c r="E32">
        <v>686.67</v>
      </c>
      <c r="F32" t="s">
        <v>177</v>
      </c>
    </row>
    <row r="33" spans="1:5" x14ac:dyDescent="0.25">
      <c r="A33" t="s">
        <v>209</v>
      </c>
      <c r="B33" s="1" t="s">
        <v>133</v>
      </c>
      <c r="C33" s="1" t="s">
        <v>210</v>
      </c>
      <c r="D33" s="3">
        <v>97.5</v>
      </c>
    </row>
    <row r="34" spans="1:5" x14ac:dyDescent="0.25">
      <c r="A34" t="s">
        <v>211</v>
      </c>
      <c r="B34" s="1" t="s">
        <v>55</v>
      </c>
      <c r="C34" s="1" t="s">
        <v>212</v>
      </c>
      <c r="D34" s="3">
        <v>73.180000000000007</v>
      </c>
    </row>
    <row r="35" spans="1:5" x14ac:dyDescent="0.25">
      <c r="A35" s="194" t="s">
        <v>236</v>
      </c>
      <c r="B35" s="196" t="s">
        <v>237</v>
      </c>
      <c r="C35" s="196" t="s">
        <v>210</v>
      </c>
      <c r="D35" s="197">
        <f>(43560*D34/PI())^0.5</f>
        <v>1007.3147695897754</v>
      </c>
      <c r="E35" s="18" t="s">
        <v>274</v>
      </c>
    </row>
    <row r="36" spans="1:5" x14ac:dyDescent="0.25">
      <c r="A36" s="194" t="s">
        <v>229</v>
      </c>
      <c r="B36" s="196" t="s">
        <v>136</v>
      </c>
      <c r="C36" s="196" t="s">
        <v>210</v>
      </c>
      <c r="D36" s="197">
        <v>1</v>
      </c>
      <c r="E36" s="18" t="s">
        <v>230</v>
      </c>
    </row>
    <row r="37" spans="1:5" x14ac:dyDescent="0.25">
      <c r="A37" t="s">
        <v>213</v>
      </c>
      <c r="B37" s="1" t="s">
        <v>138</v>
      </c>
      <c r="C37" s="1" t="s">
        <v>210</v>
      </c>
      <c r="D37" s="3">
        <v>150</v>
      </c>
    </row>
    <row r="38" spans="1:5" x14ac:dyDescent="0.25">
      <c r="A38" s="191" t="s">
        <v>231</v>
      </c>
      <c r="B38" s="161" t="s">
        <v>232</v>
      </c>
      <c r="C38" s="161" t="s">
        <v>210</v>
      </c>
      <c r="D38" s="192"/>
    </row>
    <row r="39" spans="1:5" x14ac:dyDescent="0.25">
      <c r="A39" t="s">
        <v>214</v>
      </c>
      <c r="B39" s="1" t="s">
        <v>137</v>
      </c>
      <c r="C39" s="1" t="s">
        <v>210</v>
      </c>
      <c r="D39" s="3">
        <v>3750</v>
      </c>
    </row>
    <row r="40" spans="1:5" x14ac:dyDescent="0.25">
      <c r="A40" t="s">
        <v>215</v>
      </c>
      <c r="B40" s="1" t="s">
        <v>135</v>
      </c>
      <c r="C40" s="1"/>
      <c r="D40" s="3">
        <v>0</v>
      </c>
    </row>
    <row r="41" spans="1:5" x14ac:dyDescent="0.25">
      <c r="A41" t="s">
        <v>216</v>
      </c>
      <c r="B41" s="1" t="s">
        <v>139</v>
      </c>
      <c r="C41" s="1" t="s">
        <v>217</v>
      </c>
      <c r="D41" s="3">
        <v>10</v>
      </c>
    </row>
    <row r="42" spans="1:5" x14ac:dyDescent="0.25">
      <c r="A42" t="s">
        <v>218</v>
      </c>
      <c r="B42" s="1" t="s">
        <v>219</v>
      </c>
      <c r="C42" s="1" t="s">
        <v>217</v>
      </c>
      <c r="D42" s="3">
        <v>40</v>
      </c>
    </row>
    <row r="43" spans="1:5" x14ac:dyDescent="0.25">
      <c r="A43" t="s">
        <v>221</v>
      </c>
      <c r="B43" s="1" t="s">
        <v>220</v>
      </c>
      <c r="C43" s="1" t="s">
        <v>36</v>
      </c>
      <c r="D43" s="19">
        <v>2000</v>
      </c>
    </row>
    <row r="44" spans="1:5" x14ac:dyDescent="0.25">
      <c r="A44" t="s">
        <v>222</v>
      </c>
      <c r="B44" s="1" t="s">
        <v>223</v>
      </c>
      <c r="C44" s="1" t="s">
        <v>36</v>
      </c>
      <c r="D44" s="19">
        <v>2010</v>
      </c>
    </row>
    <row r="45" spans="1:5" x14ac:dyDescent="0.25">
      <c r="A45" s="98" t="s">
        <v>233</v>
      </c>
      <c r="B45" s="21" t="s">
        <v>226</v>
      </c>
      <c r="C45" s="21" t="s">
        <v>210</v>
      </c>
      <c r="D45" s="193">
        <f>((D39/2+D36)*D36)^0.5</f>
        <v>43.312815655415427</v>
      </c>
      <c r="E45" s="194">
        <v>1064.7286853842654</v>
      </c>
    </row>
    <row r="46" spans="1:5" x14ac:dyDescent="0.25">
      <c r="A46" s="98" t="s">
        <v>227</v>
      </c>
      <c r="B46" s="21" t="s">
        <v>228</v>
      </c>
      <c r="C46" s="21" t="s">
        <v>210</v>
      </c>
      <c r="D46" s="193">
        <f>D37/2</f>
        <v>75</v>
      </c>
    </row>
    <row r="47" spans="1:5" x14ac:dyDescent="0.25">
      <c r="A47" s="98" t="s">
        <v>235</v>
      </c>
      <c r="B47" s="21" t="s">
        <v>234</v>
      </c>
      <c r="C47" s="21"/>
      <c r="D47" s="193">
        <f>D35/D46-0.5+D40</f>
        <v>12.930863594530338</v>
      </c>
      <c r="E47">
        <f>LN(D47)</f>
        <v>2.5596169805402926</v>
      </c>
    </row>
    <row r="48" spans="1:5" x14ac:dyDescent="0.25">
      <c r="A48" s="121" t="s">
        <v>276</v>
      </c>
      <c r="B48" s="99" t="s">
        <v>275</v>
      </c>
      <c r="C48" s="99" t="s">
        <v>296</v>
      </c>
      <c r="D48" s="222">
        <f>7758*D34*D33*(D11+D12)</f>
        <v>3335061.5034750006</v>
      </c>
    </row>
    <row r="49" spans="1:4" ht="16.899999999999999" customHeight="1" x14ac:dyDescent="0.25"/>
    <row r="50" spans="1:4" x14ac:dyDescent="0.25">
      <c r="A50" t="s">
        <v>119</v>
      </c>
      <c r="B50" s="1" t="s">
        <v>120</v>
      </c>
      <c r="D50" s="19">
        <v>0</v>
      </c>
    </row>
    <row r="51" spans="1:4" x14ac:dyDescent="0.25">
      <c r="A51" t="s">
        <v>122</v>
      </c>
      <c r="B51" s="1" t="s">
        <v>123</v>
      </c>
      <c r="D51" s="19">
        <v>0</v>
      </c>
    </row>
    <row r="52" spans="1:4" x14ac:dyDescent="0.25">
      <c r="A52" t="s">
        <v>224</v>
      </c>
      <c r="B52" s="1" t="s">
        <v>225</v>
      </c>
      <c r="D52" s="10">
        <v>0.55400000000000005</v>
      </c>
    </row>
  </sheetData>
  <mergeCells count="1">
    <mergeCell ref="M2:R2"/>
  </mergeCells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C8169-2918-43E3-907E-D77E2978BC8A}">
  <dimension ref="B1:AM82"/>
  <sheetViews>
    <sheetView workbookViewId="0">
      <pane ySplit="1" topLeftCell="A19" activePane="bottomLeft" state="frozen"/>
      <selection pane="bottomLeft" activeCell="A36" sqref="A36:XFD36"/>
    </sheetView>
  </sheetViews>
  <sheetFormatPr defaultColWidth="8.85546875" defaultRowHeight="15" x14ac:dyDescent="0.25"/>
  <cols>
    <col min="1" max="1" width="5.140625" customWidth="1"/>
    <col min="2" max="2" width="10.5703125" style="1" bestFit="1" customWidth="1"/>
    <col min="3" max="10" width="8.85546875" style="1"/>
    <col min="11" max="11" width="12.28515625" customWidth="1"/>
    <col min="12" max="12" width="9.42578125" customWidth="1"/>
    <col min="13" max="13" width="9.28515625" customWidth="1"/>
    <col min="14" max="14" width="9.140625" customWidth="1"/>
    <col min="15" max="15" width="13.5703125" customWidth="1"/>
    <col min="16" max="16" width="13" customWidth="1"/>
    <col min="17" max="17" width="9.7109375" customWidth="1"/>
    <col min="18" max="18" width="11.28515625" customWidth="1"/>
    <col min="19" max="19" width="11.140625" customWidth="1"/>
    <col min="20" max="21" width="11.28515625" customWidth="1"/>
    <col min="22" max="22" width="13.28515625" customWidth="1"/>
    <col min="23" max="23" width="9" customWidth="1"/>
    <col min="24" max="24" width="10.42578125" customWidth="1"/>
    <col min="25" max="25" width="11.42578125" customWidth="1"/>
    <col min="26" max="26" width="10.5703125" bestFit="1" customWidth="1"/>
    <col min="27" max="27" width="12.42578125" bestFit="1" customWidth="1"/>
    <col min="28" max="28" width="11" customWidth="1"/>
    <col min="29" max="29" width="9.140625" customWidth="1"/>
    <col min="30" max="30" width="14.5703125" customWidth="1"/>
    <col min="31" max="31" width="9.140625" customWidth="1"/>
    <col min="32" max="32" width="8.28515625" customWidth="1"/>
    <col min="33" max="34" width="8.7109375" customWidth="1"/>
    <col min="35" max="35" width="9.140625" customWidth="1"/>
    <col min="36" max="36" width="12" customWidth="1"/>
    <col min="37" max="37" width="14" bestFit="1" customWidth="1"/>
    <col min="38" max="38" width="12" customWidth="1"/>
    <col min="39" max="39" width="8.7109375" customWidth="1"/>
  </cols>
  <sheetData>
    <row r="1" spans="2:39" ht="18.75" x14ac:dyDescent="0.3">
      <c r="B1" s="99" t="s">
        <v>0</v>
      </c>
      <c r="C1" s="185" t="s">
        <v>1</v>
      </c>
      <c r="D1" s="7" t="s">
        <v>2</v>
      </c>
      <c r="E1" s="7" t="s">
        <v>3</v>
      </c>
      <c r="F1" s="7" t="s">
        <v>202</v>
      </c>
      <c r="G1" s="7" t="s">
        <v>203</v>
      </c>
      <c r="H1" s="63" t="s">
        <v>179</v>
      </c>
      <c r="I1" s="63" t="s">
        <v>180</v>
      </c>
      <c r="J1" s="99" t="s">
        <v>32</v>
      </c>
      <c r="K1" s="24" t="s">
        <v>95</v>
      </c>
      <c r="L1" s="24" t="s">
        <v>160</v>
      </c>
      <c r="M1" s="24" t="s">
        <v>162</v>
      </c>
      <c r="N1" s="21" t="s">
        <v>272</v>
      </c>
      <c r="O1" s="21" t="s">
        <v>269</v>
      </c>
      <c r="P1" s="21" t="s">
        <v>270</v>
      </c>
      <c r="Q1" s="24" t="s">
        <v>164</v>
      </c>
      <c r="R1" s="24" t="s">
        <v>165</v>
      </c>
      <c r="S1" s="21" t="s">
        <v>166</v>
      </c>
      <c r="T1" s="21" t="s">
        <v>167</v>
      </c>
      <c r="U1" s="99" t="s">
        <v>238</v>
      </c>
      <c r="V1" s="167" t="s">
        <v>171</v>
      </c>
      <c r="W1" s="185" t="s">
        <v>141</v>
      </c>
      <c r="X1" s="185" t="s">
        <v>208</v>
      </c>
      <c r="Y1" s="5" t="s">
        <v>144</v>
      </c>
      <c r="Z1" s="5"/>
      <c r="AA1" s="5" t="s">
        <v>143</v>
      </c>
      <c r="AB1" s="5" t="s">
        <v>248</v>
      </c>
      <c r="AC1" s="24" t="s">
        <v>145</v>
      </c>
      <c r="AD1" s="21" t="s">
        <v>48</v>
      </c>
      <c r="AE1" s="209" t="s">
        <v>47</v>
      </c>
      <c r="AF1" s="99" t="s">
        <v>50</v>
      </c>
      <c r="AG1" s="99" t="s">
        <v>281</v>
      </c>
      <c r="AH1" s="99" t="s">
        <v>282</v>
      </c>
      <c r="AI1" s="21" t="s">
        <v>53</v>
      </c>
      <c r="AJ1" s="21" t="s">
        <v>286</v>
      </c>
      <c r="AK1" s="21" t="s">
        <v>293</v>
      </c>
      <c r="AL1" s="21" t="s">
        <v>291</v>
      </c>
      <c r="AM1" s="21" t="s">
        <v>298</v>
      </c>
    </row>
    <row r="2" spans="2:39" x14ac:dyDescent="0.25">
      <c r="B2" s="7" t="s">
        <v>36</v>
      </c>
      <c r="C2" s="186" t="s">
        <v>207</v>
      </c>
      <c r="D2" s="7" t="s">
        <v>301</v>
      </c>
      <c r="E2" s="7" t="s">
        <v>206</v>
      </c>
      <c r="F2" s="7" t="s">
        <v>206</v>
      </c>
      <c r="G2" s="7" t="s">
        <v>39</v>
      </c>
      <c r="H2" s="2" t="s">
        <v>206</v>
      </c>
      <c r="I2" s="2" t="s">
        <v>39</v>
      </c>
      <c r="J2" s="7"/>
      <c r="K2" s="7"/>
      <c r="L2" s="7" t="s">
        <v>161</v>
      </c>
      <c r="M2" s="7" t="s">
        <v>161</v>
      </c>
      <c r="N2" s="161" t="s">
        <v>161</v>
      </c>
      <c r="O2" s="161" t="s">
        <v>161</v>
      </c>
      <c r="P2" s="161" t="s">
        <v>161</v>
      </c>
      <c r="Q2" s="20" t="s">
        <v>168</v>
      </c>
      <c r="R2" s="20" t="s">
        <v>205</v>
      </c>
      <c r="S2" s="161" t="s">
        <v>169</v>
      </c>
      <c r="T2" s="2" t="s">
        <v>204</v>
      </c>
      <c r="U2" s="164" t="s">
        <v>170</v>
      </c>
      <c r="W2" s="186"/>
      <c r="X2" s="186"/>
      <c r="Y2" s="7"/>
      <c r="Z2" s="7"/>
      <c r="AA2" s="7"/>
      <c r="AB2" s="7"/>
      <c r="AC2" s="7"/>
      <c r="AD2" s="161"/>
      <c r="AE2" s="210"/>
      <c r="AI2" s="161" t="s">
        <v>283</v>
      </c>
      <c r="AJ2" s="161" t="s">
        <v>288</v>
      </c>
      <c r="AK2" s="161" t="s">
        <v>288</v>
      </c>
      <c r="AL2" s="161" t="s">
        <v>161</v>
      </c>
      <c r="AM2" s="161" t="s">
        <v>288</v>
      </c>
    </row>
    <row r="3" spans="2:39" x14ac:dyDescent="0.25">
      <c r="B3" s="7"/>
      <c r="C3" s="186"/>
      <c r="D3" s="7"/>
      <c r="E3" s="7"/>
      <c r="F3" s="7"/>
      <c r="G3" s="7"/>
      <c r="H3" s="2"/>
      <c r="I3" s="2"/>
      <c r="J3" s="7"/>
      <c r="K3" s="7"/>
      <c r="L3" s="7"/>
      <c r="M3" s="7"/>
      <c r="N3" s="161"/>
      <c r="O3" s="161"/>
      <c r="P3" s="161"/>
      <c r="Q3" s="20"/>
      <c r="R3" s="20"/>
      <c r="S3" s="161"/>
      <c r="T3" s="2"/>
      <c r="U3" s="164"/>
      <c r="V3" s="312" t="s">
        <v>172</v>
      </c>
      <c r="W3" s="186"/>
      <c r="X3" s="186"/>
      <c r="Y3" s="7"/>
      <c r="Z3" s="7"/>
      <c r="AA3" s="7"/>
      <c r="AB3" s="7"/>
      <c r="AC3" s="7"/>
      <c r="AD3" s="161"/>
      <c r="AE3" s="210"/>
      <c r="AI3" s="161"/>
      <c r="AJ3" s="161"/>
      <c r="AK3" s="312" t="s">
        <v>325</v>
      </c>
      <c r="AL3" s="312" t="s">
        <v>324</v>
      </c>
      <c r="AM3" s="161"/>
    </row>
    <row r="4" spans="2:39" ht="15.75" x14ac:dyDescent="0.25">
      <c r="B4" s="157" t="s">
        <v>339</v>
      </c>
      <c r="C4" s="186"/>
      <c r="D4" s="7"/>
      <c r="E4" s="7"/>
      <c r="F4" s="7"/>
      <c r="G4" s="7"/>
      <c r="H4" s="7"/>
      <c r="I4" s="2"/>
      <c r="J4" s="7"/>
      <c r="K4" s="7" t="s">
        <v>262</v>
      </c>
      <c r="L4" s="7" t="s">
        <v>262</v>
      </c>
      <c r="M4" s="7" t="s">
        <v>263</v>
      </c>
      <c r="N4" s="161"/>
      <c r="O4" s="7" t="s">
        <v>264</v>
      </c>
      <c r="P4" s="7" t="s">
        <v>265</v>
      </c>
      <c r="Q4" s="20"/>
      <c r="R4" s="20"/>
      <c r="S4" s="7"/>
      <c r="T4" s="7"/>
      <c r="U4" s="7"/>
      <c r="V4" s="7" t="s">
        <v>251</v>
      </c>
      <c r="W4" s="7" t="s">
        <v>252</v>
      </c>
      <c r="X4" s="7" t="s">
        <v>253</v>
      </c>
      <c r="Y4" s="7"/>
      <c r="Z4" s="7"/>
      <c r="AA4" s="7"/>
      <c r="AB4" s="7"/>
      <c r="AC4" s="7"/>
      <c r="AD4" s="7" t="s">
        <v>273</v>
      </c>
      <c r="AE4" s="7" t="s">
        <v>273</v>
      </c>
      <c r="AF4" s="7" t="s">
        <v>277</v>
      </c>
      <c r="AG4" s="7" t="s">
        <v>277</v>
      </c>
      <c r="AH4" s="7" t="s">
        <v>277</v>
      </c>
      <c r="AI4" s="7" t="s">
        <v>284</v>
      </c>
      <c r="AJ4" s="7" t="s">
        <v>287</v>
      </c>
      <c r="AK4" s="7" t="s">
        <v>292</v>
      </c>
      <c r="AL4" s="7" t="s">
        <v>292</v>
      </c>
      <c r="AM4" s="7" t="s">
        <v>299</v>
      </c>
    </row>
    <row r="5" spans="2:39" x14ac:dyDescent="0.25">
      <c r="B5" s="169">
        <v>3450</v>
      </c>
      <c r="C5" s="186">
        <f t="shared" ref="C5:C6" si="0">0.00011448*B5 + 1.16638115</f>
        <v>1.5613371500000002</v>
      </c>
      <c r="D5" s="122">
        <f t="shared" ref="D5:D6" si="1">0.04285545*B5 + 15.6741559</f>
        <v>163.52545839999999</v>
      </c>
      <c r="E5">
        <f t="shared" ref="E5:E6" si="2">0.0000000907*B5^2 - 0.0003674172*B5 + 0.9616952608</f>
        <v>0.77366267080000006</v>
      </c>
      <c r="F5">
        <f t="shared" ref="F5:F20" si="3">0.00000236*B5 + 0.01241004</f>
        <v>2.0552040000000001E-2</v>
      </c>
      <c r="G5" s="122">
        <f t="shared" ref="G5:G20" si="4">20.40472*B5^(-1.02454)</f>
        <v>4.8427657691085674E-3</v>
      </c>
      <c r="H5" s="184">
        <f xml:space="preserve"> 0.00000000004*B5^2 + 0.000002*B5 + 0.0125</f>
        <v>1.9876100000000001E-2</v>
      </c>
      <c r="I5" s="184">
        <f>9.6806*B5^(-0.919)</f>
        <v>5.4280835925755297E-3</v>
      </c>
      <c r="J5" s="20"/>
      <c r="K5" s="103"/>
      <c r="L5" s="7"/>
      <c r="M5" s="134"/>
      <c r="N5" s="204"/>
      <c r="O5" s="204"/>
      <c r="P5" s="204"/>
      <c r="Q5" s="159"/>
      <c r="R5" s="159"/>
      <c r="S5" s="134"/>
      <c r="T5" s="134"/>
      <c r="U5" s="165"/>
      <c r="W5" s="188"/>
      <c r="X5" s="188"/>
      <c r="Y5" s="134"/>
      <c r="Z5" s="134"/>
      <c r="AA5" s="134"/>
      <c r="AB5" s="134"/>
      <c r="AC5" s="134"/>
      <c r="AD5" s="204"/>
      <c r="AE5" s="211"/>
      <c r="AF5" s="7"/>
      <c r="AG5" s="7"/>
      <c r="AH5" s="7"/>
      <c r="AI5" s="161"/>
      <c r="AJ5" s="161"/>
      <c r="AK5" s="161"/>
      <c r="AL5" s="161"/>
      <c r="AM5" s="161"/>
    </row>
    <row r="6" spans="2:39" s="18" customFormat="1" x14ac:dyDescent="0.25">
      <c r="B6" s="226">
        <v>3500</v>
      </c>
      <c r="C6" s="227">
        <f t="shared" si="0"/>
        <v>1.56706115</v>
      </c>
      <c r="D6" s="228">
        <f t="shared" si="1"/>
        <v>165.6682309</v>
      </c>
      <c r="E6" s="18">
        <f t="shared" si="2"/>
        <v>0.78681006080000016</v>
      </c>
      <c r="F6" s="18">
        <f t="shared" si="3"/>
        <v>2.0670040000000001E-2</v>
      </c>
      <c r="G6" s="228">
        <f t="shared" si="4"/>
        <v>4.7718981480560693E-3</v>
      </c>
      <c r="H6" s="229">
        <f t="shared" ref="H6:H20" si="5" xml:space="preserve"> 0.00000000004*B6^2 + 0.000002*B6 + 0.0125</f>
        <v>1.9990000000000001E-2</v>
      </c>
      <c r="I6" s="229">
        <f t="shared" ref="I6:I20" si="6">9.6806*B6^(-0.919)</f>
        <v>5.35677916485268E-3</v>
      </c>
      <c r="J6" s="230">
        <f>Data!D$14</f>
        <v>1.49E-5</v>
      </c>
      <c r="K6" s="366">
        <f>'Huff&amp;Puff_1st Cycle'!K41</f>
        <v>8.5978197617310459E-2</v>
      </c>
      <c r="L6" s="231">
        <f>Data!D$21*K$6</f>
        <v>0.11159970050726897</v>
      </c>
      <c r="M6" s="231">
        <f>Data!D$21-L$6</f>
        <v>1.186400299492731</v>
      </c>
      <c r="N6" s="232">
        <f>'Huff&amp;Puff_1st Cycle'!P6</f>
        <v>47.102404274265361</v>
      </c>
      <c r="O6" s="233">
        <f>30.4*Data!N$6*Data!O$6/5.615</f>
        <v>6.7675868210151382</v>
      </c>
      <c r="P6" s="233">
        <f>N6+O6</f>
        <v>53.869991095280497</v>
      </c>
      <c r="Q6" s="234">
        <f>C6</f>
        <v>1.56706115</v>
      </c>
      <c r="R6" s="235">
        <f>(C6-C5)/(B6-B5)</f>
        <v>1.144799999999968E-4</v>
      </c>
      <c r="S6" s="236">
        <f>I6</f>
        <v>5.35677916485268E-3</v>
      </c>
      <c r="T6" s="237">
        <f>(I6-I5)/(B6-B5)</f>
        <v>-1.4260885544569931E-6</v>
      </c>
      <c r="U6" s="238">
        <f>M6*C$6*J$6</f>
        <v>2.7701511083483011E-5</v>
      </c>
      <c r="V6" s="383">
        <f>B6-((B6-B$6+(L6*Q6/U6)-(P6-'Huff&amp;Puff_1st Cycle'!AL$41)*S6/U6))/(1+(L6*R6/U6)-(P6-'Huff&amp;Puff_1st Cycle'!AL$41)*T6/U6)</f>
        <v>4134.6986008602371</v>
      </c>
      <c r="W6" s="240"/>
      <c r="X6" s="243"/>
      <c r="Y6" s="241"/>
      <c r="Z6" s="241"/>
      <c r="AA6" s="241"/>
      <c r="AB6" s="242"/>
      <c r="AC6" s="200">
        <f>'Huff&amp;Puff_1st Cycle'!AC41</f>
        <v>3.4050731593176371</v>
      </c>
      <c r="AD6" s="341"/>
      <c r="AE6" s="244"/>
      <c r="AF6" s="59"/>
      <c r="AG6" s="59"/>
      <c r="AH6" s="59"/>
      <c r="AI6" s="196"/>
      <c r="AJ6" s="196"/>
      <c r="AK6" s="224">
        <f>'Huff&amp;Puff_1st Cycle'!AK41</f>
        <v>49.488899275763877</v>
      </c>
      <c r="AL6" s="388">
        <f>'Huff&amp;Puff_1st Cycle'!AL41</f>
        <v>8.8136953296106633</v>
      </c>
      <c r="AM6" s="388">
        <f>'Huff&amp;Puff_1st Cycle'!AM41</f>
        <v>130.58151373859505</v>
      </c>
    </row>
    <row r="7" spans="2:39" x14ac:dyDescent="0.25">
      <c r="B7" s="169">
        <f>B8-50</f>
        <v>4084.6986008602371</v>
      </c>
      <c r="C7" s="170">
        <f xml:space="preserve"> -0.00001529*B7 + 1.47725786</f>
        <v>1.4148028183928469</v>
      </c>
      <c r="D7" s="122">
        <v>120.569011576135</v>
      </c>
      <c r="E7">
        <f xml:space="preserve"> 0.0000554429*B7 + 0.4645469286</f>
        <v>0.69101446465763405</v>
      </c>
      <c r="F7">
        <f t="shared" si="3"/>
        <v>2.2049928698030158E-2</v>
      </c>
      <c r="G7" s="122">
        <f t="shared" si="4"/>
        <v>4.0733596422907617E-3</v>
      </c>
      <c r="H7" s="184">
        <f t="shared" si="5"/>
        <v>2.1336787708115257E-2</v>
      </c>
      <c r="I7" s="184">
        <f t="shared" si="6"/>
        <v>4.6477870365548143E-3</v>
      </c>
      <c r="J7" s="155"/>
      <c r="K7" s="102"/>
      <c r="L7" s="133"/>
      <c r="M7" s="252"/>
      <c r="N7" s="205"/>
      <c r="O7" s="206"/>
      <c r="P7" s="206"/>
      <c r="Q7" s="160"/>
      <c r="R7" s="163"/>
      <c r="S7" s="158"/>
      <c r="T7" s="162"/>
      <c r="U7" s="166"/>
      <c r="V7" s="384"/>
      <c r="W7" s="188"/>
      <c r="X7" s="188"/>
      <c r="Y7" s="134"/>
      <c r="Z7" s="134"/>
      <c r="AA7" s="134"/>
      <c r="AB7" s="142"/>
      <c r="AC7" s="143"/>
      <c r="AD7" s="207"/>
      <c r="AE7" s="212"/>
      <c r="AF7" s="120"/>
      <c r="AG7" s="10"/>
      <c r="AH7" s="10"/>
      <c r="AI7" s="217"/>
      <c r="AJ7" s="217"/>
      <c r="AK7" s="217"/>
      <c r="AL7" s="217"/>
    </row>
    <row r="8" spans="2:39" x14ac:dyDescent="0.25">
      <c r="B8" s="168">
        <f>V6</f>
        <v>4134.6986008602371</v>
      </c>
      <c r="C8" s="170">
        <f t="shared" ref="C8:C20" si="7" xml:space="preserve"> -0.00001529*B8 + 1.47725786</f>
        <v>1.4140383183928469</v>
      </c>
      <c r="D8" s="122">
        <v>120.569011576135</v>
      </c>
      <c r="E8">
        <f xml:space="preserve"> 0.0000554429*B8 + 0.4645469286</f>
        <v>0.69378660965763406</v>
      </c>
      <c r="F8">
        <f t="shared" si="3"/>
        <v>2.2167928698030158E-2</v>
      </c>
      <c r="G8" s="122">
        <f t="shared" si="4"/>
        <v>4.0229001214079907E-3</v>
      </c>
      <c r="H8" s="184">
        <f t="shared" si="5"/>
        <v>2.1453226502518699E-2</v>
      </c>
      <c r="I8" s="184">
        <f t="shared" si="6"/>
        <v>4.5961095410248717E-3</v>
      </c>
      <c r="J8" s="155"/>
      <c r="K8" s="102"/>
      <c r="L8" s="133">
        <f>Data!D$21*K$6</f>
        <v>0.11159970050726897</v>
      </c>
      <c r="M8" s="252">
        <f>Data!D$21-L$6</f>
        <v>1.186400299492731</v>
      </c>
      <c r="N8" s="205">
        <f>N6</f>
        <v>47.102404274265361</v>
      </c>
      <c r="O8" s="206">
        <f>O6</f>
        <v>6.7675868210151382</v>
      </c>
      <c r="P8" s="206">
        <f>N8+O8</f>
        <v>53.869991095280497</v>
      </c>
      <c r="Q8" s="160">
        <f>C8</f>
        <v>1.4140383183928469</v>
      </c>
      <c r="R8" s="163">
        <f>(C8-C7)/(B8-B7)</f>
        <v>-1.5290000000001136E-5</v>
      </c>
      <c r="S8" s="158">
        <f t="shared" ref="S8:S14" si="8">I8</f>
        <v>4.5961095410248717E-3</v>
      </c>
      <c r="T8" s="162">
        <f>(I8-I7)/(B8-B7)</f>
        <v>-1.0335499105988514E-6</v>
      </c>
      <c r="U8" s="166">
        <f>M8*C$6*J$6</f>
        <v>2.7701511083483011E-5</v>
      </c>
      <c r="V8" s="384">
        <f>B8-((B8-B$6+(L8*Q8/U8)-(P8-'Huff&amp;Puff_1st Cycle'!AL$41)*S8/U8))/(1+(L8*R8/U8)-(P8-'Huff&amp;Puff_1st Cycle'!AL$41)*T8/U8)</f>
        <v>4571.4952026522251</v>
      </c>
      <c r="W8" s="188"/>
      <c r="X8" s="188"/>
      <c r="Y8" s="253"/>
      <c r="Z8" s="134"/>
      <c r="AA8" s="134"/>
      <c r="AB8" s="142"/>
      <c r="AC8" s="143"/>
      <c r="AD8" s="207"/>
      <c r="AE8" s="212"/>
      <c r="AF8" s="120"/>
      <c r="AG8" s="10"/>
      <c r="AH8" s="10"/>
      <c r="AI8" s="217"/>
      <c r="AJ8" s="217"/>
      <c r="AK8" s="217"/>
      <c r="AL8" s="217"/>
      <c r="AM8" s="217"/>
    </row>
    <row r="9" spans="2:39" x14ac:dyDescent="0.25">
      <c r="B9" s="169">
        <f>B10-50</f>
        <v>4521.4952026522251</v>
      </c>
      <c r="C9" s="170">
        <f t="shared" si="7"/>
        <v>1.4081241983514474</v>
      </c>
      <c r="D9" s="122">
        <v>120.569011576135</v>
      </c>
      <c r="E9">
        <f xml:space="preserve"> 0.0000554429*B9 + 0.4645469286</f>
        <v>0.71523173497112702</v>
      </c>
      <c r="F9">
        <f t="shared" si="3"/>
        <v>2.3080768678259249E-2</v>
      </c>
      <c r="G9" s="122">
        <f t="shared" si="4"/>
        <v>3.6706919816619187E-3</v>
      </c>
      <c r="H9" s="184">
        <f t="shared" si="5"/>
        <v>2.2360747160008736E-2</v>
      </c>
      <c r="I9" s="184">
        <f t="shared" si="6"/>
        <v>4.2334852326361616E-3</v>
      </c>
      <c r="J9" s="155"/>
      <c r="K9" s="102"/>
      <c r="L9" s="133"/>
      <c r="M9" s="252"/>
      <c r="N9" s="205"/>
      <c r="O9" s="206"/>
      <c r="P9" s="206"/>
      <c r="Q9" s="160"/>
      <c r="R9" s="163"/>
      <c r="S9" s="158"/>
      <c r="T9" s="162"/>
      <c r="U9" s="166"/>
      <c r="V9" s="384"/>
      <c r="W9" s="188"/>
      <c r="X9" s="188"/>
      <c r="Y9" s="253"/>
      <c r="Z9" s="134"/>
      <c r="AA9" s="134"/>
      <c r="AB9" s="142"/>
      <c r="AC9" s="143"/>
      <c r="AD9" s="207"/>
      <c r="AE9" s="212"/>
      <c r="AF9" s="120"/>
      <c r="AG9" s="10"/>
      <c r="AH9" s="10"/>
      <c r="AI9" s="217"/>
      <c r="AJ9" s="217"/>
      <c r="AK9" s="217"/>
      <c r="AL9" s="217"/>
      <c r="AM9" s="217"/>
    </row>
    <row r="10" spans="2:39" x14ac:dyDescent="0.25">
      <c r="B10" s="168">
        <f>V8</f>
        <v>4571.4952026522251</v>
      </c>
      <c r="C10" s="170">
        <f t="shared" si="7"/>
        <v>1.4073596983514474</v>
      </c>
      <c r="D10" s="122">
        <v>120.569011576135</v>
      </c>
      <c r="E10">
        <f t="shared" ref="E10:E14" si="9" xml:space="preserve"> 0.0000554429*B10 + 0.4645469286</f>
        <v>0.71800387997112702</v>
      </c>
      <c r="F10">
        <f t="shared" si="3"/>
        <v>2.3198768678259249E-2</v>
      </c>
      <c r="G10" s="122">
        <f t="shared" si="4"/>
        <v>3.6295646907894643E-3</v>
      </c>
      <c r="H10" s="184">
        <f t="shared" si="5"/>
        <v>2.2478933140819342E-2</v>
      </c>
      <c r="I10" s="184">
        <f t="shared" si="6"/>
        <v>4.1909137875810118E-3</v>
      </c>
      <c r="J10" s="155"/>
      <c r="K10" s="102"/>
      <c r="L10" s="133">
        <f>Data!D$21*K$6</f>
        <v>0.11159970050726897</v>
      </c>
      <c r="M10" s="252">
        <f>Data!D$21-L$6</f>
        <v>1.186400299492731</v>
      </c>
      <c r="N10" s="205">
        <f>N8</f>
        <v>47.102404274265361</v>
      </c>
      <c r="O10" s="206">
        <f>O8</f>
        <v>6.7675868210151382</v>
      </c>
      <c r="P10" s="206">
        <f t="shared" ref="P10:P14" si="10">N10+O10</f>
        <v>53.869991095280497</v>
      </c>
      <c r="Q10" s="160">
        <f t="shared" ref="Q10:Q14" si="11">C10</f>
        <v>1.4073596983514474</v>
      </c>
      <c r="R10" s="163">
        <f>(C10-C9)/(B10-B9)</f>
        <v>-1.5290000000001136E-5</v>
      </c>
      <c r="S10" s="158">
        <f t="shared" si="8"/>
        <v>4.1909137875810118E-3</v>
      </c>
      <c r="T10" s="162">
        <f>(I10-I9)/(B10-B9)</f>
        <v>-8.5142890110299564E-7</v>
      </c>
      <c r="U10" s="166">
        <f>M10*C$6*J$6</f>
        <v>2.7701511083483011E-5</v>
      </c>
      <c r="V10" s="384">
        <f>B10-((B10-B$6+(L10*Q10/U10)-(P10-'Huff&amp;Puff_1st Cycle'!AL$41)*S10/U10))/(1+(L10*R10/U10)-(P10-'Huff&amp;Puff_1st Cycle'!AL$41)*T10/U10)</f>
        <v>4603.8783409371044</v>
      </c>
      <c r="W10" s="188"/>
      <c r="X10" s="188"/>
      <c r="Y10" s="253"/>
      <c r="Z10" s="134"/>
      <c r="AA10" s="134"/>
      <c r="AB10" s="142"/>
      <c r="AC10" s="143"/>
      <c r="AD10" s="207"/>
      <c r="AE10" s="212"/>
      <c r="AF10" s="120"/>
      <c r="AG10" s="10"/>
      <c r="AH10" s="10"/>
      <c r="AI10" s="217"/>
      <c r="AJ10" s="217"/>
      <c r="AK10" s="217"/>
      <c r="AL10" s="217"/>
      <c r="AM10" s="217"/>
    </row>
    <row r="11" spans="2:39" x14ac:dyDescent="0.25">
      <c r="B11" s="169">
        <f>B12-50</f>
        <v>4553.8783409371044</v>
      </c>
      <c r="C11" s="170">
        <f t="shared" si="7"/>
        <v>1.4076290601670716</v>
      </c>
      <c r="D11" s="122">
        <v>120.569011576135</v>
      </c>
      <c r="E11">
        <f xml:space="preserve"> 0.0000554429*B11 + 0.4645469286</f>
        <v>0.71702715006874174</v>
      </c>
      <c r="F11">
        <f t="shared" si="3"/>
        <v>2.3157192884611565E-2</v>
      </c>
      <c r="G11" s="122">
        <f t="shared" si="4"/>
        <v>3.6439510589358916E-3</v>
      </c>
      <c r="H11" s="184">
        <f t="shared" si="5"/>
        <v>2.2437268999636453E-2</v>
      </c>
      <c r="I11" s="184">
        <f t="shared" si="6"/>
        <v>4.2058109449475993E-3</v>
      </c>
      <c r="J11" s="155"/>
      <c r="K11" s="102"/>
      <c r="L11" s="133"/>
      <c r="M11" s="252"/>
      <c r="N11" s="205"/>
      <c r="O11" s="206"/>
      <c r="P11" s="206"/>
      <c r="Q11" s="160"/>
      <c r="R11" s="163"/>
      <c r="S11" s="158"/>
      <c r="T11" s="162"/>
      <c r="U11" s="166"/>
      <c r="V11" s="384"/>
      <c r="W11" s="188"/>
      <c r="X11" s="188"/>
      <c r="Y11" s="253"/>
      <c r="Z11" s="134"/>
      <c r="AA11" s="134"/>
      <c r="AB11" s="142"/>
      <c r="AC11" s="143"/>
      <c r="AD11" s="207"/>
      <c r="AE11" s="212"/>
      <c r="AF11" s="120"/>
      <c r="AG11" s="10"/>
      <c r="AH11" s="10"/>
      <c r="AI11" s="217"/>
      <c r="AJ11" s="217"/>
      <c r="AK11" s="217"/>
      <c r="AL11" s="217"/>
      <c r="AM11" s="217"/>
    </row>
    <row r="12" spans="2:39" x14ac:dyDescent="0.25">
      <c r="B12" s="168">
        <f>V10</f>
        <v>4603.8783409371044</v>
      </c>
      <c r="C12" s="187">
        <f t="shared" si="7"/>
        <v>1.4068645601670715</v>
      </c>
      <c r="D12" s="122">
        <v>120.569011576135</v>
      </c>
      <c r="E12">
        <f t="shared" si="9"/>
        <v>0.71979929506874174</v>
      </c>
      <c r="F12">
        <f t="shared" si="3"/>
        <v>2.3275192884611565E-2</v>
      </c>
      <c r="G12" s="122">
        <f t="shared" si="4"/>
        <v>3.6034105181546269E-3</v>
      </c>
      <c r="H12" s="184">
        <f t="shared" si="5"/>
        <v>2.2555584513000201E-2</v>
      </c>
      <c r="I12" s="184">
        <f t="shared" si="6"/>
        <v>4.1638154062789987E-3</v>
      </c>
      <c r="J12" s="155"/>
      <c r="K12" s="102"/>
      <c r="L12" s="133">
        <f>Data!D$21*K$6</f>
        <v>0.11159970050726897</v>
      </c>
      <c r="M12" s="252">
        <f>Data!D$21-L$6</f>
        <v>1.186400299492731</v>
      </c>
      <c r="N12" s="205">
        <f>N10</f>
        <v>47.102404274265361</v>
      </c>
      <c r="O12" s="206">
        <f>O10</f>
        <v>6.7675868210151382</v>
      </c>
      <c r="P12" s="206">
        <f t="shared" si="10"/>
        <v>53.869991095280497</v>
      </c>
      <c r="Q12" s="160">
        <f t="shared" si="11"/>
        <v>1.4068645601670715</v>
      </c>
      <c r="R12" s="163">
        <f>(C12-C11)/(B12-B11)</f>
        <v>-1.5290000000001136E-5</v>
      </c>
      <c r="S12" s="158">
        <f t="shared" si="8"/>
        <v>4.1638154062789987E-3</v>
      </c>
      <c r="T12" s="162">
        <f>(I12-I11)/(B12-B11)</f>
        <v>-8.3991077337201158E-7</v>
      </c>
      <c r="U12" s="166">
        <f>M12*C$6*J$6</f>
        <v>2.7701511083483011E-5</v>
      </c>
      <c r="V12" s="384">
        <f>B12-((B12-B$6+(L12*Q12/U12)-(P12-'Huff&amp;Puff_1st Cycle'!AL$41)*S12/U12))/(1+(L12*R12/U12)-(P12-'Huff&amp;Puff_1st Cycle'!AL$41)*T12/U12)</f>
        <v>4604.2125721692673</v>
      </c>
      <c r="W12" s="188"/>
      <c r="X12" s="188"/>
      <c r="Y12" s="253"/>
      <c r="Z12" s="134"/>
      <c r="AA12" s="134"/>
      <c r="AB12" s="142"/>
      <c r="AC12" s="143"/>
      <c r="AD12" s="207"/>
      <c r="AE12" s="212"/>
      <c r="AF12" s="120"/>
      <c r="AG12" s="10"/>
      <c r="AH12" s="10"/>
      <c r="AI12" s="217"/>
      <c r="AJ12" s="217"/>
      <c r="AK12" s="217"/>
      <c r="AL12" s="217"/>
      <c r="AM12" s="217"/>
    </row>
    <row r="13" spans="2:39" x14ac:dyDescent="0.25">
      <c r="B13" s="169">
        <f>B14-50</f>
        <v>4554.2125721692673</v>
      </c>
      <c r="C13" s="170">
        <f t="shared" si="7"/>
        <v>1.4076239497715317</v>
      </c>
      <c r="D13" s="122">
        <v>120.569011576135</v>
      </c>
      <c r="E13">
        <f xml:space="preserve"> 0.0000554429*B13 + 0.4645469286</f>
        <v>0.7170456808175234</v>
      </c>
      <c r="F13">
        <f t="shared" si="3"/>
        <v>2.3157981670319471E-2</v>
      </c>
      <c r="G13" s="122">
        <f t="shared" si="4"/>
        <v>3.6436770688836025E-3</v>
      </c>
      <c r="H13" s="184">
        <f t="shared" si="5"/>
        <v>2.243805923043872E-2</v>
      </c>
      <c r="I13" s="184">
        <f t="shared" si="6"/>
        <v>4.2055272835219643E-3</v>
      </c>
      <c r="J13" s="155"/>
      <c r="K13" s="102"/>
      <c r="L13" s="133"/>
      <c r="M13" s="252"/>
      <c r="N13" s="205"/>
      <c r="O13" s="206"/>
      <c r="P13" s="206"/>
      <c r="Q13" s="160"/>
      <c r="R13" s="163"/>
      <c r="S13" s="158"/>
      <c r="T13" s="162"/>
      <c r="U13" s="166"/>
      <c r="V13" s="384"/>
      <c r="W13" s="188"/>
      <c r="X13" s="188"/>
      <c r="Y13" s="253"/>
      <c r="Z13" s="134"/>
      <c r="AA13" s="134"/>
      <c r="AB13" s="142"/>
      <c r="AC13" s="143"/>
      <c r="AD13" s="207"/>
      <c r="AE13" s="212"/>
      <c r="AF13" s="120"/>
      <c r="AG13" s="10"/>
      <c r="AH13" s="10"/>
      <c r="AI13" s="217"/>
      <c r="AJ13" s="217"/>
      <c r="AK13" s="217"/>
      <c r="AL13" s="217"/>
      <c r="AM13" s="217"/>
    </row>
    <row r="14" spans="2:39" x14ac:dyDescent="0.25">
      <c r="B14" s="168">
        <f t="shared" ref="B14" si="12">V12</f>
        <v>4604.2125721692673</v>
      </c>
      <c r="C14" s="170">
        <f t="shared" si="7"/>
        <v>1.4068594497715319</v>
      </c>
      <c r="D14" s="122">
        <v>120.569011576135</v>
      </c>
      <c r="E14">
        <f t="shared" si="9"/>
        <v>0.7198178258175234</v>
      </c>
      <c r="F14">
        <f t="shared" si="3"/>
        <v>2.3275981670319471E-2</v>
      </c>
      <c r="G14" s="122">
        <f t="shared" si="4"/>
        <v>3.6031425186832341E-3</v>
      </c>
      <c r="H14" s="184">
        <f t="shared" si="5"/>
        <v>2.2556376080727396E-2</v>
      </c>
      <c r="I14" s="184">
        <f t="shared" si="6"/>
        <v>4.1635376269531224E-3</v>
      </c>
      <c r="J14" s="155"/>
      <c r="K14" s="102"/>
      <c r="L14" s="133">
        <f>Data!D$21*K$6</f>
        <v>0.11159970050726897</v>
      </c>
      <c r="M14" s="252">
        <f>Data!D$21-L$6</f>
        <v>1.186400299492731</v>
      </c>
      <c r="N14" s="205">
        <f>N12</f>
        <v>47.102404274265361</v>
      </c>
      <c r="O14" s="206">
        <f>O12</f>
        <v>6.7675868210151382</v>
      </c>
      <c r="P14" s="206">
        <f t="shared" si="10"/>
        <v>53.869991095280497</v>
      </c>
      <c r="Q14" s="160">
        <f t="shared" si="11"/>
        <v>1.4068594497715319</v>
      </c>
      <c r="R14" s="163">
        <f>(C14-C13)/(B14-B13)</f>
        <v>-1.5289999999996694E-5</v>
      </c>
      <c r="S14" s="158">
        <f t="shared" si="8"/>
        <v>4.1635376269531224E-3</v>
      </c>
      <c r="T14" s="162">
        <f>(I14-I13)/(B14-B13)</f>
        <v>-8.3979313137683835E-7</v>
      </c>
      <c r="U14" s="166">
        <f>M14*C$6*J$6</f>
        <v>2.7701511083483011E-5</v>
      </c>
      <c r="V14" s="384">
        <f>B14-((B14-B$6+(L14*Q14/U14)-(P14-'Huff&amp;Puff_1st Cycle'!AL$41)*S14/U14))/(1+(L14*R14/U14)-(P14-'Huff&amp;Puff_1st Cycle'!AL$41)*T14/U14)</f>
        <v>4604.2146509444219</v>
      </c>
      <c r="W14" s="188"/>
      <c r="X14" s="188"/>
      <c r="Y14" s="253"/>
      <c r="Z14" s="134"/>
      <c r="AA14" s="134"/>
      <c r="AB14" s="142"/>
      <c r="AC14" s="143"/>
      <c r="AD14" s="207"/>
      <c r="AE14" s="212"/>
      <c r="AF14" s="120"/>
      <c r="AG14" s="10"/>
      <c r="AH14" s="10"/>
      <c r="AI14" s="217"/>
      <c r="AJ14" s="217"/>
      <c r="AK14" s="217"/>
      <c r="AL14" s="217"/>
      <c r="AM14" s="217"/>
    </row>
    <row r="15" spans="2:39" x14ac:dyDescent="0.25">
      <c r="B15" s="169">
        <f>B16-50</f>
        <v>4554.2146509444219</v>
      </c>
      <c r="C15" s="170">
        <f t="shared" si="7"/>
        <v>1.4076239179870598</v>
      </c>
      <c r="D15" s="122">
        <v>120.569011576135</v>
      </c>
      <c r="E15">
        <f xml:space="preserve"> 0.0000554429*B15 + 0.4645469286</f>
        <v>0.71704579607084651</v>
      </c>
      <c r="F15">
        <f t="shared" si="3"/>
        <v>2.3157986576228834E-2</v>
      </c>
      <c r="G15" s="122">
        <f t="shared" si="4"/>
        <v>3.6436753649101783E-3</v>
      </c>
      <c r="H15" s="184">
        <f t="shared" si="5"/>
        <v>2.2438064145363916E-2</v>
      </c>
      <c r="I15" s="184">
        <f t="shared" si="6"/>
        <v>4.2055255193943607E-3</v>
      </c>
      <c r="J15" s="155"/>
      <c r="K15" s="102"/>
      <c r="L15" s="133"/>
      <c r="M15" s="252"/>
      <c r="N15" s="205"/>
      <c r="O15" s="206"/>
      <c r="P15" s="206"/>
      <c r="Q15" s="160"/>
      <c r="R15" s="163"/>
      <c r="S15" s="158"/>
      <c r="T15" s="162"/>
      <c r="U15" s="166"/>
      <c r="V15" s="384"/>
      <c r="W15" s="188"/>
      <c r="X15" s="188"/>
      <c r="Y15" s="253"/>
      <c r="Z15" s="134"/>
      <c r="AA15" s="134"/>
      <c r="AB15" s="142"/>
      <c r="AC15" s="143"/>
      <c r="AD15" s="207"/>
      <c r="AE15" s="212"/>
      <c r="AF15" s="120"/>
      <c r="AG15" s="10"/>
      <c r="AH15" s="10"/>
      <c r="AI15" s="217"/>
      <c r="AJ15" s="217"/>
      <c r="AK15" s="217"/>
      <c r="AL15" s="217"/>
      <c r="AM15" s="217"/>
    </row>
    <row r="16" spans="2:39" x14ac:dyDescent="0.25">
      <c r="B16" s="168">
        <f t="shared" ref="B16" si="13">V14</f>
        <v>4604.2146509444219</v>
      </c>
      <c r="C16" s="170">
        <f t="shared" si="7"/>
        <v>1.4068594179870597</v>
      </c>
      <c r="D16" s="122">
        <v>120.569011576135</v>
      </c>
      <c r="E16">
        <f t="shared" ref="E16" si="14" xml:space="preserve"> 0.0000554429*B16 + 0.4645469286</f>
        <v>0.71981794107084651</v>
      </c>
      <c r="F16">
        <f t="shared" si="3"/>
        <v>2.3275986576228834E-2</v>
      </c>
      <c r="G16" s="122">
        <f t="shared" si="4"/>
        <v>3.6031408519645179E-3</v>
      </c>
      <c r="H16" s="184">
        <f t="shared" si="5"/>
        <v>2.2556381003967695E-2</v>
      </c>
      <c r="I16" s="184">
        <f t="shared" si="6"/>
        <v>4.1635358994057394E-3</v>
      </c>
      <c r="J16" s="155"/>
      <c r="K16" s="102"/>
      <c r="L16" s="133">
        <f>Data!D$21*K$6</f>
        <v>0.11159970050726897</v>
      </c>
      <c r="M16" s="252">
        <f>Data!D$21-L$6</f>
        <v>1.186400299492731</v>
      </c>
      <c r="N16" s="205">
        <f>N14</f>
        <v>47.102404274265361</v>
      </c>
      <c r="O16" s="206">
        <f>O14</f>
        <v>6.7675868210151382</v>
      </c>
      <c r="P16" s="206">
        <f t="shared" ref="P16" si="15">N16+O16</f>
        <v>53.869991095280497</v>
      </c>
      <c r="Q16" s="160">
        <f t="shared" ref="Q16" si="16">C16</f>
        <v>1.4068594179870597</v>
      </c>
      <c r="R16" s="163">
        <f>(C16-C15)/(B16-B15)</f>
        <v>-1.5290000000001136E-5</v>
      </c>
      <c r="S16" s="158">
        <f t="shared" ref="S16" si="17">I16</f>
        <v>4.1635358994057394E-3</v>
      </c>
      <c r="T16" s="162">
        <f>(I16-I15)/(B16-B15)</f>
        <v>-8.3979239977242591E-7</v>
      </c>
      <c r="U16" s="166">
        <f>M16*C$6*J$6</f>
        <v>2.7701511083483011E-5</v>
      </c>
      <c r="V16" s="384">
        <f>B16-((B16-B$6+(L16*Q16/U16)-(P16-'Huff&amp;Puff_1st Cycle'!AL$41)*S16/U16))/(1+(L16*R16/U16)-(P16-'Huff&amp;Puff_1st Cycle'!AL$41)*T16/U16)</f>
        <v>4604.2146637863716</v>
      </c>
      <c r="W16" s="188"/>
      <c r="X16" s="188"/>
      <c r="Y16" s="253"/>
      <c r="Z16" s="134"/>
      <c r="AA16" s="134"/>
      <c r="AB16" s="142"/>
      <c r="AC16" s="143"/>
      <c r="AD16" s="207"/>
      <c r="AE16" s="212"/>
      <c r="AF16" s="120"/>
      <c r="AG16" s="10"/>
      <c r="AH16" s="19"/>
      <c r="AI16" s="217"/>
      <c r="AJ16" s="217"/>
      <c r="AK16" s="217"/>
      <c r="AL16" s="217"/>
      <c r="AM16" s="217"/>
    </row>
    <row r="17" spans="2:39" x14ac:dyDescent="0.25">
      <c r="B17" s="169">
        <f>B18-50</f>
        <v>4554.2146637863716</v>
      </c>
      <c r="C17" s="170">
        <f t="shared" si="7"/>
        <v>1.4076239177907064</v>
      </c>
      <c r="D17" s="122">
        <v>120.569011576135</v>
      </c>
      <c r="E17">
        <f xml:space="preserve"> 0.0000554429*B17 + 0.4645469286</f>
        <v>0.71704579678284142</v>
      </c>
      <c r="F17">
        <f t="shared" si="3"/>
        <v>2.3157986606535837E-2</v>
      </c>
      <c r="G17" s="122">
        <f t="shared" si="4"/>
        <v>3.6436753543836295E-3</v>
      </c>
      <c r="H17" s="184">
        <f t="shared" si="5"/>
        <v>2.2438064175726614E-2</v>
      </c>
      <c r="I17" s="184">
        <f t="shared" si="6"/>
        <v>4.2055255084961982E-3</v>
      </c>
      <c r="J17" s="155"/>
      <c r="K17" s="102"/>
      <c r="L17" s="133"/>
      <c r="M17" s="252"/>
      <c r="N17" s="205"/>
      <c r="O17" s="206"/>
      <c r="P17" s="206"/>
      <c r="Q17" s="160"/>
      <c r="R17" s="163"/>
      <c r="S17" s="158"/>
      <c r="T17" s="162"/>
      <c r="U17" s="166"/>
      <c r="V17" s="384"/>
      <c r="W17" s="188"/>
      <c r="X17" s="188"/>
      <c r="Y17" s="253"/>
      <c r="Z17" s="134"/>
      <c r="AA17" s="134"/>
      <c r="AB17" s="142"/>
      <c r="AC17" s="143"/>
      <c r="AD17" s="207"/>
      <c r="AE17" s="212"/>
      <c r="AF17" s="120"/>
      <c r="AG17" s="10"/>
      <c r="AH17" s="10"/>
      <c r="AI17" s="217"/>
      <c r="AJ17" s="217"/>
      <c r="AK17" s="217"/>
      <c r="AL17" s="217"/>
      <c r="AM17" s="217"/>
    </row>
    <row r="18" spans="2:39" x14ac:dyDescent="0.25">
      <c r="B18" s="168">
        <f t="shared" ref="B18" si="18">V16</f>
        <v>4604.2146637863716</v>
      </c>
      <c r="C18" s="170">
        <f t="shared" si="7"/>
        <v>1.4068594177907063</v>
      </c>
      <c r="D18" s="122">
        <v>120.569011576135</v>
      </c>
      <c r="E18">
        <f t="shared" ref="E18" si="19" xml:space="preserve"> 0.0000554429*B18 + 0.4645469286</f>
        <v>0.71981794178284142</v>
      </c>
      <c r="F18">
        <f t="shared" si="3"/>
        <v>2.3275986606535837E-2</v>
      </c>
      <c r="G18" s="122">
        <f t="shared" si="4"/>
        <v>3.603140841668111E-3</v>
      </c>
      <c r="H18" s="184">
        <f t="shared" si="5"/>
        <v>2.2556381034381762E-2</v>
      </c>
      <c r="I18" s="184">
        <f t="shared" si="6"/>
        <v>4.1635358887335567E-3</v>
      </c>
      <c r="J18" s="155"/>
      <c r="K18" s="102"/>
      <c r="L18" s="133">
        <f>Data!D$21*K$6</f>
        <v>0.11159970050726897</v>
      </c>
      <c r="M18" s="252">
        <f>Data!D$21-L$6</f>
        <v>1.186400299492731</v>
      </c>
      <c r="N18" s="205">
        <f>N16</f>
        <v>47.102404274265361</v>
      </c>
      <c r="O18" s="206">
        <f>O16</f>
        <v>6.7675868210151382</v>
      </c>
      <c r="P18" s="206">
        <f t="shared" ref="P18" si="20">N18+O18</f>
        <v>53.869991095280497</v>
      </c>
      <c r="Q18" s="160">
        <f t="shared" ref="Q18" si="21">C18</f>
        <v>1.4068594177907063</v>
      </c>
      <c r="R18" s="163">
        <f>(C18-C17)/(B18-B17)</f>
        <v>-1.5290000000001136E-5</v>
      </c>
      <c r="S18" s="158">
        <f t="shared" ref="S18" si="22">I18</f>
        <v>4.1635358887335567E-3</v>
      </c>
      <c r="T18" s="162">
        <f>(I18-I17)/(B18-B17)</f>
        <v>-8.3979239525282942E-7</v>
      </c>
      <c r="U18" s="166">
        <f>M18*C$6*J$6</f>
        <v>2.7701511083483011E-5</v>
      </c>
      <c r="V18" s="384">
        <f>B18-((B18-B$6+(L18*Q18/U18)-(P18-'Huff&amp;Puff_1st Cycle'!AL$41)*S18/U18))/(1+(L18*R18/U18)-(P18-'Huff&amp;Puff_1st Cycle'!AL$41)*T18/U18)</f>
        <v>4604.2146638657014</v>
      </c>
      <c r="W18" s="188"/>
      <c r="X18" s="188"/>
      <c r="Y18" s="253"/>
      <c r="Z18" s="134"/>
      <c r="AA18" s="134"/>
      <c r="AB18" s="142"/>
      <c r="AC18" s="143"/>
      <c r="AD18" s="207"/>
      <c r="AE18" s="212"/>
      <c r="AF18" s="120"/>
      <c r="AG18" s="10"/>
      <c r="AH18" s="10"/>
      <c r="AI18" s="217"/>
      <c r="AJ18" s="217"/>
      <c r="AK18" s="217"/>
      <c r="AL18" s="217"/>
      <c r="AM18" s="217"/>
    </row>
    <row r="19" spans="2:39" x14ac:dyDescent="0.25">
      <c r="B19" s="169">
        <f>B20-50</f>
        <v>4554.2146638657014</v>
      </c>
      <c r="C19" s="170">
        <f t="shared" si="7"/>
        <v>1.4076239177894934</v>
      </c>
      <c r="D19" s="122">
        <v>120.569011576135</v>
      </c>
      <c r="E19">
        <f xml:space="preserve"> 0.0000554429*B19 + 0.4645469286</f>
        <v>0.71704579678723968</v>
      </c>
      <c r="F19">
        <f t="shared" si="3"/>
        <v>2.3157986606723056E-2</v>
      </c>
      <c r="G19" s="122">
        <f t="shared" si="4"/>
        <v>3.6436753543186069E-3</v>
      </c>
      <c r="H19" s="184">
        <f t="shared" si="5"/>
        <v>2.243806417591418E-2</v>
      </c>
      <c r="I19" s="184">
        <f t="shared" si="6"/>
        <v>4.2055255084288744E-3</v>
      </c>
      <c r="J19" s="155"/>
      <c r="K19" s="102"/>
      <c r="L19" s="133"/>
      <c r="M19" s="252"/>
      <c r="N19" s="205"/>
      <c r="O19" s="206"/>
      <c r="P19" s="206"/>
      <c r="Q19" s="160"/>
      <c r="R19" s="163"/>
      <c r="S19" s="158"/>
      <c r="T19" s="162"/>
      <c r="U19" s="166"/>
      <c r="V19" s="384"/>
      <c r="W19" s="188"/>
      <c r="X19" s="188"/>
      <c r="Y19" s="253"/>
      <c r="Z19" s="134"/>
      <c r="AA19" s="134"/>
      <c r="AB19" s="142"/>
      <c r="AC19" s="143"/>
      <c r="AD19" s="207"/>
      <c r="AE19" s="212"/>
      <c r="AF19" s="120"/>
      <c r="AG19" s="10"/>
      <c r="AH19" s="10"/>
      <c r="AI19" s="217"/>
      <c r="AJ19" s="217"/>
      <c r="AK19" s="217"/>
      <c r="AL19" s="217"/>
      <c r="AM19" s="217"/>
    </row>
    <row r="20" spans="2:39" x14ac:dyDescent="0.25">
      <c r="B20" s="168">
        <f>V18</f>
        <v>4604.2146638657014</v>
      </c>
      <c r="C20" s="170">
        <f t="shared" si="7"/>
        <v>1.4068594177894933</v>
      </c>
      <c r="D20" s="122">
        <v>120.569011576135</v>
      </c>
      <c r="E20">
        <f t="shared" ref="E20" si="23" xml:space="preserve"> 0.0000554429*B20 + 0.4645469286</f>
        <v>0.71981794178723968</v>
      </c>
      <c r="F20">
        <f t="shared" si="3"/>
        <v>2.3275986606723056E-2</v>
      </c>
      <c r="G20" s="122">
        <f t="shared" si="4"/>
        <v>3.6031408416045099E-3</v>
      </c>
      <c r="H20" s="184">
        <f t="shared" si="5"/>
        <v>2.2556381034569639E-2</v>
      </c>
      <c r="I20" s="295">
        <f t="shared" si="6"/>
        <v>4.1635358886676329E-3</v>
      </c>
      <c r="J20" s="155"/>
      <c r="K20" s="102">
        <f>K6</f>
        <v>8.5978197617310459E-2</v>
      </c>
      <c r="L20" s="133">
        <f>Data!D$21*K$6</f>
        <v>0.11159970050726897</v>
      </c>
      <c r="M20" s="252">
        <f>Data!D$21-L$6</f>
        <v>1.186400299492731</v>
      </c>
      <c r="N20" s="205">
        <f>N18</f>
        <v>47.102404274265361</v>
      </c>
      <c r="O20" s="206">
        <f>O18</f>
        <v>6.7675868210151382</v>
      </c>
      <c r="P20" s="319">
        <f t="shared" ref="P20" si="24">N20+O20</f>
        <v>53.869991095280497</v>
      </c>
      <c r="Q20" s="160">
        <f t="shared" ref="Q20" si="25">C20</f>
        <v>1.4068594177894933</v>
      </c>
      <c r="R20" s="163">
        <f>(C20-C19)/(B20-B19)</f>
        <v>-1.5290000000001136E-5</v>
      </c>
      <c r="S20" s="158">
        <f t="shared" ref="S20" si="26">I20</f>
        <v>4.1635358886676329E-3</v>
      </c>
      <c r="T20" s="162">
        <f>(I20-I19)/(B20-B19)</f>
        <v>-8.3979239522483096E-7</v>
      </c>
      <c r="U20" s="166">
        <f>M20*C$6*J$6</f>
        <v>2.7701511083483011E-5</v>
      </c>
      <c r="V20" s="384">
        <f>B20-((B20-B$6+(L20*Q20/U20)-(P20-'Huff&amp;Puff_1st Cycle'!AL$41)*S20/U20))/(1+(L20*R20/U20)-(P20-'Huff&amp;Puff_1st Cycle'!AL$41)*T20/U20)</f>
        <v>4604.2146638661934</v>
      </c>
      <c r="W20" s="342">
        <f>Data!D$42/(141.2*C20*E20*LN(Data!D$47))</f>
        <v>0.109289123360558</v>
      </c>
      <c r="X20" s="198">
        <f>W20*(B20-Data!D$43)</f>
        <v>284.61233765659273</v>
      </c>
      <c r="Y20" s="253"/>
      <c r="Z20" s="134"/>
      <c r="AA20" s="134"/>
      <c r="AB20" s="143">
        <f>Data!N$6/12</f>
        <v>0.20833333333333334</v>
      </c>
      <c r="AC20" s="248">
        <f>AB20+AC6</f>
        <v>3.6134064926509706</v>
      </c>
      <c r="AD20" s="365">
        <f>1000000*(P20-0)*I20/Data!D$48</f>
        <v>6.7252025491495532E-2</v>
      </c>
      <c r="AE20" s="367">
        <f>1-AD20-Data!D$13</f>
        <v>0.43674797450850444</v>
      </c>
      <c r="AF20" s="171">
        <f>(AD20-Data!D$27)/(1-Data!D$27-Data!D$19-Data!D$13)</f>
        <v>0.22122376806412999</v>
      </c>
      <c r="AG20" s="363">
        <f>Data!D$29*AF20</f>
        <v>0.22122376806412999</v>
      </c>
      <c r="AH20" s="363">
        <f>Data!D$28*(1-AF20)</f>
        <v>0.77877623193586998</v>
      </c>
      <c r="AI20" s="364">
        <f>5.615*(D20+(E20*C20*AG20)/(5.615*H20*I20*AH20))</f>
        <v>3740.0918705355593</v>
      </c>
      <c r="AJ20" s="365">
        <f>X20*AI20/1000000</f>
        <v>1.0644762903235441</v>
      </c>
      <c r="AK20" s="365">
        <f>AK6</f>
        <v>49.488899275763877</v>
      </c>
      <c r="AL20" s="193">
        <f>AL6</f>
        <v>8.8136953296106633</v>
      </c>
      <c r="AM20" s="193">
        <f>AM6</f>
        <v>130.58151373859505</v>
      </c>
    </row>
    <row r="21" spans="2:39" x14ac:dyDescent="0.25">
      <c r="N21" s="191"/>
      <c r="O21" s="191"/>
      <c r="P21" s="191"/>
      <c r="AD21" s="191"/>
      <c r="AE21" s="214"/>
      <c r="AF21" s="120"/>
      <c r="AG21" s="10"/>
      <c r="AH21" s="10"/>
      <c r="AI21" s="217"/>
      <c r="AJ21" s="217"/>
      <c r="AK21" s="219"/>
      <c r="AL21" s="219"/>
      <c r="AM21" s="219"/>
    </row>
    <row r="22" spans="2:39" ht="15.75" x14ac:dyDescent="0.25">
      <c r="B22" s="74" t="s">
        <v>337</v>
      </c>
      <c r="N22" s="191"/>
      <c r="O22" s="191"/>
      <c r="P22" s="191"/>
      <c r="AD22" s="191"/>
      <c r="AE22" s="214"/>
      <c r="AF22" s="120"/>
      <c r="AG22" s="10"/>
      <c r="AH22" s="10"/>
      <c r="AI22" s="217"/>
      <c r="AJ22" s="217"/>
      <c r="AK22" s="217"/>
      <c r="AL22" s="217"/>
      <c r="AM22" s="217"/>
    </row>
    <row r="23" spans="2:39" x14ac:dyDescent="0.25">
      <c r="N23" s="191"/>
      <c r="O23" s="191"/>
      <c r="P23" s="191"/>
      <c r="AD23" s="191"/>
      <c r="AE23" s="214"/>
      <c r="AF23" s="120"/>
      <c r="AG23" s="10"/>
      <c r="AH23" s="10"/>
      <c r="AI23" s="217"/>
      <c r="AJ23" s="217"/>
      <c r="AK23" s="217"/>
      <c r="AL23" s="217"/>
      <c r="AM23" s="217"/>
    </row>
    <row r="24" spans="2:39" ht="18.75" x14ac:dyDescent="0.3">
      <c r="B24" s="5" t="s">
        <v>239</v>
      </c>
      <c r="C24" s="185" t="s">
        <v>1</v>
      </c>
      <c r="D24" s="7" t="s">
        <v>2</v>
      </c>
      <c r="E24" s="7" t="s">
        <v>3</v>
      </c>
      <c r="F24" s="7" t="s">
        <v>202</v>
      </c>
      <c r="G24" s="7" t="s">
        <v>203</v>
      </c>
      <c r="H24" s="63" t="s">
        <v>179</v>
      </c>
      <c r="I24" s="63" t="s">
        <v>180</v>
      </c>
      <c r="J24" s="99" t="s">
        <v>32</v>
      </c>
      <c r="K24" s="24" t="s">
        <v>261</v>
      </c>
      <c r="L24" s="24" t="s">
        <v>260</v>
      </c>
      <c r="M24" s="24" t="s">
        <v>162</v>
      </c>
      <c r="N24" s="21" t="s">
        <v>163</v>
      </c>
      <c r="O24" s="21" t="s">
        <v>269</v>
      </c>
      <c r="P24" s="21" t="s">
        <v>270</v>
      </c>
      <c r="Q24" s="24" t="s">
        <v>164</v>
      </c>
      <c r="R24" s="24" t="s">
        <v>165</v>
      </c>
      <c r="S24" s="21" t="s">
        <v>166</v>
      </c>
      <c r="T24" s="21" t="s">
        <v>167</v>
      </c>
      <c r="U24" s="99" t="s">
        <v>238</v>
      </c>
      <c r="V24" s="167" t="s">
        <v>171</v>
      </c>
      <c r="W24" s="185" t="s">
        <v>240</v>
      </c>
      <c r="X24" s="185" t="s">
        <v>241</v>
      </c>
      <c r="Y24" s="5" t="s">
        <v>242</v>
      </c>
      <c r="Z24" s="5" t="s">
        <v>243</v>
      </c>
      <c r="AA24" s="5" t="s">
        <v>244</v>
      </c>
      <c r="AB24" s="5" t="s">
        <v>247</v>
      </c>
      <c r="AC24" s="5" t="s">
        <v>249</v>
      </c>
      <c r="AD24" s="21" t="s">
        <v>295</v>
      </c>
      <c r="AE24" s="185" t="s">
        <v>297</v>
      </c>
      <c r="AF24" s="99" t="s">
        <v>278</v>
      </c>
      <c r="AG24" s="99" t="s">
        <v>279</v>
      </c>
      <c r="AH24" s="99" t="s">
        <v>280</v>
      </c>
      <c r="AI24" s="21" t="s">
        <v>285</v>
      </c>
      <c r="AJ24" s="21" t="s">
        <v>289</v>
      </c>
      <c r="AK24" s="21" t="s">
        <v>294</v>
      </c>
      <c r="AL24" s="21" t="s">
        <v>290</v>
      </c>
      <c r="AM24" s="21" t="s">
        <v>300</v>
      </c>
    </row>
    <row r="25" spans="2:39" x14ac:dyDescent="0.25">
      <c r="B25" s="1" t="s">
        <v>36</v>
      </c>
      <c r="C25" s="186" t="s">
        <v>207</v>
      </c>
      <c r="D25" s="7" t="s">
        <v>301</v>
      </c>
      <c r="E25" s="7" t="s">
        <v>206</v>
      </c>
      <c r="F25" s="7" t="s">
        <v>206</v>
      </c>
      <c r="G25" s="7" t="s">
        <v>39</v>
      </c>
      <c r="H25" s="2" t="s">
        <v>206</v>
      </c>
      <c r="I25" s="2" t="s">
        <v>39</v>
      </c>
      <c r="J25" s="7"/>
      <c r="K25" s="7"/>
      <c r="L25" s="7" t="s">
        <v>161</v>
      </c>
      <c r="M25" s="7" t="s">
        <v>161</v>
      </c>
      <c r="N25" s="161" t="s">
        <v>161</v>
      </c>
      <c r="O25" s="161" t="s">
        <v>161</v>
      </c>
      <c r="P25" s="161" t="s">
        <v>161</v>
      </c>
      <c r="Q25" s="20" t="s">
        <v>168</v>
      </c>
      <c r="R25" s="20" t="s">
        <v>205</v>
      </c>
      <c r="S25" s="161" t="s">
        <v>169</v>
      </c>
      <c r="T25" s="2" t="s">
        <v>204</v>
      </c>
      <c r="U25" s="164" t="s">
        <v>170</v>
      </c>
      <c r="V25" s="164" t="s">
        <v>172</v>
      </c>
      <c r="W25" s="186" t="s">
        <v>246</v>
      </c>
      <c r="X25" s="186" t="s">
        <v>150</v>
      </c>
      <c r="Y25" s="7"/>
      <c r="Z25" s="7" t="s">
        <v>161</v>
      </c>
      <c r="AA25" s="7" t="s">
        <v>245</v>
      </c>
      <c r="AB25" s="7" t="s">
        <v>266</v>
      </c>
      <c r="AD25" s="191"/>
      <c r="AE25" s="214"/>
      <c r="AF25" s="120"/>
      <c r="AG25" s="10"/>
      <c r="AH25" s="10"/>
      <c r="AI25" s="191" t="s">
        <v>283</v>
      </c>
      <c r="AJ25" s="161" t="s">
        <v>288</v>
      </c>
      <c r="AK25" s="161" t="s">
        <v>288</v>
      </c>
      <c r="AL25" s="21" t="s">
        <v>336</v>
      </c>
      <c r="AM25" s="161" t="s">
        <v>288</v>
      </c>
    </row>
    <row r="26" spans="2:39" x14ac:dyDescent="0.25">
      <c r="C26" s="186"/>
      <c r="D26" s="7"/>
      <c r="E26" s="7"/>
      <c r="F26" s="7"/>
      <c r="G26" s="7"/>
      <c r="H26" s="2"/>
      <c r="I26" s="2"/>
      <c r="J26" s="7"/>
      <c r="K26" s="7"/>
      <c r="L26" s="7"/>
      <c r="M26" s="7"/>
      <c r="N26" s="161"/>
      <c r="O26" s="161"/>
      <c r="P26" s="161"/>
      <c r="Q26" s="20"/>
      <c r="R26" s="20"/>
      <c r="S26" s="161"/>
      <c r="T26" s="2"/>
      <c r="U26" s="164"/>
      <c r="V26" s="164"/>
      <c r="W26" s="186"/>
      <c r="X26" s="186"/>
      <c r="Y26" s="312" t="s">
        <v>318</v>
      </c>
      <c r="Z26" s="312" t="s">
        <v>319</v>
      </c>
      <c r="AA26" s="312" t="s">
        <v>327</v>
      </c>
      <c r="AB26" s="312" t="s">
        <v>328</v>
      </c>
      <c r="AC26" s="312" t="s">
        <v>329</v>
      </c>
      <c r="AD26" s="312" t="s">
        <v>330</v>
      </c>
      <c r="AE26" s="312" t="s">
        <v>331</v>
      </c>
      <c r="AF26" s="312" t="s">
        <v>332</v>
      </c>
      <c r="AG26" s="312" t="s">
        <v>333</v>
      </c>
      <c r="AH26" s="312" t="s">
        <v>334</v>
      </c>
      <c r="AI26" s="312" t="s">
        <v>326</v>
      </c>
      <c r="AJ26" s="312" t="s">
        <v>320</v>
      </c>
      <c r="AK26" s="312" t="s">
        <v>321</v>
      </c>
      <c r="AL26" s="312" t="s">
        <v>322</v>
      </c>
      <c r="AM26" s="312" t="s">
        <v>323</v>
      </c>
    </row>
    <row r="27" spans="2:39" x14ac:dyDescent="0.25">
      <c r="K27" s="7" t="s">
        <v>258</v>
      </c>
      <c r="L27" s="7" t="s">
        <v>259</v>
      </c>
      <c r="M27" s="47" t="s">
        <v>271</v>
      </c>
      <c r="O27" s="7" t="s">
        <v>264</v>
      </c>
      <c r="P27" s="7" t="s">
        <v>265</v>
      </c>
      <c r="V27" s="7" t="s">
        <v>251</v>
      </c>
      <c r="W27" s="7" t="s">
        <v>267</v>
      </c>
      <c r="X27" s="7" t="s">
        <v>268</v>
      </c>
      <c r="Y27" s="7" t="s">
        <v>250</v>
      </c>
      <c r="Z27" s="7" t="s">
        <v>254</v>
      </c>
      <c r="AA27" s="7" t="s">
        <v>255</v>
      </c>
      <c r="AB27" s="7" t="s">
        <v>256</v>
      </c>
      <c r="AC27" s="7" t="s">
        <v>257</v>
      </c>
      <c r="AD27" s="7" t="s">
        <v>273</v>
      </c>
      <c r="AE27" s="7" t="s">
        <v>273</v>
      </c>
      <c r="AF27" s="7" t="s">
        <v>277</v>
      </c>
      <c r="AG27" s="7" t="s">
        <v>277</v>
      </c>
      <c r="AH27" s="7" t="s">
        <v>277</v>
      </c>
      <c r="AI27" s="7" t="s">
        <v>284</v>
      </c>
      <c r="AJ27" s="7" t="s">
        <v>287</v>
      </c>
      <c r="AK27" s="7" t="s">
        <v>292</v>
      </c>
      <c r="AL27" s="7" t="s">
        <v>292</v>
      </c>
      <c r="AM27" s="7" t="s">
        <v>299</v>
      </c>
    </row>
    <row r="28" spans="2:39" x14ac:dyDescent="0.25">
      <c r="B28" s="1">
        <v>4500</v>
      </c>
      <c r="C28" s="170">
        <f xml:space="preserve"> -0.00001529*B28 + 1.47725786</f>
        <v>1.4084528599999999</v>
      </c>
      <c r="D28" s="122">
        <v>119.56901157613535</v>
      </c>
      <c r="E28">
        <f xml:space="preserve"> 0.0000554429*B28 + 0.4645469286</f>
        <v>0.71403997860000001</v>
      </c>
      <c r="F28">
        <f>0.00000236*B28 + 0.01241004</f>
        <v>2.3030040000000002E-2</v>
      </c>
      <c r="G28" s="122">
        <f>20.40472*B28^(-1.02454)</f>
        <v>3.6886571506179284E-3</v>
      </c>
      <c r="H28" s="184">
        <f xml:space="preserve"> 0.00000000004*B28^2 + 0.000002*B28 + 0.0125</f>
        <v>2.231E-2</v>
      </c>
      <c r="I28" s="184">
        <f>9.6806*B28^(-0.919)</f>
        <v>4.2520657888098475E-3</v>
      </c>
      <c r="J28" s="155">
        <f>Data!D$14</f>
        <v>1.49E-5</v>
      </c>
      <c r="K28" s="385">
        <f>L28/Data!D$21</f>
        <v>8.7395883588717957E-2</v>
      </c>
      <c r="L28" s="201">
        <f>L$20+Z28</f>
        <v>0.11343985689815592</v>
      </c>
      <c r="M28" s="201">
        <f>Data!D$21-L28</f>
        <v>1.1845601431018442</v>
      </c>
      <c r="N28" s="205">
        <v>0</v>
      </c>
      <c r="O28" s="206">
        <f>30.4*Data!N$5*Data!O$5/5.615</f>
        <v>47.102404274265361</v>
      </c>
      <c r="P28" s="206">
        <f>N28+O28</f>
        <v>47.102404274265361</v>
      </c>
      <c r="Q28" s="160"/>
      <c r="R28" s="163"/>
      <c r="S28" s="158"/>
      <c r="T28" s="162"/>
      <c r="U28" s="166"/>
      <c r="V28" s="199">
        <f>V20</f>
        <v>4604.2146638661934</v>
      </c>
      <c r="W28" s="342">
        <f>Data!D$42/(141.2*C28*E28*LN(Data!D$47))</f>
        <v>0.11004883963568925</v>
      </c>
      <c r="X28" s="198">
        <f>W28*(B28-Data!D$43)</f>
        <v>275.12209908922313</v>
      </c>
      <c r="Y28" s="105">
        <f>C$20*J28*(B$20-B28)/C28</f>
        <v>1.55104174507857E-3</v>
      </c>
      <c r="Z28" s="105">
        <f>Y28*M$20</f>
        <v>1.8401563908869436E-3</v>
      </c>
      <c r="AA28" s="201">
        <f>365*(X$20-X28)/(1000000*Z28)</f>
        <v>1.8824145025088379</v>
      </c>
      <c r="AB28" s="201">
        <f>LN(X$20/X28)/AA28</f>
        <v>1.8015713181179758E-2</v>
      </c>
      <c r="AC28" s="202">
        <f>AC$20+AB28</f>
        <v>3.6314222058321501</v>
      </c>
      <c r="AD28" s="317">
        <f>1000000*(P28-AL$20)*I28/Data!D$48</f>
        <v>4.8816523842701673E-2</v>
      </c>
      <c r="AE28" s="213">
        <f>1-AD28-Data!D$13</f>
        <v>0.45518347615729837</v>
      </c>
      <c r="AF28" s="215">
        <f>(AD28-Data!D$27)/(1-Data!D$27-Data!D$19-Data!D$13)</f>
        <v>0.16058067053520284</v>
      </c>
      <c r="AG28" s="33">
        <f>Data!D$29*AF28</f>
        <v>0.16058067053520284</v>
      </c>
      <c r="AH28" s="33">
        <f>Data!D$28*(1-AF28)</f>
        <v>0.83941932946479714</v>
      </c>
      <c r="AI28" s="246">
        <f>5.615*(D28+(E28*C28*AG28)/(5.615*H28*I28*AH28))</f>
        <v>2699.434399574468</v>
      </c>
      <c r="AJ28" s="268">
        <f>X28*AI28/1000000</f>
        <v>0.74267405836458433</v>
      </c>
      <c r="AK28" s="313">
        <f>365*AJ28*AB28</f>
        <v>4.8836280302486745</v>
      </c>
      <c r="AL28" s="313">
        <f>AL$20+AK28/5.615</f>
        <v>9.6834420847751641</v>
      </c>
      <c r="AM28" s="313">
        <f>AM$20+5.615*AL28</f>
        <v>184.95404104460761</v>
      </c>
    </row>
    <row r="29" spans="2:39" x14ac:dyDescent="0.25">
      <c r="B29" s="1">
        <f>B28-100</f>
        <v>4400</v>
      </c>
      <c r="C29" s="170">
        <f t="shared" ref="C29:C36" si="27" xml:space="preserve"> -0.00001529*B29 + 1.47725786</f>
        <v>1.4099818599999998</v>
      </c>
      <c r="D29" s="122">
        <v>119.56901157613535</v>
      </c>
      <c r="E29">
        <f t="shared" ref="E29:E36" si="28" xml:space="preserve"> 0.0000554429*B29 + 0.4645469286</f>
        <v>0.70849568860000001</v>
      </c>
      <c r="F29">
        <f t="shared" ref="F29:F36" si="29">0.00000236*B29 + 0.01241004</f>
        <v>2.2794040000000002E-2</v>
      </c>
      <c r="G29" s="122">
        <f t="shared" ref="G29:G36" si="30">20.40472*B29^(-1.02454)</f>
        <v>3.7745713090349938E-3</v>
      </c>
      <c r="H29" s="184">
        <f t="shared" ref="H29:H36" si="31" xml:space="preserve"> 0.00000000004*B29^2 + 0.000002*B29 + 0.0125</f>
        <v>2.2074400000000001E-2</v>
      </c>
      <c r="I29" s="184">
        <f t="shared" ref="I29:I36" si="32">9.6806*B29^(-0.919)</f>
        <v>4.3407948969773243E-3</v>
      </c>
      <c r="J29" s="155">
        <f>Data!D$14</f>
        <v>1.49E-5</v>
      </c>
      <c r="K29" s="385">
        <f>L29/Data!D$21</f>
        <v>8.8753222772828294E-2</v>
      </c>
      <c r="L29" s="201">
        <f t="shared" ref="L29:L36" si="33">L$20+Z29</f>
        <v>0.11520168315913112</v>
      </c>
      <c r="M29" s="201">
        <f>Data!D$21-L29</f>
        <v>1.1827983168408689</v>
      </c>
      <c r="N29" s="205">
        <v>0</v>
      </c>
      <c r="O29" s="206">
        <f>30.4*Data!N$5*Data!O$5/5.615</f>
        <v>47.102404274265361</v>
      </c>
      <c r="P29" s="206">
        <f t="shared" ref="P29:P36" si="34">N29+O29</f>
        <v>47.102404274265361</v>
      </c>
      <c r="Q29" s="160"/>
      <c r="R29" s="163"/>
      <c r="S29" s="158"/>
      <c r="T29" s="162"/>
      <c r="U29" s="166"/>
      <c r="V29" s="199"/>
      <c r="W29" s="342">
        <f>Data!D$42/(141.2*C29*E29*LN(Data!D$47))</f>
        <v>0.11078974809090547</v>
      </c>
      <c r="X29" s="198">
        <f>W29*(B29-Data!D$43)</f>
        <v>265.89539541817311</v>
      </c>
      <c r="Y29" s="105">
        <f t="shared" ref="Y29:Y48" si="35">C$20*J29*(B$20-B29)/C29</f>
        <v>3.0360601336684207E-3</v>
      </c>
      <c r="Z29" s="105">
        <f t="shared" ref="Z29:Z48" si="36">Y29*M$20</f>
        <v>3.6019826518621551E-3</v>
      </c>
      <c r="AA29" s="201">
        <f t="shared" ref="AA29:AA48" si="37">365*(X$20-X29)/(1000000*Z29)</f>
        <v>1.896645424844374</v>
      </c>
      <c r="AB29" s="201">
        <f>LN(X$20/X29)/AA29</f>
        <v>3.5865983995013832E-2</v>
      </c>
      <c r="AC29" s="202">
        <f t="shared" ref="AC29:AC48" si="38">AC$20+AB29</f>
        <v>3.6492724766459843</v>
      </c>
      <c r="AD29" s="317">
        <f>1000000*(P29-AL28)*I29/Data!D$48</f>
        <v>4.8703161831673253E-2</v>
      </c>
      <c r="AE29" s="213">
        <f>1-AD29-Data!D$13</f>
        <v>0.45529683816832678</v>
      </c>
      <c r="AF29" s="215">
        <f>(AD29-Data!D$27)/(1-Data!D$27-Data!D$19-Data!D$13)</f>
        <v>0.16020776918313567</v>
      </c>
      <c r="AG29" s="33">
        <f>Data!D$29*AF29</f>
        <v>0.16020776918313567</v>
      </c>
      <c r="AH29" s="33">
        <f>Data!D$28*(1-AF29)</f>
        <v>0.83979223081686438</v>
      </c>
      <c r="AI29" s="246">
        <f>5.615*(D29+(E29*C29*AG29)/(5.615*H29*I29*AH29))</f>
        <v>2660.2403232509782</v>
      </c>
      <c r="AJ29" s="268">
        <f t="shared" ref="AJ29:AJ36" si="39">X29*AI29/1000000</f>
        <v>0.70734565265818761</v>
      </c>
      <c r="AK29" s="313">
        <f>365*AJ29*AB29</f>
        <v>9.259921467871127</v>
      </c>
      <c r="AL29" s="313">
        <f>AL$20+AK29/5.615</f>
        <v>10.462835395126447</v>
      </c>
      <c r="AM29" s="313">
        <f>AM$20+5.615*AL29</f>
        <v>189.33033448223006</v>
      </c>
    </row>
    <row r="30" spans="2:39" x14ac:dyDescent="0.25">
      <c r="B30" s="1">
        <f t="shared" ref="B30:B48" si="40">B29-100</f>
        <v>4300</v>
      </c>
      <c r="C30" s="170">
        <f t="shared" si="27"/>
        <v>1.4115108599999999</v>
      </c>
      <c r="D30" s="122">
        <v>119.56901157613535</v>
      </c>
      <c r="E30">
        <f t="shared" si="28"/>
        <v>0.7029513986</v>
      </c>
      <c r="F30">
        <f t="shared" si="29"/>
        <v>2.2558040000000001E-2</v>
      </c>
      <c r="G30" s="122">
        <f t="shared" si="30"/>
        <v>3.8645316471736368E-3</v>
      </c>
      <c r="H30" s="184">
        <f t="shared" si="31"/>
        <v>2.1839600000000001E-2</v>
      </c>
      <c r="I30" s="184">
        <f t="shared" si="32"/>
        <v>4.4334801146330219E-3</v>
      </c>
      <c r="J30" s="155">
        <f>Data!D$14</f>
        <v>1.49E-5</v>
      </c>
      <c r="K30" s="385">
        <f>L30/Data!D$21</f>
        <v>9.0107621318405384E-2</v>
      </c>
      <c r="L30" s="201">
        <f t="shared" si="33"/>
        <v>0.11695969247129019</v>
      </c>
      <c r="M30" s="201">
        <f>Data!D$21-L30</f>
        <v>1.1810403075287099</v>
      </c>
      <c r="N30" s="205">
        <v>0</v>
      </c>
      <c r="O30" s="206">
        <f>30.4*Data!N$5*Data!O$5/5.615</f>
        <v>47.102404274265361</v>
      </c>
      <c r="P30" s="206">
        <f t="shared" si="34"/>
        <v>47.102404274265361</v>
      </c>
      <c r="Q30" s="160"/>
      <c r="R30" s="163"/>
      <c r="S30" s="158"/>
      <c r="T30" s="162"/>
      <c r="U30" s="166"/>
      <c r="V30" s="199"/>
      <c r="W30" s="342">
        <f>Data!D$42/(141.2*C30*E30*LN(Data!D$47))</f>
        <v>0.11154260649414262</v>
      </c>
      <c r="X30" s="198">
        <f>W30*(B30-Data!D$43)</f>
        <v>256.54799493652803</v>
      </c>
      <c r="Y30" s="105">
        <f t="shared" si="35"/>
        <v>4.5178612701910013E-3</v>
      </c>
      <c r="Z30" s="105">
        <f t="shared" si="36"/>
        <v>5.3599919640212141E-3</v>
      </c>
      <c r="AA30" s="201">
        <f t="shared" si="37"/>
        <v>1.9111008302965198</v>
      </c>
      <c r="AB30" s="201">
        <f t="shared" ref="AB30:AB48" si="41">LN(X$20/X30)/AA30</f>
        <v>5.4320667998006056E-2</v>
      </c>
      <c r="AC30" s="202">
        <f t="shared" si="38"/>
        <v>3.6677271606489765</v>
      </c>
      <c r="AD30" s="317">
        <f>1000000*(P30-AL29)*I30/Data!D$48</f>
        <v>4.8706987821703587E-2</v>
      </c>
      <c r="AE30" s="213">
        <f>1-AD30-Data!D$13</f>
        <v>0.45529301217829643</v>
      </c>
      <c r="AF30" s="215">
        <f>(AD30-Data!D$27)/(1-Data!D$27-Data!D$19-Data!D$13)</f>
        <v>0.16022035467665652</v>
      </c>
      <c r="AG30" s="33">
        <f>Data!D$29*AF30</f>
        <v>0.16022035467665652</v>
      </c>
      <c r="AH30" s="33">
        <f>Data!D$28*(1-AF30)</f>
        <v>0.83977964532334348</v>
      </c>
      <c r="AI30" s="246">
        <f t="shared" ref="AI30:AI36" si="42">5.615*(D30+(E30*C30*AG30)/(5.615*H30*I30*AH30))</f>
        <v>2626.4955206531204</v>
      </c>
      <c r="AJ30" s="268">
        <f t="shared" si="39"/>
        <v>0.67382215953333024</v>
      </c>
      <c r="AK30" s="313">
        <f t="shared" ref="AK30:AK36" si="43">365*AJ30*AB30</f>
        <v>13.359901483463968</v>
      </c>
      <c r="AL30" s="313">
        <f t="shared" ref="AL30:AL36" si="44">AL$20+AK30/5.615</f>
        <v>11.193018835125173</v>
      </c>
      <c r="AM30" s="313">
        <f t="shared" ref="AM30:AM36" si="45">AM$20+5.615*AL30</f>
        <v>193.43031449782291</v>
      </c>
    </row>
    <row r="31" spans="2:39" x14ac:dyDescent="0.25">
      <c r="B31" s="1">
        <f t="shared" si="40"/>
        <v>4200</v>
      </c>
      <c r="C31" s="170">
        <f t="shared" si="27"/>
        <v>1.41303986</v>
      </c>
      <c r="D31" s="122">
        <v>119.56901157613535</v>
      </c>
      <c r="E31">
        <f t="shared" si="28"/>
        <v>0.69740710859999999</v>
      </c>
      <c r="F31">
        <f t="shared" si="29"/>
        <v>2.2322040000000001E-2</v>
      </c>
      <c r="G31" s="122">
        <f t="shared" si="30"/>
        <v>3.95882962583082E-3</v>
      </c>
      <c r="H31" s="184">
        <f t="shared" si="31"/>
        <v>2.1605600000000003E-2</v>
      </c>
      <c r="I31" s="184">
        <f t="shared" si="32"/>
        <v>4.5303961304867619E-3</v>
      </c>
      <c r="J31" s="155">
        <f>Data!D$14</f>
        <v>1.49E-5</v>
      </c>
      <c r="K31" s="385">
        <f>L31/Data!D$21</f>
        <v>9.1459088771329231E-2</v>
      </c>
      <c r="L31" s="201">
        <f t="shared" si="33"/>
        <v>0.11871389722518534</v>
      </c>
      <c r="M31" s="201">
        <f>Data!D$21-L31</f>
        <v>1.1792861027748147</v>
      </c>
      <c r="N31" s="205">
        <v>0</v>
      </c>
      <c r="O31" s="206">
        <f>30.4*Data!N$5*Data!O$5/5.615</f>
        <v>47.102404274265361</v>
      </c>
      <c r="P31" s="206">
        <f t="shared" si="34"/>
        <v>47.102404274265361</v>
      </c>
      <c r="Q31" s="160"/>
      <c r="R31" s="163"/>
      <c r="S31" s="158"/>
      <c r="T31" s="162"/>
      <c r="U31" s="166"/>
      <c r="V31" s="199"/>
      <c r="W31" s="342">
        <f>Data!D$42/(141.2*C31*E31*LN(Data!D$47))</f>
        <v>0.11230769898740299</v>
      </c>
      <c r="X31" s="198">
        <f>W31*(B31-Data!D$43)</f>
        <v>247.07693777228658</v>
      </c>
      <c r="Y31" s="105">
        <f t="shared" si="35"/>
        <v>5.9964555984672206E-3</v>
      </c>
      <c r="Z31" s="105">
        <f t="shared" si="36"/>
        <v>7.1141967179163736E-3</v>
      </c>
      <c r="AA31" s="201">
        <f t="shared" si="37"/>
        <v>1.9257860726944251</v>
      </c>
      <c r="AB31" s="201">
        <f t="shared" si="41"/>
        <v>7.3439236323231794E-2</v>
      </c>
      <c r="AC31" s="202">
        <f t="shared" si="38"/>
        <v>3.6868457289742023</v>
      </c>
      <c r="AD31" s="317">
        <f>1000000*(P31-AL30)*I31/Data!D$48</f>
        <v>4.8779832297583842E-2</v>
      </c>
      <c r="AE31" s="213">
        <f>1-AD31-Data!D$13</f>
        <v>0.45522016770241613</v>
      </c>
      <c r="AF31" s="215">
        <f>(AD31-Data!D$27)/(1-Data!D$27-Data!D$19-Data!D$13)</f>
        <v>0.16045997466310472</v>
      </c>
      <c r="AG31" s="33">
        <f>Data!D$29*AF31</f>
        <v>0.16045997466310472</v>
      </c>
      <c r="AH31" s="33">
        <f>Data!D$28*(1-AF31)</f>
        <v>0.83954002533689531</v>
      </c>
      <c r="AI31" s="246">
        <f t="shared" si="42"/>
        <v>2595.6392671288127</v>
      </c>
      <c r="AJ31" s="268">
        <f t="shared" si="39"/>
        <v>0.64132260168368915</v>
      </c>
      <c r="AK31" s="313">
        <f t="shared" si="43"/>
        <v>17.190858368134581</v>
      </c>
      <c r="AL31" s="313">
        <f t="shared" si="44"/>
        <v>11.875290764719226</v>
      </c>
      <c r="AM31" s="313">
        <f t="shared" si="45"/>
        <v>197.2612713824935</v>
      </c>
    </row>
    <row r="32" spans="2:39" x14ac:dyDescent="0.25">
      <c r="B32" s="1">
        <f t="shared" si="40"/>
        <v>4100</v>
      </c>
      <c r="C32" s="170">
        <f t="shared" si="27"/>
        <v>1.4145688599999999</v>
      </c>
      <c r="D32" s="122">
        <v>119.56901157613535</v>
      </c>
      <c r="E32">
        <f t="shared" si="28"/>
        <v>0.69186281859999998</v>
      </c>
      <c r="F32">
        <f t="shared" si="29"/>
        <v>2.2086040000000001E-2</v>
      </c>
      <c r="G32" s="122">
        <f t="shared" si="30"/>
        <v>4.0577853238507487E-3</v>
      </c>
      <c r="H32" s="184">
        <f t="shared" si="31"/>
        <v>2.13724E-2</v>
      </c>
      <c r="I32" s="184">
        <f t="shared" si="32"/>
        <v>4.6318438640526533E-3</v>
      </c>
      <c r="J32" s="155">
        <f>Data!D$14</f>
        <v>1.49E-5</v>
      </c>
      <c r="K32" s="385">
        <f>L32/Data!D$21</f>
        <v>9.2807634636207489E-2</v>
      </c>
      <c r="L32" s="201">
        <f t="shared" si="33"/>
        <v>0.12046430975779733</v>
      </c>
      <c r="M32" s="201">
        <f>Data!D$21-L32</f>
        <v>1.1775356902422027</v>
      </c>
      <c r="N32" s="205">
        <v>0</v>
      </c>
      <c r="O32" s="206">
        <f>30.4*Data!N$5*Data!O$5/5.615</f>
        <v>47.102404274265361</v>
      </c>
      <c r="P32" s="206">
        <f t="shared" si="34"/>
        <v>47.102404274265361</v>
      </c>
      <c r="Q32" s="160"/>
      <c r="R32" s="163"/>
      <c r="S32" s="158"/>
      <c r="T32" s="162"/>
      <c r="U32" s="166"/>
      <c r="V32" s="199"/>
      <c r="W32" s="342">
        <f>Data!D$42/(141.2*C32*E32*LN(Data!D$47))</f>
        <v>0.11308531882439941</v>
      </c>
      <c r="X32" s="198">
        <f>W32*(B32-Data!D$43)</f>
        <v>237.47916953123877</v>
      </c>
      <c r="Y32" s="105">
        <f t="shared" si="35"/>
        <v>7.4718535171633023E-3</v>
      </c>
      <c r="Z32" s="105">
        <f t="shared" si="36"/>
        <v>8.8646092505283575E-3</v>
      </c>
      <c r="AA32" s="201">
        <f t="shared" si="37"/>
        <v>1.9407066774803197</v>
      </c>
      <c r="AB32" s="201">
        <f t="shared" si="41"/>
        <v>9.3289792472061109E-2</v>
      </c>
      <c r="AC32" s="202">
        <f t="shared" si="38"/>
        <v>3.7066962851230318</v>
      </c>
      <c r="AD32" s="317">
        <f>1000000*(P32-AL31)*I32/Data!D$48</f>
        <v>4.8924581866770574E-2</v>
      </c>
      <c r="AE32" s="213">
        <f>1-AD32-Data!D$13</f>
        <v>0.45507541813322938</v>
      </c>
      <c r="AF32" s="215">
        <f>(AD32-Data!D$27)/(1-Data!D$27-Data!D$19-Data!D$13)</f>
        <v>0.16093612456174528</v>
      </c>
      <c r="AG32" s="33">
        <f>Data!D$29*AF32</f>
        <v>0.16093612456174528</v>
      </c>
      <c r="AH32" s="33">
        <f>Data!D$28*(1-AF32)</f>
        <v>0.83906387543825467</v>
      </c>
      <c r="AI32" s="246">
        <f t="shared" si="42"/>
        <v>2567.6291348899726</v>
      </c>
      <c r="AJ32" s="268">
        <f t="shared" si="39"/>
        <v>0.6097584346178837</v>
      </c>
      <c r="AK32" s="313">
        <f t="shared" si="43"/>
        <v>20.762746805610792</v>
      </c>
      <c r="AL32" s="313">
        <f t="shared" si="44"/>
        <v>12.511424057235025</v>
      </c>
      <c r="AM32" s="313">
        <f t="shared" si="45"/>
        <v>200.83315981996972</v>
      </c>
    </row>
    <row r="33" spans="2:39" x14ac:dyDescent="0.25">
      <c r="B33" s="1">
        <f t="shared" si="40"/>
        <v>4000</v>
      </c>
      <c r="C33" s="170">
        <f t="shared" si="27"/>
        <v>1.4160978599999998</v>
      </c>
      <c r="D33" s="122">
        <v>119.56901157613535</v>
      </c>
      <c r="E33">
        <f t="shared" si="28"/>
        <v>0.68631852859999998</v>
      </c>
      <c r="F33">
        <f t="shared" si="29"/>
        <v>2.1850040000000001E-2</v>
      </c>
      <c r="G33" s="122">
        <f t="shared" si="30"/>
        <v>4.1617510340148534E-3</v>
      </c>
      <c r="H33" s="184">
        <f t="shared" si="31"/>
        <v>2.1139999999999999E-2</v>
      </c>
      <c r="I33" s="184">
        <f t="shared" si="32"/>
        <v>4.7381536881952058E-3</v>
      </c>
      <c r="J33" s="155">
        <f>Data!D$14</f>
        <v>1.49E-5</v>
      </c>
      <c r="K33" s="385">
        <f>L33/Data!D$21</f>
        <v>9.4153268376598251E-2</v>
      </c>
      <c r="L33" s="201">
        <f t="shared" si="33"/>
        <v>0.12221094235282454</v>
      </c>
      <c r="M33" s="201">
        <f>Data!D$21-L33</f>
        <v>1.1757890576471755</v>
      </c>
      <c r="N33" s="205">
        <v>0</v>
      </c>
      <c r="O33" s="206">
        <f>30.4*Data!N$5*Data!O$5/5.615</f>
        <v>47.102404274265361</v>
      </c>
      <c r="P33" s="206">
        <f t="shared" si="34"/>
        <v>47.102404274265361</v>
      </c>
      <c r="Q33" s="160"/>
      <c r="R33" s="163"/>
      <c r="S33" s="158"/>
      <c r="T33" s="162"/>
      <c r="U33" s="166"/>
      <c r="V33" s="199"/>
      <c r="W33" s="342">
        <f>Data!D$42/(141.2*C33*E33*LN(Data!D$47))</f>
        <v>0.11387576873857055</v>
      </c>
      <c r="X33" s="198">
        <f>W33*(B33-Data!D$43)</f>
        <v>227.75153747714111</v>
      </c>
      <c r="Y33" s="105">
        <f t="shared" si="35"/>
        <v>8.9440653800345622E-3</v>
      </c>
      <c r="Z33" s="105">
        <f t="shared" si="36"/>
        <v>1.061124184555557E-2</v>
      </c>
      <c r="AA33" s="201">
        <f t="shared" si="37"/>
        <v>1.9558683486412627</v>
      </c>
      <c r="AB33" s="201">
        <f t="shared" si="41"/>
        <v>0.11395079269892</v>
      </c>
      <c r="AC33" s="202">
        <f t="shared" si="38"/>
        <v>3.7273572853498904</v>
      </c>
      <c r="AD33" s="317">
        <f>1000000*(P33-AL32)*I33/Data!D$48</f>
        <v>4.9143735527166492E-2</v>
      </c>
      <c r="AE33" s="213">
        <f>1-AD33-Data!D$13</f>
        <v>0.45485626447283356</v>
      </c>
      <c r="AF33" s="215">
        <f>(AD33-Data!D$27)/(1-Data!D$27-Data!D$19-Data!D$13)</f>
        <v>0.16165702476041607</v>
      </c>
      <c r="AG33" s="33">
        <f>Data!D$29*AF33</f>
        <v>0.16165702476041607</v>
      </c>
      <c r="AH33" s="33">
        <f>Data!D$28*(1-AF33)</f>
        <v>0.8383429752395839</v>
      </c>
      <c r="AI33" s="246">
        <f t="shared" si="42"/>
        <v>2542.3969230294783</v>
      </c>
      <c r="AJ33" s="268">
        <f t="shared" si="39"/>
        <v>0.57903480809711649</v>
      </c>
      <c r="AK33" s="313">
        <f t="shared" si="43"/>
        <v>24.083238514770706</v>
      </c>
      <c r="AL33" s="313">
        <f t="shared" si="44"/>
        <v>13.102785002766622</v>
      </c>
      <c r="AM33" s="313">
        <f t="shared" si="45"/>
        <v>204.15365152912963</v>
      </c>
    </row>
    <row r="34" spans="2:39" x14ac:dyDescent="0.25">
      <c r="B34" s="1">
        <f t="shared" si="40"/>
        <v>3900</v>
      </c>
      <c r="C34" s="170">
        <f t="shared" si="27"/>
        <v>1.4176268599999999</v>
      </c>
      <c r="D34" s="122">
        <v>119.56901157613535</v>
      </c>
      <c r="E34">
        <f t="shared" si="28"/>
        <v>0.68077423859999997</v>
      </c>
      <c r="F34">
        <f t="shared" si="29"/>
        <v>2.1614040000000001E-2</v>
      </c>
      <c r="G34" s="122">
        <f t="shared" si="30"/>
        <v>4.2711154145782622E-3</v>
      </c>
      <c r="H34" s="184">
        <f t="shared" si="31"/>
        <v>2.0908400000000001E-2</v>
      </c>
      <c r="I34" s="184">
        <f t="shared" si="32"/>
        <v>4.8496891402654329E-3</v>
      </c>
      <c r="J34" s="155">
        <f>Data!D$14</f>
        <v>1.49E-5</v>
      </c>
      <c r="K34" s="385">
        <f>L34/Data!D$21</f>
        <v>9.5495999415231431E-2</v>
      </c>
      <c r="L34" s="201">
        <f t="shared" si="33"/>
        <v>0.12395380724097041</v>
      </c>
      <c r="M34" s="201">
        <f>Data!D$21-L34</f>
        <v>1.1740461927590295</v>
      </c>
      <c r="N34" s="205">
        <v>0</v>
      </c>
      <c r="O34" s="206">
        <f>30.4*Data!N$5*Data!O$5/5.615</f>
        <v>47.102404274265361</v>
      </c>
      <c r="P34" s="206">
        <f t="shared" si="34"/>
        <v>47.102404274265361</v>
      </c>
      <c r="Q34" s="160"/>
      <c r="R34" s="163"/>
      <c r="S34" s="158"/>
      <c r="T34" s="162"/>
      <c r="U34" s="166"/>
      <c r="V34" s="199"/>
      <c r="W34" s="342">
        <f>Data!D$42/(141.2*C34*E34*LN(Data!D$47))</f>
        <v>0.11467936132907959</v>
      </c>
      <c r="X34" s="198">
        <f>W34*(B34-Data!D$43)</f>
        <v>217.89078652525123</v>
      </c>
      <c r="Y34" s="105">
        <f t="shared" si="35"/>
        <v>1.0413101496167598E-2</v>
      </c>
      <c r="Z34" s="105">
        <f t="shared" si="36"/>
        <v>1.2354106733701443E-2</v>
      </c>
      <c r="AA34" s="201">
        <f t="shared" si="37"/>
        <v>1.9712769759795559</v>
      </c>
      <c r="AB34" s="201">
        <f t="shared" si="41"/>
        <v>0.13551321342590494</v>
      </c>
      <c r="AC34" s="202">
        <f t="shared" si="38"/>
        <v>3.7489197060768755</v>
      </c>
      <c r="AD34" s="317">
        <f>1000000*(P34-AL33)*I34/Data!D$48</f>
        <v>4.9440642753466615E-2</v>
      </c>
      <c r="AE34" s="213">
        <f>1-AD34-Data!D$13</f>
        <v>0.4545593572465334</v>
      </c>
      <c r="AF34" s="215">
        <f>(AD34-Data!D$27)/(1-Data!D$27-Data!D$19-Data!D$13)</f>
        <v>0.16263369326798227</v>
      </c>
      <c r="AG34" s="33">
        <f>Data!D$29*AF34</f>
        <v>0.16263369326798227</v>
      </c>
      <c r="AH34" s="33">
        <f>Data!D$28*(1-AF34)</f>
        <v>0.83736630673201773</v>
      </c>
      <c r="AI34" s="246">
        <f t="shared" si="42"/>
        <v>2519.9052495169472</v>
      </c>
      <c r="AJ34" s="268">
        <f t="shared" si="39"/>
        <v>0.54906413678635702</v>
      </c>
      <c r="AK34" s="313">
        <f t="shared" si="43"/>
        <v>27.15798762678655</v>
      </c>
      <c r="AL34" s="313">
        <f t="shared" si="44"/>
        <v>13.650380570356264</v>
      </c>
      <c r="AM34" s="313">
        <f t="shared" si="45"/>
        <v>207.22840064114547</v>
      </c>
    </row>
    <row r="35" spans="2:39" x14ac:dyDescent="0.25">
      <c r="B35" s="1">
        <f t="shared" si="40"/>
        <v>3800</v>
      </c>
      <c r="C35" s="170">
        <f t="shared" si="27"/>
        <v>1.4191558599999998</v>
      </c>
      <c r="D35" s="122">
        <v>119.56901157613535</v>
      </c>
      <c r="E35">
        <f t="shared" si="28"/>
        <v>0.67522994859999996</v>
      </c>
      <c r="F35">
        <f t="shared" si="29"/>
        <v>2.1378040000000001E-2</v>
      </c>
      <c r="G35" s="122">
        <f t="shared" si="30"/>
        <v>4.3863082991995464E-3</v>
      </c>
      <c r="H35" s="184">
        <f t="shared" si="31"/>
        <v>2.0677600000000001E-2</v>
      </c>
      <c r="I35" s="184">
        <f t="shared" si="32"/>
        <v>4.9668512106970184E-3</v>
      </c>
      <c r="J35" s="155">
        <f>Data!D$14</f>
        <v>1.49E-5</v>
      </c>
      <c r="K35" s="385">
        <f>L35/Data!D$21</f>
        <v>9.6835837134228719E-2</v>
      </c>
      <c r="L35" s="201">
        <f t="shared" si="33"/>
        <v>0.12569291660022888</v>
      </c>
      <c r="M35" s="201">
        <f>Data!D$21-L35</f>
        <v>1.1723070833997711</v>
      </c>
      <c r="N35" s="205">
        <v>0</v>
      </c>
      <c r="O35" s="206">
        <f>30.4*Data!N$5*Data!O$5/5.615</f>
        <v>47.102404274265361</v>
      </c>
      <c r="P35" s="206">
        <f t="shared" si="34"/>
        <v>47.102404274265361</v>
      </c>
      <c r="Q35" s="160"/>
      <c r="R35" s="163"/>
      <c r="S35" s="158"/>
      <c r="T35" s="162"/>
      <c r="U35" s="166"/>
      <c r="V35" s="199"/>
      <c r="W35" s="342">
        <f>Data!D$42/(141.2*C35*E35*LN(Data!D$47))</f>
        <v>0.11549641946582941</v>
      </c>
      <c r="X35" s="198">
        <f>W35*(B35-Data!D$43)</f>
        <v>207.89355503849293</v>
      </c>
      <c r="Y35" s="105">
        <f t="shared" si="35"/>
        <v>1.1878972130220933E-2</v>
      </c>
      <c r="Z35" s="105">
        <f t="shared" si="36"/>
        <v>1.409321609295992E-2</v>
      </c>
      <c r="AA35" s="201">
        <f t="shared" si="37"/>
        <v>1.9869386427413565</v>
      </c>
      <c r="AB35" s="201">
        <f t="shared" si="41"/>
        <v>0.15808331205518375</v>
      </c>
      <c r="AC35" s="202">
        <f t="shared" si="38"/>
        <v>3.7714898047061545</v>
      </c>
      <c r="AD35" s="317">
        <f>1000000*(P35-AL34)*I35/Data!D$48</f>
        <v>4.9819538338619344E-2</v>
      </c>
      <c r="AE35" s="213">
        <f>1-AD35-Data!D$13</f>
        <v>0.45418046166138071</v>
      </c>
      <c r="AF35" s="215">
        <f>(AD35-Data!D$27)/(1-Data!D$27-Data!D$19-Data!D$13)</f>
        <v>0.16388006032440572</v>
      </c>
      <c r="AG35" s="33">
        <f>Data!D$29*AF35</f>
        <v>0.16388006032440572</v>
      </c>
      <c r="AH35" s="33">
        <f>Data!D$28*(1-AF35)</f>
        <v>0.83611993967559428</v>
      </c>
      <c r="AI35" s="246">
        <f t="shared" si="42"/>
        <v>2500.1456080422845</v>
      </c>
      <c r="AJ35" s="268">
        <f t="shared" si="39"/>
        <v>0.51976415856978508</v>
      </c>
      <c r="AK35" s="313">
        <f t="shared" si="43"/>
        <v>29.990604481114882</v>
      </c>
      <c r="AL35" s="313">
        <f t="shared" si="44"/>
        <v>14.154853741207258</v>
      </c>
      <c r="AM35" s="313">
        <f t="shared" si="45"/>
        <v>210.06101749547381</v>
      </c>
    </row>
    <row r="36" spans="2:39" s="18" customFormat="1" x14ac:dyDescent="0.25">
      <c r="B36" s="361">
        <f t="shared" si="40"/>
        <v>3700</v>
      </c>
      <c r="C36" s="362">
        <f t="shared" si="27"/>
        <v>1.4206848599999999</v>
      </c>
      <c r="D36" s="228">
        <v>119.56901157613535</v>
      </c>
      <c r="E36" s="18">
        <f t="shared" si="28"/>
        <v>0.66968565859999996</v>
      </c>
      <c r="F36" s="18">
        <f t="shared" si="29"/>
        <v>2.1142040000000001E-2</v>
      </c>
      <c r="G36" s="228">
        <f t="shared" si="30"/>
        <v>4.5078062903013945E-3</v>
      </c>
      <c r="H36" s="229">
        <f t="shared" si="31"/>
        <v>2.04476E-2</v>
      </c>
      <c r="I36" s="229">
        <f t="shared" si="32"/>
        <v>5.0900833169336204E-3</v>
      </c>
      <c r="J36" s="230">
        <f>Data!D$14</f>
        <v>1.49E-5</v>
      </c>
      <c r="K36" s="366">
        <f>L36/Data!D$21</f>
        <v>9.8172790875322075E-2</v>
      </c>
      <c r="L36" s="231">
        <f t="shared" si="33"/>
        <v>0.12742828255616806</v>
      </c>
      <c r="M36" s="231">
        <f>Data!D$21-L36</f>
        <v>1.1705717174438319</v>
      </c>
      <c r="N36" s="232">
        <v>0</v>
      </c>
      <c r="O36" s="233">
        <f>30.4*Data!N$5*Data!O$5/5.615</f>
        <v>47.102404274265361</v>
      </c>
      <c r="P36" s="233">
        <f t="shared" si="34"/>
        <v>47.102404274265361</v>
      </c>
      <c r="Q36" s="234"/>
      <c r="R36" s="235"/>
      <c r="S36" s="236"/>
      <c r="T36" s="237"/>
      <c r="U36" s="238"/>
      <c r="V36" s="239"/>
      <c r="W36" s="382">
        <f>Data!D$42/(141.2*C36*E36*LN(Data!D$47))</f>
        <v>0.11632727671459628</v>
      </c>
      <c r="X36" s="354">
        <f>W36*(B36-Data!D$43)</f>
        <v>197.75637041481366</v>
      </c>
      <c r="Y36" s="355">
        <f t="shared" si="35"/>
        <v>1.3341687502664077E-2</v>
      </c>
      <c r="Z36" s="355">
        <f t="shared" si="36"/>
        <v>1.5828582048899087E-2</v>
      </c>
      <c r="AA36" s="231">
        <f t="shared" si="37"/>
        <v>2.0028596336242472</v>
      </c>
      <c r="AB36" s="231">
        <f t="shared" si="41"/>
        <v>0.18178618653760101</v>
      </c>
      <c r="AC36" s="200">
        <f t="shared" si="38"/>
        <v>3.7951926791885717</v>
      </c>
      <c r="AD36" s="368">
        <f>1000000*(P36-AL35)*I36/Data!D$48</f>
        <v>5.0285662536479092E-2</v>
      </c>
      <c r="AE36" s="357">
        <f>1-AD36-Data!D$13</f>
        <v>0.45371433746352086</v>
      </c>
      <c r="AF36" s="225">
        <f>(AD36-Data!D$27)/(1-Data!D$27-Data!D$19-Data!D$13)</f>
        <v>0.16541336360683909</v>
      </c>
      <c r="AG36" s="358">
        <f>Data!D$29*AF36</f>
        <v>0.16541336360683909</v>
      </c>
      <c r="AH36" s="358">
        <f>Data!D$28*(1-AF36)</f>
        <v>0.83458663639316089</v>
      </c>
      <c r="AI36" s="369">
        <f t="shared" si="42"/>
        <v>2483.1400765202347</v>
      </c>
      <c r="AJ36" s="370">
        <f t="shared" si="39"/>
        <v>0.49105676876420429</v>
      </c>
      <c r="AK36" s="371">
        <f t="shared" si="43"/>
        <v>32.582578138999253</v>
      </c>
      <c r="AL36" s="371">
        <f t="shared" si="44"/>
        <v>14.616469708773487</v>
      </c>
      <c r="AM36" s="371">
        <f t="shared" si="45"/>
        <v>212.65299115335819</v>
      </c>
    </row>
    <row r="37" spans="2:39" x14ac:dyDescent="0.25">
      <c r="B37" s="1">
        <f t="shared" si="40"/>
        <v>3600</v>
      </c>
      <c r="C37" s="170">
        <f t="shared" ref="C37:C48" si="46" xml:space="preserve"> -0.00001529*B37 + 1.47725786</f>
        <v>1.4222138599999998</v>
      </c>
      <c r="D37" s="122">
        <v>120.569011576135</v>
      </c>
      <c r="E37">
        <f t="shared" ref="E37:E48" si="47" xml:space="preserve"> 0.0000554429*B37 + 0.4645469286</f>
        <v>0.66414136859999995</v>
      </c>
      <c r="F37">
        <f t="shared" ref="F37:F48" si="48">0.00000236*B37 + 0.01241004</f>
        <v>2.0906040000000001E-2</v>
      </c>
      <c r="G37" s="122">
        <f t="shared" ref="G37:G48" si="49">20.40472*B37^(-1.02454)</f>
        <v>4.6361392887804258E-3</v>
      </c>
      <c r="H37" s="184">
        <f t="shared" ref="H37:H48" si="50" xml:space="preserve"> 0.00000000004*B37^2 + 0.000002*B37 + 0.0125</f>
        <v>2.0218400000000001E-2</v>
      </c>
      <c r="I37" s="184">
        <f t="shared" ref="I37:I48" si="51">9.6806*B37^(-0.919)</f>
        <v>5.2198770942607498E-3</v>
      </c>
      <c r="J37" s="155">
        <f>Data!D$14</f>
        <v>1.49E-5</v>
      </c>
      <c r="K37" s="387">
        <f>L37/Data!D$21</f>
        <v>9.9506869940070866E-2</v>
      </c>
      <c r="L37" s="252">
        <f t="shared" ref="L37:L48" si="52">L$20+Z37</f>
        <v>0.12915991718221198</v>
      </c>
      <c r="M37" s="252">
        <f>Data!D$21-L37</f>
        <v>1.1688400828177881</v>
      </c>
      <c r="N37" s="299">
        <v>1</v>
      </c>
      <c r="O37" s="300">
        <f>30.4*Data!N$5*Data!O$5/5.615</f>
        <v>47.102404274265361</v>
      </c>
      <c r="P37" s="300">
        <f t="shared" ref="P37:P48" si="53">N37+O37</f>
        <v>48.102404274265361</v>
      </c>
      <c r="Q37" s="372"/>
      <c r="R37" s="373"/>
      <c r="S37" s="374"/>
      <c r="T37" s="375"/>
      <c r="U37" s="376"/>
      <c r="V37" s="298"/>
      <c r="W37" s="377">
        <f>Data!D$42/(141.2*C37*E37*LN(Data!D$47))</f>
        <v>0.11717227778345843</v>
      </c>
      <c r="X37" s="378">
        <f>W37*(B37-Data!D$43)</f>
        <v>187.47564445353348</v>
      </c>
      <c r="Y37" s="379">
        <f t="shared" si="35"/>
        <v>1.4801257790015074E-2</v>
      </c>
      <c r="Z37" s="379">
        <f t="shared" si="36"/>
        <v>1.7560216674943001E-2</v>
      </c>
      <c r="AA37" s="252">
        <f t="shared" si="37"/>
        <v>2.0190464431858564</v>
      </c>
      <c r="AB37" s="252">
        <f t="shared" si="41"/>
        <v>0.20677042683498029</v>
      </c>
      <c r="AC37" s="248">
        <f t="shared" si="38"/>
        <v>3.820176919485951</v>
      </c>
      <c r="AD37" s="380">
        <f>1000000*(P37-AL36)*I37/Data!D$48</f>
        <v>5.2410566532640722E-2</v>
      </c>
      <c r="AE37" s="381">
        <f>1-AD37-Data!D$13</f>
        <v>0.45158943346735925</v>
      </c>
      <c r="AF37" s="215">
        <f>(AD37-Data!D$27)/(1-Data!D$27-Data!D$19-Data!D$13)</f>
        <v>0.17240317938368654</v>
      </c>
      <c r="AG37" s="33">
        <f>Data!D$29*AF37</f>
        <v>0.17240317938368654</v>
      </c>
      <c r="AH37" s="33">
        <f>Data!D$28*(1-AF37)</f>
        <v>0.82759682061631346</v>
      </c>
      <c r="AI37" s="246">
        <f t="shared" ref="AI37:AI48" si="54">5.615*(D37+(E37*C37*AG37)/(5.615*H37*I37*AH37))</f>
        <v>2541.4196440740593</v>
      </c>
      <c r="AJ37" s="268">
        <f t="shared" ref="AJ37:AJ48" si="55">X37*AI37/1000000</f>
        <v>0.47645428559965397</v>
      </c>
      <c r="AK37" s="313">
        <f t="shared" ref="AK37:AK48" si="56">365*AJ37*AB37</f>
        <v>35.958579440290556</v>
      </c>
      <c r="AL37" s="313">
        <f t="shared" ref="AL37:AL48" si="57">AL$20+AK37/5.615</f>
        <v>15.217716601256354</v>
      </c>
      <c r="AM37" s="313">
        <f t="shared" ref="AM37:AM48" si="58">AM$20+5.615*AL37</f>
        <v>216.02899245464948</v>
      </c>
    </row>
    <row r="38" spans="2:39" x14ac:dyDescent="0.25">
      <c r="B38" s="1">
        <f t="shared" si="40"/>
        <v>3500</v>
      </c>
      <c r="C38" s="170">
        <f t="shared" si="46"/>
        <v>1.4237428599999999</v>
      </c>
      <c r="D38" s="122">
        <v>121.569011576135</v>
      </c>
      <c r="E38">
        <f t="shared" si="47"/>
        <v>0.65859707859999994</v>
      </c>
      <c r="F38">
        <f t="shared" si="48"/>
        <v>2.0670040000000001E-2</v>
      </c>
      <c r="G38" s="122">
        <f t="shared" si="49"/>
        <v>4.7718981480560693E-3</v>
      </c>
      <c r="H38" s="184">
        <f t="shared" si="50"/>
        <v>1.9990000000000001E-2</v>
      </c>
      <c r="I38" s="184">
        <f t="shared" si="51"/>
        <v>5.35677916485268E-3</v>
      </c>
      <c r="J38" s="155">
        <f>Data!D$14</f>
        <v>1.49E-5</v>
      </c>
      <c r="K38" s="387">
        <f>L38/Data!D$21</f>
        <v>0.10083808359007754</v>
      </c>
      <c r="L38" s="252">
        <f t="shared" si="52"/>
        <v>0.13088783249992064</v>
      </c>
      <c r="M38" s="252">
        <f>Data!D$21-L38</f>
        <v>1.1671121675000795</v>
      </c>
      <c r="N38" s="299">
        <v>2</v>
      </c>
      <c r="O38" s="300">
        <f>30.4*Data!N$5*Data!O$5/5.615</f>
        <v>47.102404274265361</v>
      </c>
      <c r="P38" s="300">
        <f t="shared" si="53"/>
        <v>49.102404274265361</v>
      </c>
      <c r="Q38" s="301"/>
      <c r="R38" s="302"/>
      <c r="S38" s="303"/>
      <c r="T38" s="304"/>
      <c r="U38" s="305"/>
      <c r="V38" s="298"/>
      <c r="W38" s="377">
        <f>Data!D$42/(141.2*C38*E38*LN(Data!D$47))</f>
        <v>0.11803177899177331</v>
      </c>
      <c r="X38" s="378">
        <f>W38*(B38-Data!D$43)</f>
        <v>177.04766848765996</v>
      </c>
      <c r="Y38" s="379">
        <f t="shared" si="35"/>
        <v>1.6257693125076501E-2</v>
      </c>
      <c r="Z38" s="379">
        <f t="shared" si="36"/>
        <v>1.9288131992651673E-2</v>
      </c>
      <c r="AA38" s="252">
        <f t="shared" si="37"/>
        <v>2.0355057846772318</v>
      </c>
      <c r="AB38" s="252">
        <f t="shared" si="41"/>
        <v>0.23321428479889725</v>
      </c>
      <c r="AC38" s="248">
        <f t="shared" si="38"/>
        <v>3.8466207774498677</v>
      </c>
      <c r="AD38" s="380">
        <f>1000000*(P38-AL37)*I38/Data!D$48</f>
        <v>5.4425619661042542E-2</v>
      </c>
      <c r="AE38" s="381">
        <f>1-AD38-Data!D$13</f>
        <v>0.44957438033895747</v>
      </c>
      <c r="AF38" s="215">
        <f>(AD38-Data!D$27)/(1-Data!D$27-Data!D$19-Data!D$13)</f>
        <v>0.17903164362185045</v>
      </c>
      <c r="AG38" s="33">
        <f>Data!D$29*AF38</f>
        <v>0.17903164362185045</v>
      </c>
      <c r="AH38" s="33">
        <f>Data!D$28*(1-AF38)</f>
        <v>0.82096835637814958</v>
      </c>
      <c r="AI38" s="246">
        <f t="shared" si="54"/>
        <v>2592.1915196569671</v>
      </c>
      <c r="AJ38" s="268">
        <f t="shared" si="55"/>
        <v>0.4589414648287502</v>
      </c>
      <c r="AK38" s="313">
        <f t="shared" si="56"/>
        <v>39.06657250187726</v>
      </c>
      <c r="AL38" s="313">
        <f t="shared" si="57"/>
        <v>15.771232729766897</v>
      </c>
      <c r="AM38" s="313">
        <f t="shared" si="58"/>
        <v>219.13698551623617</v>
      </c>
    </row>
    <row r="39" spans="2:39" x14ac:dyDescent="0.25">
      <c r="B39" s="1">
        <f t="shared" si="40"/>
        <v>3400</v>
      </c>
      <c r="C39" s="170">
        <f t="shared" si="46"/>
        <v>1.4252718599999998</v>
      </c>
      <c r="D39" s="122">
        <v>122.569011576135</v>
      </c>
      <c r="E39">
        <f t="shared" si="47"/>
        <v>0.65305278860000004</v>
      </c>
      <c r="F39">
        <f t="shared" si="48"/>
        <v>2.0434040000000001E-2</v>
      </c>
      <c r="G39" s="122">
        <f t="shared" si="49"/>
        <v>4.9157436848325277E-3</v>
      </c>
      <c r="H39" s="184">
        <f t="shared" si="50"/>
        <v>1.9762399999999999E-2</v>
      </c>
      <c r="I39" s="184">
        <f t="shared" si="51"/>
        <v>5.5013990838723974E-3</v>
      </c>
      <c r="J39" s="155">
        <f>Data!D$14</f>
        <v>1.49E-5</v>
      </c>
      <c r="K39" s="387">
        <f>L39/Data!D$21</f>
        <v>0.10216644104720202</v>
      </c>
      <c r="L39" s="252">
        <f t="shared" si="52"/>
        <v>0.13261204047926822</v>
      </c>
      <c r="M39" s="252">
        <f>Data!D$21-L39</f>
        <v>1.1653879595207317</v>
      </c>
      <c r="N39" s="299">
        <v>3</v>
      </c>
      <c r="O39" s="300">
        <f>30.4*Data!N$5*Data!O$5/5.615</f>
        <v>47.102404274265361</v>
      </c>
      <c r="P39" s="300">
        <f t="shared" si="53"/>
        <v>50.102404274265361</v>
      </c>
      <c r="Q39" s="301"/>
      <c r="R39" s="302"/>
      <c r="S39" s="303"/>
      <c r="T39" s="304"/>
      <c r="U39" s="305"/>
      <c r="V39" s="298"/>
      <c r="W39" s="377">
        <f>Data!D$42/(141.2*C39*E39*LN(Data!D$47))</f>
        <v>0.11890614876304469</v>
      </c>
      <c r="X39" s="378">
        <f>W39*(B39-Data!D$43)</f>
        <v>166.46860826826256</v>
      </c>
      <c r="Y39" s="379">
        <f t="shared" si="35"/>
        <v>1.7711003597169948E-2</v>
      </c>
      <c r="Z39" s="379">
        <f t="shared" si="36"/>
        <v>2.1012339971999264E-2</v>
      </c>
      <c r="AA39" s="252">
        <f t="shared" si="37"/>
        <v>2.0522445993261518</v>
      </c>
      <c r="AB39" s="252">
        <f t="shared" si="41"/>
        <v>0.26133399646574162</v>
      </c>
      <c r="AC39" s="248">
        <f t="shared" si="38"/>
        <v>3.8747404891167121</v>
      </c>
      <c r="AD39" s="380">
        <f>1000000*(P39-AL38)*I39/Data!D$48</f>
        <v>5.6631482054041733E-2</v>
      </c>
      <c r="AE39" s="381">
        <f>1-AD39-Data!D$13</f>
        <v>0.44736851794595822</v>
      </c>
      <c r="AF39" s="215">
        <f>(AD39-Data!D$27)/(1-Data!D$27-Data!D$19-Data!D$13)</f>
        <v>0.18628776991461093</v>
      </c>
      <c r="AG39" s="33">
        <f>Data!D$29*AF39</f>
        <v>0.18628776991461093</v>
      </c>
      <c r="AH39" s="33">
        <f>Data!D$28*(1-AF39)</f>
        <v>0.81371223008538907</v>
      </c>
      <c r="AI39" s="246">
        <f t="shared" si="54"/>
        <v>2648.1825400695284</v>
      </c>
      <c r="AJ39" s="268">
        <f t="shared" si="55"/>
        <v>0.44083926188568684</v>
      </c>
      <c r="AK39" s="313">
        <f t="shared" si="56"/>
        <v>42.050294429271894</v>
      </c>
      <c r="AL39" s="313">
        <f t="shared" si="57"/>
        <v>16.302616866435578</v>
      </c>
      <c r="AM39" s="313">
        <f t="shared" si="58"/>
        <v>222.12070744363081</v>
      </c>
    </row>
    <row r="40" spans="2:39" x14ac:dyDescent="0.25">
      <c r="B40" s="1">
        <f t="shared" si="40"/>
        <v>3300</v>
      </c>
      <c r="C40" s="170">
        <f t="shared" si="46"/>
        <v>1.4268008599999999</v>
      </c>
      <c r="D40" s="122">
        <v>123.569011576135</v>
      </c>
      <c r="E40">
        <f t="shared" si="47"/>
        <v>0.64750849860000004</v>
      </c>
      <c r="F40">
        <f t="shared" si="48"/>
        <v>2.019804E-2</v>
      </c>
      <c r="G40" s="122">
        <f t="shared" si="49"/>
        <v>5.0684173354736293E-3</v>
      </c>
      <c r="H40" s="184">
        <f t="shared" si="50"/>
        <v>1.95356E-2</v>
      </c>
      <c r="I40" s="184">
        <f t="shared" si="51"/>
        <v>5.6544187091220003E-3</v>
      </c>
      <c r="J40" s="155">
        <f>Data!D$14</f>
        <v>1.49E-5</v>
      </c>
      <c r="K40" s="387">
        <f>L40/Data!D$21</f>
        <v>0.1034919514937746</v>
      </c>
      <c r="L40" s="252">
        <f t="shared" si="52"/>
        <v>0.13433255303891944</v>
      </c>
      <c r="M40" s="252">
        <f>Data!D$21-L40</f>
        <v>1.1636674469610806</v>
      </c>
      <c r="N40" s="299">
        <v>4</v>
      </c>
      <c r="O40" s="300">
        <f>30.4*Data!N$5*Data!O$5/5.615</f>
        <v>47.102404274265361</v>
      </c>
      <c r="P40" s="300">
        <f t="shared" si="53"/>
        <v>51.102404274265361</v>
      </c>
      <c r="Q40" s="301"/>
      <c r="R40" s="302"/>
      <c r="S40" s="303"/>
      <c r="T40" s="304"/>
      <c r="U40" s="305"/>
      <c r="V40" s="298"/>
      <c r="W40" s="377">
        <f>Data!D$42/(141.2*C40*E40*LN(Data!D$47))</f>
        <v>0.11979576814311024</v>
      </c>
      <c r="X40" s="378">
        <f>W40*(B40-Data!D$43)</f>
        <v>155.73449858604332</v>
      </c>
      <c r="Y40" s="379">
        <f t="shared" si="35"/>
        <v>1.9161199252368998E-2</v>
      </c>
      <c r="Z40" s="379">
        <f t="shared" si="36"/>
        <v>2.2732852531650471E-2</v>
      </c>
      <c r="AA40" s="252">
        <f t="shared" si="37"/>
        <v>2.0692700660973875</v>
      </c>
      <c r="AB40" s="252">
        <f t="shared" si="41"/>
        <v>0.29139522205666496</v>
      </c>
      <c r="AC40" s="248">
        <f t="shared" si="38"/>
        <v>3.9048017147076357</v>
      </c>
      <c r="AD40" s="380">
        <f>1000000*(P40-AL39)*I40/Data!D$48</f>
        <v>5.9001181473646525E-2</v>
      </c>
      <c r="AE40" s="381">
        <f>1-AD40-Data!D$13</f>
        <v>0.44499881852635348</v>
      </c>
      <c r="AF40" s="215">
        <f>(AD40-Data!D$27)/(1-Data!D$27-Data!D$19-Data!D$13)</f>
        <v>0.19408283379488986</v>
      </c>
      <c r="AG40" s="33">
        <f>Data!D$29*AF40</f>
        <v>0.19408283379488986</v>
      </c>
      <c r="AH40" s="33">
        <f>Data!D$28*(1-AF40)</f>
        <v>0.80591716620511011</v>
      </c>
      <c r="AI40" s="246">
        <f t="shared" si="54"/>
        <v>2707.9854727159577</v>
      </c>
      <c r="AJ40" s="268">
        <f t="shared" si="55"/>
        <v>0.42172675977170915</v>
      </c>
      <c r="AK40" s="313">
        <f t="shared" si="56"/>
        <v>44.854544425983974</v>
      </c>
      <c r="AL40" s="313">
        <f t="shared" si="57"/>
        <v>16.802038059082431</v>
      </c>
      <c r="AM40" s="313">
        <f t="shared" si="58"/>
        <v>224.92495744034289</v>
      </c>
    </row>
    <row r="41" spans="2:39" x14ac:dyDescent="0.25">
      <c r="B41" s="1">
        <f t="shared" si="40"/>
        <v>3200</v>
      </c>
      <c r="C41" s="170">
        <f t="shared" si="46"/>
        <v>1.4283298599999998</v>
      </c>
      <c r="D41" s="122">
        <v>124.569011576135</v>
      </c>
      <c r="E41">
        <f t="shared" si="47"/>
        <v>0.64196420860000003</v>
      </c>
      <c r="F41">
        <f t="shared" si="48"/>
        <v>1.996204E-2</v>
      </c>
      <c r="G41" s="122">
        <f t="shared" si="49"/>
        <v>5.2307538193639164E-3</v>
      </c>
      <c r="H41" s="184">
        <f t="shared" si="50"/>
        <v>1.93096E-2</v>
      </c>
      <c r="I41" s="184">
        <f t="shared" si="51"/>
        <v>5.816603301667134E-3</v>
      </c>
      <c r="J41" s="155">
        <f>Data!D$14</f>
        <v>1.49E-5</v>
      </c>
      <c r="K41" s="387">
        <f>L41/Data!D$21</f>
        <v>0.10481462407280753</v>
      </c>
      <c r="L41" s="252">
        <f t="shared" si="52"/>
        <v>0.13604938204650419</v>
      </c>
      <c r="M41" s="252">
        <f>Data!D$21-L41</f>
        <v>1.161950617953496</v>
      </c>
      <c r="N41" s="299">
        <v>5</v>
      </c>
      <c r="O41" s="300">
        <f>30.4*Data!N$5*Data!O$5/5.615</f>
        <v>47.102404274265361</v>
      </c>
      <c r="P41" s="300">
        <f t="shared" si="53"/>
        <v>52.102404274265361</v>
      </c>
      <c r="Q41" s="301"/>
      <c r="R41" s="302"/>
      <c r="S41" s="303"/>
      <c r="T41" s="304"/>
      <c r="U41" s="305"/>
      <c r="V41" s="298"/>
      <c r="W41" s="377">
        <f>Data!D$42/(141.2*C41*E41*LN(Data!D$47))</f>
        <v>0.12070103134518191</v>
      </c>
      <c r="X41" s="378">
        <f>W41*(B41-Data!D$43)</f>
        <v>144.8412376142183</v>
      </c>
      <c r="Y41" s="379">
        <f t="shared" si="35"/>
        <v>2.0608290093730726E-2</v>
      </c>
      <c r="Z41" s="379">
        <f t="shared" si="36"/>
        <v>2.4449681539235213E-2</v>
      </c>
      <c r="AA41" s="252">
        <f t="shared" si="37"/>
        <v>2.0865896119587029</v>
      </c>
      <c r="AB41" s="252">
        <f t="shared" si="41"/>
        <v>0.32372911383779757</v>
      </c>
      <c r="AC41" s="248">
        <f t="shared" si="38"/>
        <v>3.9371356064887681</v>
      </c>
      <c r="AD41" s="380">
        <f>1000000*(P41-AL40)*I41/Data!D$48</f>
        <v>6.1566548761798907E-2</v>
      </c>
      <c r="AE41" s="381">
        <f>1-AD41-Data!D$13</f>
        <v>0.4424334512382011</v>
      </c>
      <c r="AF41" s="215">
        <f>(AD41-Data!D$27)/(1-Data!D$27-Data!D$19-Data!D$13)</f>
        <v>0.20252154197960165</v>
      </c>
      <c r="AG41" s="33">
        <f>Data!D$29*AF41</f>
        <v>0.20252154197960165</v>
      </c>
      <c r="AH41" s="33">
        <f>Data!D$28*(1-AF41)</f>
        <v>0.79747845802039841</v>
      </c>
      <c r="AI41" s="246">
        <f t="shared" si="54"/>
        <v>2772.6916284405156</v>
      </c>
      <c r="AJ41" s="268">
        <f t="shared" si="55"/>
        <v>0.4016000869859066</v>
      </c>
      <c r="AK41" s="313">
        <f t="shared" si="56"/>
        <v>47.45351870115244</v>
      </c>
      <c r="AL41" s="313">
        <f t="shared" si="57"/>
        <v>17.264900797313679</v>
      </c>
      <c r="AM41" s="313">
        <f t="shared" si="58"/>
        <v>227.52393171551137</v>
      </c>
    </row>
    <row r="42" spans="2:39" x14ac:dyDescent="0.25">
      <c r="B42" s="1">
        <f t="shared" si="40"/>
        <v>3100</v>
      </c>
      <c r="C42" s="170">
        <f t="shared" si="46"/>
        <v>1.42985886</v>
      </c>
      <c r="D42" s="122">
        <v>125.569011576135</v>
      </c>
      <c r="E42">
        <f t="shared" si="47"/>
        <v>0.63641991860000002</v>
      </c>
      <c r="F42">
        <f t="shared" si="48"/>
        <v>1.972604E-2</v>
      </c>
      <c r="G42" s="122">
        <f t="shared" si="49"/>
        <v>5.4036962642082043E-3</v>
      </c>
      <c r="H42" s="184">
        <f t="shared" si="50"/>
        <v>1.9084400000000001E-2</v>
      </c>
      <c r="I42" s="184">
        <f t="shared" si="51"/>
        <v>5.988814743293107E-3</v>
      </c>
      <c r="J42" s="155">
        <f>Data!D$14</f>
        <v>1.49E-5</v>
      </c>
      <c r="K42" s="387">
        <f>L42/Data!D$21</f>
        <v>0.10613446788820521</v>
      </c>
      <c r="L42" s="252">
        <f t="shared" si="52"/>
        <v>0.13776253931889038</v>
      </c>
      <c r="M42" s="252">
        <f>Data!D$21-L42</f>
        <v>1.1602374606811097</v>
      </c>
      <c r="N42" s="299">
        <v>6</v>
      </c>
      <c r="O42" s="300">
        <f>30.4*Data!N$5*Data!O$5/5.615</f>
        <v>47.102404274265361</v>
      </c>
      <c r="P42" s="300">
        <f t="shared" si="53"/>
        <v>53.102404274265361</v>
      </c>
      <c r="Q42" s="301"/>
      <c r="R42" s="302"/>
      <c r="S42" s="303"/>
      <c r="T42" s="304"/>
      <c r="U42" s="305"/>
      <c r="V42" s="298"/>
      <c r="W42" s="377">
        <f>Data!D$42/(141.2*C42*E42*LN(Data!D$47))</f>
        <v>0.12162234632337481</v>
      </c>
      <c r="X42" s="378">
        <f>W42*(B42-Data!D$43)</f>
        <v>133.78458095571227</v>
      </c>
      <c r="Y42" s="379">
        <f t="shared" si="35"/>
        <v>2.2052286081525648E-2</v>
      </c>
      <c r="Z42" s="379">
        <f t="shared" si="36"/>
        <v>2.616283881162141E-2</v>
      </c>
      <c r="AA42" s="252">
        <f t="shared" si="37"/>
        <v>2.1042109226834924</v>
      </c>
      <c r="AB42" s="252">
        <f t="shared" si="41"/>
        <v>0.35875544884076943</v>
      </c>
      <c r="AC42" s="248">
        <f t="shared" si="38"/>
        <v>3.97216194149174</v>
      </c>
      <c r="AD42" s="380">
        <f>1000000*(P42-AL41)*I42/Data!D$48</f>
        <v>6.4353886416174455E-2</v>
      </c>
      <c r="AE42" s="381">
        <f>1-AD42-Data!D$13</f>
        <v>0.43964611358382555</v>
      </c>
      <c r="AF42" s="215">
        <f>(AD42-Data!D$27)/(1-Data!D$27-Data!D$19-Data!D$13)</f>
        <v>0.21169041584267909</v>
      </c>
      <c r="AG42" s="33">
        <f>Data!D$29*AF42</f>
        <v>0.21169041584267909</v>
      </c>
      <c r="AH42" s="33">
        <f>Data!D$28*(1-AF42)</f>
        <v>0.78830958415732089</v>
      </c>
      <c r="AI42" s="246">
        <f t="shared" si="54"/>
        <v>2843.1400713737899</v>
      </c>
      <c r="AJ42" s="268">
        <f t="shared" si="55"/>
        <v>0.38036830304713637</v>
      </c>
      <c r="AK42" s="313">
        <f t="shared" si="56"/>
        <v>49.807608468834189</v>
      </c>
      <c r="AL42" s="313">
        <f t="shared" si="57"/>
        <v>17.684150978557092</v>
      </c>
      <c r="AM42" s="313">
        <f t="shared" si="58"/>
        <v>229.87802148319312</v>
      </c>
    </row>
    <row r="43" spans="2:39" x14ac:dyDescent="0.25">
      <c r="B43" s="1">
        <f t="shared" si="40"/>
        <v>3000</v>
      </c>
      <c r="C43" s="170">
        <f t="shared" si="46"/>
        <v>1.4313878599999998</v>
      </c>
      <c r="D43" s="122">
        <v>126.569011576135</v>
      </c>
      <c r="E43">
        <f t="shared" si="47"/>
        <v>0.63087562860000002</v>
      </c>
      <c r="F43">
        <f t="shared" si="48"/>
        <v>1.949004E-2</v>
      </c>
      <c r="G43" s="122">
        <f t="shared" si="49"/>
        <v>5.5883143699619071E-3</v>
      </c>
      <c r="H43" s="184">
        <f t="shared" si="50"/>
        <v>1.8860000000000002E-2</v>
      </c>
      <c r="I43" s="184">
        <f t="shared" si="51"/>
        <v>6.1720273583721775E-3</v>
      </c>
      <c r="J43" s="155">
        <f>Data!D$14</f>
        <v>1.49E-5</v>
      </c>
      <c r="K43" s="387">
        <f>L43/Data!D$21</f>
        <v>0.10745149200497316</v>
      </c>
      <c r="L43" s="252">
        <f t="shared" si="52"/>
        <v>0.13947203662245516</v>
      </c>
      <c r="M43" s="252">
        <f>Data!D$21-L43</f>
        <v>1.1585279633775449</v>
      </c>
      <c r="N43" s="299">
        <v>7</v>
      </c>
      <c r="O43" s="300">
        <f>30.4*Data!N$5*Data!O$5/5.615</f>
        <v>47.102404274265361</v>
      </c>
      <c r="P43" s="300">
        <f t="shared" si="53"/>
        <v>54.102404274265361</v>
      </c>
      <c r="Q43" s="301"/>
      <c r="R43" s="302"/>
      <c r="S43" s="303"/>
      <c r="T43" s="304"/>
      <c r="U43" s="305"/>
      <c r="V43" s="298"/>
      <c r="W43" s="377">
        <f>Data!D$42/(141.2*C43*E43*LN(Data!D$47))</f>
        <v>0.12256013537647904</v>
      </c>
      <c r="X43" s="378">
        <f>W43*(B43-Data!D$43)</f>
        <v>122.56013537647904</v>
      </c>
      <c r="Y43" s="379">
        <f t="shared" si="35"/>
        <v>2.3493197133466315E-2</v>
      </c>
      <c r="Z43" s="379">
        <f t="shared" si="36"/>
        <v>2.7872336115186205E-2</v>
      </c>
      <c r="AA43" s="252">
        <f t="shared" si="37"/>
        <v>2.122141954222998</v>
      </c>
      <c r="AB43" s="252">
        <f t="shared" si="41"/>
        <v>0.39701690235246145</v>
      </c>
      <c r="AC43" s="248">
        <f t="shared" si="38"/>
        <v>4.010423395003432</v>
      </c>
      <c r="AD43" s="380">
        <f>1000000*(P43-AL42)*I43/Data!D$48</f>
        <v>6.7397394456154155E-2</v>
      </c>
      <c r="AE43" s="381">
        <f>1-AD43-Data!D$13</f>
        <v>0.43660260554384589</v>
      </c>
      <c r="AF43" s="215">
        <f>(AD43-Data!D$27)/(1-Data!D$27-Data!D$19-Data!D$13)</f>
        <v>0.22170195544787547</v>
      </c>
      <c r="AG43" s="33">
        <f>Data!D$29*AF43</f>
        <v>0.22170195544787547</v>
      </c>
      <c r="AH43" s="33">
        <f>Data!D$28*(1-AF43)</f>
        <v>0.77829804455212459</v>
      </c>
      <c r="AI43" s="246">
        <f t="shared" si="54"/>
        <v>2920.4960123559417</v>
      </c>
      <c r="AJ43" s="268">
        <f t="shared" si="55"/>
        <v>0.3579363866408114</v>
      </c>
      <c r="AK43" s="313">
        <f t="shared" si="56"/>
        <v>51.868980344129284</v>
      </c>
      <c r="AL43" s="313">
        <f t="shared" si="57"/>
        <v>18.051269745305994</v>
      </c>
      <c r="AM43" s="313">
        <f t="shared" si="58"/>
        <v>231.93939335848822</v>
      </c>
    </row>
    <row r="44" spans="2:39" x14ac:dyDescent="0.25">
      <c r="B44" s="1">
        <f t="shared" si="40"/>
        <v>2900</v>
      </c>
      <c r="C44" s="170">
        <f t="shared" si="46"/>
        <v>1.43291686</v>
      </c>
      <c r="D44" s="122">
        <v>127.569011576135</v>
      </c>
      <c r="E44">
        <f t="shared" si="47"/>
        <v>0.62533133860000001</v>
      </c>
      <c r="F44">
        <f t="shared" si="48"/>
        <v>1.925404E-2</v>
      </c>
      <c r="G44" s="122">
        <f t="shared" si="49"/>
        <v>5.7858263477252618E-3</v>
      </c>
      <c r="H44" s="184">
        <f t="shared" si="50"/>
        <v>1.8636400000000001E-2</v>
      </c>
      <c r="I44" s="184">
        <f t="shared" si="51"/>
        <v>6.3673469606875827E-3</v>
      </c>
      <c r="J44" s="155">
        <f>Data!D$14</f>
        <v>1.49E-5</v>
      </c>
      <c r="K44" s="387">
        <f>L44/Data!D$21</f>
        <v>0.10876570544942543</v>
      </c>
      <c r="L44" s="252">
        <f t="shared" si="52"/>
        <v>0.14117788567335421</v>
      </c>
      <c r="M44" s="252">
        <f>Data!D$21-L44</f>
        <v>1.1568221143266459</v>
      </c>
      <c r="N44" s="299">
        <v>8</v>
      </c>
      <c r="O44" s="300">
        <f>30.4*Data!N$5*Data!O$5/5.615</f>
        <v>47.102404274265361</v>
      </c>
      <c r="P44" s="300">
        <f t="shared" si="53"/>
        <v>55.102404274265361</v>
      </c>
      <c r="Q44" s="301"/>
      <c r="R44" s="302"/>
      <c r="S44" s="303"/>
      <c r="T44" s="304"/>
      <c r="U44" s="305"/>
      <c r="V44" s="298"/>
      <c r="W44" s="377">
        <f>Data!D$42/(141.2*C44*E44*LN(Data!D$47))</f>
        <v>0.12351483578384959</v>
      </c>
      <c r="X44" s="378">
        <f>W44*(B44-Data!D$43)</f>
        <v>111.16335220546463</v>
      </c>
      <c r="Y44" s="379">
        <f t="shared" si="35"/>
        <v>2.4931033124934287E-2</v>
      </c>
      <c r="Z44" s="379">
        <f t="shared" si="36"/>
        <v>2.9578185166085236E-2</v>
      </c>
      <c r="AA44" s="252">
        <f t="shared" si="37"/>
        <v>2.1403909446835367</v>
      </c>
      <c r="AB44" s="252">
        <f t="shared" si="41"/>
        <v>0.4392315697830127</v>
      </c>
      <c r="AC44" s="248">
        <f t="shared" si="38"/>
        <v>4.0526380624339833</v>
      </c>
      <c r="AD44" s="380">
        <f>1000000*(P44-AL43)*I44/Data!D$48</f>
        <v>7.0738554172743037E-2</v>
      </c>
      <c r="AE44" s="381">
        <f>1-AD44-Data!D$13</f>
        <v>0.43326144582725701</v>
      </c>
      <c r="AF44" s="215">
        <f>(AD44-Data!D$27)/(1-Data!D$27-Data!D$19-Data!D$13)</f>
        <v>0.23269261241033889</v>
      </c>
      <c r="AG44" s="33">
        <f>Data!D$29*AF44</f>
        <v>0.23269261241033889</v>
      </c>
      <c r="AH44" s="33">
        <f>Data!D$28*(1-AF44)</f>
        <v>0.76730738758966111</v>
      </c>
      <c r="AI44" s="246">
        <f t="shared" si="54"/>
        <v>3006.2387367712026</v>
      </c>
      <c r="AJ44" s="268">
        <f t="shared" si="55"/>
        <v>0.33418357550940825</v>
      </c>
      <c r="AK44" s="313">
        <f t="shared" si="56"/>
        <v>53.576151410344529</v>
      </c>
      <c r="AL44" s="313">
        <f t="shared" si="57"/>
        <v>18.355307335014853</v>
      </c>
      <c r="AM44" s="313">
        <f t="shared" si="58"/>
        <v>233.64656442470346</v>
      </c>
    </row>
    <row r="45" spans="2:39" x14ac:dyDescent="0.25">
      <c r="B45" s="1">
        <f t="shared" si="40"/>
        <v>2800</v>
      </c>
      <c r="C45" s="170">
        <f t="shared" si="46"/>
        <v>1.4344458599999999</v>
      </c>
      <c r="D45" s="122">
        <v>128.56901157613501</v>
      </c>
      <c r="E45">
        <f t="shared" si="47"/>
        <v>0.6197870486</v>
      </c>
      <c r="F45">
        <f t="shared" si="48"/>
        <v>1.901804E-2</v>
      </c>
      <c r="G45" s="122">
        <f t="shared" si="49"/>
        <v>5.9976255810478751E-3</v>
      </c>
      <c r="H45" s="184">
        <f t="shared" si="50"/>
        <v>1.8413600000000002E-2</v>
      </c>
      <c r="I45" s="184">
        <f t="shared" si="51"/>
        <v>6.5760339210212916E-3</v>
      </c>
      <c r="J45" s="155">
        <f>Data!D$14</f>
        <v>1.49E-5</v>
      </c>
      <c r="K45" s="387">
        <f>L45/Data!D$21</f>
        <v>0.11007711720939087</v>
      </c>
      <c r="L45" s="252">
        <f t="shared" si="52"/>
        <v>0.14288009813778935</v>
      </c>
      <c r="M45" s="252">
        <f>Data!D$21-L45</f>
        <v>1.1551199018622107</v>
      </c>
      <c r="N45" s="299">
        <v>9</v>
      </c>
      <c r="O45" s="300">
        <f>30.4*Data!N$5*Data!O$5/5.615</f>
        <v>47.102404274265361</v>
      </c>
      <c r="P45" s="300">
        <f t="shared" si="53"/>
        <v>56.102404274265361</v>
      </c>
      <c r="Q45" s="301"/>
      <c r="R45" s="302"/>
      <c r="S45" s="303"/>
      <c r="T45" s="304"/>
      <c r="U45" s="305"/>
      <c r="V45" s="298"/>
      <c r="W45" s="377">
        <f>Data!D$42/(141.2*C45*E45*LN(Data!D$47))</f>
        <v>0.12448690047542728</v>
      </c>
      <c r="X45" s="378">
        <f>W45*(B45-Data!D$43)</f>
        <v>99.589520380341824</v>
      </c>
      <c r="Y45" s="379">
        <f t="shared" si="35"/>
        <v>2.6365803889205806E-2</v>
      </c>
      <c r="Z45" s="379">
        <f t="shared" si="36"/>
        <v>3.128039763052038E-2</v>
      </c>
      <c r="AA45" s="252">
        <f t="shared" si="37"/>
        <v>2.1589664269465394</v>
      </c>
      <c r="AB45" s="252">
        <f t="shared" si="41"/>
        <v>0.4863767590298792</v>
      </c>
      <c r="AC45" s="248">
        <f t="shared" si="38"/>
        <v>4.0997832516808499</v>
      </c>
      <c r="AD45" s="380">
        <f>1000000*(P45-AL44)*I45/Data!D$48</f>
        <v>7.4429269035653042E-2</v>
      </c>
      <c r="AE45" s="381">
        <f>1-AD45-Data!D$13</f>
        <v>0.42957073096434695</v>
      </c>
      <c r="AF45" s="215">
        <f>(AD45-Data!D$27)/(1-Data!D$27-Data!D$19-Data!D$13)</f>
        <v>0.24483312182780603</v>
      </c>
      <c r="AG45" s="33">
        <f>Data!D$29*AF45</f>
        <v>0.24483312182780603</v>
      </c>
      <c r="AH45" s="33">
        <f>Data!D$28*(1-AF45)</f>
        <v>0.75516687817219397</v>
      </c>
      <c r="AI45" s="246">
        <f t="shared" si="54"/>
        <v>3102.3215986775394</v>
      </c>
      <c r="AJ45" s="268">
        <f t="shared" si="55"/>
        <v>0.30895872007787145</v>
      </c>
      <c r="AK45" s="313">
        <f t="shared" si="56"/>
        <v>54.848674445105594</v>
      </c>
      <c r="AL45" s="313">
        <f t="shared" si="57"/>
        <v>18.581936548685569</v>
      </c>
      <c r="AM45" s="313">
        <f t="shared" si="58"/>
        <v>234.91908745946452</v>
      </c>
    </row>
    <row r="46" spans="2:39" x14ac:dyDescent="0.25">
      <c r="B46" s="1">
        <f t="shared" si="40"/>
        <v>2700</v>
      </c>
      <c r="C46" s="170">
        <f t="shared" si="46"/>
        <v>1.43597486</v>
      </c>
      <c r="D46" s="122">
        <v>129.56901157613501</v>
      </c>
      <c r="E46">
        <f t="shared" si="47"/>
        <v>0.61424275859999999</v>
      </c>
      <c r="F46">
        <f t="shared" si="48"/>
        <v>1.878204E-2</v>
      </c>
      <c r="G46" s="122">
        <f t="shared" si="49"/>
        <v>6.2253132387986359E-3</v>
      </c>
      <c r="H46" s="184">
        <f t="shared" si="50"/>
        <v>1.8191600000000002E-2</v>
      </c>
      <c r="I46" s="184">
        <f t="shared" si="51"/>
        <v>6.7995312843871338E-3</v>
      </c>
      <c r="J46" s="155">
        <f>Data!D$14</f>
        <v>1.49E-5</v>
      </c>
      <c r="K46" s="387">
        <f>L46/Data!D$21</f>
        <v>0.11138573623441807</v>
      </c>
      <c r="L46" s="252">
        <f t="shared" si="52"/>
        <v>0.14457868563227466</v>
      </c>
      <c r="M46" s="252">
        <f>Data!D$21-L46</f>
        <v>1.1534213143677254</v>
      </c>
      <c r="N46" s="299">
        <v>10</v>
      </c>
      <c r="O46" s="300">
        <f>30.4*Data!N$5*Data!O$5/5.615</f>
        <v>47.102404274265361</v>
      </c>
      <c r="P46" s="300">
        <f t="shared" si="53"/>
        <v>57.102404274265361</v>
      </c>
      <c r="Q46" s="301"/>
      <c r="R46" s="302"/>
      <c r="S46" s="303"/>
      <c r="T46" s="304"/>
      <c r="U46" s="305"/>
      <c r="V46" s="298"/>
      <c r="W46" s="377">
        <f>Data!D$42/(141.2*C46*E46*LN(Data!D$47))</f>
        <v>0.12547679873804563</v>
      </c>
      <c r="X46" s="378">
        <f>W46*(B46-Data!D$43)</f>
        <v>87.833759116631938</v>
      </c>
      <c r="Y46" s="379">
        <f t="shared" si="35"/>
        <v>2.7797519217675936E-2</v>
      </c>
      <c r="Z46" s="379">
        <f t="shared" si="36"/>
        <v>3.2978985125005675E-2</v>
      </c>
      <c r="AA46" s="252">
        <f t="shared" si="37"/>
        <v>2.1778772419720824</v>
      </c>
      <c r="AB46" s="252">
        <f t="shared" si="41"/>
        <v>0.53982937421612898</v>
      </c>
      <c r="AC46" s="248">
        <f t="shared" si="38"/>
        <v>4.1532358668670994</v>
      </c>
      <c r="AD46" s="380">
        <f>1000000*(P46-AL45)*I46/Data!D$48</f>
        <v>7.8535620742344131E-2</v>
      </c>
      <c r="AE46" s="381">
        <f>1-AD46-Data!D$13</f>
        <v>0.4254643792576559</v>
      </c>
      <c r="AF46" s="215">
        <f>(AD46-Data!D$27)/(1-Data!D$27-Data!D$19-Data!D$13)</f>
        <v>0.25834085770507936</v>
      </c>
      <c r="AG46" s="33">
        <f>Data!D$29*AF46</f>
        <v>0.25834085770507936</v>
      </c>
      <c r="AH46" s="33">
        <f>Data!D$28*(1-AF46)</f>
        <v>0.74165914229492058</v>
      </c>
      <c r="AI46" s="246">
        <f t="shared" si="54"/>
        <v>3211.3822010322524</v>
      </c>
      <c r="AJ46" s="268">
        <f t="shared" si="55"/>
        <v>0.28206777067690614</v>
      </c>
      <c r="AK46" s="313">
        <f t="shared" si="56"/>
        <v>55.577990867834274</v>
      </c>
      <c r="AL46" s="313">
        <f t="shared" si="57"/>
        <v>18.711823712127895</v>
      </c>
      <c r="AM46" s="313">
        <f t="shared" si="58"/>
        <v>235.64840388219318</v>
      </c>
    </row>
    <row r="47" spans="2:39" x14ac:dyDescent="0.25">
      <c r="B47" s="1">
        <f t="shared" si="40"/>
        <v>2600</v>
      </c>
      <c r="C47" s="170">
        <f t="shared" si="46"/>
        <v>1.4375038599999999</v>
      </c>
      <c r="D47" s="122">
        <v>130.56901157613501</v>
      </c>
      <c r="E47">
        <f t="shared" si="47"/>
        <v>0.60869846859999999</v>
      </c>
      <c r="F47">
        <f t="shared" si="48"/>
        <v>1.854604E-2</v>
      </c>
      <c r="G47" s="122">
        <f t="shared" si="49"/>
        <v>6.4707384482873432E-3</v>
      </c>
      <c r="H47" s="184">
        <f t="shared" si="50"/>
        <v>1.7970400000000001E-2</v>
      </c>
      <c r="I47" s="184">
        <f t="shared" si="51"/>
        <v>7.0394992787015933E-3</v>
      </c>
      <c r="J47" s="155">
        <f>Data!D$14</f>
        <v>1.49E-5</v>
      </c>
      <c r="K47" s="387">
        <f>L47/Data!D$21</f>
        <v>0.11269157143597885</v>
      </c>
      <c r="L47" s="252">
        <f t="shared" si="52"/>
        <v>0.14627365972390055</v>
      </c>
      <c r="M47" s="252">
        <f>Data!D$21-L47</f>
        <v>1.1517263402760995</v>
      </c>
      <c r="N47" s="299">
        <v>11</v>
      </c>
      <c r="O47" s="300">
        <f>30.4*Data!N$5*Data!O$5/5.615</f>
        <v>47.102404274265361</v>
      </c>
      <c r="P47" s="300">
        <f t="shared" si="53"/>
        <v>58.102404274265361</v>
      </c>
      <c r="Q47" s="301"/>
      <c r="R47" s="302"/>
      <c r="S47" s="303"/>
      <c r="T47" s="304"/>
      <c r="U47" s="305"/>
      <c r="V47" s="298"/>
      <c r="W47" s="377">
        <f>Data!D$42/(141.2*C47*E47*LN(Data!D$47))</f>
        <v>0.12648501696033851</v>
      </c>
      <c r="X47" s="378">
        <f>W47*(B47-Data!D$43)</f>
        <v>75.89101017620311</v>
      </c>
      <c r="Y47" s="379">
        <f t="shared" si="35"/>
        <v>2.9226188860081298E-2</v>
      </c>
      <c r="Z47" s="379">
        <f t="shared" si="36"/>
        <v>3.4673959216631571E-2</v>
      </c>
      <c r="AA47" s="252">
        <f t="shared" si="37"/>
        <v>2.1971325528294572</v>
      </c>
      <c r="AB47" s="252">
        <f t="shared" si="41"/>
        <v>0.60161586495769503</v>
      </c>
      <c r="AC47" s="248">
        <f t="shared" si="38"/>
        <v>4.2150223576086656</v>
      </c>
      <c r="AD47" s="380">
        <f>1000000*(P47-AL46)*I47/Data!D$48</f>
        <v>8.314388300362037E-2</v>
      </c>
      <c r="AE47" s="381">
        <f>1-AD47-Data!D$13</f>
        <v>0.42085611699637959</v>
      </c>
      <c r="AF47" s="215">
        <f>(AD47-Data!D$27)/(1-Data!D$27-Data!D$19-Data!D$13)</f>
        <v>0.27349961514348803</v>
      </c>
      <c r="AG47" s="33">
        <f>Data!D$29*AF47</f>
        <v>0.27349961514348803</v>
      </c>
      <c r="AH47" s="33">
        <f>Data!D$28*(1-AF47)</f>
        <v>0.72650038485651192</v>
      </c>
      <c r="AI47" s="246">
        <f t="shared" si="54"/>
        <v>3337.0946751446863</v>
      </c>
      <c r="AJ47" s="268">
        <f t="shared" si="55"/>
        <v>0.25325548595035857</v>
      </c>
      <c r="AK47" s="313">
        <f t="shared" si="56"/>
        <v>55.612319155886816</v>
      </c>
      <c r="AL47" s="313">
        <f t="shared" si="57"/>
        <v>18.717937387649279</v>
      </c>
      <c r="AM47" s="313">
        <f t="shared" si="58"/>
        <v>235.68273217024574</v>
      </c>
    </row>
    <row r="48" spans="2:39" x14ac:dyDescent="0.25">
      <c r="B48" s="1">
        <f t="shared" si="40"/>
        <v>2500</v>
      </c>
      <c r="C48" s="170">
        <f t="shared" si="46"/>
        <v>1.43903286</v>
      </c>
      <c r="D48" s="122">
        <v>131.56901157613501</v>
      </c>
      <c r="E48">
        <f t="shared" si="47"/>
        <v>0.60315417859999998</v>
      </c>
      <c r="F48">
        <f t="shared" si="48"/>
        <v>1.831004E-2</v>
      </c>
      <c r="G48" s="122">
        <f t="shared" si="49"/>
        <v>6.736048153923738E-3</v>
      </c>
      <c r="H48" s="184">
        <f t="shared" si="50"/>
        <v>1.7750000000000002E-2</v>
      </c>
      <c r="I48" s="184">
        <f t="shared" si="51"/>
        <v>7.2978579810583713E-3</v>
      </c>
      <c r="J48" s="155">
        <f>Data!D$14</f>
        <v>1.49E-5</v>
      </c>
      <c r="K48" s="387">
        <f>L48/Data!D$21</f>
        <v>0.11399463168767059</v>
      </c>
      <c r="L48" s="252">
        <f t="shared" si="52"/>
        <v>0.14796503193059643</v>
      </c>
      <c r="M48" s="252">
        <f>Data!D$21-L48</f>
        <v>1.1500349680694035</v>
      </c>
      <c r="N48" s="299">
        <v>12</v>
      </c>
      <c r="O48" s="300">
        <f>30.4*Data!N$5*Data!O$5/5.615</f>
        <v>47.102404274265361</v>
      </c>
      <c r="P48" s="300">
        <f t="shared" si="53"/>
        <v>59.102404274265361</v>
      </c>
      <c r="Q48" s="301"/>
      <c r="R48" s="302"/>
      <c r="S48" s="303"/>
      <c r="T48" s="304"/>
      <c r="U48" s="305"/>
      <c r="V48" s="298"/>
      <c r="W48" s="377">
        <f>Data!D$42/(141.2*C48*E48*LN(Data!D$47))</f>
        <v>0.1275120594187312</v>
      </c>
      <c r="X48" s="378">
        <f>W48*(B48-Data!D$43)</f>
        <v>63.756029709365599</v>
      </c>
      <c r="Y48" s="379">
        <f t="shared" si="35"/>
        <v>3.0651822524721362E-2</v>
      </c>
      <c r="Z48" s="379">
        <f t="shared" si="36"/>
        <v>3.6365331423327464E-2</v>
      </c>
      <c r="AA48" s="252">
        <f t="shared" si="37"/>
        <v>2.2167418595015729</v>
      </c>
      <c r="AB48" s="252">
        <f t="shared" si="41"/>
        <v>0.67489331963842847</v>
      </c>
      <c r="AC48" s="248">
        <f t="shared" si="38"/>
        <v>4.2882998122893987</v>
      </c>
      <c r="AD48" s="380">
        <f>1000000*(P48-AL47)*I48/Data!D$48</f>
        <v>8.8370215563398802E-2</v>
      </c>
      <c r="AE48" s="381">
        <f>1-AD48-Data!D$13</f>
        <v>0.41562978443660126</v>
      </c>
      <c r="AF48" s="215">
        <f>(AD48-Data!D$27)/(1-Data!D$27-Data!D$19-Data!D$13)</f>
        <v>0.29069149856381182</v>
      </c>
      <c r="AG48" s="33">
        <f>Data!D$29*AF48</f>
        <v>0.29069149856381182</v>
      </c>
      <c r="AH48" s="33">
        <f>Data!D$28*(1-AF48)</f>
        <v>0.70930850143618818</v>
      </c>
      <c r="AI48" s="246">
        <f t="shared" si="54"/>
        <v>3484.7721384684787</v>
      </c>
      <c r="AJ48" s="268">
        <f t="shared" si="55"/>
        <v>0.22217523599056582</v>
      </c>
      <c r="AK48" s="313">
        <f t="shared" si="56"/>
        <v>54.729772634080341</v>
      </c>
      <c r="AL48" s="313">
        <f t="shared" si="57"/>
        <v>18.560760803177956</v>
      </c>
      <c r="AM48" s="313">
        <f t="shared" si="58"/>
        <v>234.80018564843928</v>
      </c>
    </row>
    <row r="50" spans="2:39" ht="15.75" x14ac:dyDescent="0.25">
      <c r="B50" s="157"/>
      <c r="C50" s="186"/>
      <c r="D50" s="7"/>
      <c r="E50" s="7"/>
      <c r="F50" s="7"/>
      <c r="G50" s="7"/>
      <c r="H50" s="7"/>
      <c r="I50" s="2"/>
    </row>
    <row r="51" spans="2:39" ht="18.75" x14ac:dyDescent="0.3">
      <c r="B51" s="99"/>
      <c r="C51" s="185"/>
      <c r="D51" s="7"/>
      <c r="E51" s="7"/>
      <c r="F51" s="7"/>
      <c r="G51" s="7"/>
      <c r="H51" s="63"/>
      <c r="I51" s="63"/>
      <c r="J51" s="99"/>
      <c r="K51" s="24"/>
      <c r="L51" s="24"/>
      <c r="M51" s="24"/>
      <c r="N51" s="21"/>
      <c r="O51" s="21"/>
      <c r="P51" s="21"/>
      <c r="Q51" s="24"/>
      <c r="R51" s="24"/>
      <c r="S51" s="21"/>
      <c r="T51" s="21"/>
      <c r="U51" s="99"/>
      <c r="V51" s="167"/>
      <c r="W51" s="185"/>
      <c r="X51" s="185"/>
      <c r="Y51" s="5"/>
      <c r="Z51" s="5"/>
      <c r="AA51" s="5"/>
      <c r="AB51" s="5"/>
      <c r="AC51" s="24"/>
      <c r="AD51" s="21"/>
      <c r="AE51" s="209"/>
      <c r="AF51" s="99"/>
      <c r="AG51" s="99"/>
      <c r="AH51" s="99"/>
      <c r="AI51" s="21"/>
      <c r="AJ51" s="21"/>
      <c r="AK51" s="21"/>
      <c r="AL51" s="21"/>
      <c r="AM51" s="21"/>
    </row>
    <row r="52" spans="2:39" x14ac:dyDescent="0.25">
      <c r="B52" s="7"/>
      <c r="C52" s="186"/>
      <c r="D52" s="7"/>
      <c r="E52" s="7"/>
      <c r="F52" s="7"/>
      <c r="G52" s="7"/>
      <c r="H52" s="2"/>
      <c r="I52" s="2"/>
      <c r="J52" s="7"/>
      <c r="K52" s="7"/>
      <c r="L52" s="7"/>
      <c r="M52" s="7"/>
      <c r="N52" s="161"/>
      <c r="O52" s="161"/>
      <c r="P52" s="161"/>
      <c r="Q52" s="20"/>
      <c r="R52" s="20"/>
      <c r="S52" s="161"/>
      <c r="T52" s="2"/>
      <c r="U52" s="164"/>
      <c r="V52" s="164"/>
      <c r="W52" s="186"/>
      <c r="X52" s="186"/>
      <c r="Y52" s="7"/>
      <c r="Z52" s="7"/>
      <c r="AA52" s="7"/>
      <c r="AB52" s="7"/>
      <c r="AC52" s="7"/>
      <c r="AD52" s="161"/>
      <c r="AE52" s="210"/>
      <c r="AI52" s="161"/>
      <c r="AJ52" s="161"/>
      <c r="AK52" s="161"/>
      <c r="AL52" s="161"/>
      <c r="AM52" s="161"/>
    </row>
    <row r="53" spans="2:39" ht="15.75" x14ac:dyDescent="0.25">
      <c r="B53" s="157"/>
      <c r="C53" s="186"/>
      <c r="D53" s="7"/>
      <c r="E53" s="7"/>
      <c r="F53" s="7"/>
      <c r="G53" s="7"/>
      <c r="H53" s="7"/>
      <c r="I53" s="2"/>
      <c r="J53" s="7"/>
      <c r="K53" s="7"/>
      <c r="L53" s="7"/>
      <c r="M53" s="7"/>
      <c r="N53" s="161"/>
      <c r="O53" s="7"/>
      <c r="P53" s="7"/>
      <c r="Q53" s="20"/>
      <c r="R53" s="20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2:39" x14ac:dyDescent="0.25">
      <c r="B54" s="169"/>
      <c r="C54" s="186"/>
      <c r="D54" s="122"/>
      <c r="E54"/>
      <c r="F54"/>
      <c r="G54" s="122"/>
      <c r="H54" s="184"/>
      <c r="I54" s="184"/>
      <c r="J54" s="20"/>
      <c r="K54" s="103"/>
      <c r="L54" s="7"/>
      <c r="M54" s="134"/>
      <c r="N54" s="204"/>
      <c r="O54" s="204"/>
      <c r="P54" s="204"/>
      <c r="Q54" s="159"/>
      <c r="R54" s="159"/>
      <c r="S54" s="134"/>
      <c r="T54" s="134"/>
      <c r="U54" s="165"/>
      <c r="W54" s="188"/>
      <c r="X54" s="188"/>
      <c r="Y54" s="134"/>
      <c r="Z54" s="134"/>
      <c r="AA54" s="134"/>
      <c r="AB54" s="134"/>
      <c r="AC54" s="134"/>
      <c r="AD54" s="204"/>
      <c r="AE54" s="211"/>
      <c r="AF54" s="7"/>
      <c r="AG54" s="7"/>
      <c r="AH54" s="7"/>
      <c r="AI54" s="161"/>
      <c r="AJ54" s="161"/>
      <c r="AK54" s="161"/>
      <c r="AL54" s="161"/>
      <c r="AM54" s="161"/>
    </row>
    <row r="55" spans="2:39" x14ac:dyDescent="0.25">
      <c r="B55" s="168"/>
      <c r="C55" s="186"/>
      <c r="D55" s="122"/>
      <c r="E55"/>
      <c r="F55"/>
      <c r="G55" s="122"/>
      <c r="H55" s="184"/>
      <c r="I55" s="184"/>
      <c r="J55" s="155"/>
      <c r="K55" s="251"/>
      <c r="L55" s="252"/>
      <c r="M55" s="252"/>
      <c r="N55" s="296"/>
      <c r="O55" s="297"/>
      <c r="P55" s="297"/>
      <c r="Q55" s="301"/>
      <c r="R55" s="302"/>
      <c r="S55" s="303"/>
      <c r="T55" s="304"/>
      <c r="U55" s="305"/>
      <c r="V55" s="298"/>
      <c r="W55" s="306"/>
      <c r="X55" s="307"/>
      <c r="Y55" s="253"/>
      <c r="Z55" s="253"/>
      <c r="AA55" s="253"/>
      <c r="AB55" s="254"/>
      <c r="AC55" s="248"/>
      <c r="AD55" s="247"/>
      <c r="AE55" s="308"/>
      <c r="AF55" s="7"/>
      <c r="AG55" s="7"/>
      <c r="AH55" s="7"/>
      <c r="AI55" s="161"/>
      <c r="AJ55" s="161"/>
      <c r="AK55" s="161"/>
      <c r="AL55" s="161"/>
      <c r="AM55" s="161"/>
    </row>
    <row r="56" spans="2:39" x14ac:dyDescent="0.25">
      <c r="B56" s="169"/>
      <c r="C56" s="170"/>
      <c r="D56" s="122"/>
      <c r="E56"/>
      <c r="F56"/>
      <c r="G56" s="122"/>
      <c r="H56" s="184"/>
      <c r="I56" s="184"/>
      <c r="J56" s="155"/>
      <c r="K56" s="102"/>
      <c r="L56" s="133"/>
      <c r="M56" s="133"/>
      <c r="N56" s="205"/>
      <c r="O56" s="206"/>
      <c r="P56" s="206"/>
      <c r="Q56" s="160"/>
      <c r="R56" s="163"/>
      <c r="S56" s="158"/>
      <c r="T56" s="162"/>
      <c r="U56" s="166"/>
      <c r="V56" s="199"/>
      <c r="W56" s="188"/>
      <c r="X56" s="188"/>
      <c r="Y56" s="134"/>
      <c r="Z56" s="134"/>
      <c r="AA56" s="134"/>
      <c r="AB56" s="142"/>
      <c r="AC56" s="143"/>
      <c r="AD56" s="207"/>
      <c r="AE56" s="212"/>
      <c r="AF56" s="120"/>
      <c r="AG56" s="10"/>
      <c r="AH56" s="10"/>
      <c r="AI56" s="217"/>
      <c r="AJ56" s="217"/>
      <c r="AK56" s="217"/>
      <c r="AL56" s="217"/>
      <c r="AM56" s="217"/>
    </row>
    <row r="57" spans="2:39" x14ac:dyDescent="0.25">
      <c r="B57" s="168"/>
      <c r="C57" s="170"/>
      <c r="D57" s="122"/>
      <c r="E57"/>
      <c r="F57"/>
      <c r="G57" s="122"/>
      <c r="H57" s="184"/>
      <c r="I57" s="184"/>
      <c r="J57" s="155"/>
      <c r="K57" s="102"/>
      <c r="L57" s="133"/>
      <c r="M57" s="252"/>
      <c r="N57" s="299"/>
      <c r="O57" s="300"/>
      <c r="P57" s="206"/>
      <c r="Q57" s="160"/>
      <c r="R57" s="163"/>
      <c r="S57" s="158"/>
      <c r="T57" s="162"/>
      <c r="U57" s="305"/>
      <c r="V57" s="298"/>
      <c r="W57" s="188"/>
      <c r="X57" s="188"/>
      <c r="Y57" s="241"/>
      <c r="Z57" s="134"/>
      <c r="AA57" s="134"/>
      <c r="AB57" s="142"/>
      <c r="AC57" s="143"/>
      <c r="AD57" s="207"/>
      <c r="AE57" s="212"/>
      <c r="AF57" s="120"/>
      <c r="AG57" s="10"/>
      <c r="AH57" s="10"/>
      <c r="AI57" s="217"/>
      <c r="AJ57" s="217"/>
      <c r="AK57" s="217"/>
      <c r="AL57" s="217"/>
      <c r="AM57" s="217"/>
    </row>
    <row r="58" spans="2:39" x14ac:dyDescent="0.25">
      <c r="B58" s="169"/>
      <c r="C58" s="170"/>
      <c r="D58" s="122"/>
      <c r="E58"/>
      <c r="F58"/>
      <c r="G58" s="122"/>
      <c r="H58" s="184"/>
      <c r="I58" s="184"/>
      <c r="J58" s="155"/>
      <c r="K58" s="102"/>
      <c r="L58" s="133"/>
      <c r="M58" s="133"/>
      <c r="N58" s="205"/>
      <c r="O58" s="206"/>
      <c r="P58" s="206"/>
      <c r="Q58" s="160"/>
      <c r="R58" s="163"/>
      <c r="S58" s="158"/>
      <c r="T58" s="162"/>
      <c r="U58" s="166"/>
      <c r="V58" s="199"/>
      <c r="W58" s="188"/>
      <c r="X58" s="188"/>
      <c r="Y58" s="134"/>
      <c r="Z58" s="134"/>
      <c r="AA58" s="134"/>
      <c r="AB58" s="142"/>
      <c r="AC58" s="143"/>
      <c r="AD58" s="207"/>
      <c r="AE58" s="212"/>
      <c r="AF58" s="120"/>
      <c r="AG58" s="10"/>
      <c r="AH58" s="10"/>
      <c r="AI58" s="217"/>
      <c r="AJ58" s="217"/>
      <c r="AK58" s="217"/>
      <c r="AL58" s="217"/>
      <c r="AM58" s="217"/>
    </row>
    <row r="59" spans="2:39" x14ac:dyDescent="0.25">
      <c r="B59" s="168"/>
      <c r="C59" s="170"/>
      <c r="D59" s="122"/>
      <c r="E59"/>
      <c r="F59"/>
      <c r="G59" s="122"/>
      <c r="H59" s="184"/>
      <c r="I59" s="184"/>
      <c r="J59" s="155"/>
      <c r="K59" s="102"/>
      <c r="L59" s="133"/>
      <c r="M59" s="252"/>
      <c r="N59" s="299"/>
      <c r="O59" s="300"/>
      <c r="P59" s="206"/>
      <c r="Q59" s="160"/>
      <c r="R59" s="163"/>
      <c r="S59" s="158"/>
      <c r="T59" s="162"/>
      <c r="U59" s="305"/>
      <c r="V59" s="298"/>
      <c r="W59" s="188"/>
      <c r="X59" s="188"/>
      <c r="Y59" s="241"/>
      <c r="Z59" s="134"/>
      <c r="AA59" s="134"/>
      <c r="AB59" s="142"/>
      <c r="AC59" s="143"/>
      <c r="AD59" s="207"/>
      <c r="AE59" s="212"/>
      <c r="AF59" s="120"/>
      <c r="AG59" s="10"/>
      <c r="AH59" s="10"/>
      <c r="AI59" s="217"/>
      <c r="AJ59" s="217"/>
      <c r="AK59" s="217"/>
      <c r="AL59" s="217"/>
      <c r="AM59" s="217"/>
    </row>
    <row r="60" spans="2:39" x14ac:dyDescent="0.25">
      <c r="B60" s="169"/>
      <c r="C60" s="170"/>
      <c r="D60" s="122"/>
      <c r="E60"/>
      <c r="F60"/>
      <c r="G60" s="122"/>
      <c r="H60" s="184"/>
      <c r="I60" s="184"/>
      <c r="J60" s="155"/>
      <c r="K60" s="102"/>
      <c r="L60" s="133"/>
      <c r="M60" s="133"/>
      <c r="N60" s="205"/>
      <c r="O60" s="206"/>
      <c r="P60" s="206"/>
      <c r="Q60" s="160"/>
      <c r="R60" s="163"/>
      <c r="S60" s="158"/>
      <c r="T60" s="162"/>
      <c r="U60" s="166"/>
      <c r="V60" s="199"/>
      <c r="W60" s="188"/>
      <c r="X60" s="188"/>
      <c r="Y60" s="134"/>
      <c r="Z60" s="134"/>
      <c r="AA60" s="134"/>
      <c r="AB60" s="142"/>
      <c r="AC60" s="143"/>
      <c r="AD60" s="207"/>
      <c r="AE60" s="212"/>
      <c r="AF60" s="120"/>
      <c r="AG60" s="10"/>
      <c r="AH60" s="10"/>
      <c r="AI60" s="217"/>
      <c r="AJ60" s="217"/>
      <c r="AK60" s="217"/>
      <c r="AL60" s="217"/>
      <c r="AM60" s="217"/>
    </row>
    <row r="61" spans="2:39" x14ac:dyDescent="0.25">
      <c r="B61" s="168"/>
      <c r="C61" s="187"/>
      <c r="D61" s="122"/>
      <c r="E61"/>
      <c r="F61"/>
      <c r="G61" s="122"/>
      <c r="H61" s="184"/>
      <c r="I61" s="184"/>
      <c r="J61" s="155"/>
      <c r="K61" s="102"/>
      <c r="L61" s="133"/>
      <c r="M61" s="252"/>
      <c r="N61" s="299"/>
      <c r="O61" s="300"/>
      <c r="P61" s="206"/>
      <c r="Q61" s="160"/>
      <c r="R61" s="163"/>
      <c r="S61" s="158"/>
      <c r="T61" s="162"/>
      <c r="U61" s="305"/>
      <c r="V61" s="298"/>
      <c r="W61" s="188"/>
      <c r="X61" s="188"/>
      <c r="Y61" s="241"/>
      <c r="Z61" s="134"/>
      <c r="AA61" s="134"/>
      <c r="AB61" s="142"/>
      <c r="AC61" s="143"/>
      <c r="AD61" s="207"/>
      <c r="AE61" s="212"/>
      <c r="AF61" s="120"/>
      <c r="AG61" s="10"/>
      <c r="AH61" s="10"/>
      <c r="AI61" s="217"/>
      <c r="AJ61" s="217"/>
      <c r="AK61" s="217"/>
      <c r="AL61" s="217"/>
      <c r="AM61" s="217"/>
    </row>
    <row r="62" spans="2:39" x14ac:dyDescent="0.25">
      <c r="B62" s="169"/>
      <c r="C62" s="170"/>
      <c r="D62" s="122"/>
      <c r="E62"/>
      <c r="F62"/>
      <c r="G62" s="122"/>
      <c r="H62" s="184"/>
      <c r="I62" s="184"/>
      <c r="J62" s="155"/>
      <c r="K62" s="102"/>
      <c r="L62" s="133"/>
      <c r="M62" s="133"/>
      <c r="N62" s="205"/>
      <c r="O62" s="206"/>
      <c r="P62" s="206"/>
      <c r="Q62" s="160"/>
      <c r="R62" s="163"/>
      <c r="S62" s="158"/>
      <c r="T62" s="162"/>
      <c r="U62" s="166"/>
      <c r="V62" s="199"/>
      <c r="W62" s="188"/>
      <c r="X62" s="188"/>
      <c r="Y62" s="134"/>
      <c r="Z62" s="134"/>
      <c r="AA62" s="134"/>
      <c r="AB62" s="142"/>
      <c r="AC62" s="143"/>
      <c r="AD62" s="207"/>
      <c r="AE62" s="212"/>
      <c r="AF62" s="120"/>
      <c r="AG62" s="10"/>
      <c r="AH62" s="10"/>
      <c r="AI62" s="217"/>
      <c r="AJ62" s="217"/>
      <c r="AK62" s="217"/>
      <c r="AL62" s="217"/>
      <c r="AM62" s="217"/>
    </row>
    <row r="63" spans="2:39" x14ac:dyDescent="0.25">
      <c r="B63" s="168"/>
      <c r="C63" s="170"/>
      <c r="D63" s="122"/>
      <c r="E63"/>
      <c r="F63"/>
      <c r="G63" s="122"/>
      <c r="H63" s="184"/>
      <c r="I63" s="184"/>
      <c r="J63" s="155"/>
      <c r="K63" s="102"/>
      <c r="L63" s="133"/>
      <c r="M63" s="252"/>
      <c r="N63" s="299"/>
      <c r="O63" s="300"/>
      <c r="P63" s="206"/>
      <c r="Q63" s="160"/>
      <c r="R63" s="163"/>
      <c r="S63" s="158"/>
      <c r="T63" s="162"/>
      <c r="U63" s="305"/>
      <c r="V63" s="298"/>
      <c r="W63" s="188"/>
      <c r="X63" s="188"/>
      <c r="Y63" s="241"/>
      <c r="Z63" s="134"/>
      <c r="AA63" s="134"/>
      <c r="AB63" s="142"/>
      <c r="AC63" s="143"/>
      <c r="AD63" s="207"/>
      <c r="AE63" s="212"/>
      <c r="AF63" s="120"/>
      <c r="AG63" s="10"/>
      <c r="AH63" s="10"/>
      <c r="AI63" s="217"/>
      <c r="AJ63" s="217"/>
      <c r="AK63" s="217"/>
      <c r="AL63" s="217"/>
      <c r="AM63" s="217"/>
    </row>
    <row r="64" spans="2:39" x14ac:dyDescent="0.25">
      <c r="B64" s="169"/>
      <c r="C64" s="170"/>
      <c r="D64" s="122"/>
      <c r="E64"/>
      <c r="F64"/>
      <c r="G64" s="122"/>
      <c r="H64" s="184"/>
      <c r="I64" s="184"/>
      <c r="J64" s="155"/>
      <c r="K64" s="102"/>
      <c r="L64" s="133"/>
      <c r="M64" s="133"/>
      <c r="N64" s="205"/>
      <c r="O64" s="206"/>
      <c r="P64" s="206"/>
      <c r="Q64" s="160"/>
      <c r="R64" s="163"/>
      <c r="S64" s="158"/>
      <c r="T64" s="162"/>
      <c r="U64" s="166"/>
      <c r="V64" s="199"/>
      <c r="W64" s="188"/>
      <c r="X64" s="188"/>
      <c r="Y64" s="134"/>
      <c r="Z64" s="134"/>
      <c r="AA64" s="134"/>
      <c r="AB64" s="142"/>
      <c r="AC64" s="143"/>
      <c r="AD64" s="207"/>
      <c r="AE64" s="212"/>
      <c r="AF64" s="120"/>
      <c r="AG64" s="10"/>
      <c r="AH64" s="10"/>
      <c r="AI64" s="217"/>
      <c r="AJ64" s="217"/>
      <c r="AK64" s="217"/>
      <c r="AL64" s="217"/>
      <c r="AM64" s="217"/>
    </row>
    <row r="65" spans="2:39" x14ac:dyDescent="0.25">
      <c r="B65" s="168"/>
      <c r="C65" s="170"/>
      <c r="D65" s="122"/>
      <c r="E65"/>
      <c r="F65"/>
      <c r="G65" s="122"/>
      <c r="H65" s="184"/>
      <c r="I65" s="295"/>
      <c r="J65" s="155"/>
      <c r="K65" s="102"/>
      <c r="L65" s="133"/>
      <c r="M65" s="252"/>
      <c r="N65" s="296"/>
      <c r="O65" s="297"/>
      <c r="P65" s="319"/>
      <c r="Q65" s="160"/>
      <c r="R65" s="163"/>
      <c r="S65" s="158"/>
      <c r="T65" s="162"/>
      <c r="U65" s="305"/>
      <c r="V65" s="298"/>
      <c r="W65" s="195"/>
      <c r="X65" s="198"/>
      <c r="Y65" s="241"/>
      <c r="Z65" s="134"/>
      <c r="AA65" s="134"/>
      <c r="AB65" s="142"/>
      <c r="AC65" s="143"/>
      <c r="AD65" s="208"/>
      <c r="AE65" s="320"/>
      <c r="AF65" s="215"/>
      <c r="AG65" s="216"/>
      <c r="AH65" s="216"/>
      <c r="AI65" s="193"/>
      <c r="AJ65" s="218"/>
      <c r="AK65" s="193"/>
      <c r="AL65" s="193"/>
      <c r="AM65" s="193"/>
    </row>
    <row r="66" spans="2:39" x14ac:dyDescent="0.25">
      <c r="B66" s="169"/>
      <c r="C66" s="170"/>
      <c r="D66" s="122"/>
      <c r="E66"/>
      <c r="F66"/>
      <c r="G66" s="122"/>
      <c r="H66" s="184"/>
      <c r="I66" s="184"/>
      <c r="J66" s="155"/>
      <c r="K66" s="102"/>
      <c r="L66" s="133"/>
      <c r="M66" s="133"/>
      <c r="N66" s="205"/>
      <c r="O66" s="206"/>
      <c r="P66" s="206"/>
      <c r="Q66" s="160"/>
      <c r="R66" s="163"/>
      <c r="S66" s="158"/>
      <c r="T66" s="162"/>
      <c r="U66" s="166"/>
      <c r="V66" s="199"/>
      <c r="W66" s="188"/>
      <c r="X66" s="188"/>
      <c r="Y66" s="134"/>
      <c r="Z66" s="134"/>
      <c r="AA66" s="134"/>
      <c r="AB66" s="142"/>
      <c r="AC66" s="143"/>
      <c r="AD66" s="207"/>
      <c r="AE66" s="212"/>
      <c r="AF66" s="120"/>
      <c r="AG66" s="10"/>
      <c r="AH66" s="10"/>
      <c r="AI66" s="217"/>
      <c r="AJ66" s="217"/>
      <c r="AK66" s="217"/>
      <c r="AL66" s="217"/>
      <c r="AM66" s="217"/>
    </row>
    <row r="67" spans="2:39" x14ac:dyDescent="0.25">
      <c r="N67" s="191"/>
      <c r="O67" s="191"/>
      <c r="P67" s="191"/>
      <c r="AD67" s="191"/>
      <c r="AE67" s="214"/>
      <c r="AF67" s="120"/>
      <c r="AG67" s="10"/>
      <c r="AH67" s="10"/>
      <c r="AI67" s="217"/>
      <c r="AJ67" s="217"/>
      <c r="AK67" s="219"/>
      <c r="AL67" s="219"/>
      <c r="AM67" s="219"/>
    </row>
    <row r="68" spans="2:39" ht="15.75" x14ac:dyDescent="0.25">
      <c r="B68" s="74"/>
      <c r="N68" s="191"/>
      <c r="O68" s="191"/>
      <c r="P68" s="191"/>
      <c r="AD68" s="191"/>
      <c r="AE68" s="214"/>
      <c r="AF68" s="120"/>
      <c r="AG68" s="10"/>
      <c r="AH68" s="10"/>
      <c r="AI68" s="217"/>
      <c r="AJ68" s="217"/>
      <c r="AK68" s="217"/>
      <c r="AL68" s="217"/>
      <c r="AM68" s="217"/>
    </row>
    <row r="69" spans="2:39" x14ac:dyDescent="0.25">
      <c r="N69" s="191"/>
      <c r="O69" s="191"/>
      <c r="P69" s="191"/>
      <c r="AD69" s="191"/>
      <c r="AE69" s="214"/>
      <c r="AF69" s="120"/>
      <c r="AG69" s="10"/>
      <c r="AH69" s="10"/>
      <c r="AI69" s="217"/>
      <c r="AJ69" s="217"/>
      <c r="AK69" s="217"/>
      <c r="AL69" s="217"/>
      <c r="AM69" s="217"/>
    </row>
    <row r="70" spans="2:39" ht="18.75" x14ac:dyDescent="0.3">
      <c r="B70" s="5"/>
      <c r="C70" s="185"/>
      <c r="D70" s="7"/>
      <c r="E70" s="7"/>
      <c r="F70" s="7"/>
      <c r="G70" s="7"/>
      <c r="H70" s="63"/>
      <c r="I70" s="63"/>
      <c r="J70" s="99"/>
      <c r="K70" s="24"/>
      <c r="L70" s="24"/>
      <c r="M70" s="24"/>
      <c r="N70" s="21"/>
      <c r="O70" s="21"/>
      <c r="P70" s="21"/>
      <c r="Q70" s="24"/>
      <c r="R70" s="24"/>
      <c r="S70" s="21"/>
      <c r="T70" s="21"/>
      <c r="U70" s="99"/>
      <c r="V70" s="167"/>
      <c r="W70" s="185"/>
      <c r="X70" s="185"/>
      <c r="Y70" s="5"/>
      <c r="Z70" s="5"/>
      <c r="AA70" s="5"/>
      <c r="AB70" s="5"/>
      <c r="AC70" s="5"/>
      <c r="AD70" s="21"/>
      <c r="AE70" s="185"/>
      <c r="AF70" s="99"/>
      <c r="AG70" s="99"/>
      <c r="AH70" s="99"/>
      <c r="AI70" s="21"/>
      <c r="AJ70" s="21"/>
      <c r="AK70" s="21"/>
      <c r="AL70" s="21"/>
      <c r="AM70" s="21"/>
    </row>
    <row r="71" spans="2:39" x14ac:dyDescent="0.25">
      <c r="C71" s="186"/>
      <c r="D71" s="7"/>
      <c r="E71" s="7"/>
      <c r="F71" s="7"/>
      <c r="G71" s="7"/>
      <c r="H71" s="2"/>
      <c r="I71" s="2"/>
      <c r="J71" s="7"/>
      <c r="K71" s="7"/>
      <c r="L71" s="7"/>
      <c r="M71" s="7"/>
      <c r="N71" s="161"/>
      <c r="O71" s="161"/>
      <c r="P71" s="161"/>
      <c r="Q71" s="20"/>
      <c r="R71" s="20"/>
      <c r="S71" s="161"/>
      <c r="T71" s="2"/>
      <c r="U71" s="164"/>
      <c r="V71" s="164"/>
      <c r="W71" s="186"/>
      <c r="X71" s="186"/>
      <c r="Y71" s="7"/>
      <c r="Z71" s="7"/>
      <c r="AA71" s="7"/>
      <c r="AB71" s="7"/>
      <c r="AD71" s="191"/>
      <c r="AE71" s="214"/>
      <c r="AF71" s="120"/>
      <c r="AG71" s="10"/>
      <c r="AH71" s="10"/>
      <c r="AI71" s="191"/>
      <c r="AJ71" s="161"/>
      <c r="AK71" s="161"/>
      <c r="AL71" s="161"/>
      <c r="AM71" s="161"/>
    </row>
    <row r="72" spans="2:39" x14ac:dyDescent="0.25">
      <c r="K72" s="7"/>
      <c r="L72" s="7"/>
      <c r="M72" s="47"/>
      <c r="O72" s="7"/>
      <c r="P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2:39" x14ac:dyDescent="0.25">
      <c r="C73" s="170"/>
      <c r="D73" s="122"/>
      <c r="E73"/>
      <c r="F73"/>
      <c r="G73" s="122"/>
      <c r="H73" s="184"/>
      <c r="I73" s="184"/>
      <c r="J73" s="155"/>
      <c r="K73" s="203"/>
      <c r="L73" s="201"/>
      <c r="M73" s="201"/>
      <c r="N73" s="205"/>
      <c r="O73" s="206"/>
      <c r="P73" s="206"/>
      <c r="Q73" s="160"/>
      <c r="R73" s="163"/>
      <c r="S73" s="158"/>
      <c r="T73" s="162"/>
      <c r="U73" s="166"/>
      <c r="V73" s="199"/>
      <c r="W73" s="195"/>
      <c r="X73" s="198"/>
      <c r="Y73" s="105"/>
      <c r="Z73" s="105"/>
      <c r="AA73" s="201"/>
      <c r="AB73" s="202"/>
      <c r="AC73" s="202"/>
      <c r="AD73" s="317"/>
      <c r="AE73" s="327"/>
      <c r="AF73" s="120"/>
      <c r="AG73" s="8"/>
      <c r="AH73" s="8"/>
      <c r="AI73" s="246"/>
      <c r="AJ73" s="268"/>
      <c r="AK73" s="313"/>
      <c r="AL73" s="313"/>
      <c r="AM73" s="313"/>
    </row>
    <row r="74" spans="2:39" x14ac:dyDescent="0.25">
      <c r="C74" s="170"/>
      <c r="D74" s="122"/>
      <c r="E74"/>
      <c r="F74"/>
      <c r="G74" s="122"/>
      <c r="H74" s="184"/>
      <c r="I74" s="184"/>
      <c r="J74" s="155"/>
      <c r="K74" s="203"/>
      <c r="L74" s="201"/>
      <c r="M74" s="201"/>
      <c r="N74" s="205"/>
      <c r="O74" s="206"/>
      <c r="P74" s="206"/>
      <c r="Q74" s="160"/>
      <c r="R74" s="163"/>
      <c r="S74" s="158"/>
      <c r="T74" s="162"/>
      <c r="U74" s="166"/>
      <c r="V74" s="199"/>
      <c r="W74" s="195"/>
      <c r="X74" s="198"/>
      <c r="Y74" s="105"/>
      <c r="Z74" s="105"/>
      <c r="AA74" s="201"/>
      <c r="AB74" s="202"/>
      <c r="AC74" s="202"/>
      <c r="AD74" s="317"/>
      <c r="AE74" s="327"/>
      <c r="AF74" s="120"/>
      <c r="AG74" s="8"/>
      <c r="AH74" s="8"/>
      <c r="AI74" s="246"/>
      <c r="AJ74" s="268"/>
      <c r="AK74" s="313"/>
      <c r="AL74" s="313"/>
      <c r="AM74" s="313"/>
    </row>
    <row r="75" spans="2:39" x14ac:dyDescent="0.25">
      <c r="C75" s="170"/>
      <c r="D75" s="122"/>
      <c r="E75"/>
      <c r="F75"/>
      <c r="G75" s="122"/>
      <c r="H75" s="184"/>
      <c r="I75" s="184"/>
      <c r="J75" s="155"/>
      <c r="K75" s="203"/>
      <c r="L75" s="201"/>
      <c r="M75" s="201"/>
      <c r="N75" s="205"/>
      <c r="O75" s="206"/>
      <c r="P75" s="206"/>
      <c r="Q75" s="160"/>
      <c r="R75" s="163"/>
      <c r="S75" s="158"/>
      <c r="T75" s="162"/>
      <c r="U75" s="166"/>
      <c r="V75" s="199"/>
      <c r="W75" s="195"/>
      <c r="X75" s="198"/>
      <c r="Y75" s="105"/>
      <c r="Z75" s="105"/>
      <c r="AA75" s="201"/>
      <c r="AB75" s="202"/>
      <c r="AC75" s="202"/>
      <c r="AD75" s="317"/>
      <c r="AE75" s="327"/>
      <c r="AF75" s="120"/>
      <c r="AG75" s="8"/>
      <c r="AH75" s="8"/>
      <c r="AI75" s="246"/>
      <c r="AJ75" s="268"/>
      <c r="AK75" s="313"/>
      <c r="AL75" s="313"/>
      <c r="AM75" s="313"/>
    </row>
    <row r="76" spans="2:39" x14ac:dyDescent="0.25">
      <c r="C76" s="170"/>
      <c r="D76" s="122"/>
      <c r="E76"/>
      <c r="F76"/>
      <c r="G76" s="122"/>
      <c r="H76" s="184"/>
      <c r="I76" s="184"/>
      <c r="J76" s="155"/>
      <c r="K76" s="203"/>
      <c r="L76" s="201"/>
      <c r="M76" s="201"/>
      <c r="N76" s="205"/>
      <c r="O76" s="206"/>
      <c r="P76" s="206"/>
      <c r="Q76" s="160"/>
      <c r="R76" s="163"/>
      <c r="S76" s="158"/>
      <c r="T76" s="162"/>
      <c r="U76" s="166"/>
      <c r="V76" s="199"/>
      <c r="W76" s="195"/>
      <c r="X76" s="198"/>
      <c r="Y76" s="105"/>
      <c r="Z76" s="105"/>
      <c r="AA76" s="201"/>
      <c r="AB76" s="202"/>
      <c r="AC76" s="202"/>
      <c r="AD76" s="317"/>
      <c r="AE76" s="327"/>
      <c r="AF76" s="120"/>
      <c r="AG76" s="8"/>
      <c r="AH76" s="8"/>
      <c r="AI76" s="246"/>
      <c r="AJ76" s="268"/>
      <c r="AK76" s="313"/>
      <c r="AL76" s="313"/>
      <c r="AM76" s="313"/>
    </row>
    <row r="77" spans="2:39" x14ac:dyDescent="0.25">
      <c r="C77" s="170"/>
      <c r="D77" s="122"/>
      <c r="E77"/>
      <c r="F77"/>
      <c r="G77" s="122"/>
      <c r="H77" s="184"/>
      <c r="I77" s="184"/>
      <c r="J77" s="155"/>
      <c r="K77" s="203"/>
      <c r="L77" s="201"/>
      <c r="M77" s="201"/>
      <c r="N77" s="205"/>
      <c r="O77" s="206"/>
      <c r="P77" s="206"/>
      <c r="Q77" s="160"/>
      <c r="R77" s="163"/>
      <c r="S77" s="158"/>
      <c r="T77" s="162"/>
      <c r="U77" s="166"/>
      <c r="V77" s="199"/>
      <c r="W77" s="195"/>
      <c r="X77" s="198"/>
      <c r="Y77" s="105"/>
      <c r="Z77" s="105"/>
      <c r="AA77" s="201"/>
      <c r="AB77" s="202"/>
      <c r="AC77" s="202"/>
      <c r="AD77" s="317"/>
      <c r="AE77" s="327"/>
      <c r="AF77" s="120"/>
      <c r="AG77" s="8"/>
      <c r="AH77" s="8"/>
      <c r="AI77" s="246"/>
      <c r="AJ77" s="268"/>
      <c r="AK77" s="313"/>
      <c r="AL77" s="313"/>
      <c r="AM77" s="313"/>
    </row>
    <row r="78" spans="2:39" x14ac:dyDescent="0.25">
      <c r="C78" s="170"/>
      <c r="D78" s="122"/>
      <c r="E78"/>
      <c r="F78"/>
      <c r="G78" s="122"/>
      <c r="H78" s="184"/>
      <c r="I78" s="184"/>
      <c r="J78" s="155"/>
      <c r="K78" s="203"/>
      <c r="L78" s="201"/>
      <c r="M78" s="201"/>
      <c r="N78" s="205"/>
      <c r="O78" s="206"/>
      <c r="P78" s="206"/>
      <c r="Q78" s="160"/>
      <c r="R78" s="163"/>
      <c r="S78" s="158"/>
      <c r="T78" s="162"/>
      <c r="U78" s="166"/>
      <c r="V78" s="199"/>
      <c r="W78" s="195"/>
      <c r="X78" s="198"/>
      <c r="Y78" s="105"/>
      <c r="Z78" s="105"/>
      <c r="AA78" s="201"/>
      <c r="AB78" s="202"/>
      <c r="AC78" s="202"/>
      <c r="AD78" s="317"/>
      <c r="AE78" s="327"/>
      <c r="AF78" s="120"/>
      <c r="AG78" s="8"/>
      <c r="AH78" s="8"/>
      <c r="AI78" s="246"/>
      <c r="AJ78" s="268"/>
      <c r="AK78" s="313"/>
      <c r="AL78" s="313"/>
      <c r="AM78" s="313"/>
    </row>
    <row r="79" spans="2:39" x14ac:dyDescent="0.25">
      <c r="C79" s="170"/>
      <c r="D79" s="122"/>
      <c r="E79"/>
      <c r="F79"/>
      <c r="G79" s="122"/>
      <c r="H79" s="184"/>
      <c r="I79" s="184"/>
      <c r="J79" s="155"/>
      <c r="K79" s="203"/>
      <c r="L79" s="201"/>
      <c r="M79" s="201"/>
      <c r="N79" s="205"/>
      <c r="O79" s="206"/>
      <c r="P79" s="206"/>
      <c r="Q79" s="160"/>
      <c r="R79" s="163"/>
      <c r="S79" s="158"/>
      <c r="T79" s="162"/>
      <c r="U79" s="166"/>
      <c r="V79" s="199"/>
      <c r="W79" s="195"/>
      <c r="X79" s="198"/>
      <c r="Y79" s="105"/>
      <c r="Z79" s="105"/>
      <c r="AA79" s="201"/>
      <c r="AB79" s="202"/>
      <c r="AC79" s="202"/>
      <c r="AD79" s="317"/>
      <c r="AE79" s="327"/>
      <c r="AF79" s="120"/>
      <c r="AG79" s="8"/>
      <c r="AH79" s="8"/>
      <c r="AI79" s="246"/>
      <c r="AJ79" s="268"/>
      <c r="AK79" s="313"/>
      <c r="AL79" s="313"/>
      <c r="AM79" s="313"/>
    </row>
    <row r="80" spans="2:39" x14ac:dyDescent="0.25">
      <c r="C80" s="170"/>
      <c r="D80" s="122"/>
      <c r="E80"/>
      <c r="F80"/>
      <c r="G80" s="122"/>
      <c r="H80" s="184"/>
      <c r="I80" s="184"/>
      <c r="J80" s="155"/>
      <c r="K80" s="203"/>
      <c r="L80" s="201"/>
      <c r="M80" s="201"/>
      <c r="N80" s="205"/>
      <c r="O80" s="206"/>
      <c r="P80" s="206"/>
      <c r="Q80" s="160"/>
      <c r="R80" s="163"/>
      <c r="S80" s="158"/>
      <c r="T80" s="162"/>
      <c r="U80" s="166"/>
      <c r="V80" s="199"/>
      <c r="W80" s="195"/>
      <c r="X80" s="198"/>
      <c r="Y80" s="105"/>
      <c r="Z80" s="105"/>
      <c r="AA80" s="201"/>
      <c r="AB80" s="202"/>
      <c r="AC80" s="202"/>
      <c r="AD80" s="317"/>
      <c r="AE80" s="327"/>
      <c r="AF80" s="120"/>
      <c r="AG80" s="8"/>
      <c r="AH80" s="8"/>
      <c r="AI80" s="246"/>
      <c r="AJ80" s="268"/>
      <c r="AK80" s="313"/>
      <c r="AL80" s="313"/>
      <c r="AM80" s="313"/>
    </row>
    <row r="81" spans="2:39" x14ac:dyDescent="0.25">
      <c r="C81" s="170"/>
      <c r="D81" s="122"/>
      <c r="E81"/>
      <c r="F81"/>
      <c r="G81" s="122"/>
      <c r="H81" s="184"/>
      <c r="I81" s="184"/>
      <c r="J81" s="155"/>
      <c r="K81" s="203"/>
      <c r="L81" s="201"/>
      <c r="M81" s="201"/>
      <c r="N81" s="205"/>
      <c r="O81" s="206"/>
      <c r="P81" s="206"/>
      <c r="Q81" s="160"/>
      <c r="R81" s="163"/>
      <c r="S81" s="158"/>
      <c r="T81" s="162"/>
      <c r="U81" s="166"/>
      <c r="V81" s="199"/>
      <c r="W81" s="195"/>
      <c r="X81" s="198"/>
      <c r="Y81" s="105"/>
      <c r="Z81" s="105"/>
      <c r="AA81" s="201"/>
      <c r="AB81" s="202"/>
      <c r="AC81" s="202"/>
      <c r="AD81" s="317"/>
      <c r="AE81" s="327"/>
      <c r="AF81" s="120"/>
      <c r="AG81" s="8"/>
      <c r="AH81" s="8"/>
      <c r="AI81" s="246"/>
      <c r="AJ81" s="268"/>
      <c r="AK81" s="313"/>
      <c r="AL81" s="313"/>
      <c r="AM81" s="313"/>
    </row>
    <row r="82" spans="2:39" x14ac:dyDescent="0.25">
      <c r="B82" s="5"/>
      <c r="C82" s="294"/>
      <c r="D82" s="122"/>
      <c r="E82" s="4"/>
      <c r="F82" s="4"/>
      <c r="G82" s="121"/>
      <c r="H82" s="295"/>
      <c r="I82" s="295"/>
      <c r="J82" s="155"/>
      <c r="K82" s="203"/>
      <c r="L82" s="201"/>
      <c r="M82" s="201"/>
      <c r="N82" s="321"/>
      <c r="O82" s="319"/>
      <c r="P82" s="319"/>
      <c r="Q82" s="322"/>
      <c r="R82" s="323"/>
      <c r="S82" s="324"/>
      <c r="T82" s="325"/>
      <c r="U82" s="326"/>
      <c r="V82" s="199"/>
      <c r="W82" s="195"/>
      <c r="X82" s="198"/>
      <c r="Y82" s="105"/>
      <c r="Z82" s="105"/>
      <c r="AA82" s="201"/>
      <c r="AB82" s="202"/>
      <c r="AC82" s="202"/>
      <c r="AD82" s="221"/>
      <c r="AE82" s="213"/>
      <c r="AF82" s="215"/>
      <c r="AG82" s="33"/>
      <c r="AH82" s="33"/>
      <c r="AI82" s="245"/>
      <c r="AJ82" s="218"/>
      <c r="AK82" s="220"/>
      <c r="AL82" s="220"/>
      <c r="AM82" s="220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77B74-2670-42ED-9245-EA0B5F17CA88}">
  <dimension ref="B1:AM82"/>
  <sheetViews>
    <sheetView topLeftCell="P1" workbookViewId="0">
      <pane ySplit="1" topLeftCell="A14" activePane="bottomLeft" state="frozen"/>
      <selection pane="bottomLeft" activeCell="AI13" sqref="AI13"/>
    </sheetView>
  </sheetViews>
  <sheetFormatPr defaultColWidth="8.85546875" defaultRowHeight="15" x14ac:dyDescent="0.25"/>
  <cols>
    <col min="1" max="1" width="5.140625" customWidth="1"/>
    <col min="2" max="2" width="10.5703125" style="1" bestFit="1" customWidth="1"/>
    <col min="3" max="10" width="8.85546875" style="1"/>
    <col min="11" max="11" width="12.28515625" customWidth="1"/>
    <col min="12" max="12" width="9.42578125" customWidth="1"/>
    <col min="13" max="13" width="9.28515625" customWidth="1"/>
    <col min="14" max="14" width="9.140625" customWidth="1"/>
    <col min="15" max="15" width="13.5703125" customWidth="1"/>
    <col min="16" max="16" width="13" customWidth="1"/>
    <col min="17" max="17" width="9.7109375" customWidth="1"/>
    <col min="18" max="18" width="11.28515625" customWidth="1"/>
    <col min="19" max="19" width="11.140625" customWidth="1"/>
    <col min="20" max="21" width="11.28515625" customWidth="1"/>
    <col min="22" max="22" width="13.28515625" customWidth="1"/>
    <col min="23" max="23" width="9" customWidth="1"/>
    <col min="24" max="24" width="10.42578125" customWidth="1"/>
    <col min="25" max="25" width="11.42578125" customWidth="1"/>
    <col min="26" max="26" width="10.5703125" bestFit="1" customWidth="1"/>
    <col min="27" max="27" width="12.42578125" bestFit="1" customWidth="1"/>
    <col min="28" max="28" width="11" customWidth="1"/>
    <col min="29" max="29" width="9.140625" customWidth="1"/>
    <col min="30" max="30" width="14.5703125" customWidth="1"/>
    <col min="31" max="31" width="9.140625" customWidth="1"/>
    <col min="32" max="32" width="8.28515625" customWidth="1"/>
    <col min="33" max="34" width="8.7109375" customWidth="1"/>
    <col min="35" max="35" width="9.140625" customWidth="1"/>
    <col min="36" max="36" width="12" customWidth="1"/>
    <col min="37" max="37" width="14" bestFit="1" customWidth="1"/>
    <col min="38" max="38" width="12" customWidth="1"/>
    <col min="39" max="39" width="8.7109375" customWidth="1"/>
  </cols>
  <sheetData>
    <row r="1" spans="2:39" ht="18.75" x14ac:dyDescent="0.3">
      <c r="B1" s="99" t="s">
        <v>0</v>
      </c>
      <c r="C1" s="185" t="s">
        <v>1</v>
      </c>
      <c r="D1" s="7" t="s">
        <v>2</v>
      </c>
      <c r="E1" s="7" t="s">
        <v>3</v>
      </c>
      <c r="F1" s="7" t="s">
        <v>202</v>
      </c>
      <c r="G1" s="7" t="s">
        <v>203</v>
      </c>
      <c r="H1" s="63" t="s">
        <v>179</v>
      </c>
      <c r="I1" s="63" t="s">
        <v>180</v>
      </c>
      <c r="J1" s="99" t="s">
        <v>32</v>
      </c>
      <c r="K1" s="24" t="s">
        <v>95</v>
      </c>
      <c r="L1" s="24" t="s">
        <v>160</v>
      </c>
      <c r="M1" s="24" t="s">
        <v>162</v>
      </c>
      <c r="N1" s="21" t="s">
        <v>272</v>
      </c>
      <c r="O1" s="21" t="s">
        <v>269</v>
      </c>
      <c r="P1" s="21" t="s">
        <v>270</v>
      </c>
      <c r="Q1" s="24" t="s">
        <v>164</v>
      </c>
      <c r="R1" s="24" t="s">
        <v>165</v>
      </c>
      <c r="S1" s="21" t="s">
        <v>166</v>
      </c>
      <c r="T1" s="21" t="s">
        <v>167</v>
      </c>
      <c r="U1" s="99" t="s">
        <v>238</v>
      </c>
      <c r="V1" s="167" t="s">
        <v>171</v>
      </c>
      <c r="W1" s="185" t="s">
        <v>141</v>
      </c>
      <c r="X1" s="185" t="s">
        <v>208</v>
      </c>
      <c r="Y1" s="5" t="s">
        <v>144</v>
      </c>
      <c r="Z1" s="5"/>
      <c r="AA1" s="5" t="s">
        <v>143</v>
      </c>
      <c r="AB1" s="5" t="s">
        <v>248</v>
      </c>
      <c r="AC1" s="24" t="s">
        <v>145</v>
      </c>
      <c r="AD1" s="21" t="s">
        <v>48</v>
      </c>
      <c r="AE1" s="209" t="s">
        <v>47</v>
      </c>
      <c r="AF1" s="99" t="s">
        <v>50</v>
      </c>
      <c r="AG1" s="99" t="s">
        <v>281</v>
      </c>
      <c r="AH1" s="99" t="s">
        <v>282</v>
      </c>
      <c r="AI1" s="21" t="s">
        <v>53</v>
      </c>
      <c r="AJ1" s="21" t="s">
        <v>286</v>
      </c>
      <c r="AK1" s="21" t="s">
        <v>293</v>
      </c>
      <c r="AL1" s="21" t="s">
        <v>291</v>
      </c>
      <c r="AM1" s="21" t="s">
        <v>298</v>
      </c>
    </row>
    <row r="2" spans="2:39" x14ac:dyDescent="0.25">
      <c r="B2" s="7" t="s">
        <v>36</v>
      </c>
      <c r="C2" s="186" t="s">
        <v>207</v>
      </c>
      <c r="D2" s="7" t="s">
        <v>301</v>
      </c>
      <c r="E2" s="7" t="s">
        <v>206</v>
      </c>
      <c r="F2" s="7" t="s">
        <v>206</v>
      </c>
      <c r="G2" s="7" t="s">
        <v>39</v>
      </c>
      <c r="H2" s="2" t="s">
        <v>206</v>
      </c>
      <c r="I2" s="2" t="s">
        <v>39</v>
      </c>
      <c r="J2" s="7"/>
      <c r="K2" s="7"/>
      <c r="L2" s="7" t="s">
        <v>161</v>
      </c>
      <c r="M2" s="7" t="s">
        <v>161</v>
      </c>
      <c r="N2" s="161" t="s">
        <v>161</v>
      </c>
      <c r="O2" s="161" t="s">
        <v>161</v>
      </c>
      <c r="P2" s="161" t="s">
        <v>161</v>
      </c>
      <c r="Q2" s="20" t="s">
        <v>168</v>
      </c>
      <c r="R2" s="20" t="s">
        <v>205</v>
      </c>
      <c r="S2" s="161" t="s">
        <v>169</v>
      </c>
      <c r="T2" s="2" t="s">
        <v>204</v>
      </c>
      <c r="U2" s="164" t="s">
        <v>170</v>
      </c>
      <c r="W2" s="186"/>
      <c r="X2" s="186"/>
      <c r="Y2" s="7"/>
      <c r="Z2" s="7"/>
      <c r="AA2" s="7"/>
      <c r="AB2" s="7"/>
      <c r="AC2" s="7"/>
      <c r="AD2" s="161"/>
      <c r="AE2" s="210"/>
      <c r="AI2" s="161" t="s">
        <v>283</v>
      </c>
      <c r="AJ2" s="161" t="s">
        <v>288</v>
      </c>
      <c r="AK2" s="161" t="s">
        <v>288</v>
      </c>
      <c r="AL2" s="161" t="s">
        <v>161</v>
      </c>
      <c r="AM2" s="161" t="s">
        <v>288</v>
      </c>
    </row>
    <row r="3" spans="2:39" x14ac:dyDescent="0.25">
      <c r="B3" s="7"/>
      <c r="C3" s="186"/>
      <c r="D3" s="7"/>
      <c r="E3" s="7"/>
      <c r="F3" s="7"/>
      <c r="G3" s="7"/>
      <c r="H3" s="2"/>
      <c r="I3" s="2"/>
      <c r="J3" s="7"/>
      <c r="K3" s="7"/>
      <c r="L3" s="7"/>
      <c r="M3" s="7"/>
      <c r="N3" s="161"/>
      <c r="O3" s="161"/>
      <c r="P3" s="161"/>
      <c r="Q3" s="20"/>
      <c r="R3" s="20"/>
      <c r="S3" s="161"/>
      <c r="T3" s="2"/>
      <c r="U3" s="164"/>
      <c r="V3" s="312" t="s">
        <v>172</v>
      </c>
      <c r="W3" s="186"/>
      <c r="X3" s="186"/>
      <c r="Y3" s="7"/>
      <c r="Z3" s="7"/>
      <c r="AA3" s="7"/>
      <c r="AB3" s="7"/>
      <c r="AC3" s="7"/>
      <c r="AD3" s="161"/>
      <c r="AE3" s="210"/>
      <c r="AI3" s="161"/>
      <c r="AJ3" s="161"/>
      <c r="AK3" s="312" t="s">
        <v>325</v>
      </c>
      <c r="AL3" s="312" t="s">
        <v>324</v>
      </c>
      <c r="AM3" s="161"/>
    </row>
    <row r="4" spans="2:39" ht="15.75" x14ac:dyDescent="0.25">
      <c r="B4" s="157" t="s">
        <v>335</v>
      </c>
      <c r="C4" s="186"/>
      <c r="D4" s="7"/>
      <c r="E4" s="7"/>
      <c r="F4" s="7"/>
      <c r="G4" s="7"/>
      <c r="H4" s="7"/>
      <c r="I4" s="2"/>
      <c r="J4" s="7"/>
      <c r="K4" s="7" t="s">
        <v>262</v>
      </c>
      <c r="L4" s="7" t="s">
        <v>262</v>
      </c>
      <c r="M4" s="7" t="s">
        <v>263</v>
      </c>
      <c r="N4" s="161"/>
      <c r="O4" s="7" t="s">
        <v>264</v>
      </c>
      <c r="P4" s="7" t="s">
        <v>265</v>
      </c>
      <c r="Q4" s="20"/>
      <c r="R4" s="20"/>
      <c r="S4" s="7"/>
      <c r="T4" s="7"/>
      <c r="U4" s="7"/>
      <c r="V4" s="7" t="s">
        <v>251</v>
      </c>
      <c r="W4" s="7" t="s">
        <v>252</v>
      </c>
      <c r="X4" s="7" t="s">
        <v>253</v>
      </c>
      <c r="Y4" s="7"/>
      <c r="Z4" s="7"/>
      <c r="AA4" s="7"/>
      <c r="AB4" s="7"/>
      <c r="AC4" s="7"/>
      <c r="AD4" s="7" t="s">
        <v>273</v>
      </c>
      <c r="AE4" s="7" t="s">
        <v>273</v>
      </c>
      <c r="AF4" s="7" t="s">
        <v>277</v>
      </c>
      <c r="AG4" s="7" t="s">
        <v>277</v>
      </c>
      <c r="AH4" s="7" t="s">
        <v>277</v>
      </c>
      <c r="AI4" s="7" t="s">
        <v>284</v>
      </c>
      <c r="AJ4" s="7" t="s">
        <v>287</v>
      </c>
      <c r="AK4" s="7" t="s">
        <v>292</v>
      </c>
      <c r="AL4" s="7" t="s">
        <v>292</v>
      </c>
      <c r="AM4" s="7" t="s">
        <v>299</v>
      </c>
    </row>
    <row r="5" spans="2:39" x14ac:dyDescent="0.25">
      <c r="B5" s="169">
        <v>3650</v>
      </c>
      <c r="C5" s="186">
        <f t="shared" ref="C5:C6" si="0">0.00011448*B5 + 1.16638115</f>
        <v>1.5842331500000002</v>
      </c>
      <c r="D5" s="122">
        <f t="shared" ref="D5:D6" si="1">0.04285545*B5 + 15.6741559</f>
        <v>172.09654839999999</v>
      </c>
      <c r="E5">
        <f t="shared" ref="E5:E6" si="2">0.0000000907*B5^2 - 0.0003674172*B5 + 0.9616952608</f>
        <v>0.82897323079999996</v>
      </c>
      <c r="F5">
        <f t="shared" ref="F5:F20" si="3">0.00000236*B5 + 0.01241004</f>
        <v>2.1024040000000001E-2</v>
      </c>
      <c r="G5" s="122">
        <f t="shared" ref="G5:G20" si="4">20.40472*B5^(-1.02454)</f>
        <v>4.5710830121876008E-3</v>
      </c>
      <c r="H5" s="184">
        <f xml:space="preserve"> 0.00000000004*B5^2 + 0.000002*B5 + 0.0125</f>
        <v>2.0332900000000001E-2</v>
      </c>
      <c r="I5" s="184">
        <f>9.6806*B5^(-0.919)</f>
        <v>5.1541272084065348E-3</v>
      </c>
      <c r="J5" s="20"/>
      <c r="K5" s="103"/>
      <c r="L5" s="7"/>
      <c r="M5" s="134"/>
      <c r="N5" s="204"/>
      <c r="O5" s="204"/>
      <c r="P5" s="204"/>
      <c r="Q5" s="159"/>
      <c r="R5" s="159"/>
      <c r="S5" s="134"/>
      <c r="T5" s="134"/>
      <c r="U5" s="165"/>
      <c r="W5" s="188"/>
      <c r="X5" s="188"/>
      <c r="Y5" s="134"/>
      <c r="Z5" s="134"/>
      <c r="AA5" s="134"/>
      <c r="AB5" s="134"/>
      <c r="AC5" s="134"/>
      <c r="AD5" s="204"/>
      <c r="AE5" s="211"/>
      <c r="AF5" s="7"/>
      <c r="AG5" s="7"/>
      <c r="AH5" s="7"/>
      <c r="AI5" s="161"/>
      <c r="AJ5" s="161"/>
      <c r="AK5" s="161"/>
      <c r="AL5" s="161"/>
      <c r="AM5" s="161"/>
    </row>
    <row r="6" spans="2:39" s="18" customFormat="1" x14ac:dyDescent="0.25">
      <c r="B6" s="226">
        <v>3700</v>
      </c>
      <c r="C6" s="227">
        <f t="shared" si="0"/>
        <v>1.58995715</v>
      </c>
      <c r="D6" s="228">
        <f t="shared" si="1"/>
        <v>174.2393209</v>
      </c>
      <c r="E6" s="18">
        <f t="shared" si="2"/>
        <v>0.84393462079999981</v>
      </c>
      <c r="F6" s="18">
        <f t="shared" si="3"/>
        <v>2.1142040000000001E-2</v>
      </c>
      <c r="G6" s="228">
        <f t="shared" si="4"/>
        <v>4.5078062903013945E-3</v>
      </c>
      <c r="H6" s="229">
        <f t="shared" ref="H6:H20" si="5" xml:space="preserve"> 0.00000000004*B6^2 + 0.000002*B6 + 0.0125</f>
        <v>2.04476E-2</v>
      </c>
      <c r="I6" s="229">
        <f t="shared" ref="I6:I20" si="6">9.6806*B6^(-0.919)</f>
        <v>5.0900833169336204E-3</v>
      </c>
      <c r="J6" s="230">
        <f>Data!D$14</f>
        <v>1.49E-5</v>
      </c>
      <c r="K6" s="366">
        <f>'Huff&amp;Puff_2nd Cycle'!K36</f>
        <v>9.8172790875322075E-2</v>
      </c>
      <c r="L6" s="231">
        <f>Data!D$21*K$6</f>
        <v>0.12742828255616806</v>
      </c>
      <c r="M6" s="231">
        <f>Data!D$21-L$6</f>
        <v>1.1705717174438319</v>
      </c>
      <c r="N6" s="232">
        <f>'Huff&amp;Puff_2nd Cycle'!P6</f>
        <v>53.869991095280497</v>
      </c>
      <c r="O6" s="233">
        <f>30.4*Data!N$7*Data!O$7/5.615</f>
        <v>10.828138913624221</v>
      </c>
      <c r="P6" s="233">
        <f>N6+O6</f>
        <v>64.698130008904712</v>
      </c>
      <c r="Q6" s="234">
        <f>C6</f>
        <v>1.58995715</v>
      </c>
      <c r="R6" s="235">
        <f>(C6-C5)/(B6-B5)</f>
        <v>1.144799999999968E-4</v>
      </c>
      <c r="S6" s="236">
        <f>I6</f>
        <v>5.0900833169336204E-3</v>
      </c>
      <c r="T6" s="237">
        <f>(I6-I5)/(B6-B5)</f>
        <v>-1.2808778294582866E-6</v>
      </c>
      <c r="U6" s="238">
        <f>M6*C$6*J$6</f>
        <v>2.7731267188890244E-5</v>
      </c>
      <c r="V6" s="383">
        <f>B6-((B6-B$6+(L6*Q6/U6)-(P6-'Huff&amp;Puff_2nd Cycle'!AL$36)*S6/U6))/(1+(L6*R6/U6)-(P6-'Huff&amp;Puff_2nd Cycle'!AL$36)*T6/U6)</f>
        <v>4191.3630363821621</v>
      </c>
      <c r="W6" s="240"/>
      <c r="X6" s="243"/>
      <c r="Y6" s="241"/>
      <c r="Z6" s="241"/>
      <c r="AA6" s="241"/>
      <c r="AB6" s="242"/>
      <c r="AC6" s="200">
        <f>'Huff&amp;Puff_2nd Cycle'!AC36</f>
        <v>3.7951926791885717</v>
      </c>
      <c r="AD6" s="341"/>
      <c r="AE6" s="244"/>
      <c r="AF6" s="59"/>
      <c r="AG6" s="59"/>
      <c r="AH6" s="59"/>
      <c r="AI6" s="196"/>
      <c r="AJ6" s="196"/>
      <c r="AK6" s="197">
        <f>'Huff&amp;Puff_2nd Cycle'!AK36</f>
        <v>32.582578138999253</v>
      </c>
      <c r="AL6" s="197">
        <f>'Huff&amp;Puff_2nd Cycle'!AL36</f>
        <v>14.616469708773487</v>
      </c>
      <c r="AM6" s="388">
        <f>'Huff&amp;Puff_2nd Cycle'!AM36</f>
        <v>212.65299115335819</v>
      </c>
    </row>
    <row r="7" spans="2:39" x14ac:dyDescent="0.25">
      <c r="B7" s="169">
        <f>B8-50</f>
        <v>4141.3630363821621</v>
      </c>
      <c r="C7" s="170">
        <f xml:space="preserve"> -0.00001529*B7 + 1.47725786</f>
        <v>1.4139364191737167</v>
      </c>
      <c r="D7" s="122">
        <v>120.569011576135</v>
      </c>
      <c r="E7">
        <f xml:space="preserve"> 0.0000554429*B7 + 0.4645469286</f>
        <v>0.69415610528983263</v>
      </c>
      <c r="F7">
        <f t="shared" si="3"/>
        <v>2.2183656765861905E-2</v>
      </c>
      <c r="G7" s="122">
        <f t="shared" si="4"/>
        <v>4.0162675847838936E-3</v>
      </c>
      <c r="H7" s="184">
        <f t="shared" si="5"/>
        <v>2.1468761584728824E-2</v>
      </c>
      <c r="I7" s="184">
        <f t="shared" si="6"/>
        <v>4.5893119619218005E-3</v>
      </c>
      <c r="J7" s="155"/>
      <c r="K7" s="102"/>
      <c r="L7" s="133"/>
      <c r="M7" s="252"/>
      <c r="N7" s="205"/>
      <c r="O7" s="206"/>
      <c r="P7" s="206"/>
      <c r="Q7" s="160"/>
      <c r="R7" s="163"/>
      <c r="S7" s="158"/>
      <c r="T7" s="162"/>
      <c r="U7" s="166"/>
      <c r="V7" s="384"/>
      <c r="W7" s="188"/>
      <c r="X7" s="188"/>
      <c r="Y7" s="134"/>
      <c r="Z7" s="134"/>
      <c r="AA7" s="134"/>
      <c r="AB7" s="142"/>
      <c r="AC7" s="143"/>
      <c r="AD7" s="207"/>
      <c r="AE7" s="212"/>
      <c r="AF7" s="120"/>
      <c r="AG7" s="10"/>
      <c r="AH7" s="10"/>
      <c r="AI7" s="217"/>
      <c r="AJ7" s="217"/>
      <c r="AK7" s="217"/>
      <c r="AL7" s="217"/>
    </row>
    <row r="8" spans="2:39" x14ac:dyDescent="0.25">
      <c r="B8" s="168">
        <f>V6</f>
        <v>4191.3630363821621</v>
      </c>
      <c r="C8" s="170">
        <f t="shared" ref="C8:C20" si="7" xml:space="preserve"> -0.00001529*B8 + 1.47725786</f>
        <v>1.4131719191737167</v>
      </c>
      <c r="D8" s="122">
        <v>120.569011576135</v>
      </c>
      <c r="E8">
        <f xml:space="preserve"> 0.0000554429*B8 + 0.4645469286</f>
        <v>0.69692825028983263</v>
      </c>
      <c r="F8">
        <f t="shared" si="3"/>
        <v>2.2301656765861905E-2</v>
      </c>
      <c r="G8" s="122">
        <f t="shared" si="4"/>
        <v>3.9671878211328298E-3</v>
      </c>
      <c r="H8" s="184">
        <f t="shared" si="5"/>
        <v>2.1585427036874355E-2</v>
      </c>
      <c r="I8" s="184">
        <f t="shared" si="6"/>
        <v>4.5389748265395194E-3</v>
      </c>
      <c r="J8" s="155"/>
      <c r="K8" s="102"/>
      <c r="L8" s="133">
        <f>Data!D$21*K$6</f>
        <v>0.12742828255616806</v>
      </c>
      <c r="M8" s="252">
        <f>Data!D$21-L$6</f>
        <v>1.1705717174438319</v>
      </c>
      <c r="N8" s="205">
        <f>N6</f>
        <v>53.869991095280497</v>
      </c>
      <c r="O8" s="206">
        <f>O6</f>
        <v>10.828138913624221</v>
      </c>
      <c r="P8" s="206">
        <f>N8+O8</f>
        <v>64.698130008904712</v>
      </c>
      <c r="Q8" s="160">
        <f>C8</f>
        <v>1.4131719191737167</v>
      </c>
      <c r="R8" s="163">
        <f>(C8-C7)/(B8-B7)</f>
        <v>-1.5290000000001136E-5</v>
      </c>
      <c r="S8" s="158">
        <f t="shared" ref="S8:S14" si="8">I8</f>
        <v>4.5389748265395194E-3</v>
      </c>
      <c r="T8" s="162">
        <f>(I8-I7)/(B8-B7)</f>
        <v>-1.0067427076456206E-6</v>
      </c>
      <c r="U8" s="166">
        <f>M8*C$6*J$6</f>
        <v>2.7731267188890244E-5</v>
      </c>
      <c r="V8" s="384">
        <f>B8-((B8-B$6+(L8*Q8/U8)-(P8-'Huff&amp;Puff_2nd Cycle'!AL$36)*S8/U8))/(1+(L8*R8/U8)-(P8-'Huff&amp;Puff_2nd Cycle'!AL$36)*T8/U8)</f>
        <v>4632.4945214266754</v>
      </c>
      <c r="W8" s="188"/>
      <c r="X8" s="188"/>
      <c r="Y8" s="253"/>
      <c r="Z8" s="134"/>
      <c r="AA8" s="134"/>
      <c r="AB8" s="142"/>
      <c r="AC8" s="143"/>
      <c r="AD8" s="207"/>
      <c r="AE8" s="212"/>
      <c r="AF8" s="120"/>
      <c r="AG8" s="10"/>
      <c r="AH8" s="10"/>
      <c r="AI8" s="217"/>
      <c r="AJ8" s="217"/>
      <c r="AK8" s="217"/>
      <c r="AL8" s="217"/>
      <c r="AM8" s="217"/>
    </row>
    <row r="9" spans="2:39" x14ac:dyDescent="0.25">
      <c r="B9" s="169">
        <f>B10-50</f>
        <v>4582.4945214266754</v>
      </c>
      <c r="C9" s="170">
        <f t="shared" si="7"/>
        <v>1.407191518767386</v>
      </c>
      <c r="D9" s="122">
        <v>120.569011576135</v>
      </c>
      <c r="E9">
        <f xml:space="preserve"> 0.0000554429*B9 + 0.4645469286</f>
        <v>0.71861371410200703</v>
      </c>
      <c r="F9">
        <f t="shared" si="3"/>
        <v>2.3224727070566956E-2</v>
      </c>
      <c r="G9" s="122">
        <f t="shared" si="4"/>
        <v>3.620639150935764E-3</v>
      </c>
      <c r="H9" s="184">
        <f t="shared" si="5"/>
        <v>2.250495928440957E-2</v>
      </c>
      <c r="I9" s="184">
        <f t="shared" si="6"/>
        <v>4.1816682892275164E-3</v>
      </c>
      <c r="J9" s="155"/>
      <c r="K9" s="102"/>
      <c r="L9" s="133"/>
      <c r="M9" s="252"/>
      <c r="N9" s="205"/>
      <c r="O9" s="206"/>
      <c r="P9" s="206"/>
      <c r="Q9" s="160"/>
      <c r="R9" s="163"/>
      <c r="S9" s="158"/>
      <c r="T9" s="162"/>
      <c r="U9" s="166"/>
      <c r="V9" s="384"/>
      <c r="W9" s="188"/>
      <c r="X9" s="188"/>
      <c r="Y9" s="253"/>
      <c r="Z9" s="134"/>
      <c r="AA9" s="134"/>
      <c r="AB9" s="142"/>
      <c r="AC9" s="143"/>
      <c r="AD9" s="207"/>
      <c r="AE9" s="212"/>
      <c r="AF9" s="120"/>
      <c r="AG9" s="10"/>
      <c r="AH9" s="10"/>
      <c r="AI9" s="217"/>
      <c r="AJ9" s="217"/>
      <c r="AK9" s="217"/>
      <c r="AL9" s="217"/>
      <c r="AM9" s="217"/>
    </row>
    <row r="10" spans="2:39" x14ac:dyDescent="0.25">
      <c r="B10" s="168">
        <f>V8</f>
        <v>4632.4945214266754</v>
      </c>
      <c r="C10" s="170">
        <f t="shared" si="7"/>
        <v>1.406427018767386</v>
      </c>
      <c r="D10" s="122">
        <v>120.569011576135</v>
      </c>
      <c r="E10">
        <f t="shared" ref="E10:E14" si="9" xml:space="preserve"> 0.0000554429*B10 + 0.4645469286</f>
        <v>0.72138585910200703</v>
      </c>
      <c r="F10">
        <f t="shared" si="3"/>
        <v>2.3342727070566956E-2</v>
      </c>
      <c r="G10" s="122">
        <f t="shared" si="4"/>
        <v>3.5806067599368188E-3</v>
      </c>
      <c r="H10" s="184">
        <f t="shared" si="5"/>
        <v>2.2623389262495276E-2</v>
      </c>
      <c r="I10" s="184">
        <f t="shared" si="6"/>
        <v>4.1401718602683242E-3</v>
      </c>
      <c r="J10" s="155"/>
      <c r="K10" s="102"/>
      <c r="L10" s="133">
        <f>Data!D$21*K$6</f>
        <v>0.12742828255616806</v>
      </c>
      <c r="M10" s="252">
        <f>Data!D$21-L$6</f>
        <v>1.1705717174438319</v>
      </c>
      <c r="N10" s="205">
        <f>N8</f>
        <v>53.869991095280497</v>
      </c>
      <c r="O10" s="206">
        <f>O8</f>
        <v>10.828138913624221</v>
      </c>
      <c r="P10" s="206">
        <f t="shared" ref="P10:P14" si="10">N10+O10</f>
        <v>64.698130008904712</v>
      </c>
      <c r="Q10" s="160">
        <f t="shared" ref="Q10:Q14" si="11">C10</f>
        <v>1.406427018767386</v>
      </c>
      <c r="R10" s="163">
        <f>(C10-C9)/(B10-B9)</f>
        <v>-1.5290000000001136E-5</v>
      </c>
      <c r="S10" s="158">
        <f t="shared" si="8"/>
        <v>4.1401718602683242E-3</v>
      </c>
      <c r="T10" s="162">
        <f>(I10-I9)/(B10-B9)</f>
        <v>-8.2992857918384384E-7</v>
      </c>
      <c r="U10" s="166">
        <f>M10*C$6*J$6</f>
        <v>2.7731267188890244E-5</v>
      </c>
      <c r="V10" s="384">
        <f>B10-((B10-B$6+(L10*Q10/U10)-(P10-'Huff&amp;Puff_2nd Cycle'!AL$36)*S10/U10))/(1+(L10*R10/U10)-(P10-'Huff&amp;Puff_2nd Cycle'!AL$36)*T10/U10)</f>
        <v>4666.1833775402747</v>
      </c>
      <c r="W10" s="188"/>
      <c r="X10" s="188"/>
      <c r="Y10" s="253"/>
      <c r="Z10" s="134"/>
      <c r="AA10" s="134"/>
      <c r="AB10" s="142"/>
      <c r="AC10" s="143"/>
      <c r="AD10" s="207"/>
      <c r="AE10" s="212"/>
      <c r="AF10" s="120"/>
      <c r="AG10" s="10"/>
      <c r="AH10" s="10"/>
      <c r="AI10" s="217"/>
      <c r="AJ10" s="217"/>
      <c r="AK10" s="217"/>
      <c r="AL10" s="217"/>
      <c r="AM10" s="217"/>
    </row>
    <row r="11" spans="2:39" x14ac:dyDescent="0.25">
      <c r="B11" s="169">
        <f>B12-50</f>
        <v>4616.1833775402747</v>
      </c>
      <c r="C11" s="170">
        <f t="shared" si="7"/>
        <v>1.406676416157409</v>
      </c>
      <c r="D11" s="122">
        <v>120.569011576135</v>
      </c>
      <c r="E11">
        <f xml:space="preserve"> 0.0000554429*B11 + 0.4645469286</f>
        <v>0.72048152198262772</v>
      </c>
      <c r="F11">
        <f t="shared" si="3"/>
        <v>2.3304232770995047E-2</v>
      </c>
      <c r="G11" s="122">
        <f t="shared" si="4"/>
        <v>3.593569765849707E-3</v>
      </c>
      <c r="H11" s="184">
        <f t="shared" si="5"/>
        <v>2.2584732714083715E-2</v>
      </c>
      <c r="I11" s="184">
        <f t="shared" si="6"/>
        <v>4.1536141475052293E-3</v>
      </c>
      <c r="J11" s="155"/>
      <c r="K11" s="102"/>
      <c r="L11" s="133"/>
      <c r="M11" s="252"/>
      <c r="N11" s="205"/>
      <c r="O11" s="206"/>
      <c r="P11" s="206"/>
      <c r="Q11" s="160"/>
      <c r="R11" s="163"/>
      <c r="S11" s="158"/>
      <c r="T11" s="162"/>
      <c r="U11" s="166"/>
      <c r="V11" s="384"/>
      <c r="W11" s="188"/>
      <c r="X11" s="188"/>
      <c r="Y11" s="253"/>
      <c r="Z11" s="134"/>
      <c r="AA11" s="134"/>
      <c r="AB11" s="142"/>
      <c r="AC11" s="143"/>
      <c r="AD11" s="207"/>
      <c r="AE11" s="212"/>
      <c r="AF11" s="120"/>
      <c r="AG11" s="10"/>
      <c r="AH11" s="10"/>
      <c r="AI11" s="217"/>
      <c r="AJ11" s="217"/>
      <c r="AK11" s="217"/>
      <c r="AL11" s="217"/>
      <c r="AM11" s="217"/>
    </row>
    <row r="12" spans="2:39" x14ac:dyDescent="0.25">
      <c r="B12" s="168">
        <f>V10</f>
        <v>4666.1833775402747</v>
      </c>
      <c r="C12" s="187">
        <f t="shared" si="7"/>
        <v>1.4059119161574092</v>
      </c>
      <c r="D12" s="122">
        <v>120.569011576135</v>
      </c>
      <c r="E12">
        <f t="shared" si="9"/>
        <v>0.72325366698262772</v>
      </c>
      <c r="F12">
        <f t="shared" si="3"/>
        <v>2.3422232770995047E-2</v>
      </c>
      <c r="G12" s="122">
        <f t="shared" si="4"/>
        <v>3.5541234999729586E-3</v>
      </c>
      <c r="H12" s="184">
        <f t="shared" si="5"/>
        <v>2.2703297447593876E-2</v>
      </c>
      <c r="I12" s="184">
        <f t="shared" si="6"/>
        <v>4.1126938270217399E-3</v>
      </c>
      <c r="J12" s="155"/>
      <c r="K12" s="102"/>
      <c r="L12" s="133">
        <f>Data!D$21*K$6</f>
        <v>0.12742828255616806</v>
      </c>
      <c r="M12" s="252">
        <f>Data!D$21-L$6</f>
        <v>1.1705717174438319</v>
      </c>
      <c r="N12" s="205">
        <f>N10</f>
        <v>53.869991095280497</v>
      </c>
      <c r="O12" s="206">
        <f>O10</f>
        <v>10.828138913624221</v>
      </c>
      <c r="P12" s="206">
        <f t="shared" si="10"/>
        <v>64.698130008904712</v>
      </c>
      <c r="Q12" s="160">
        <f t="shared" si="11"/>
        <v>1.4059119161574092</v>
      </c>
      <c r="R12" s="163">
        <f>(C12-C11)/(B12-B11)</f>
        <v>-1.5289999999996694E-5</v>
      </c>
      <c r="S12" s="158">
        <f t="shared" si="8"/>
        <v>4.1126938270217399E-3</v>
      </c>
      <c r="T12" s="162">
        <f>(I12-I11)/(B12-B11)</f>
        <v>-8.1840640966978837E-7</v>
      </c>
      <c r="U12" s="166">
        <f>M12*C$6*J$6</f>
        <v>2.7731267188890244E-5</v>
      </c>
      <c r="V12" s="384">
        <f>B12-((B12-B$6+(L12*Q12/U12)-(P12-'Huff&amp;Puff_2nd Cycle'!AL$36)*S12/U12))/(1+(L12*R12/U12)-(P12-'Huff&amp;Puff_2nd Cycle'!AL$36)*T12/U12)</f>
        <v>4666.5443907421368</v>
      </c>
      <c r="W12" s="188"/>
      <c r="X12" s="188"/>
      <c r="Y12" s="253"/>
      <c r="Z12" s="134"/>
      <c r="AA12" s="134"/>
      <c r="AB12" s="142"/>
      <c r="AC12" s="143"/>
      <c r="AD12" s="207"/>
      <c r="AE12" s="212"/>
      <c r="AF12" s="120"/>
      <c r="AG12" s="10"/>
      <c r="AH12" s="10"/>
      <c r="AI12" s="217"/>
      <c r="AJ12" s="217"/>
      <c r="AK12" s="217"/>
      <c r="AL12" s="217"/>
      <c r="AM12" s="217"/>
    </row>
    <row r="13" spans="2:39" x14ac:dyDescent="0.25">
      <c r="B13" s="169">
        <f>B14-50</f>
        <v>4616.5443907421368</v>
      </c>
      <c r="C13" s="170">
        <f t="shared" si="7"/>
        <v>1.4066708962655528</v>
      </c>
      <c r="D13" s="122">
        <v>120.569011576135</v>
      </c>
      <c r="E13">
        <f xml:space="preserve"> 0.0000554429*B13 + 0.4645469286</f>
        <v>0.72050153760147717</v>
      </c>
      <c r="F13">
        <f t="shared" si="3"/>
        <v>2.3305084762151443E-2</v>
      </c>
      <c r="G13" s="122">
        <f t="shared" si="4"/>
        <v>3.5932818532634532E-3</v>
      </c>
      <c r="H13" s="184">
        <f t="shared" si="5"/>
        <v>2.2585588065951984E-2</v>
      </c>
      <c r="I13" s="184">
        <f t="shared" si="6"/>
        <v>4.1533156442270973E-3</v>
      </c>
      <c r="J13" s="155"/>
      <c r="K13" s="102"/>
      <c r="L13" s="133"/>
      <c r="M13" s="252"/>
      <c r="N13" s="205"/>
      <c r="O13" s="206"/>
      <c r="P13" s="206"/>
      <c r="Q13" s="160"/>
      <c r="R13" s="163"/>
      <c r="S13" s="158"/>
      <c r="T13" s="162"/>
      <c r="U13" s="166"/>
      <c r="V13" s="384"/>
      <c r="W13" s="188"/>
      <c r="X13" s="188"/>
      <c r="Y13" s="253"/>
      <c r="Z13" s="134"/>
      <c r="AA13" s="134"/>
      <c r="AB13" s="142"/>
      <c r="AC13" s="143"/>
      <c r="AD13" s="207"/>
      <c r="AE13" s="212"/>
      <c r="AF13" s="120"/>
      <c r="AG13" s="10"/>
      <c r="AH13" s="10"/>
      <c r="AI13" s="217"/>
      <c r="AJ13" s="217"/>
      <c r="AK13" s="217"/>
      <c r="AL13" s="217"/>
      <c r="AM13" s="217"/>
    </row>
    <row r="14" spans="2:39" x14ac:dyDescent="0.25">
      <c r="B14" s="168">
        <f t="shared" ref="B14" si="12">V12</f>
        <v>4666.5443907421368</v>
      </c>
      <c r="C14" s="170">
        <f t="shared" si="7"/>
        <v>1.4059063962655527</v>
      </c>
      <c r="D14" s="122">
        <v>120.569011576135</v>
      </c>
      <c r="E14">
        <f t="shared" si="9"/>
        <v>0.72327368260147717</v>
      </c>
      <c r="F14">
        <f t="shared" si="3"/>
        <v>2.3423084762151443E-2</v>
      </c>
      <c r="G14" s="122">
        <f t="shared" si="4"/>
        <v>3.5538417987686262E-3</v>
      </c>
      <c r="H14" s="184">
        <f t="shared" si="5"/>
        <v>2.2704154243514948E-2</v>
      </c>
      <c r="I14" s="184">
        <f t="shared" si="6"/>
        <v>4.1124014313538475E-3</v>
      </c>
      <c r="J14" s="155"/>
      <c r="K14" s="102"/>
      <c r="L14" s="133">
        <f>Data!D$21*K$6</f>
        <v>0.12742828255616806</v>
      </c>
      <c r="M14" s="252">
        <f>Data!D$21-L$6</f>
        <v>1.1705717174438319</v>
      </c>
      <c r="N14" s="205">
        <f>N12</f>
        <v>53.869991095280497</v>
      </c>
      <c r="O14" s="206">
        <f>O12</f>
        <v>10.828138913624221</v>
      </c>
      <c r="P14" s="206">
        <f t="shared" si="10"/>
        <v>64.698130008904712</v>
      </c>
      <c r="Q14" s="160">
        <f t="shared" si="11"/>
        <v>1.4059063962655527</v>
      </c>
      <c r="R14" s="163">
        <f>(C14-C13)/(B14-B13)</f>
        <v>-1.5290000000001136E-5</v>
      </c>
      <c r="S14" s="158">
        <f t="shared" si="8"/>
        <v>4.1124014313538475E-3</v>
      </c>
      <c r="T14" s="162">
        <f>(I14-I13)/(B14-B13)</f>
        <v>-8.1828425746499624E-7</v>
      </c>
      <c r="U14" s="166">
        <f>M14*C$6*J$6</f>
        <v>2.7731267188890244E-5</v>
      </c>
      <c r="V14" s="384">
        <f>B14-((B14-B$6+(L14*Q14/U14)-(P14-'Huff&amp;Puff_2nd Cycle'!AL$36)*S14/U14))/(1+(L14*R14/U14)-(P14-'Huff&amp;Puff_2nd Cycle'!AL$36)*T14/U14)</f>
        <v>4666.5466860295592</v>
      </c>
      <c r="W14" s="188"/>
      <c r="X14" s="188"/>
      <c r="Y14" s="253"/>
      <c r="Z14" s="134"/>
      <c r="AA14" s="134"/>
      <c r="AB14" s="142"/>
      <c r="AC14" s="143"/>
      <c r="AD14" s="207"/>
      <c r="AE14" s="212"/>
      <c r="AF14" s="120"/>
      <c r="AG14" s="10"/>
      <c r="AH14" s="10"/>
      <c r="AI14" s="217"/>
      <c r="AJ14" s="217"/>
      <c r="AK14" s="217"/>
      <c r="AL14" s="217"/>
      <c r="AM14" s="217"/>
    </row>
    <row r="15" spans="2:39" x14ac:dyDescent="0.25">
      <c r="B15" s="169">
        <f>B16-50</f>
        <v>4616.5466860295592</v>
      </c>
      <c r="C15" s="170">
        <f t="shared" si="7"/>
        <v>1.406670861170608</v>
      </c>
      <c r="D15" s="122">
        <v>120.569011576135</v>
      </c>
      <c r="E15">
        <f xml:space="preserve"> 0.0000554429*B15 + 0.4645469286</f>
        <v>0.72050166485886824</v>
      </c>
      <c r="F15">
        <f t="shared" si="3"/>
        <v>2.330509017902976E-2</v>
      </c>
      <c r="G15" s="122">
        <f t="shared" si="4"/>
        <v>3.593280022888579E-3</v>
      </c>
      <c r="H15" s="184">
        <f t="shared" si="5"/>
        <v>2.2585593504230738E-2</v>
      </c>
      <c r="I15" s="184">
        <f t="shared" si="6"/>
        <v>4.1533137465151028E-3</v>
      </c>
      <c r="J15" s="155"/>
      <c r="K15" s="102"/>
      <c r="L15" s="133"/>
      <c r="M15" s="252"/>
      <c r="N15" s="205"/>
      <c r="O15" s="206"/>
      <c r="P15" s="206"/>
      <c r="Q15" s="160"/>
      <c r="R15" s="163"/>
      <c r="S15" s="158"/>
      <c r="T15" s="162"/>
      <c r="U15" s="166"/>
      <c r="V15" s="384"/>
      <c r="W15" s="188"/>
      <c r="X15" s="188"/>
      <c r="Y15" s="253"/>
      <c r="Z15" s="134"/>
      <c r="AA15" s="134"/>
      <c r="AB15" s="142"/>
      <c r="AC15" s="143"/>
      <c r="AD15" s="207"/>
      <c r="AE15" s="212"/>
      <c r="AF15" s="120"/>
      <c r="AG15" s="10"/>
      <c r="AH15" s="10"/>
      <c r="AI15" s="217"/>
      <c r="AJ15" s="217"/>
      <c r="AK15" s="217"/>
      <c r="AL15" s="217"/>
      <c r="AM15" s="217"/>
    </row>
    <row r="16" spans="2:39" x14ac:dyDescent="0.25">
      <c r="B16" s="168">
        <f t="shared" ref="B16" si="13">V14</f>
        <v>4666.5466860295592</v>
      </c>
      <c r="C16" s="170">
        <f t="shared" si="7"/>
        <v>1.405906361170608</v>
      </c>
      <c r="D16" s="122">
        <v>120.569011576135</v>
      </c>
      <c r="E16">
        <f t="shared" ref="E16" si="14" xml:space="preserve"> 0.0000554429*B16 + 0.4645469286</f>
        <v>0.72327380985886824</v>
      </c>
      <c r="F16">
        <f t="shared" si="3"/>
        <v>2.342309017902976E-2</v>
      </c>
      <c r="G16" s="122">
        <f t="shared" si="4"/>
        <v>3.5538400078804501E-3</v>
      </c>
      <c r="H16" s="184">
        <f t="shared" si="5"/>
        <v>2.2704159690974855E-2</v>
      </c>
      <c r="I16" s="184">
        <f t="shared" si="6"/>
        <v>4.1123995724690193E-3</v>
      </c>
      <c r="J16" s="155"/>
      <c r="K16" s="102"/>
      <c r="L16" s="133">
        <f>Data!D$21*K$6</f>
        <v>0.12742828255616806</v>
      </c>
      <c r="M16" s="252">
        <f>Data!D$21-L$6</f>
        <v>1.1705717174438319</v>
      </c>
      <c r="N16" s="205">
        <f>N14</f>
        <v>53.869991095280497</v>
      </c>
      <c r="O16" s="206">
        <f>O14</f>
        <v>10.828138913624221</v>
      </c>
      <c r="P16" s="206">
        <f t="shared" ref="P16" si="15">N16+O16</f>
        <v>64.698130008904712</v>
      </c>
      <c r="Q16" s="160">
        <f t="shared" ref="Q16" si="16">C16</f>
        <v>1.405906361170608</v>
      </c>
      <c r="R16" s="163">
        <f>(C16-C15)/(B16-B15)</f>
        <v>-1.5290000000001136E-5</v>
      </c>
      <c r="S16" s="158">
        <f t="shared" ref="S16" si="17">I16</f>
        <v>4.1123995724690193E-3</v>
      </c>
      <c r="T16" s="162">
        <f>(I16-I15)/(B16-B15)</f>
        <v>-8.1828348092167007E-7</v>
      </c>
      <c r="U16" s="166">
        <f>M16*C$6*J$6</f>
        <v>2.7731267188890244E-5</v>
      </c>
      <c r="V16" s="384">
        <f>B16-((B16-B$6+(L16*Q16/U16)-(P16-'Huff&amp;Puff_2nd Cycle'!AL$36)*S16/U16))/(1+(L16*R16/U16)-(P16-'Huff&amp;Puff_2nd Cycle'!AL$36)*T16/U16)</f>
        <v>4666.546700516642</v>
      </c>
      <c r="W16" s="188"/>
      <c r="X16" s="188"/>
      <c r="Y16" s="253"/>
      <c r="Z16" s="134"/>
      <c r="AA16" s="134"/>
      <c r="AB16" s="142"/>
      <c r="AC16" s="143"/>
      <c r="AD16" s="207"/>
      <c r="AE16" s="212"/>
      <c r="AF16" s="120"/>
      <c r="AG16" s="10"/>
      <c r="AH16" s="19"/>
      <c r="AI16" s="217"/>
      <c r="AJ16" s="217"/>
      <c r="AK16" s="217"/>
      <c r="AL16" s="217"/>
      <c r="AM16" s="217"/>
    </row>
    <row r="17" spans="2:39" x14ac:dyDescent="0.25">
      <c r="B17" s="169">
        <f>B18-50</f>
        <v>4616.546700516642</v>
      </c>
      <c r="C17" s="170">
        <f t="shared" si="7"/>
        <v>1.4066708609491005</v>
      </c>
      <c r="D17" s="122">
        <v>120.569011576135</v>
      </c>
      <c r="E17">
        <f xml:space="preserve"> 0.0000554429*B17 + 0.4645469286</f>
        <v>0.72050166566207419</v>
      </c>
      <c r="F17">
        <f t="shared" si="3"/>
        <v>2.3305090213219276E-2</v>
      </c>
      <c r="G17" s="122">
        <f t="shared" si="4"/>
        <v>3.5932800113358844E-3</v>
      </c>
      <c r="H17" s="184">
        <f t="shared" si="5"/>
        <v>2.2585593538555326E-2</v>
      </c>
      <c r="I17" s="184">
        <f t="shared" si="6"/>
        <v>4.1533137345373949E-3</v>
      </c>
      <c r="J17" s="155"/>
      <c r="K17" s="102"/>
      <c r="L17" s="133"/>
      <c r="M17" s="252"/>
      <c r="N17" s="205"/>
      <c r="O17" s="206"/>
      <c r="P17" s="206"/>
      <c r="Q17" s="160"/>
      <c r="R17" s="163"/>
      <c r="S17" s="158"/>
      <c r="T17" s="162"/>
      <c r="U17" s="166"/>
      <c r="V17" s="384"/>
      <c r="W17" s="188"/>
      <c r="X17" s="188"/>
      <c r="Y17" s="253"/>
      <c r="Z17" s="134"/>
      <c r="AA17" s="134"/>
      <c r="AB17" s="142"/>
      <c r="AC17" s="143"/>
      <c r="AD17" s="207"/>
      <c r="AE17" s="212"/>
      <c r="AF17" s="120"/>
      <c r="AG17" s="10"/>
      <c r="AH17" s="10"/>
      <c r="AI17" s="217"/>
      <c r="AJ17" s="217"/>
      <c r="AK17" s="217"/>
      <c r="AL17" s="217"/>
      <c r="AM17" s="217"/>
    </row>
    <row r="18" spans="2:39" x14ac:dyDescent="0.25">
      <c r="B18" s="168">
        <f t="shared" ref="B18" si="18">V16</f>
        <v>4666.546700516642</v>
      </c>
      <c r="C18" s="170">
        <f t="shared" si="7"/>
        <v>1.4059063609491005</v>
      </c>
      <c r="D18" s="122">
        <v>120.569011576135</v>
      </c>
      <c r="E18">
        <f t="shared" ref="E18" si="19" xml:space="preserve"> 0.0000554429*B18 + 0.4645469286</f>
        <v>0.72327381066207419</v>
      </c>
      <c r="F18">
        <f t="shared" si="3"/>
        <v>2.3423090213219276E-2</v>
      </c>
      <c r="G18" s="122">
        <f t="shared" si="4"/>
        <v>3.5538399965769716E-3</v>
      </c>
      <c r="H18" s="184">
        <f t="shared" si="5"/>
        <v>2.2704159725357394E-2</v>
      </c>
      <c r="I18" s="184">
        <f t="shared" si="6"/>
        <v>4.1123995607363663E-3</v>
      </c>
      <c r="J18" s="155"/>
      <c r="K18" s="102"/>
      <c r="L18" s="133">
        <f>Data!D$21*K$6</f>
        <v>0.12742828255616806</v>
      </c>
      <c r="M18" s="252">
        <f>Data!D$21-L$6</f>
        <v>1.1705717174438319</v>
      </c>
      <c r="N18" s="205">
        <f>N16</f>
        <v>53.869991095280497</v>
      </c>
      <c r="O18" s="206">
        <f>O16</f>
        <v>10.828138913624221</v>
      </c>
      <c r="P18" s="206">
        <f t="shared" ref="P18" si="20">N18+O18</f>
        <v>64.698130008904712</v>
      </c>
      <c r="Q18" s="160">
        <f t="shared" ref="Q18" si="21">C18</f>
        <v>1.4059063609491005</v>
      </c>
      <c r="R18" s="163">
        <f>(C18-C17)/(B18-B17)</f>
        <v>-1.5290000000001136E-5</v>
      </c>
      <c r="S18" s="158">
        <f t="shared" ref="S18" si="22">I18</f>
        <v>4.1123995607363663E-3</v>
      </c>
      <c r="T18" s="162">
        <f>(I18-I17)/(B18-B17)</f>
        <v>-8.1828347602057321E-7</v>
      </c>
      <c r="U18" s="166">
        <f>M18*C$6*J$6</f>
        <v>2.7731267188890244E-5</v>
      </c>
      <c r="V18" s="384">
        <f>B18-((B18-B$6+(L18*Q18/U18)-(P18-'Huff&amp;Puff_2nd Cycle'!AL$36)*S18/U18))/(1+(L18*R18/U18)-(P18-'Huff&amp;Puff_2nd Cycle'!AL$36)*T18/U18)</f>
        <v>4666.5467006080735</v>
      </c>
      <c r="W18" s="188"/>
      <c r="X18" s="188"/>
      <c r="Y18" s="253"/>
      <c r="Z18" s="134"/>
      <c r="AA18" s="134"/>
      <c r="AB18" s="142"/>
      <c r="AC18" s="143"/>
      <c r="AD18" s="207"/>
      <c r="AE18" s="212"/>
      <c r="AF18" s="120"/>
      <c r="AG18" s="10"/>
      <c r="AH18" s="10"/>
      <c r="AI18" s="217"/>
      <c r="AJ18" s="217"/>
      <c r="AK18" s="217"/>
      <c r="AL18" s="217"/>
      <c r="AM18" s="217"/>
    </row>
    <row r="19" spans="2:39" x14ac:dyDescent="0.25">
      <c r="B19" s="169">
        <f>B20-50</f>
        <v>4616.5467006080735</v>
      </c>
      <c r="C19" s="170">
        <f t="shared" si="7"/>
        <v>1.4066708609477026</v>
      </c>
      <c r="D19" s="122">
        <v>120.569011576135</v>
      </c>
      <c r="E19">
        <f xml:space="preserve"> 0.0000554429*B19 + 0.4645469286</f>
        <v>0.72050166566714335</v>
      </c>
      <c r="F19">
        <f t="shared" si="3"/>
        <v>2.3305090213435055E-2</v>
      </c>
      <c r="G19" s="122">
        <f t="shared" si="4"/>
        <v>3.5932800112629662E-3</v>
      </c>
      <c r="H19" s="184">
        <f t="shared" si="5"/>
        <v>2.2585593538771959E-2</v>
      </c>
      <c r="I19" s="184">
        <f t="shared" si="6"/>
        <v>4.153313734461794E-3</v>
      </c>
      <c r="J19" s="155"/>
      <c r="K19" s="102"/>
      <c r="L19" s="133"/>
      <c r="M19" s="252"/>
      <c r="N19" s="205"/>
      <c r="O19" s="206"/>
      <c r="P19" s="206"/>
      <c r="Q19" s="160"/>
      <c r="R19" s="163"/>
      <c r="S19" s="158"/>
      <c r="T19" s="162"/>
      <c r="U19" s="166"/>
      <c r="V19" s="384"/>
      <c r="W19" s="188"/>
      <c r="X19" s="188"/>
      <c r="Y19" s="253"/>
      <c r="Z19" s="134"/>
      <c r="AA19" s="134"/>
      <c r="AB19" s="142"/>
      <c r="AC19" s="143"/>
      <c r="AD19" s="207"/>
      <c r="AE19" s="212"/>
      <c r="AF19" s="120"/>
      <c r="AG19" s="10"/>
      <c r="AH19" s="10"/>
      <c r="AI19" s="217"/>
      <c r="AJ19" s="217"/>
      <c r="AK19" s="217"/>
      <c r="AL19" s="217"/>
      <c r="AM19" s="217"/>
    </row>
    <row r="20" spans="2:39" x14ac:dyDescent="0.25">
      <c r="B20" s="168">
        <f>V18</f>
        <v>4666.5467006080735</v>
      </c>
      <c r="C20" s="170">
        <f t="shared" si="7"/>
        <v>1.4059063609477025</v>
      </c>
      <c r="D20" s="122">
        <v>120.569011576135</v>
      </c>
      <c r="E20">
        <f t="shared" ref="E20" si="23" xml:space="preserve"> 0.0000554429*B20 + 0.4645469286</f>
        <v>0.72327381066714336</v>
      </c>
      <c r="F20">
        <f t="shared" si="3"/>
        <v>2.3423090213435055E-2</v>
      </c>
      <c r="G20" s="122">
        <f t="shared" si="4"/>
        <v>3.5538399965056294E-3</v>
      </c>
      <c r="H20" s="184">
        <f t="shared" si="5"/>
        <v>2.270415972557439E-2</v>
      </c>
      <c r="I20" s="295">
        <f t="shared" si="6"/>
        <v>4.1123995606623187E-3</v>
      </c>
      <c r="J20" s="155"/>
      <c r="K20" s="102">
        <f>K6</f>
        <v>9.8172790875322075E-2</v>
      </c>
      <c r="L20" s="133">
        <f>Data!D$21*K$6</f>
        <v>0.12742828255616806</v>
      </c>
      <c r="M20" s="252">
        <f>Data!D$21-L$6</f>
        <v>1.1705717174438319</v>
      </c>
      <c r="N20" s="205">
        <f>N18</f>
        <v>53.869991095280497</v>
      </c>
      <c r="O20" s="206">
        <f>O18</f>
        <v>10.828138913624221</v>
      </c>
      <c r="P20" s="319">
        <f t="shared" ref="P20" si="24">N20+O20</f>
        <v>64.698130008904712</v>
      </c>
      <c r="Q20" s="160">
        <f t="shared" ref="Q20" si="25">C20</f>
        <v>1.4059063609477025</v>
      </c>
      <c r="R20" s="163">
        <f>(C20-C19)/(B20-B19)</f>
        <v>-1.5290000000001136E-5</v>
      </c>
      <c r="S20" s="158">
        <f t="shared" ref="S20" si="26">I20</f>
        <v>4.1123995606623187E-3</v>
      </c>
      <c r="T20" s="162">
        <f>(I20-I19)/(B20-B19)</f>
        <v>-8.1828347598950426E-7</v>
      </c>
      <c r="U20" s="166">
        <f>M20*C$6*J$6</f>
        <v>2.7731267188890244E-5</v>
      </c>
      <c r="V20" s="384">
        <f>B20-((B20-B$6+(L20*Q20/U20)-(P20-'Huff&amp;Puff_2nd Cycle'!AL$36)*S20/U20))/(1+(L20*R20/U20)-(P20-'Huff&amp;Puff_2nd Cycle'!AL$36)*T20/U20)</f>
        <v>4666.5467006086501</v>
      </c>
      <c r="W20" s="342">
        <f>Data!D$42/(141.2*C20*E20*LN(Data!D$47))</f>
        <v>0.10884066241775406</v>
      </c>
      <c r="X20" s="198">
        <f>W20*(B20-Data!D$43)</f>
        <v>290.22870926205923</v>
      </c>
      <c r="Y20" s="253"/>
      <c r="Z20" s="134"/>
      <c r="AA20" s="134"/>
      <c r="AB20" s="143">
        <f>Data!N$7/12</f>
        <v>0.20833333333333334</v>
      </c>
      <c r="AC20" s="248">
        <f>AB20+AC6</f>
        <v>4.0035260125219052</v>
      </c>
      <c r="AD20" s="365">
        <f>1000000*(P20-0)*I20/Data!D$48</f>
        <v>7.9778007436164131E-2</v>
      </c>
      <c r="AE20" s="367">
        <f>1-AD20-Data!D$13</f>
        <v>0.42422199256383586</v>
      </c>
      <c r="AF20" s="171">
        <f>(AD20-Data!D$27)/(1-Data!D$27-Data!D$19-Data!D$13)</f>
        <v>0.26242765604001356</v>
      </c>
      <c r="AG20" s="363">
        <f>Data!D$29*AF20</f>
        <v>0.26242765604001356</v>
      </c>
      <c r="AH20" s="363">
        <f>Data!D$28*(1-AF20)</f>
        <v>0.73757234395998639</v>
      </c>
      <c r="AI20" s="364">
        <f>5.615*(D20+(E20*C20*AG20)/(5.615*H20*I20*AH20))</f>
        <v>4551.9206648858453</v>
      </c>
      <c r="AJ20" s="365">
        <f>X20*AI20/1000000</f>
        <v>1.3210980592331134</v>
      </c>
      <c r="AK20" s="193">
        <f>AK6</f>
        <v>32.582578138999253</v>
      </c>
      <c r="AL20" s="193">
        <f>AL6</f>
        <v>14.616469708773487</v>
      </c>
      <c r="AM20" s="193">
        <f>AM6</f>
        <v>212.65299115335819</v>
      </c>
    </row>
    <row r="21" spans="2:39" x14ac:dyDescent="0.25">
      <c r="N21" s="191"/>
      <c r="O21" s="191"/>
      <c r="P21" s="191"/>
      <c r="AD21" s="191"/>
      <c r="AE21" s="214"/>
      <c r="AF21" s="120"/>
      <c r="AG21" s="10"/>
      <c r="AH21" s="10"/>
      <c r="AI21" s="217"/>
      <c r="AJ21" s="217"/>
      <c r="AK21" s="219"/>
      <c r="AL21" s="219"/>
      <c r="AM21" s="219"/>
    </row>
    <row r="22" spans="2:39" ht="15.75" x14ac:dyDescent="0.25">
      <c r="B22" s="74" t="s">
        <v>337</v>
      </c>
      <c r="N22" s="191"/>
      <c r="O22" s="191"/>
      <c r="P22" s="191"/>
      <c r="AD22" s="191"/>
      <c r="AE22" s="214"/>
      <c r="AF22" s="120"/>
      <c r="AG22" s="10"/>
      <c r="AH22" s="10"/>
      <c r="AI22" s="217"/>
      <c r="AJ22" s="217"/>
      <c r="AK22" s="217"/>
      <c r="AL22" s="217"/>
      <c r="AM22" s="217"/>
    </row>
    <row r="23" spans="2:39" x14ac:dyDescent="0.25">
      <c r="N23" s="191"/>
      <c r="O23" s="191"/>
      <c r="P23" s="191"/>
      <c r="AD23" s="191"/>
      <c r="AE23" s="214"/>
      <c r="AF23" s="120"/>
      <c r="AG23" s="10"/>
      <c r="AH23" s="10"/>
      <c r="AI23" s="217"/>
      <c r="AJ23" s="217"/>
      <c r="AK23" s="217"/>
      <c r="AL23" s="217"/>
      <c r="AM23" s="217"/>
    </row>
    <row r="24" spans="2:39" ht="18.75" x14ac:dyDescent="0.3">
      <c r="B24" s="5" t="s">
        <v>239</v>
      </c>
      <c r="C24" s="185" t="s">
        <v>1</v>
      </c>
      <c r="D24" s="7" t="s">
        <v>2</v>
      </c>
      <c r="E24" s="7" t="s">
        <v>3</v>
      </c>
      <c r="F24" s="7" t="s">
        <v>202</v>
      </c>
      <c r="G24" s="7" t="s">
        <v>203</v>
      </c>
      <c r="H24" s="63" t="s">
        <v>179</v>
      </c>
      <c r="I24" s="63" t="s">
        <v>180</v>
      </c>
      <c r="J24" s="99" t="s">
        <v>32</v>
      </c>
      <c r="K24" s="24" t="s">
        <v>261</v>
      </c>
      <c r="L24" s="24" t="s">
        <v>260</v>
      </c>
      <c r="M24" s="24" t="s">
        <v>162</v>
      </c>
      <c r="N24" s="21" t="s">
        <v>163</v>
      </c>
      <c r="O24" s="21" t="s">
        <v>269</v>
      </c>
      <c r="P24" s="21" t="s">
        <v>270</v>
      </c>
      <c r="Q24" s="24" t="s">
        <v>164</v>
      </c>
      <c r="R24" s="24" t="s">
        <v>165</v>
      </c>
      <c r="S24" s="21" t="s">
        <v>166</v>
      </c>
      <c r="T24" s="21" t="s">
        <v>167</v>
      </c>
      <c r="U24" s="99" t="s">
        <v>238</v>
      </c>
      <c r="V24" s="167" t="s">
        <v>171</v>
      </c>
      <c r="W24" s="185" t="s">
        <v>240</v>
      </c>
      <c r="X24" s="185" t="s">
        <v>241</v>
      </c>
      <c r="Y24" s="5" t="s">
        <v>242</v>
      </c>
      <c r="Z24" s="5" t="s">
        <v>243</v>
      </c>
      <c r="AA24" s="5" t="s">
        <v>244</v>
      </c>
      <c r="AB24" s="5" t="s">
        <v>247</v>
      </c>
      <c r="AC24" s="5" t="s">
        <v>249</v>
      </c>
      <c r="AD24" s="21" t="s">
        <v>295</v>
      </c>
      <c r="AE24" s="185" t="s">
        <v>297</v>
      </c>
      <c r="AF24" s="99" t="s">
        <v>278</v>
      </c>
      <c r="AG24" s="99" t="s">
        <v>279</v>
      </c>
      <c r="AH24" s="99" t="s">
        <v>280</v>
      </c>
      <c r="AI24" s="21" t="s">
        <v>285</v>
      </c>
      <c r="AJ24" s="21" t="s">
        <v>289</v>
      </c>
      <c r="AK24" s="21" t="s">
        <v>294</v>
      </c>
      <c r="AL24" s="21" t="s">
        <v>290</v>
      </c>
      <c r="AM24" s="21" t="s">
        <v>300</v>
      </c>
    </row>
    <row r="25" spans="2:39" x14ac:dyDescent="0.25">
      <c r="B25" s="1" t="s">
        <v>36</v>
      </c>
      <c r="C25" s="186" t="s">
        <v>207</v>
      </c>
      <c r="D25" s="7" t="s">
        <v>301</v>
      </c>
      <c r="E25" s="7" t="s">
        <v>206</v>
      </c>
      <c r="F25" s="7" t="s">
        <v>206</v>
      </c>
      <c r="G25" s="7" t="s">
        <v>39</v>
      </c>
      <c r="H25" s="2" t="s">
        <v>206</v>
      </c>
      <c r="I25" s="2" t="s">
        <v>39</v>
      </c>
      <c r="J25" s="7"/>
      <c r="K25" s="7"/>
      <c r="L25" s="7" t="s">
        <v>161</v>
      </c>
      <c r="M25" s="7" t="s">
        <v>161</v>
      </c>
      <c r="N25" s="161" t="s">
        <v>161</v>
      </c>
      <c r="O25" s="161" t="s">
        <v>161</v>
      </c>
      <c r="P25" s="161" t="s">
        <v>161</v>
      </c>
      <c r="Q25" s="20" t="s">
        <v>168</v>
      </c>
      <c r="R25" s="20" t="s">
        <v>205</v>
      </c>
      <c r="S25" s="161" t="s">
        <v>169</v>
      </c>
      <c r="T25" s="2" t="s">
        <v>204</v>
      </c>
      <c r="U25" s="164" t="s">
        <v>170</v>
      </c>
      <c r="V25" s="164" t="s">
        <v>172</v>
      </c>
      <c r="W25" s="186" t="s">
        <v>246</v>
      </c>
      <c r="X25" s="186" t="s">
        <v>150</v>
      </c>
      <c r="Y25" s="7"/>
      <c r="Z25" s="7" t="s">
        <v>161</v>
      </c>
      <c r="AA25" s="7" t="s">
        <v>245</v>
      </c>
      <c r="AB25" s="7" t="s">
        <v>266</v>
      </c>
      <c r="AD25" s="191"/>
      <c r="AE25" s="214"/>
      <c r="AF25" s="120"/>
      <c r="AG25" s="10"/>
      <c r="AH25" s="10"/>
      <c r="AI25" s="191" t="s">
        <v>283</v>
      </c>
      <c r="AJ25" s="161" t="s">
        <v>288</v>
      </c>
      <c r="AK25" s="161" t="s">
        <v>288</v>
      </c>
      <c r="AL25" s="21" t="s">
        <v>336</v>
      </c>
      <c r="AM25" s="161" t="s">
        <v>288</v>
      </c>
    </row>
    <row r="26" spans="2:39" x14ac:dyDescent="0.25">
      <c r="C26" s="186"/>
      <c r="D26" s="7"/>
      <c r="E26" s="7"/>
      <c r="F26" s="7"/>
      <c r="G26" s="7"/>
      <c r="H26" s="2"/>
      <c r="I26" s="2"/>
      <c r="J26" s="7"/>
      <c r="K26" s="7"/>
      <c r="L26" s="7"/>
      <c r="M26" s="7"/>
      <c r="N26" s="161"/>
      <c r="O26" s="161"/>
      <c r="P26" s="161"/>
      <c r="Q26" s="20"/>
      <c r="R26" s="20"/>
      <c r="S26" s="161"/>
      <c r="T26" s="2"/>
      <c r="U26" s="164"/>
      <c r="V26" s="164"/>
      <c r="W26" s="186"/>
      <c r="X26" s="186"/>
      <c r="Y26" s="312" t="s">
        <v>318</v>
      </c>
      <c r="Z26" s="312" t="s">
        <v>319</v>
      </c>
      <c r="AA26" s="312" t="s">
        <v>327</v>
      </c>
      <c r="AB26" s="312" t="s">
        <v>328</v>
      </c>
      <c r="AC26" s="312" t="s">
        <v>329</v>
      </c>
      <c r="AD26" s="312" t="s">
        <v>330</v>
      </c>
      <c r="AE26" s="312" t="s">
        <v>331</v>
      </c>
      <c r="AF26" s="312" t="s">
        <v>332</v>
      </c>
      <c r="AG26" s="312" t="s">
        <v>333</v>
      </c>
      <c r="AH26" s="312" t="s">
        <v>334</v>
      </c>
      <c r="AI26" s="312" t="s">
        <v>326</v>
      </c>
      <c r="AJ26" s="312" t="s">
        <v>320</v>
      </c>
      <c r="AK26" s="312" t="s">
        <v>321</v>
      </c>
      <c r="AL26" s="312" t="s">
        <v>322</v>
      </c>
      <c r="AM26" s="312" t="s">
        <v>323</v>
      </c>
    </row>
    <row r="27" spans="2:39" x14ac:dyDescent="0.25">
      <c r="K27" s="7" t="s">
        <v>258</v>
      </c>
      <c r="L27" s="7" t="s">
        <v>259</v>
      </c>
      <c r="M27" s="47" t="s">
        <v>271</v>
      </c>
      <c r="O27" s="7" t="s">
        <v>264</v>
      </c>
      <c r="P27" s="7" t="s">
        <v>265</v>
      </c>
      <c r="V27" s="7" t="s">
        <v>251</v>
      </c>
      <c r="W27" s="7" t="s">
        <v>267</v>
      </c>
      <c r="X27" s="7" t="s">
        <v>268</v>
      </c>
      <c r="Y27" s="7" t="s">
        <v>250</v>
      </c>
      <c r="Z27" s="7" t="s">
        <v>254</v>
      </c>
      <c r="AA27" s="7" t="s">
        <v>255</v>
      </c>
      <c r="AB27" s="7" t="s">
        <v>256</v>
      </c>
      <c r="AC27" s="7" t="s">
        <v>257</v>
      </c>
      <c r="AD27" s="7" t="s">
        <v>273</v>
      </c>
      <c r="AE27" s="7" t="s">
        <v>273</v>
      </c>
      <c r="AF27" s="7" t="s">
        <v>277</v>
      </c>
      <c r="AG27" s="7" t="s">
        <v>277</v>
      </c>
      <c r="AH27" s="7" t="s">
        <v>277</v>
      </c>
      <c r="AI27" s="7" t="s">
        <v>284</v>
      </c>
      <c r="AJ27" s="7" t="s">
        <v>287</v>
      </c>
      <c r="AK27" s="7" t="s">
        <v>292</v>
      </c>
      <c r="AL27" s="7" t="s">
        <v>292</v>
      </c>
      <c r="AM27" s="7" t="s">
        <v>299</v>
      </c>
    </row>
    <row r="28" spans="2:39" x14ac:dyDescent="0.25">
      <c r="B28" s="1">
        <v>4500</v>
      </c>
      <c r="C28" s="170">
        <f xml:space="preserve"> -0.00001529*B28 + 1.47725786</f>
        <v>1.4084528599999999</v>
      </c>
      <c r="D28" s="122">
        <v>119.56901157613535</v>
      </c>
      <c r="E28">
        <f xml:space="preserve"> 0.0000554429*B28 + 0.4645469286</f>
        <v>0.71403997860000001</v>
      </c>
      <c r="F28">
        <f>0.00000236*B28 + 0.01241004</f>
        <v>2.3030040000000002E-2</v>
      </c>
      <c r="G28" s="122">
        <f>20.40472*B28^(-1.02454)</f>
        <v>3.6886571506179284E-3</v>
      </c>
      <c r="H28" s="184">
        <f xml:space="preserve"> 0.00000000004*B28^2 + 0.000002*B28 + 0.0125</f>
        <v>2.231E-2</v>
      </c>
      <c r="I28" s="184">
        <f>9.6806*B28^(-0.919)</f>
        <v>4.2520657888098475E-3</v>
      </c>
      <c r="J28" s="155">
        <f>Data!D$14</f>
        <v>1.49E-5</v>
      </c>
      <c r="K28" s="385">
        <f>L28/Data!D$21</f>
        <v>0.10040667023839733</v>
      </c>
      <c r="L28" s="201">
        <f>L$20+Z28</f>
        <v>0.13032785796943974</v>
      </c>
      <c r="M28" s="201">
        <f>Data!D$21-L28</f>
        <v>1.1676721420305602</v>
      </c>
      <c r="N28" s="205">
        <v>0</v>
      </c>
      <c r="O28" s="206">
        <f>30.4*Data!N$5*Data!O$5/5.615</f>
        <v>47.102404274265361</v>
      </c>
      <c r="P28" s="206">
        <f>N28+O28</f>
        <v>47.102404274265361</v>
      </c>
      <c r="Q28" s="160"/>
      <c r="R28" s="163"/>
      <c r="S28" s="158"/>
      <c r="T28" s="162"/>
      <c r="U28" s="166"/>
      <c r="V28" s="199">
        <f>V20</f>
        <v>4666.5467006086501</v>
      </c>
      <c r="W28" s="342">
        <f>Data!D$42/(141.2*C28*E28*LN(Data!D$47))</f>
        <v>0.11004883963568925</v>
      </c>
      <c r="X28" s="198">
        <f>W28*(B28-Data!D$43)</f>
        <v>275.12209908922313</v>
      </c>
      <c r="Y28" s="105">
        <f>C$20*J28*(B$20-B28)/C28</f>
        <v>2.4770591754971283E-3</v>
      </c>
      <c r="Z28" s="105">
        <f>Y28*M$20</f>
        <v>2.8995754132716757E-3</v>
      </c>
      <c r="AA28" s="201">
        <f>365*(X$20-X28)/(1000000*Z28)</f>
        <v>1.9016276272199684</v>
      </c>
      <c r="AB28" s="201">
        <f>LN(X$20/X28)/AA28</f>
        <v>2.810974567407341E-2</v>
      </c>
      <c r="AC28" s="202">
        <f>AC$20+AB28</f>
        <v>4.0316357581959785</v>
      </c>
      <c r="AD28" s="317">
        <f>1000000*(P28-AL$20)*I28/Data!D$48</f>
        <v>4.141822597259899E-2</v>
      </c>
      <c r="AE28" s="213">
        <f>1-AD28-Data!D$13</f>
        <v>0.46258177402740097</v>
      </c>
      <c r="AF28" s="215">
        <f>(AD28-Data!D$27)/(1-Data!D$27-Data!D$19-Data!D$13)</f>
        <v>0.13624416438354928</v>
      </c>
      <c r="AG28" s="33">
        <f>Data!D$29*AF28</f>
        <v>0.13624416438354928</v>
      </c>
      <c r="AH28" s="33">
        <f>Data!D$28*(1-AF28)</f>
        <v>0.86375583561645075</v>
      </c>
      <c r="AI28" s="246">
        <f>5.615*(D28+(E28*C28*AG28)/(5.615*H28*I28*AH28))</f>
        <v>2343.5953809521711</v>
      </c>
      <c r="AJ28" s="268">
        <f>X28*AI28/1000000</f>
        <v>0.64477488062336885</v>
      </c>
      <c r="AK28" s="313">
        <f>365*AJ28*AB28</f>
        <v>6.6154271376441889</v>
      </c>
      <c r="AL28" s="313">
        <f>AL$20+AK28/5.615</f>
        <v>15.7946401696184</v>
      </c>
      <c r="AM28" s="313">
        <f>AM$20+5.615*AL28</f>
        <v>301.33989570576551</v>
      </c>
    </row>
    <row r="29" spans="2:39" x14ac:dyDescent="0.25">
      <c r="B29" s="1">
        <f>B28-100</f>
        <v>4400</v>
      </c>
      <c r="C29" s="170">
        <f t="shared" ref="C29:C48" si="27" xml:space="preserve"> -0.00001529*B29 + 1.47725786</f>
        <v>1.4099818599999998</v>
      </c>
      <c r="D29" s="122">
        <v>119.56901157613535</v>
      </c>
      <c r="E29">
        <f t="shared" ref="E29:E48" si="28" xml:space="preserve"> 0.0000554429*B29 + 0.4645469286</f>
        <v>0.70849568860000001</v>
      </c>
      <c r="F29">
        <f t="shared" ref="F29:F48" si="29">0.00000236*B29 + 0.01241004</f>
        <v>2.2794040000000002E-2</v>
      </c>
      <c r="G29" s="122">
        <f t="shared" ref="G29:G48" si="30">20.40472*B29^(-1.02454)</f>
        <v>3.7745713090349938E-3</v>
      </c>
      <c r="H29" s="184">
        <f t="shared" ref="H29:H48" si="31" xml:space="preserve"> 0.00000000004*B29^2 + 0.000002*B29 + 0.0125</f>
        <v>2.2074400000000001E-2</v>
      </c>
      <c r="I29" s="184">
        <f t="shared" ref="I29:I48" si="32">9.6806*B29^(-0.919)</f>
        <v>4.3407948969773243E-3</v>
      </c>
      <c r="J29" s="155">
        <f>Data!D$14</f>
        <v>1.49E-5</v>
      </c>
      <c r="K29" s="385">
        <f>L29/Data!D$21</f>
        <v>0.10174408635737646</v>
      </c>
      <c r="L29" s="201">
        <f t="shared" ref="L29:L48" si="33">L$20+Z29</f>
        <v>0.13206382409187464</v>
      </c>
      <c r="M29" s="201">
        <f>Data!D$21-L29</f>
        <v>1.1659361759081255</v>
      </c>
      <c r="N29" s="205">
        <v>0</v>
      </c>
      <c r="O29" s="206">
        <f>30.4*Data!N$5*Data!O$5/5.615</f>
        <v>47.102404274265361</v>
      </c>
      <c r="P29" s="206">
        <f t="shared" ref="P29:P48" si="34">N29+O29</f>
        <v>47.102404274265361</v>
      </c>
      <c r="Q29" s="160"/>
      <c r="R29" s="163"/>
      <c r="S29" s="158"/>
      <c r="T29" s="162"/>
      <c r="U29" s="166"/>
      <c r="V29" s="199"/>
      <c r="W29" s="342">
        <f>Data!D$42/(141.2*C29*E29*LN(Data!D$47))</f>
        <v>0.11078974809090547</v>
      </c>
      <c r="X29" s="198">
        <f>W29*(B29-Data!D$43)</f>
        <v>265.89539541817311</v>
      </c>
      <c r="Y29" s="105">
        <f t="shared" ref="Y29:Y48" si="35">C$20*J29*(B$20-B29)/C29</f>
        <v>3.9600662365473615E-3</v>
      </c>
      <c r="Z29" s="105">
        <f t="shared" ref="Z29:Z48" si="36">Y29*M$20</f>
        <v>4.6355415357065772E-3</v>
      </c>
      <c r="AA29" s="201">
        <f t="shared" ref="AA29:AA48" si="37">365*(X$20-X29)/(1000000*Z29)</f>
        <v>1.9159917961267146</v>
      </c>
      <c r="AB29" s="201">
        <f>LN(X$20/X29)/AA29</f>
        <v>4.5702848953402327E-2</v>
      </c>
      <c r="AC29" s="202">
        <f t="shared" ref="AC29:AC48" si="38">AC$20+AB29</f>
        <v>4.0492288614753074</v>
      </c>
      <c r="AD29" s="317">
        <f>1000000*(P29-AL28)*I29/Data!D$48</f>
        <v>4.0749048411736453E-2</v>
      </c>
      <c r="AE29" s="213">
        <f>1-AD29-Data!D$13</f>
        <v>0.46325095158826357</v>
      </c>
      <c r="AF29" s="215">
        <f>(AD29-Data!D$27)/(1-Data!D$27-Data!D$19-Data!D$13)</f>
        <v>0.13404292240702778</v>
      </c>
      <c r="AG29" s="33">
        <f>Data!D$29*AF29</f>
        <v>0.13404292240702778</v>
      </c>
      <c r="AH29" s="33">
        <f>Data!D$28*(1-AF29)</f>
        <v>0.86595707759297225</v>
      </c>
      <c r="AI29" s="246">
        <f>5.615*(D29+(E29*C29*AG29)/(5.615*H29*I29*AH29))</f>
        <v>2285.1442303357112</v>
      </c>
      <c r="AJ29" s="268">
        <f t="shared" ref="AJ29:AJ48" si="39">X29*AI29/1000000</f>
        <v>0.60760932871267082</v>
      </c>
      <c r="AK29" s="313">
        <f>365*AJ29*AB29</f>
        <v>10.135859241084184</v>
      </c>
      <c r="AL29" s="313">
        <f>AL$20+AK29/5.615</f>
        <v>16.421609377711007</v>
      </c>
      <c r="AM29" s="313">
        <f>AM$20+5.615*AL29</f>
        <v>304.8603278092055</v>
      </c>
    </row>
    <row r="30" spans="2:39" x14ac:dyDescent="0.25">
      <c r="B30" s="1">
        <f t="shared" ref="B30:B48" si="40">B29-100</f>
        <v>4300</v>
      </c>
      <c r="C30" s="170">
        <f t="shared" si="27"/>
        <v>1.4115108599999999</v>
      </c>
      <c r="D30" s="122">
        <v>119.56901157613535</v>
      </c>
      <c r="E30">
        <f t="shared" si="28"/>
        <v>0.7029513986</v>
      </c>
      <c r="F30">
        <f t="shared" si="29"/>
        <v>2.2558040000000001E-2</v>
      </c>
      <c r="G30" s="122">
        <f t="shared" si="30"/>
        <v>3.8645316471736368E-3</v>
      </c>
      <c r="H30" s="184">
        <f t="shared" si="31"/>
        <v>2.1839600000000001E-2</v>
      </c>
      <c r="I30" s="184">
        <f t="shared" si="32"/>
        <v>4.4334801146330219E-3</v>
      </c>
      <c r="J30" s="155">
        <f>Data!D$14</f>
        <v>1.49E-5</v>
      </c>
      <c r="K30" s="385">
        <f>L30/Data!D$21</f>
        <v>0.10307860500060265</v>
      </c>
      <c r="L30" s="201">
        <f t="shared" si="33"/>
        <v>0.13379602929078224</v>
      </c>
      <c r="M30" s="201">
        <f>Data!D$21-L30</f>
        <v>1.1642039707092178</v>
      </c>
      <c r="N30" s="205">
        <v>0</v>
      </c>
      <c r="O30" s="206">
        <f>30.4*Data!N$5*Data!O$5/5.615</f>
        <v>47.102404274265361</v>
      </c>
      <c r="P30" s="206">
        <f t="shared" si="34"/>
        <v>47.102404274265361</v>
      </c>
      <c r="Q30" s="160"/>
      <c r="R30" s="163"/>
      <c r="S30" s="158"/>
      <c r="T30" s="162"/>
      <c r="U30" s="166"/>
      <c r="V30" s="199"/>
      <c r="W30" s="342">
        <f>Data!D$42/(141.2*C30*E30*LN(Data!D$47))</f>
        <v>0.11154260649414262</v>
      </c>
      <c r="X30" s="198">
        <f>W30*(B30-Data!D$43)</f>
        <v>256.54799493652803</v>
      </c>
      <c r="Y30" s="105">
        <f t="shared" si="35"/>
        <v>5.4398604030168963E-3</v>
      </c>
      <c r="Z30" s="105">
        <f t="shared" si="36"/>
        <v>6.3677467346141842E-3</v>
      </c>
      <c r="AA30" s="201">
        <f t="shared" si="37"/>
        <v>1.9305825500240685</v>
      </c>
      <c r="AB30" s="201">
        <f t="shared" ref="AB30:AB48" si="41">LN(X$20/X30)/AA30</f>
        <v>6.3894446220062351E-2</v>
      </c>
      <c r="AC30" s="202">
        <f t="shared" si="38"/>
        <v>4.0674204587419673</v>
      </c>
      <c r="AD30" s="317">
        <f>1000000*(P30-AL29)*I30/Data!D$48</f>
        <v>4.0785662853077172E-2</v>
      </c>
      <c r="AE30" s="213">
        <f>1-AD30-Data!D$13</f>
        <v>0.46321433714692284</v>
      </c>
      <c r="AF30" s="215">
        <f>(AD30-Data!D$27)/(1-Data!D$27-Data!D$19-Data!D$13)</f>
        <v>0.13416336464828016</v>
      </c>
      <c r="AG30" s="33">
        <f>Data!D$29*AF30</f>
        <v>0.13416336464828016</v>
      </c>
      <c r="AH30" s="33">
        <f>Data!D$28*(1-AF30)</f>
        <v>0.86583663535171984</v>
      </c>
      <c r="AI30" s="246">
        <f t="shared" ref="AI30:AI48" si="42">5.615*(D30+(E30*C30*AG30)/(5.615*H30*I30*AH30))</f>
        <v>2259.2614018807626</v>
      </c>
      <c r="AJ30" s="268">
        <f t="shared" si="39"/>
        <v>0.57960898268999905</v>
      </c>
      <c r="AK30" s="313">
        <f t="shared" ref="AK30:AK48" si="43">365*AJ30*AB30</f>
        <v>13.517335165200185</v>
      </c>
      <c r="AL30" s="313">
        <f t="shared" ref="AL30:AL48" si="44">AL$20+AK30/5.615</f>
        <v>17.023831269806468</v>
      </c>
      <c r="AM30" s="313">
        <f t="shared" ref="AM30:AM48" si="45">AM$20+5.615*AL30</f>
        <v>308.24180373332149</v>
      </c>
    </row>
    <row r="31" spans="2:39" x14ac:dyDescent="0.25">
      <c r="B31" s="1">
        <f t="shared" si="40"/>
        <v>4200</v>
      </c>
      <c r="C31" s="170">
        <f t="shared" si="27"/>
        <v>1.41303986</v>
      </c>
      <c r="D31" s="122">
        <v>119.56901157613535</v>
      </c>
      <c r="E31">
        <f t="shared" si="28"/>
        <v>0.69740710859999999</v>
      </c>
      <c r="F31">
        <f t="shared" si="29"/>
        <v>2.2322040000000001E-2</v>
      </c>
      <c r="G31" s="122">
        <f t="shared" si="30"/>
        <v>3.95882962583082E-3</v>
      </c>
      <c r="H31" s="184">
        <f t="shared" si="31"/>
        <v>2.1605600000000003E-2</v>
      </c>
      <c r="I31" s="184">
        <f t="shared" si="32"/>
        <v>4.5303961304867619E-3</v>
      </c>
      <c r="J31" s="155">
        <f>Data!D$14</f>
        <v>1.49E-5</v>
      </c>
      <c r="K31" s="385">
        <f>L31/Data!D$21</f>
        <v>0.10441023557384121</v>
      </c>
      <c r="L31" s="201">
        <f t="shared" si="33"/>
        <v>0.13552448577484591</v>
      </c>
      <c r="M31" s="201">
        <f>Data!D$21-L31</f>
        <v>1.1624755142251542</v>
      </c>
      <c r="N31" s="205">
        <v>0</v>
      </c>
      <c r="O31" s="206">
        <f>30.4*Data!N$5*Data!O$5/5.615</f>
        <v>47.102404274265361</v>
      </c>
      <c r="P31" s="206">
        <f t="shared" si="34"/>
        <v>47.102404274265361</v>
      </c>
      <c r="Q31" s="160"/>
      <c r="R31" s="163"/>
      <c r="S31" s="158"/>
      <c r="T31" s="162"/>
      <c r="U31" s="166"/>
      <c r="V31" s="199"/>
      <c r="W31" s="342">
        <f>Data!D$42/(141.2*C31*E31*LN(Data!D$47))</f>
        <v>0.11230769898740299</v>
      </c>
      <c r="X31" s="198">
        <f>W31*(B31-Data!D$43)</f>
        <v>247.07693777228658</v>
      </c>
      <c r="Y31" s="105">
        <f t="shared" si="35"/>
        <v>6.9164521045813965E-3</v>
      </c>
      <c r="Z31" s="105">
        <f t="shared" si="36"/>
        <v>8.0962032186778516E-3</v>
      </c>
      <c r="AA31" s="201">
        <f t="shared" si="37"/>
        <v>1.945405292869999</v>
      </c>
      <c r="AB31" s="201">
        <f t="shared" si="41"/>
        <v>8.2743420249347319E-2</v>
      </c>
      <c r="AC31" s="202">
        <f t="shared" si="38"/>
        <v>4.0862694327712523</v>
      </c>
      <c r="AD31" s="317">
        <f>1000000*(P31-AL30)*I31/Data!D$48</f>
        <v>4.0859171744802462E-2</v>
      </c>
      <c r="AE31" s="213">
        <f>1-AD31-Data!D$13</f>
        <v>0.46314082825519753</v>
      </c>
      <c r="AF31" s="215">
        <f>(AD31-Data!D$27)/(1-Data!D$27-Data!D$19-Data!D$13)</f>
        <v>0.13440517021316598</v>
      </c>
      <c r="AG31" s="33">
        <f>Data!D$29*AF31</f>
        <v>0.13440517021316598</v>
      </c>
      <c r="AH31" s="33">
        <f>Data!D$28*(1-AF31)</f>
        <v>0.865594829786834</v>
      </c>
      <c r="AI31" s="246">
        <f t="shared" si="42"/>
        <v>2234.6701628730748</v>
      </c>
      <c r="AJ31" s="268">
        <f t="shared" si="39"/>
        <v>0.55213546077377618</v>
      </c>
      <c r="AK31" s="313">
        <f t="shared" si="43"/>
        <v>16.67523540986063</v>
      </c>
      <c r="AL31" s="313">
        <f t="shared" si="44"/>
        <v>17.586235587644481</v>
      </c>
      <c r="AM31" s="313">
        <f t="shared" si="45"/>
        <v>311.39970397798197</v>
      </c>
    </row>
    <row r="32" spans="2:39" x14ac:dyDescent="0.25">
      <c r="B32" s="1">
        <f t="shared" si="40"/>
        <v>4100</v>
      </c>
      <c r="C32" s="170">
        <f t="shared" si="27"/>
        <v>1.4145688599999999</v>
      </c>
      <c r="D32" s="122">
        <v>119.56901157613535</v>
      </c>
      <c r="E32">
        <f t="shared" si="28"/>
        <v>0.69186281859999998</v>
      </c>
      <c r="F32">
        <f t="shared" si="29"/>
        <v>2.2086040000000001E-2</v>
      </c>
      <c r="G32" s="122">
        <f t="shared" si="30"/>
        <v>4.0577853238507487E-3</v>
      </c>
      <c r="H32" s="184">
        <f t="shared" si="31"/>
        <v>2.13724E-2</v>
      </c>
      <c r="I32" s="184">
        <f t="shared" si="32"/>
        <v>4.6318438640526533E-3</v>
      </c>
      <c r="J32" s="155">
        <f>Data!D$14</f>
        <v>1.49E-5</v>
      </c>
      <c r="K32" s="385">
        <f>L32/Data!D$21</f>
        <v>0.1057389874421909</v>
      </c>
      <c r="L32" s="201">
        <f t="shared" si="33"/>
        <v>0.13724920569996379</v>
      </c>
      <c r="M32" s="201">
        <f>Data!D$21-L32</f>
        <v>1.1607507943000361</v>
      </c>
      <c r="N32" s="205">
        <v>0</v>
      </c>
      <c r="O32" s="206">
        <f>30.4*Data!N$5*Data!O$5/5.615</f>
        <v>47.102404274265361</v>
      </c>
      <c r="P32" s="206">
        <f t="shared" si="34"/>
        <v>47.102404274265361</v>
      </c>
      <c r="Q32" s="160"/>
      <c r="R32" s="163"/>
      <c r="S32" s="158"/>
      <c r="T32" s="162"/>
      <c r="U32" s="166"/>
      <c r="V32" s="199"/>
      <c r="W32" s="342">
        <f>Data!D$42/(141.2*C32*E32*LN(Data!D$47))</f>
        <v>0.11308531882439941</v>
      </c>
      <c r="X32" s="198">
        <f>W32*(B32-Data!D$43)</f>
        <v>237.47916953123877</v>
      </c>
      <c r="Y32" s="105">
        <f t="shared" si="35"/>
        <v>8.3898517258230044E-3</v>
      </c>
      <c r="Z32" s="105">
        <f t="shared" si="36"/>
        <v>9.820923143795731E-3</v>
      </c>
      <c r="AA32" s="201">
        <f t="shared" si="37"/>
        <v>1.9604656018424014</v>
      </c>
      <c r="AB32" s="201">
        <f t="shared" si="41"/>
        <v>0.10231720067183298</v>
      </c>
      <c r="AC32" s="202">
        <f t="shared" si="38"/>
        <v>4.1058432131937384</v>
      </c>
      <c r="AD32" s="317">
        <f>1000000*(P32-AL31)*I32/Data!D$48</f>
        <v>4.0993032565971331E-2</v>
      </c>
      <c r="AE32" s="213">
        <f>1-AD32-Data!D$13</f>
        <v>0.46300696743402869</v>
      </c>
      <c r="AF32" s="215">
        <f>(AD32-Data!D$27)/(1-Data!D$27-Data!D$19-Data!D$13)</f>
        <v>0.13484550186174779</v>
      </c>
      <c r="AG32" s="33">
        <f>Data!D$29*AF32</f>
        <v>0.13484550186174779</v>
      </c>
      <c r="AH32" s="33">
        <f>Data!D$28*(1-AF32)</f>
        <v>0.86515449813825218</v>
      </c>
      <c r="AI32" s="246">
        <f t="shared" si="42"/>
        <v>2212.2985171261839</v>
      </c>
      <c r="AJ32" s="268">
        <f t="shared" si="39"/>
        <v>0.52537481460231716</v>
      </c>
      <c r="AK32" s="313">
        <f t="shared" si="43"/>
        <v>19.620531321761202</v>
      </c>
      <c r="AL32" s="313">
        <f t="shared" si="44"/>
        <v>18.110776266522588</v>
      </c>
      <c r="AM32" s="313">
        <f t="shared" si="45"/>
        <v>314.3449998898825</v>
      </c>
    </row>
    <row r="33" spans="2:39" x14ac:dyDescent="0.25">
      <c r="B33" s="1">
        <f t="shared" si="40"/>
        <v>4000</v>
      </c>
      <c r="C33" s="170">
        <f t="shared" si="27"/>
        <v>1.4160978599999998</v>
      </c>
      <c r="D33" s="122">
        <v>119.56901157613535</v>
      </c>
      <c r="E33">
        <f t="shared" si="28"/>
        <v>0.68631852859999998</v>
      </c>
      <c r="F33">
        <f t="shared" si="29"/>
        <v>2.1850040000000001E-2</v>
      </c>
      <c r="G33" s="122">
        <f t="shared" si="30"/>
        <v>4.1617510340148534E-3</v>
      </c>
      <c r="H33" s="184">
        <f t="shared" si="31"/>
        <v>2.1139999999999999E-2</v>
      </c>
      <c r="I33" s="184">
        <f t="shared" si="32"/>
        <v>4.7381536881952058E-3</v>
      </c>
      <c r="J33" s="155">
        <f>Data!D$14</f>
        <v>1.49E-5</v>
      </c>
      <c r="K33" s="385">
        <f>L33/Data!D$21</f>
        <v>0.10706486993030338</v>
      </c>
      <c r="L33" s="201">
        <f t="shared" si="33"/>
        <v>0.13897020116953379</v>
      </c>
      <c r="M33" s="201">
        <f>Data!D$21-L33</f>
        <v>1.1590297988304663</v>
      </c>
      <c r="N33" s="205">
        <v>0</v>
      </c>
      <c r="O33" s="206">
        <f>30.4*Data!N$5*Data!O$5/5.615</f>
        <v>47.102404274265361</v>
      </c>
      <c r="P33" s="206">
        <f t="shared" si="34"/>
        <v>47.102404274265361</v>
      </c>
      <c r="Q33" s="160"/>
      <c r="R33" s="163"/>
      <c r="S33" s="158"/>
      <c r="T33" s="162"/>
      <c r="U33" s="166"/>
      <c r="V33" s="199"/>
      <c r="W33" s="342">
        <f>Data!D$42/(141.2*C33*E33*LN(Data!D$47))</f>
        <v>0.11387576873857055</v>
      </c>
      <c r="X33" s="198">
        <f>W33*(B33-Data!D$43)</f>
        <v>227.75153747714111</v>
      </c>
      <c r="Y33" s="105">
        <f t="shared" si="35"/>
        <v>9.8600696064737765E-3</v>
      </c>
      <c r="Z33" s="105">
        <f t="shared" si="36"/>
        <v>1.1541918613365737E-2</v>
      </c>
      <c r="AA33" s="201">
        <f t="shared" si="37"/>
        <v>1.9757692343357456</v>
      </c>
      <c r="AB33" s="201">
        <f t="shared" si="41"/>
        <v>0.12269346729986508</v>
      </c>
      <c r="AC33" s="202">
        <f t="shared" si="38"/>
        <v>4.1262194798217706</v>
      </c>
      <c r="AD33" s="317">
        <f>1000000*(P33-AL32)*I33/Data!D$48</f>
        <v>4.1188682436152729E-2</v>
      </c>
      <c r="AE33" s="213">
        <f>1-AD33-Data!D$13</f>
        <v>0.4628113175638473</v>
      </c>
      <c r="AF33" s="215">
        <f>(AD33-Data!D$27)/(1-Data!D$27-Data!D$19-Data!D$13)</f>
        <v>0.13548908696102868</v>
      </c>
      <c r="AG33" s="33">
        <f>Data!D$29*AF33</f>
        <v>0.13548908696102868</v>
      </c>
      <c r="AH33" s="33">
        <f>Data!D$28*(1-AF33)</f>
        <v>0.86451091303897132</v>
      </c>
      <c r="AI33" s="246">
        <f t="shared" si="42"/>
        <v>2192.0630316935931</v>
      </c>
      <c r="AJ33" s="268">
        <f t="shared" si="39"/>
        <v>0.49924572571501891</v>
      </c>
      <c r="AK33" s="313">
        <f t="shared" si="43"/>
        <v>22.357779029753772</v>
      </c>
      <c r="AL33" s="313">
        <f t="shared" si="44"/>
        <v>18.598264727429545</v>
      </c>
      <c r="AM33" s="313">
        <f t="shared" si="45"/>
        <v>317.0822475978751</v>
      </c>
    </row>
    <row r="34" spans="2:39" x14ac:dyDescent="0.25">
      <c r="B34" s="1">
        <f t="shared" si="40"/>
        <v>3900</v>
      </c>
      <c r="C34" s="170">
        <f t="shared" si="27"/>
        <v>1.4176268599999999</v>
      </c>
      <c r="D34" s="122">
        <v>119.56901157613535</v>
      </c>
      <c r="E34">
        <f t="shared" si="28"/>
        <v>0.68077423859999997</v>
      </c>
      <c r="F34">
        <f t="shared" si="29"/>
        <v>2.1614040000000001E-2</v>
      </c>
      <c r="G34" s="122">
        <f t="shared" si="30"/>
        <v>4.2711154145782622E-3</v>
      </c>
      <c r="H34" s="184">
        <f t="shared" si="31"/>
        <v>2.0908400000000001E-2</v>
      </c>
      <c r="I34" s="184">
        <f t="shared" si="32"/>
        <v>4.8496891402654329E-3</v>
      </c>
      <c r="J34" s="155">
        <f>Data!D$14</f>
        <v>1.49E-5</v>
      </c>
      <c r="K34" s="385">
        <f>L34/Data!D$21</f>
        <v>0.10838789232260149</v>
      </c>
      <c r="L34" s="201">
        <f t="shared" si="33"/>
        <v>0.14068748423473673</v>
      </c>
      <c r="M34" s="201">
        <f>Data!D$21-L34</f>
        <v>1.1573125157652633</v>
      </c>
      <c r="N34" s="205">
        <v>0</v>
      </c>
      <c r="O34" s="206">
        <f>30.4*Data!N$5*Data!O$5/5.615</f>
        <v>47.102404274265361</v>
      </c>
      <c r="P34" s="206">
        <f t="shared" si="34"/>
        <v>47.102404274265361</v>
      </c>
      <c r="Q34" s="160"/>
      <c r="R34" s="163"/>
      <c r="S34" s="158"/>
      <c r="T34" s="162"/>
      <c r="U34" s="166"/>
      <c r="V34" s="199"/>
      <c r="W34" s="342">
        <f>Data!D$42/(141.2*C34*E34*LN(Data!D$47))</f>
        <v>0.11467936132907959</v>
      </c>
      <c r="X34" s="198">
        <f>W34*(B34-Data!D$43)</f>
        <v>217.89078652525123</v>
      </c>
      <c r="Y34" s="105">
        <f t="shared" si="35"/>
        <v>1.1327116041657558E-2</v>
      </c>
      <c r="Z34" s="105">
        <f t="shared" si="36"/>
        <v>1.3259201678568667E-2</v>
      </c>
      <c r="AA34" s="201">
        <f t="shared" si="37"/>
        <v>1.9913221352995638</v>
      </c>
      <c r="AB34" s="201">
        <f t="shared" si="41"/>
        <v>0.1439622960486083</v>
      </c>
      <c r="AC34" s="202">
        <f t="shared" si="38"/>
        <v>4.1474883085705132</v>
      </c>
      <c r="AD34" s="317">
        <f>1000000*(P34-AL33)*I34/Data!D$48</f>
        <v>4.1449375332018167E-2</v>
      </c>
      <c r="AE34" s="213">
        <f>1-AD34-Data!D$13</f>
        <v>0.4625506246679818</v>
      </c>
      <c r="AF34" s="215">
        <f>(AD34-Data!D$27)/(1-Data!D$27-Data!D$19-Data!D$13)</f>
        <v>0.13634662938163869</v>
      </c>
      <c r="AG34" s="33">
        <f>Data!D$29*AF34</f>
        <v>0.13634662938163869</v>
      </c>
      <c r="AH34" s="33">
        <f>Data!D$28*(1-AF34)</f>
        <v>0.86365337061836134</v>
      </c>
      <c r="AI34" s="246">
        <f t="shared" si="42"/>
        <v>2173.9519549113816</v>
      </c>
      <c r="AJ34" s="268">
        <f t="shared" si="39"/>
        <v>0.47368410132374844</v>
      </c>
      <c r="AK34" s="313">
        <f t="shared" si="43"/>
        <v>24.890317552325282</v>
      </c>
      <c r="AL34" s="313">
        <f t="shared" si="44"/>
        <v>19.049295630826073</v>
      </c>
      <c r="AM34" s="313">
        <f t="shared" si="45"/>
        <v>319.61478612044658</v>
      </c>
    </row>
    <row r="35" spans="2:39" x14ac:dyDescent="0.25">
      <c r="B35" s="1">
        <f t="shared" si="40"/>
        <v>3800</v>
      </c>
      <c r="C35" s="170">
        <f t="shared" si="27"/>
        <v>1.4191558599999998</v>
      </c>
      <c r="D35" s="122">
        <v>119.56901157613535</v>
      </c>
      <c r="E35">
        <f t="shared" si="28"/>
        <v>0.67522994859999996</v>
      </c>
      <c r="F35">
        <f t="shared" si="29"/>
        <v>2.1378040000000001E-2</v>
      </c>
      <c r="G35" s="122">
        <f t="shared" si="30"/>
        <v>4.3863082991995464E-3</v>
      </c>
      <c r="H35" s="184">
        <f t="shared" si="31"/>
        <v>2.0677600000000001E-2</v>
      </c>
      <c r="I35" s="184">
        <f t="shared" si="32"/>
        <v>4.9668512106970184E-3</v>
      </c>
      <c r="J35" s="155">
        <f>Data!D$14</f>
        <v>1.49E-5</v>
      </c>
      <c r="K35" s="385">
        <f>L35/Data!D$21</f>
        <v>0.10970806386349581</v>
      </c>
      <c r="L35" s="201">
        <f t="shared" si="33"/>
        <v>0.14240106689481757</v>
      </c>
      <c r="M35" s="201">
        <f>Data!D$21-L35</f>
        <v>1.1555989331051824</v>
      </c>
      <c r="N35" s="205">
        <v>0</v>
      </c>
      <c r="O35" s="206">
        <f>30.4*Data!N$5*Data!O$5/5.615</f>
        <v>47.102404274265361</v>
      </c>
      <c r="P35" s="206">
        <f t="shared" si="34"/>
        <v>47.102404274265361</v>
      </c>
      <c r="Q35" s="160"/>
      <c r="R35" s="163"/>
      <c r="S35" s="158"/>
      <c r="T35" s="162"/>
      <c r="U35" s="166"/>
      <c r="V35" s="199"/>
      <c r="W35" s="342">
        <f>Data!D$42/(141.2*C35*E35*LN(Data!D$47))</f>
        <v>0.11549641946582941</v>
      </c>
      <c r="X35" s="198">
        <f>W35*(B35-Data!D$43)</f>
        <v>207.89355503849293</v>
      </c>
      <c r="Y35" s="105">
        <f t="shared" si="35"/>
        <v>1.2791001282130286E-2</v>
      </c>
      <c r="Z35" s="105">
        <f t="shared" si="36"/>
        <v>1.4972784338649505E-2</v>
      </c>
      <c r="AA35" s="201">
        <f t="shared" si="37"/>
        <v>2.0071304449384937</v>
      </c>
      <c r="AB35" s="201">
        <f t="shared" si="41"/>
        <v>0.16622889236671512</v>
      </c>
      <c r="AC35" s="202">
        <f t="shared" si="38"/>
        <v>4.1697549048886202</v>
      </c>
      <c r="AD35" s="317">
        <f>1000000*(P35-AL34)*I35/Data!D$48</f>
        <v>4.1779024609980744E-2</v>
      </c>
      <c r="AE35" s="213">
        <f>1-AD35-Data!D$13</f>
        <v>0.46222097539001927</v>
      </c>
      <c r="AF35" s="215">
        <f>(AD35-Data!D$27)/(1-Data!D$27-Data!D$19-Data!D$13)</f>
        <v>0.13743100200651559</v>
      </c>
      <c r="AG35" s="33">
        <f>Data!D$29*AF35</f>
        <v>0.13743100200651559</v>
      </c>
      <c r="AH35" s="33">
        <f>Data!D$28*(1-AF35)</f>
        <v>0.86256899799348441</v>
      </c>
      <c r="AI35" s="246">
        <f t="shared" si="42"/>
        <v>2157.970589167729</v>
      </c>
      <c r="AJ35" s="268">
        <f t="shared" si="39"/>
        <v>0.4486281774505903</v>
      </c>
      <c r="AK35" s="313">
        <f t="shared" si="43"/>
        <v>27.219862233070057</v>
      </c>
      <c r="AL35" s="313">
        <f t="shared" si="44"/>
        <v>19.464174469783291</v>
      </c>
      <c r="AM35" s="313">
        <f t="shared" si="45"/>
        <v>321.94433080119137</v>
      </c>
    </row>
    <row r="36" spans="2:39" x14ac:dyDescent="0.25">
      <c r="B36" s="1">
        <f t="shared" si="40"/>
        <v>3700</v>
      </c>
      <c r="C36" s="170">
        <f t="shared" si="27"/>
        <v>1.4206848599999999</v>
      </c>
      <c r="D36" s="122">
        <v>119.56901157613535</v>
      </c>
      <c r="E36">
        <f t="shared" si="28"/>
        <v>0.66968565859999996</v>
      </c>
      <c r="F36">
        <f t="shared" si="29"/>
        <v>2.1142040000000001E-2</v>
      </c>
      <c r="G36" s="122">
        <f t="shared" si="30"/>
        <v>4.5078062903013945E-3</v>
      </c>
      <c r="H36" s="184">
        <f t="shared" si="31"/>
        <v>2.04476E-2</v>
      </c>
      <c r="I36" s="184">
        <f t="shared" si="32"/>
        <v>5.0900833169336204E-3</v>
      </c>
      <c r="J36" s="155">
        <f>Data!D$14</f>
        <v>1.49E-5</v>
      </c>
      <c r="K36" s="387">
        <f>L36/Data!D$21</f>
        <v>0.11102539375760012</v>
      </c>
      <c r="L36" s="252">
        <f t="shared" si="33"/>
        <v>0.14411096109736496</v>
      </c>
      <c r="M36" s="252">
        <f>Data!D$21-L36</f>
        <v>1.1538890389026351</v>
      </c>
      <c r="N36" s="299">
        <v>0</v>
      </c>
      <c r="O36" s="300">
        <f>30.4*Data!N$5*Data!O$5/5.615</f>
        <v>47.102404274265361</v>
      </c>
      <c r="P36" s="300">
        <f t="shared" si="34"/>
        <v>47.102404274265361</v>
      </c>
      <c r="Q36" s="301"/>
      <c r="R36" s="302"/>
      <c r="S36" s="303"/>
      <c r="T36" s="304"/>
      <c r="U36" s="305"/>
      <c r="V36" s="298"/>
      <c r="W36" s="377">
        <f>Data!D$42/(141.2*C36*E36*LN(Data!D$47))</f>
        <v>0.11632727671459628</v>
      </c>
      <c r="X36" s="378">
        <f>W36*(B36-Data!D$43)</f>
        <v>197.75637041481366</v>
      </c>
      <c r="Y36" s="379">
        <f t="shared" si="35"/>
        <v>1.4251735534518743E-2</v>
      </c>
      <c r="Z36" s="379">
        <f t="shared" si="36"/>
        <v>1.6682678541196892E-2</v>
      </c>
      <c r="AA36" s="252">
        <f t="shared" si="37"/>
        <v>2.0232005067948209</v>
      </c>
      <c r="AB36" s="252">
        <f t="shared" si="41"/>
        <v>0.18961711549640631</v>
      </c>
      <c r="AC36" s="248">
        <f t="shared" si="38"/>
        <v>4.1931431280183116</v>
      </c>
      <c r="AD36" s="380">
        <f>1000000*(P36-AL35)*I36/Data!D$48</f>
        <v>4.2182398222877712E-2</v>
      </c>
      <c r="AE36" s="381">
        <f>1-AD36-Data!D$13</f>
        <v>0.46181760177712228</v>
      </c>
      <c r="AF36" s="215">
        <f>(AD36-Data!D$27)/(1-Data!D$27-Data!D$19-Data!D$13)</f>
        <v>0.13875788889104509</v>
      </c>
      <c r="AG36" s="33">
        <f>Data!D$29*AF36</f>
        <v>0.13875788889104509</v>
      </c>
      <c r="AH36" s="33">
        <f>Data!D$28*(1-AF36)</f>
        <v>0.86124211110895488</v>
      </c>
      <c r="AI36" s="246">
        <f t="shared" si="42"/>
        <v>2144.1466653951065</v>
      </c>
      <c r="AJ36" s="268">
        <f t="shared" si="39"/>
        <v>0.42401866218556217</v>
      </c>
      <c r="AK36" s="313">
        <f t="shared" si="43"/>
        <v>29.346436408699073</v>
      </c>
      <c r="AL36" s="313">
        <f t="shared" si="44"/>
        <v>19.842905400438504</v>
      </c>
      <c r="AM36" s="313">
        <f t="shared" si="45"/>
        <v>324.07090497682037</v>
      </c>
    </row>
    <row r="37" spans="2:39" x14ac:dyDescent="0.25">
      <c r="B37" s="1">
        <f t="shared" si="40"/>
        <v>3600</v>
      </c>
      <c r="C37" s="170">
        <f t="shared" si="27"/>
        <v>1.4222138599999998</v>
      </c>
      <c r="D37" s="122">
        <v>120.569011576135</v>
      </c>
      <c r="E37">
        <f t="shared" si="28"/>
        <v>0.66414136859999995</v>
      </c>
      <c r="F37">
        <f t="shared" si="29"/>
        <v>2.0906040000000001E-2</v>
      </c>
      <c r="G37" s="122">
        <f t="shared" si="30"/>
        <v>4.6361392887804258E-3</v>
      </c>
      <c r="H37" s="184">
        <f t="shared" si="31"/>
        <v>2.0218400000000001E-2</v>
      </c>
      <c r="I37" s="184">
        <f t="shared" si="32"/>
        <v>5.2198770942607498E-3</v>
      </c>
      <c r="J37" s="155">
        <f>Data!D$14</f>
        <v>1.49E-5</v>
      </c>
      <c r="K37" s="387">
        <f>L37/Data!D$21</f>
        <v>0.11233989116994521</v>
      </c>
      <c r="L37" s="252">
        <f t="shared" si="33"/>
        <v>0.14581717873858888</v>
      </c>
      <c r="M37" s="252">
        <f>Data!D$21-L37</f>
        <v>1.1521828212614111</v>
      </c>
      <c r="N37" s="299">
        <v>1</v>
      </c>
      <c r="O37" s="300">
        <f>30.4*Data!N$5*Data!O$5/5.615</f>
        <v>47.102404274265361</v>
      </c>
      <c r="P37" s="300">
        <f t="shared" si="34"/>
        <v>48.102404274265361</v>
      </c>
      <c r="Q37" s="372"/>
      <c r="R37" s="373"/>
      <c r="S37" s="374"/>
      <c r="T37" s="375"/>
      <c r="U37" s="376"/>
      <c r="V37" s="298"/>
      <c r="W37" s="377">
        <f>Data!D$42/(141.2*C37*E37*LN(Data!D$47))</f>
        <v>0.11717227778345843</v>
      </c>
      <c r="X37" s="378">
        <f>W37*(B37-Data!D$43)</f>
        <v>187.47564445353348</v>
      </c>
      <c r="Y37" s="379">
        <f t="shared" si="35"/>
        <v>1.5709328961557769E-2</v>
      </c>
      <c r="Z37" s="379">
        <f t="shared" si="36"/>
        <v>1.8388896182420806E-2</v>
      </c>
      <c r="AA37" s="252">
        <f t="shared" si="37"/>
        <v>2.0395388762358313</v>
      </c>
      <c r="AB37" s="252">
        <f t="shared" si="41"/>
        <v>0.21427408379015789</v>
      </c>
      <c r="AC37" s="248">
        <f t="shared" si="38"/>
        <v>4.2178000963120628</v>
      </c>
      <c r="AD37" s="380">
        <f>1000000*(P37-AL36)*I37/Data!D$48</f>
        <v>4.4230401962025462E-2</v>
      </c>
      <c r="AE37" s="381">
        <f>1-AD37-Data!D$13</f>
        <v>0.45976959803797457</v>
      </c>
      <c r="AF37" s="215">
        <f>(AD37-Data!D$27)/(1-Data!D$27-Data!D$19-Data!D$13)</f>
        <v>0.14549474329613638</v>
      </c>
      <c r="AG37" s="33">
        <f>Data!D$29*AF37</f>
        <v>0.14549474329613638</v>
      </c>
      <c r="AH37" s="33">
        <f>Data!D$28*(1-AF37)</f>
        <v>0.85450525670386357</v>
      </c>
      <c r="AI37" s="246">
        <f t="shared" si="42"/>
        <v>2200.8756049074691</v>
      </c>
      <c r="AJ37" s="268">
        <f t="shared" si="39"/>
        <v>0.41261057239208809</v>
      </c>
      <c r="AK37" s="313">
        <f t="shared" si="43"/>
        <v>32.270289611928263</v>
      </c>
      <c r="AL37" s="313">
        <f t="shared" si="44"/>
        <v>20.363627253195261</v>
      </c>
      <c r="AM37" s="313">
        <f t="shared" si="45"/>
        <v>326.99475818004959</v>
      </c>
    </row>
    <row r="38" spans="2:39" s="18" customFormat="1" x14ac:dyDescent="0.25">
      <c r="B38" s="361">
        <f>B37-50</f>
        <v>3550</v>
      </c>
      <c r="C38" s="362">
        <f t="shared" si="27"/>
        <v>1.4229783599999999</v>
      </c>
      <c r="D38" s="228">
        <v>121.569011576135</v>
      </c>
      <c r="E38" s="18">
        <f t="shared" si="28"/>
        <v>0.66136922359999994</v>
      </c>
      <c r="F38" s="18">
        <f t="shared" si="29"/>
        <v>2.0788040000000001E-2</v>
      </c>
      <c r="G38" s="228">
        <f t="shared" si="30"/>
        <v>4.7030509405883124E-3</v>
      </c>
      <c r="H38" s="229">
        <f t="shared" si="31"/>
        <v>2.01041E-2</v>
      </c>
      <c r="I38" s="229">
        <f t="shared" si="32"/>
        <v>5.2874030728652177E-3</v>
      </c>
      <c r="J38" s="230">
        <f>Data!D$14</f>
        <v>1.49E-5</v>
      </c>
      <c r="K38" s="366">
        <f>L38/Data!D$21</f>
        <v>0.11299608054875901</v>
      </c>
      <c r="L38" s="231">
        <f t="shared" si="33"/>
        <v>0.1466689125522892</v>
      </c>
      <c r="M38" s="231">
        <f>Data!D$21-L38</f>
        <v>1.1513310874477107</v>
      </c>
      <c r="N38" s="232">
        <v>2</v>
      </c>
      <c r="O38" s="233">
        <f>30.4*Data!N$5*Data!O$5/5.615</f>
        <v>47.102404274265361</v>
      </c>
      <c r="P38" s="233">
        <f t="shared" si="34"/>
        <v>49.102404274265361</v>
      </c>
      <c r="Q38" s="234"/>
      <c r="R38" s="235"/>
      <c r="S38" s="236"/>
      <c r="T38" s="237"/>
      <c r="U38" s="238"/>
      <c r="V38" s="239"/>
      <c r="W38" s="382">
        <f>Data!D$42/(141.2*C38*E38*LN(Data!D$47))</f>
        <v>0.11760019313335145</v>
      </c>
      <c r="X38" s="354">
        <f>W38*(B38-Data!D$43)</f>
        <v>182.28029935669474</v>
      </c>
      <c r="Y38" s="355">
        <f t="shared" si="35"/>
        <v>1.6436951029482207E-2</v>
      </c>
      <c r="Z38" s="355">
        <f t="shared" si="36"/>
        <v>1.924062999612115E-2</v>
      </c>
      <c r="AA38" s="231">
        <f t="shared" si="37"/>
        <v>2.0478107849587666</v>
      </c>
      <c r="AB38" s="231">
        <f t="shared" si="41"/>
        <v>0.22713214497982318</v>
      </c>
      <c r="AC38" s="200">
        <f t="shared" si="38"/>
        <v>4.2306581575017281</v>
      </c>
      <c r="AD38" s="368">
        <f>1000000*(P38-AL37)*I38/Data!D$48</f>
        <v>4.5562427491446525E-2</v>
      </c>
      <c r="AE38" s="357">
        <f>1-AD38-Data!D$13</f>
        <v>0.45843757250855344</v>
      </c>
      <c r="AF38" s="225">
        <f>(AD38-Data!D$27)/(1-Data!D$27-Data!D$19-Data!D$13)</f>
        <v>0.14987640622186355</v>
      </c>
      <c r="AG38" s="358">
        <f>Data!D$29*AF38</f>
        <v>0.14987640622186355</v>
      </c>
      <c r="AH38" s="358">
        <f>Data!D$28*(1-AF38)</f>
        <v>0.8501235937781364</v>
      </c>
      <c r="AI38" s="369">
        <f t="shared" si="42"/>
        <v>2243.478885865055</v>
      </c>
      <c r="AJ38" s="370">
        <f t="shared" si="39"/>
        <v>0.40894200291590621</v>
      </c>
      <c r="AK38" s="371">
        <f t="shared" si="43"/>
        <v>33.902614117541731</v>
      </c>
      <c r="AL38" s="371">
        <f t="shared" si="44"/>
        <v>20.654335090348148</v>
      </c>
      <c r="AM38" s="371">
        <f t="shared" si="45"/>
        <v>328.62708268566303</v>
      </c>
    </row>
    <row r="39" spans="2:39" x14ac:dyDescent="0.25">
      <c r="B39" s="1">
        <f t="shared" si="40"/>
        <v>3450</v>
      </c>
      <c r="C39" s="170">
        <f t="shared" si="27"/>
        <v>1.42450736</v>
      </c>
      <c r="D39" s="122">
        <v>122.569011576135</v>
      </c>
      <c r="E39">
        <f t="shared" si="28"/>
        <v>0.65582493360000005</v>
      </c>
      <c r="F39">
        <f t="shared" si="29"/>
        <v>2.0552040000000001E-2</v>
      </c>
      <c r="G39" s="122">
        <f t="shared" si="30"/>
        <v>4.8427657691085674E-3</v>
      </c>
      <c r="H39" s="184">
        <f t="shared" si="31"/>
        <v>1.9876100000000001E-2</v>
      </c>
      <c r="I39" s="184">
        <f t="shared" si="32"/>
        <v>5.4280835925755297E-3</v>
      </c>
      <c r="J39" s="155">
        <f>Data!D$14</f>
        <v>1.49E-5</v>
      </c>
      <c r="K39" s="387">
        <f>L39/Data!D$21</f>
        <v>0.11430634633683302</v>
      </c>
      <c r="L39" s="252">
        <f t="shared" si="33"/>
        <v>0.14836963754520927</v>
      </c>
      <c r="M39" s="252">
        <f>Data!D$21-L39</f>
        <v>1.1496303624547908</v>
      </c>
      <c r="N39" s="299">
        <v>3</v>
      </c>
      <c r="O39" s="300">
        <f>30.4*Data!N$5*Data!O$5/5.615</f>
        <v>47.102404274265361</v>
      </c>
      <c r="P39" s="300">
        <f t="shared" si="34"/>
        <v>50.102404274265361</v>
      </c>
      <c r="Q39" s="301"/>
      <c r="R39" s="302"/>
      <c r="S39" s="303"/>
      <c r="T39" s="304"/>
      <c r="U39" s="305"/>
      <c r="V39" s="298"/>
      <c r="W39" s="377">
        <f>Data!D$42/(141.2*C39*E39*LN(Data!D$47))</f>
        <v>0.11846708179376272</v>
      </c>
      <c r="X39" s="378">
        <f>W39*(B39-Data!D$43)</f>
        <v>171.77726860095595</v>
      </c>
      <c r="Y39" s="379">
        <f t="shared" si="35"/>
        <v>1.7889852178190908E-2</v>
      </c>
      <c r="Z39" s="379">
        <f t="shared" si="36"/>
        <v>2.0941354989041209E-2</v>
      </c>
      <c r="AA39" s="252">
        <f t="shared" si="37"/>
        <v>2.0645643925107913</v>
      </c>
      <c r="AB39" s="252">
        <f t="shared" si="41"/>
        <v>0.25403449707891063</v>
      </c>
      <c r="AC39" s="248">
        <f t="shared" si="38"/>
        <v>4.2575605096008156</v>
      </c>
      <c r="AD39" s="380">
        <f>1000000*(P39-AL38)*I39/Data!D$48</f>
        <v>4.792912544602141E-2</v>
      </c>
      <c r="AE39" s="381">
        <f>1-AD39-Data!D$13</f>
        <v>0.45607087455397854</v>
      </c>
      <c r="AF39" s="215">
        <f>(AD39-Data!D$27)/(1-Data!D$27-Data!D$19-Data!D$13)</f>
        <v>0.1576615968619125</v>
      </c>
      <c r="AG39" s="33">
        <f>Data!D$29*AF39</f>
        <v>0.1576615968619125</v>
      </c>
      <c r="AH39" s="33">
        <f>Data!D$28*(1-AF39)</f>
        <v>0.8423384031380875</v>
      </c>
      <c r="AI39" s="246">
        <f t="shared" si="42"/>
        <v>2308.9683225468266</v>
      </c>
      <c r="AJ39" s="268">
        <f t="shared" si="39"/>
        <v>0.3966282717332249</v>
      </c>
      <c r="AK39" s="313">
        <f t="shared" si="43"/>
        <v>36.776401191014962</v>
      </c>
      <c r="AL39" s="313">
        <f t="shared" si="44"/>
        <v>21.166140446265018</v>
      </c>
      <c r="AM39" s="313">
        <f t="shared" si="45"/>
        <v>331.50086975913626</v>
      </c>
    </row>
    <row r="40" spans="2:39" x14ac:dyDescent="0.25">
      <c r="B40" s="1">
        <f t="shared" si="40"/>
        <v>3350</v>
      </c>
      <c r="C40" s="170">
        <f t="shared" si="27"/>
        <v>1.4260363599999999</v>
      </c>
      <c r="D40" s="122">
        <v>123.569011576135</v>
      </c>
      <c r="E40">
        <f t="shared" si="28"/>
        <v>0.65028064360000004</v>
      </c>
      <c r="F40">
        <f t="shared" si="29"/>
        <v>2.031604E-2</v>
      </c>
      <c r="G40" s="122">
        <f t="shared" si="30"/>
        <v>4.990927176247292E-3</v>
      </c>
      <c r="H40" s="184">
        <f t="shared" si="31"/>
        <v>1.96489E-2</v>
      </c>
      <c r="I40" s="184">
        <f t="shared" si="32"/>
        <v>5.5768132026545571E-3</v>
      </c>
      <c r="J40" s="155">
        <f>Data!D$14</f>
        <v>1.49E-5</v>
      </c>
      <c r="K40" s="387">
        <f>L40/Data!D$21</f>
        <v>0.11561380238394085</v>
      </c>
      <c r="L40" s="252">
        <f t="shared" si="33"/>
        <v>0.15006671549435524</v>
      </c>
      <c r="M40" s="252">
        <f>Data!D$21-L40</f>
        <v>1.1479332845056449</v>
      </c>
      <c r="N40" s="299">
        <v>4</v>
      </c>
      <c r="O40" s="300">
        <f>30.4*Data!N$5*Data!O$5/5.615</f>
        <v>47.102404274265361</v>
      </c>
      <c r="P40" s="300">
        <f t="shared" si="34"/>
        <v>51.102404274265361</v>
      </c>
      <c r="Q40" s="301"/>
      <c r="R40" s="302"/>
      <c r="S40" s="303"/>
      <c r="T40" s="304"/>
      <c r="U40" s="305"/>
      <c r="V40" s="298"/>
      <c r="W40" s="377">
        <f>Data!D$42/(141.2*C40*E40*LN(Data!D$47))</f>
        <v>0.11934902792884056</v>
      </c>
      <c r="X40" s="378">
        <f>W40*(B40-Data!D$43)</f>
        <v>161.12118770393474</v>
      </c>
      <c r="Y40" s="379">
        <f t="shared" si="35"/>
        <v>1.933963771790297E-2</v>
      </c>
      <c r="Z40" s="379">
        <f t="shared" si="36"/>
        <v>2.2638432938187188E-2</v>
      </c>
      <c r="AA40" s="252">
        <f t="shared" si="37"/>
        <v>2.0816036824362012</v>
      </c>
      <c r="AB40" s="252">
        <f t="shared" si="41"/>
        <v>0.2827207067603949</v>
      </c>
      <c r="AC40" s="248">
        <f t="shared" si="38"/>
        <v>4.2862467192822997</v>
      </c>
      <c r="AD40" s="380">
        <f>1000000*(P40-AL39)*I40/Data!D$48</f>
        <v>5.0058732404241482E-2</v>
      </c>
      <c r="AE40" s="381">
        <f>1-AD40-Data!D$13</f>
        <v>0.45394126759575848</v>
      </c>
      <c r="AF40" s="215">
        <f>(AD40-Data!D$27)/(1-Data!D$27-Data!D$19-Data!D$13)</f>
        <v>0.16466688290868906</v>
      </c>
      <c r="AG40" s="33">
        <f>Data!D$29*AF40</f>
        <v>0.16466688290868906</v>
      </c>
      <c r="AH40" s="33">
        <f>Data!D$28*(1-AF40)</f>
        <v>0.83533311709131097</v>
      </c>
      <c r="AI40" s="246">
        <f t="shared" si="42"/>
        <v>2362.0612562149936</v>
      </c>
      <c r="AJ40" s="268">
        <f t="shared" si="39"/>
        <v>0.38057811503080785</v>
      </c>
      <c r="AK40" s="313">
        <f t="shared" si="43"/>
        <v>39.273019485552837</v>
      </c>
      <c r="AL40" s="313">
        <f t="shared" si="44"/>
        <v>21.610774158560279</v>
      </c>
      <c r="AM40" s="313">
        <f t="shared" si="45"/>
        <v>333.99748805367415</v>
      </c>
    </row>
    <row r="41" spans="2:39" x14ac:dyDescent="0.25">
      <c r="B41" s="1">
        <f t="shared" si="40"/>
        <v>3250</v>
      </c>
      <c r="C41" s="170">
        <f t="shared" si="27"/>
        <v>1.42756536</v>
      </c>
      <c r="D41" s="122">
        <v>124.569011576135</v>
      </c>
      <c r="E41">
        <f t="shared" si="28"/>
        <v>0.64473635360000003</v>
      </c>
      <c r="F41">
        <f t="shared" si="29"/>
        <v>2.008004E-2</v>
      </c>
      <c r="G41" s="122">
        <f t="shared" si="30"/>
        <v>5.1483215150190777E-3</v>
      </c>
      <c r="H41" s="184">
        <f t="shared" si="31"/>
        <v>1.9422500000000002E-2</v>
      </c>
      <c r="I41" s="184">
        <f t="shared" si="32"/>
        <v>5.7343139527613312E-3</v>
      </c>
      <c r="J41" s="155">
        <f>Data!D$14</f>
        <v>1.49E-5</v>
      </c>
      <c r="K41" s="387">
        <f>L41/Data!D$21</f>
        <v>0.11691845771823788</v>
      </c>
      <c r="L41" s="252">
        <f t="shared" si="33"/>
        <v>0.15176015811827276</v>
      </c>
      <c r="M41" s="252">
        <f>Data!D$21-L41</f>
        <v>1.1462398418817272</v>
      </c>
      <c r="N41" s="299">
        <v>5</v>
      </c>
      <c r="O41" s="300">
        <f>30.4*Data!N$5*Data!O$5/5.615</f>
        <v>47.102404274265361</v>
      </c>
      <c r="P41" s="300">
        <f t="shared" si="34"/>
        <v>52.102404274265361</v>
      </c>
      <c r="Q41" s="301"/>
      <c r="R41" s="302"/>
      <c r="S41" s="303"/>
      <c r="T41" s="304"/>
      <c r="U41" s="305"/>
      <c r="V41" s="298"/>
      <c r="W41" s="377">
        <f>Data!D$42/(141.2*C41*E41*LN(Data!D$47))</f>
        <v>0.12024641909823888</v>
      </c>
      <c r="X41" s="378">
        <f>W41*(B41-Data!D$43)</f>
        <v>150.3080238727986</v>
      </c>
      <c r="Y41" s="379">
        <f t="shared" si="35"/>
        <v>2.0786317659577513E-2</v>
      </c>
      <c r="Z41" s="379">
        <f t="shared" si="36"/>
        <v>2.4331875562104702E-2</v>
      </c>
      <c r="AA41" s="252">
        <f t="shared" si="37"/>
        <v>2.0989360247518256</v>
      </c>
      <c r="AB41" s="252">
        <f t="shared" si="41"/>
        <v>0.3134838680064948</v>
      </c>
      <c r="AC41" s="248">
        <f t="shared" si="38"/>
        <v>4.3170098805284001</v>
      </c>
      <c r="AD41" s="380">
        <f>1000000*(P41-AL40)*I41/Data!D$48</f>
        <v>5.2427392967937782E-2</v>
      </c>
      <c r="AE41" s="381">
        <f>1-AD41-Data!D$13</f>
        <v>0.45157260703206226</v>
      </c>
      <c r="AF41" s="215">
        <f>(AD41-Data!D$27)/(1-Data!D$27-Data!D$19-Data!D$13)</f>
        <v>0.17245852949979532</v>
      </c>
      <c r="AG41" s="33">
        <f>Data!D$29*AF41</f>
        <v>0.17245852949979532</v>
      </c>
      <c r="AH41" s="33">
        <f>Data!D$28*(1-AF41)</f>
        <v>0.82754147050020466</v>
      </c>
      <c r="AI41" s="246">
        <f t="shared" si="42"/>
        <v>2421.6664604381954</v>
      </c>
      <c r="AJ41" s="268">
        <f t="shared" si="39"/>
        <v>0.3639959001475</v>
      </c>
      <c r="AK41" s="313">
        <f t="shared" si="43"/>
        <v>41.648997591611611</v>
      </c>
      <c r="AL41" s="313">
        <f t="shared" si="44"/>
        <v>22.033922530075642</v>
      </c>
      <c r="AM41" s="313">
        <f t="shared" si="45"/>
        <v>336.37346615973291</v>
      </c>
    </row>
    <row r="42" spans="2:39" x14ac:dyDescent="0.25">
      <c r="B42" s="1">
        <f t="shared" si="40"/>
        <v>3150</v>
      </c>
      <c r="C42" s="170">
        <f t="shared" si="27"/>
        <v>1.4290943599999999</v>
      </c>
      <c r="D42" s="122">
        <v>125.569011576135</v>
      </c>
      <c r="E42">
        <f t="shared" si="28"/>
        <v>0.63919206360000003</v>
      </c>
      <c r="F42">
        <f t="shared" si="29"/>
        <v>1.984404E-2</v>
      </c>
      <c r="G42" s="122">
        <f t="shared" si="30"/>
        <v>5.3158356435653942E-3</v>
      </c>
      <c r="H42" s="184">
        <f t="shared" si="31"/>
        <v>1.9196900000000003E-2</v>
      </c>
      <c r="I42" s="184">
        <f t="shared" si="32"/>
        <v>5.9013976121738143E-3</v>
      </c>
      <c r="J42" s="155">
        <f>Data!D$14</f>
        <v>1.49E-5</v>
      </c>
      <c r="K42" s="387">
        <f>L42/Data!D$21</f>
        <v>0.11822032132924218</v>
      </c>
      <c r="L42" s="252">
        <f t="shared" si="33"/>
        <v>0.15344997708535635</v>
      </c>
      <c r="M42" s="252">
        <f>Data!D$21-L42</f>
        <v>1.1445500229146437</v>
      </c>
      <c r="N42" s="299">
        <v>6</v>
      </c>
      <c r="O42" s="300">
        <f>30.4*Data!N$5*Data!O$5/5.615</f>
        <v>47.102404274265361</v>
      </c>
      <c r="P42" s="300">
        <f t="shared" si="34"/>
        <v>53.102404274265361</v>
      </c>
      <c r="Q42" s="301"/>
      <c r="R42" s="302"/>
      <c r="S42" s="303"/>
      <c r="T42" s="304"/>
      <c r="U42" s="305"/>
      <c r="V42" s="298"/>
      <c r="W42" s="377">
        <f>Data!D$42/(141.2*C42*E42*LN(Data!D$47))</f>
        <v>0.12115965631208239</v>
      </c>
      <c r="X42" s="378">
        <f>W42*(B42-Data!D$43)</f>
        <v>139.33360475889475</v>
      </c>
      <c r="Y42" s="379">
        <f t="shared" si="35"/>
        <v>2.2229901971330436E-2</v>
      </c>
      <c r="Z42" s="379">
        <f t="shared" si="36"/>
        <v>2.6021694529188292E-2</v>
      </c>
      <c r="AA42" s="252">
        <f t="shared" si="37"/>
        <v>2.1165690451817425</v>
      </c>
      <c r="AB42" s="252">
        <f t="shared" si="41"/>
        <v>0.34669229174006638</v>
      </c>
      <c r="AC42" s="248">
        <f t="shared" si="38"/>
        <v>4.350218304261972</v>
      </c>
      <c r="AD42" s="380">
        <f>1000000*(P42-AL41)*I42/Data!D$48</f>
        <v>5.4975736965566069E-2</v>
      </c>
      <c r="AE42" s="381">
        <f>1-AD42-Data!D$13</f>
        <v>0.44902426303443388</v>
      </c>
      <c r="AF42" s="215">
        <f>(AD42-Data!D$27)/(1-Data!D$27-Data!D$19-Data!D$13)</f>
        <v>0.1808412400183094</v>
      </c>
      <c r="AG42" s="33">
        <f>Data!D$29*AF42</f>
        <v>0.1808412400183094</v>
      </c>
      <c r="AH42" s="33">
        <f>Data!D$28*(1-AF42)</f>
        <v>0.81915875998169063</v>
      </c>
      <c r="AI42" s="246">
        <f t="shared" si="42"/>
        <v>2485.1343252645447</v>
      </c>
      <c r="AJ42" s="268">
        <f t="shared" si="39"/>
        <v>0.34626272384917267</v>
      </c>
      <c r="AK42" s="313">
        <f t="shared" si="43"/>
        <v>43.817015305531008</v>
      </c>
      <c r="AL42" s="313">
        <f t="shared" si="44"/>
        <v>22.420034322403229</v>
      </c>
      <c r="AM42" s="313">
        <f t="shared" si="45"/>
        <v>338.54148387365234</v>
      </c>
    </row>
    <row r="43" spans="2:39" x14ac:dyDescent="0.25">
      <c r="B43" s="1">
        <f t="shared" si="40"/>
        <v>3050</v>
      </c>
      <c r="C43" s="170">
        <f t="shared" si="27"/>
        <v>1.43062336</v>
      </c>
      <c r="D43" s="122">
        <v>126.569011576135</v>
      </c>
      <c r="E43">
        <f t="shared" si="28"/>
        <v>0.63364777360000002</v>
      </c>
      <c r="F43">
        <f t="shared" si="29"/>
        <v>1.960804E-2</v>
      </c>
      <c r="G43" s="122">
        <f t="shared" si="30"/>
        <v>5.4944734887306303E-3</v>
      </c>
      <c r="H43" s="184">
        <f t="shared" si="31"/>
        <v>1.8972099999999999E-2</v>
      </c>
      <c r="I43" s="184">
        <f t="shared" si="32"/>
        <v>6.0789801210367122E-3</v>
      </c>
      <c r="J43" s="155">
        <f>Data!D$14</f>
        <v>1.49E-5</v>
      </c>
      <c r="K43" s="387">
        <f>L43/Data!D$21</f>
        <v>0.11951940216804119</v>
      </c>
      <c r="L43" s="252">
        <f t="shared" si="33"/>
        <v>0.15513618401411747</v>
      </c>
      <c r="M43" s="252">
        <f>Data!D$21-L43</f>
        <v>1.1428638159858826</v>
      </c>
      <c r="N43" s="299">
        <v>7</v>
      </c>
      <c r="O43" s="300">
        <f>30.4*Data!N$5*Data!O$5/5.615</f>
        <v>47.102404274265361</v>
      </c>
      <c r="P43" s="300">
        <f t="shared" si="34"/>
        <v>54.102404274265361</v>
      </c>
      <c r="Q43" s="301"/>
      <c r="R43" s="302"/>
      <c r="S43" s="303"/>
      <c r="T43" s="304"/>
      <c r="U43" s="305"/>
      <c r="V43" s="298"/>
      <c r="W43" s="377">
        <f>Data!D$42/(141.2*C43*E43*LN(Data!D$47))</f>
        <v>0.12208915461939035</v>
      </c>
      <c r="X43" s="378">
        <f>W43*(B43-Data!D$43)</f>
        <v>128.19361235035987</v>
      </c>
      <c r="Y43" s="379">
        <f t="shared" si="35"/>
        <v>2.3670400578663337E-2</v>
      </c>
      <c r="Z43" s="379">
        <f t="shared" si="36"/>
        <v>2.7707901457949415E-2</v>
      </c>
      <c r="AA43" s="252">
        <f t="shared" si="37"/>
        <v>2.1345106363442099</v>
      </c>
      <c r="AB43" s="252">
        <f t="shared" si="41"/>
        <v>0.382817275907196</v>
      </c>
      <c r="AC43" s="248">
        <f t="shared" si="38"/>
        <v>4.3863432884291012</v>
      </c>
      <c r="AD43" s="380">
        <f>1000000*(P43-AL42)*I43/Data!D$48</f>
        <v>5.7749009103437193E-2</v>
      </c>
      <c r="AE43" s="381">
        <f>1-AD43-Data!D$13</f>
        <v>0.44625099089656284</v>
      </c>
      <c r="AF43" s="215">
        <f>(AD43-Data!D$27)/(1-Data!D$27-Data!D$19-Data!D$13)</f>
        <v>0.18996384573499073</v>
      </c>
      <c r="AG43" s="33">
        <f>Data!D$29*AF43</f>
        <v>0.18996384573499073</v>
      </c>
      <c r="AH43" s="33">
        <f>Data!D$28*(1-AF43)</f>
        <v>0.8100361542650093</v>
      </c>
      <c r="AI43" s="246">
        <f t="shared" si="42"/>
        <v>2553.9749154461915</v>
      </c>
      <c r="AJ43" s="268">
        <f t="shared" si="39"/>
        <v>0.32740327026325222</v>
      </c>
      <c r="AK43" s="313">
        <f t="shared" si="43"/>
        <v>45.747504236529274</v>
      </c>
      <c r="AL43" s="313">
        <f t="shared" si="44"/>
        <v>22.76384357102269</v>
      </c>
      <c r="AM43" s="313">
        <f t="shared" si="45"/>
        <v>340.47197280465059</v>
      </c>
    </row>
    <row r="44" spans="2:39" x14ac:dyDescent="0.25">
      <c r="B44" s="1">
        <f t="shared" si="40"/>
        <v>2950</v>
      </c>
      <c r="C44" s="170">
        <f t="shared" si="27"/>
        <v>1.4321523599999999</v>
      </c>
      <c r="D44" s="122">
        <v>127.569011576135</v>
      </c>
      <c r="E44">
        <f t="shared" si="28"/>
        <v>0.62810348360000001</v>
      </c>
      <c r="F44">
        <f t="shared" si="29"/>
        <v>1.937204E-2</v>
      </c>
      <c r="G44" s="122">
        <f t="shared" si="30"/>
        <v>5.6853759936364339E-3</v>
      </c>
      <c r="H44" s="184">
        <f t="shared" si="31"/>
        <v>1.87481E-2</v>
      </c>
      <c r="I44" s="184">
        <f t="shared" si="32"/>
        <v>6.2680989373323625E-3</v>
      </c>
      <c r="J44" s="155">
        <f>Data!D$14</f>
        <v>1.49E-5</v>
      </c>
      <c r="K44" s="387">
        <f>L44/Data!D$21</f>
        <v>0.12081570914749673</v>
      </c>
      <c r="L44" s="252">
        <f t="shared" si="33"/>
        <v>0.15681879047345076</v>
      </c>
      <c r="M44" s="252">
        <f>Data!D$21-L44</f>
        <v>1.1411812095265492</v>
      </c>
      <c r="N44" s="299">
        <v>8</v>
      </c>
      <c r="O44" s="300">
        <f>30.4*Data!N$5*Data!O$5/5.615</f>
        <v>47.102404274265361</v>
      </c>
      <c r="P44" s="300">
        <f t="shared" si="34"/>
        <v>55.102404274265361</v>
      </c>
      <c r="Q44" s="301"/>
      <c r="R44" s="302"/>
      <c r="S44" s="303"/>
      <c r="T44" s="304"/>
      <c r="U44" s="305"/>
      <c r="V44" s="298"/>
      <c r="W44" s="377">
        <f>Data!D$42/(141.2*C44*E44*LN(Data!D$47))</f>
        <v>0.12303534372766468</v>
      </c>
      <c r="X44" s="378">
        <f>W44*(B44-Data!D$43)</f>
        <v>116.88357654128146</v>
      </c>
      <c r="Y44" s="379">
        <f t="shared" si="35"/>
        <v>2.5107823364691004E-2</v>
      </c>
      <c r="Z44" s="379">
        <f t="shared" si="36"/>
        <v>2.9390507917282718E-2</v>
      </c>
      <c r="AA44" s="252">
        <f t="shared" si="37"/>
        <v>2.1527689695310843</v>
      </c>
      <c r="AB44" s="252">
        <f t="shared" si="41"/>
        <v>0.42247491977526902</v>
      </c>
      <c r="AC44" s="248">
        <f t="shared" si="38"/>
        <v>4.4260009322971738</v>
      </c>
      <c r="AD44" s="380">
        <f>1000000*(P44-AL43)*I44/Data!D$48</f>
        <v>6.0778878520724985E-2</v>
      </c>
      <c r="AE44" s="381">
        <f>1-AD44-Data!D$13</f>
        <v>0.44322112147927506</v>
      </c>
      <c r="AF44" s="215">
        <f>(AD44-Data!D$27)/(1-Data!D$27-Data!D$19-Data!D$13)</f>
        <v>0.19993052144975321</v>
      </c>
      <c r="AG44" s="33">
        <f>Data!D$29*AF44</f>
        <v>0.19993052144975321</v>
      </c>
      <c r="AH44" s="33">
        <f>Data!D$28*(1-AF44)</f>
        <v>0.80006947855024679</v>
      </c>
      <c r="AI44" s="246">
        <f t="shared" si="42"/>
        <v>2629.1403157188756</v>
      </c>
      <c r="AJ44" s="268">
        <f t="shared" si="39"/>
        <v>0.30730332333009608</v>
      </c>
      <c r="AK44" s="313">
        <f t="shared" si="43"/>
        <v>47.387200607752902</v>
      </c>
      <c r="AL44" s="313">
        <f t="shared" si="44"/>
        <v>23.055864296084778</v>
      </c>
      <c r="AM44" s="313">
        <f t="shared" si="45"/>
        <v>342.11166917587423</v>
      </c>
    </row>
    <row r="45" spans="2:39" x14ac:dyDescent="0.25">
      <c r="B45" s="1">
        <f t="shared" si="40"/>
        <v>2850</v>
      </c>
      <c r="C45" s="170">
        <f t="shared" si="27"/>
        <v>1.43368136</v>
      </c>
      <c r="D45" s="122">
        <v>128.56901157613501</v>
      </c>
      <c r="E45">
        <f t="shared" si="28"/>
        <v>0.6225591936</v>
      </c>
      <c r="F45">
        <f t="shared" si="29"/>
        <v>1.913604E-2</v>
      </c>
      <c r="G45" s="122">
        <f t="shared" si="30"/>
        <v>5.8898452836697191E-3</v>
      </c>
      <c r="H45" s="184">
        <f t="shared" si="31"/>
        <v>1.85249E-2</v>
      </c>
      <c r="I45" s="184">
        <f t="shared" si="32"/>
        <v>6.4699339816186646E-3</v>
      </c>
      <c r="J45" s="155">
        <f>Data!D$14</f>
        <v>1.49E-5</v>
      </c>
      <c r="K45" s="387">
        <f>L45/Data!D$21</f>
        <v>0.12210925114244892</v>
      </c>
      <c r="L45" s="252">
        <f t="shared" si="33"/>
        <v>0.1584978079828987</v>
      </c>
      <c r="M45" s="252">
        <f>Data!D$21-L45</f>
        <v>1.1395021920171013</v>
      </c>
      <c r="N45" s="299">
        <v>9</v>
      </c>
      <c r="O45" s="300">
        <f>30.4*Data!N$5*Data!O$5/5.615</f>
        <v>47.102404274265361</v>
      </c>
      <c r="P45" s="300">
        <f t="shared" si="34"/>
        <v>56.102404274265361</v>
      </c>
      <c r="Q45" s="301"/>
      <c r="R45" s="302"/>
      <c r="S45" s="303"/>
      <c r="T45" s="304"/>
      <c r="U45" s="305"/>
      <c r="V45" s="298"/>
      <c r="W45" s="377">
        <f>Data!D$42/(141.2*C45*E45*LN(Data!D$47))</f>
        <v>0.12399866865558513</v>
      </c>
      <c r="X45" s="378">
        <f>W45*(B45-Data!D$43)</f>
        <v>105.39886835724737</v>
      </c>
      <c r="Y45" s="379">
        <f t="shared" si="35"/>
        <v>2.6542180170367451E-2</v>
      </c>
      <c r="Z45" s="379">
        <f t="shared" si="36"/>
        <v>3.1069525426730648E-2</v>
      </c>
      <c r="AA45" s="252">
        <f t="shared" si="37"/>
        <v>2.1713525071166573</v>
      </c>
      <c r="AB45" s="252">
        <f t="shared" si="41"/>
        <v>0.4664914434962818</v>
      </c>
      <c r="AC45" s="248">
        <f t="shared" si="38"/>
        <v>4.4700174560181871</v>
      </c>
      <c r="AD45" s="380">
        <f>1000000*(P45-AL44)*I45/Data!D$48</f>
        <v>6.4109441986892876E-2</v>
      </c>
      <c r="AE45" s="381">
        <f>1-AD45-Data!D$13</f>
        <v>0.43989055801310717</v>
      </c>
      <c r="AF45" s="215">
        <f>(AD45-Data!D$27)/(1-Data!D$27-Data!D$19-Data!D$13)</f>
        <v>0.21088632232530549</v>
      </c>
      <c r="AG45" s="33">
        <f>Data!D$29*AF45</f>
        <v>0.21088632232530549</v>
      </c>
      <c r="AH45" s="33">
        <f>Data!D$28*(1-AF45)</f>
        <v>0.78911367767469454</v>
      </c>
      <c r="AI45" s="246">
        <f t="shared" si="42"/>
        <v>2712.06774675928</v>
      </c>
      <c r="AJ45" s="268">
        <f t="shared" si="39"/>
        <v>0.2858488714166178</v>
      </c>
      <c r="AK45" s="313">
        <f t="shared" si="43"/>
        <v>48.671309216856194</v>
      </c>
      <c r="AL45" s="313">
        <f t="shared" si="44"/>
        <v>23.284556835551079</v>
      </c>
      <c r="AM45" s="313">
        <f t="shared" si="45"/>
        <v>343.3957777849775</v>
      </c>
    </row>
    <row r="46" spans="2:39" x14ac:dyDescent="0.25">
      <c r="B46" s="1">
        <f t="shared" si="40"/>
        <v>2750</v>
      </c>
      <c r="C46" s="170">
        <f t="shared" si="27"/>
        <v>1.4352103599999999</v>
      </c>
      <c r="D46" s="122">
        <v>129.56901157613501</v>
      </c>
      <c r="E46">
        <f t="shared" si="28"/>
        <v>0.6170149036</v>
      </c>
      <c r="F46">
        <f t="shared" si="29"/>
        <v>1.890004E-2</v>
      </c>
      <c r="G46" s="122">
        <f t="shared" si="30"/>
        <v>6.1093741288869175E-3</v>
      </c>
      <c r="H46" s="184">
        <f t="shared" si="31"/>
        <v>1.8302499999999999E-2</v>
      </c>
      <c r="I46" s="184">
        <f t="shared" si="32"/>
        <v>6.685833083457873E-3</v>
      </c>
      <c r="J46" s="155">
        <f>Data!D$14</f>
        <v>1.49E-5</v>
      </c>
      <c r="K46" s="387">
        <f>L46/Data!D$21</f>
        <v>0.12340003698991861</v>
      </c>
      <c r="L46" s="252">
        <f t="shared" si="33"/>
        <v>0.16017324801291435</v>
      </c>
      <c r="M46" s="252">
        <f>Data!D$21-L46</f>
        <v>1.1378267519870857</v>
      </c>
      <c r="N46" s="299">
        <v>10</v>
      </c>
      <c r="O46" s="300">
        <f>30.4*Data!N$5*Data!O$5/5.615</f>
        <v>47.102404274265361</v>
      </c>
      <c r="P46" s="300">
        <f t="shared" si="34"/>
        <v>57.102404274265361</v>
      </c>
      <c r="Q46" s="301"/>
      <c r="R46" s="302"/>
      <c r="S46" s="303"/>
      <c r="T46" s="304"/>
      <c r="U46" s="305"/>
      <c r="V46" s="298"/>
      <c r="W46" s="377">
        <f>Data!D$42/(141.2*C46*E46*LN(Data!D$47))</f>
        <v>0.12497959042089411</v>
      </c>
      <c r="X46" s="378">
        <f>W46*(B46-Data!D$43)</f>
        <v>93.734692815670584</v>
      </c>
      <c r="Y46" s="379">
        <f t="shared" si="35"/>
        <v>2.797348079471048E-2</v>
      </c>
      <c r="Z46" s="379">
        <f t="shared" si="36"/>
        <v>3.2744965456746294E-2</v>
      </c>
      <c r="AA46" s="252">
        <f t="shared" si="37"/>
        <v>2.1902700156355075</v>
      </c>
      <c r="AB46" s="252">
        <f t="shared" si="41"/>
        <v>0.5160098443710448</v>
      </c>
      <c r="AC46" s="248">
        <f t="shared" si="38"/>
        <v>4.5195358568929498</v>
      </c>
      <c r="AD46" s="380">
        <f>1000000*(P46-AL45)*I46/Data!D$48</f>
        <v>6.7794996578473696E-2</v>
      </c>
      <c r="AE46" s="381">
        <f>1-AD46-Data!D$13</f>
        <v>0.43620500342152635</v>
      </c>
      <c r="AF46" s="215">
        <f>(AD46-Data!D$27)/(1-Data!D$27-Data!D$19-Data!D$13)</f>
        <v>0.22300985716603186</v>
      </c>
      <c r="AG46" s="33">
        <f>Data!D$29*AF46</f>
        <v>0.22300985716603186</v>
      </c>
      <c r="AH46" s="33">
        <f>Data!D$28*(1-AF46)</f>
        <v>0.77699014283396817</v>
      </c>
      <c r="AI46" s="246">
        <f t="shared" si="42"/>
        <v>2804.6128495325297</v>
      </c>
      <c r="AJ46" s="268">
        <f t="shared" si="39"/>
        <v>0.26288952391781417</v>
      </c>
      <c r="AK46" s="313">
        <f t="shared" si="43"/>
        <v>49.513557548117419</v>
      </c>
      <c r="AL46" s="313">
        <f t="shared" si="44"/>
        <v>23.434556538358066</v>
      </c>
      <c r="AM46" s="313">
        <f t="shared" si="45"/>
        <v>344.23802611623876</v>
      </c>
    </row>
    <row r="47" spans="2:39" x14ac:dyDescent="0.25">
      <c r="B47" s="1">
        <f t="shared" si="40"/>
        <v>2650</v>
      </c>
      <c r="C47" s="170">
        <f t="shared" si="27"/>
        <v>1.43673936</v>
      </c>
      <c r="D47" s="122">
        <v>130.56901157613501</v>
      </c>
      <c r="E47">
        <f t="shared" si="28"/>
        <v>0.61147061359999999</v>
      </c>
      <c r="F47">
        <f t="shared" si="29"/>
        <v>1.866404E-2</v>
      </c>
      <c r="G47" s="122">
        <f t="shared" si="30"/>
        <v>6.3456821074136544E-3</v>
      </c>
      <c r="H47" s="184">
        <f t="shared" si="31"/>
        <v>1.80809E-2</v>
      </c>
      <c r="I47" s="184">
        <f t="shared" si="32"/>
        <v>6.9173431031878414E-3</v>
      </c>
      <c r="J47" s="155">
        <f>Data!D$14</f>
        <v>1.49E-5</v>
      </c>
      <c r="K47" s="387">
        <f>L47/Data!D$21</f>
        <v>0.12468807548930869</v>
      </c>
      <c r="L47" s="252">
        <f t="shared" si="33"/>
        <v>0.16184512198512269</v>
      </c>
      <c r="M47" s="252">
        <f>Data!D$21-L47</f>
        <v>1.1361548780148774</v>
      </c>
      <c r="N47" s="299">
        <v>11</v>
      </c>
      <c r="O47" s="300">
        <f>30.4*Data!N$5*Data!O$5/5.615</f>
        <v>47.102404274265361</v>
      </c>
      <c r="P47" s="300">
        <f t="shared" si="34"/>
        <v>58.102404274265361</v>
      </c>
      <c r="Q47" s="301"/>
      <c r="R47" s="302"/>
      <c r="S47" s="303"/>
      <c r="T47" s="304"/>
      <c r="U47" s="305"/>
      <c r="V47" s="298"/>
      <c r="W47" s="377">
        <f>Data!D$42/(141.2*C47*E47*LN(Data!D$47))</f>
        <v>0.12597858676570442</v>
      </c>
      <c r="X47" s="378">
        <f>W47*(B47-Data!D$43)</f>
        <v>81.886081397707869</v>
      </c>
      <c r="Y47" s="379">
        <f t="shared" si="35"/>
        <v>2.9401734995024839E-2</v>
      </c>
      <c r="Z47" s="379">
        <f t="shared" si="36"/>
        <v>3.441683942895464E-2</v>
      </c>
      <c r="AA47" s="252">
        <f t="shared" si="37"/>
        <v>2.209530579571815</v>
      </c>
      <c r="AB47" s="252">
        <f t="shared" si="41"/>
        <v>0.57267378255424095</v>
      </c>
      <c r="AC47" s="248">
        <f t="shared" si="38"/>
        <v>4.5761997950761462</v>
      </c>
      <c r="AD47" s="380">
        <f>1000000*(P47-AL46)*I47/Data!D$48</f>
        <v>7.1905539729469087E-2</v>
      </c>
      <c r="AE47" s="381">
        <f>1-AD47-Data!D$13</f>
        <v>0.43209446027053089</v>
      </c>
      <c r="AF47" s="215">
        <f>(AD47-Data!D$27)/(1-Data!D$27-Data!D$19-Data!D$13)</f>
        <v>0.236531380689043</v>
      </c>
      <c r="AG47" s="33">
        <f>Data!D$29*AF47</f>
        <v>0.236531380689043</v>
      </c>
      <c r="AH47" s="33">
        <f>Data!D$28*(1-AF47)</f>
        <v>0.763468619310957</v>
      </c>
      <c r="AI47" s="246">
        <f t="shared" si="42"/>
        <v>2909.3098644714632</v>
      </c>
      <c r="AJ47" s="268">
        <f t="shared" si="39"/>
        <v>0.23823198437326468</v>
      </c>
      <c r="AK47" s="313">
        <f t="shared" si="43"/>
        <v>49.796662240000707</v>
      </c>
      <c r="AL47" s="313">
        <f t="shared" si="44"/>
        <v>23.48497589577272</v>
      </c>
      <c r="AM47" s="313">
        <f t="shared" si="45"/>
        <v>344.52113080812205</v>
      </c>
    </row>
    <row r="48" spans="2:39" x14ac:dyDescent="0.25">
      <c r="B48" s="1">
        <f t="shared" si="40"/>
        <v>2550</v>
      </c>
      <c r="C48" s="170">
        <f t="shared" si="27"/>
        <v>1.4382683599999999</v>
      </c>
      <c r="D48" s="122">
        <v>131.56901157613501</v>
      </c>
      <c r="E48">
        <f t="shared" si="28"/>
        <v>0.60592632359999998</v>
      </c>
      <c r="F48">
        <f t="shared" si="29"/>
        <v>1.842804E-2</v>
      </c>
      <c r="G48" s="122">
        <f t="shared" si="30"/>
        <v>6.6007603166251946E-3</v>
      </c>
      <c r="H48" s="184">
        <f t="shared" si="31"/>
        <v>1.78601E-2</v>
      </c>
      <c r="I48" s="184">
        <f t="shared" si="32"/>
        <v>7.1662482666149316E-3</v>
      </c>
      <c r="J48" s="155">
        <f>Data!D$14</f>
        <v>1.49E-5</v>
      </c>
      <c r="K48" s="387">
        <f>L48/Data!D$21</f>
        <v>0.12597337540260412</v>
      </c>
      <c r="L48" s="252">
        <f t="shared" si="33"/>
        <v>0.16351344127258013</v>
      </c>
      <c r="M48" s="252">
        <f>Data!D$21-L48</f>
        <v>1.13448655872742</v>
      </c>
      <c r="N48" s="299">
        <v>12</v>
      </c>
      <c r="O48" s="300">
        <f>30.4*Data!N$5*Data!O$5/5.615</f>
        <v>47.102404274265361</v>
      </c>
      <c r="P48" s="300">
        <f t="shared" si="34"/>
        <v>59.102404274265361</v>
      </c>
      <c r="Q48" s="301"/>
      <c r="R48" s="302"/>
      <c r="S48" s="303"/>
      <c r="T48" s="304"/>
      <c r="U48" s="305"/>
      <c r="V48" s="298"/>
      <c r="W48" s="377">
        <f>Data!D$42/(141.2*C48*E48*LN(Data!D$47))</f>
        <v>0.12699615292162703</v>
      </c>
      <c r="X48" s="378">
        <f>W48*(B48-Data!D$43)</f>
        <v>69.847884106894867</v>
      </c>
      <c r="Y48" s="379">
        <f t="shared" si="35"/>
        <v>3.0826952487123936E-2</v>
      </c>
      <c r="Z48" s="379">
        <f t="shared" si="36"/>
        <v>3.6085158716412075E-2</v>
      </c>
      <c r="AA48" s="252">
        <f t="shared" si="37"/>
        <v>2.2291436159057301</v>
      </c>
      <c r="AB48" s="252">
        <f t="shared" si="41"/>
        <v>0.63896711783553584</v>
      </c>
      <c r="AC48" s="248">
        <f t="shared" si="38"/>
        <v>4.6424931303574413</v>
      </c>
      <c r="AD48" s="380">
        <f>1000000*(P48-AL47)*I48/Data!D$48</f>
        <v>7.6533321533261381E-2</v>
      </c>
      <c r="AE48" s="381">
        <f>1-AD48-Data!D$13</f>
        <v>0.42746667846673858</v>
      </c>
      <c r="AF48" s="215">
        <f>(AD48-Data!D$27)/(1-Data!D$27-Data!D$19-Data!D$13)</f>
        <v>0.25175434714888606</v>
      </c>
      <c r="AG48" s="33">
        <f>Data!D$29*AF48</f>
        <v>0.25175434714888606</v>
      </c>
      <c r="AH48" s="33">
        <f>Data!D$28*(1-AF48)</f>
        <v>0.74824565285111388</v>
      </c>
      <c r="AI48" s="246">
        <f t="shared" si="42"/>
        <v>3029.7162045093014</v>
      </c>
      <c r="AJ48" s="268">
        <f t="shared" si="39"/>
        <v>0.21161926632934708</v>
      </c>
      <c r="AK48" s="313">
        <f t="shared" si="43"/>
        <v>49.354479730000747</v>
      </c>
      <c r="AL48" s="313">
        <f t="shared" si="44"/>
        <v>23.406225671373797</v>
      </c>
      <c r="AM48" s="313">
        <f t="shared" si="45"/>
        <v>344.0789482981221</v>
      </c>
    </row>
    <row r="50" spans="2:39" ht="15.75" x14ac:dyDescent="0.25">
      <c r="B50" s="157"/>
      <c r="C50" s="186"/>
      <c r="D50" s="7"/>
      <c r="E50" s="7"/>
      <c r="F50" s="7"/>
      <c r="G50" s="7"/>
      <c r="H50" s="7"/>
      <c r="I50" s="2"/>
    </row>
    <row r="51" spans="2:39" ht="18.75" x14ac:dyDescent="0.3">
      <c r="B51" s="99"/>
      <c r="C51" s="185"/>
      <c r="D51" s="7"/>
      <c r="E51" s="7"/>
      <c r="F51" s="7"/>
      <c r="G51" s="7"/>
      <c r="H51" s="63"/>
      <c r="I51" s="63"/>
      <c r="J51" s="99"/>
      <c r="K51" s="24"/>
      <c r="L51" s="24"/>
      <c r="M51" s="24"/>
      <c r="N51" s="21"/>
      <c r="O51" s="21"/>
      <c r="P51" s="21"/>
      <c r="Q51" s="24"/>
      <c r="R51" s="24"/>
      <c r="S51" s="21"/>
      <c r="T51" s="21"/>
      <c r="U51" s="99"/>
      <c r="V51" s="167"/>
      <c r="W51" s="185"/>
      <c r="X51" s="185"/>
      <c r="Y51" s="5"/>
      <c r="Z51" s="5"/>
      <c r="AA51" s="5"/>
      <c r="AB51" s="5"/>
      <c r="AC51" s="24"/>
      <c r="AD51" s="21"/>
      <c r="AE51" s="209"/>
      <c r="AF51" s="99"/>
      <c r="AG51" s="99"/>
      <c r="AH51" s="99"/>
      <c r="AI51" s="21"/>
      <c r="AJ51" s="21"/>
      <c r="AK51" s="21"/>
      <c r="AL51" s="21"/>
      <c r="AM51" s="21"/>
    </row>
    <row r="52" spans="2:39" x14ac:dyDescent="0.25">
      <c r="B52" s="7"/>
      <c r="C52" s="186"/>
      <c r="D52" s="7"/>
      <c r="E52" s="7"/>
      <c r="F52" s="7"/>
      <c r="G52" s="7"/>
      <c r="H52" s="2"/>
      <c r="I52" s="2"/>
      <c r="J52" s="7"/>
      <c r="K52" s="7"/>
      <c r="L52" s="7"/>
      <c r="M52" s="7"/>
      <c r="N52" s="161"/>
      <c r="O52" s="161"/>
      <c r="P52" s="161"/>
      <c r="Q52" s="20"/>
      <c r="R52" s="20"/>
      <c r="S52" s="161"/>
      <c r="T52" s="2"/>
      <c r="U52" s="164"/>
      <c r="V52" s="164"/>
      <c r="W52" s="186"/>
      <c r="X52" s="186"/>
      <c r="Y52" s="7"/>
      <c r="Z52" s="7"/>
      <c r="AA52" s="7"/>
      <c r="AB52" s="7"/>
      <c r="AC52" s="7"/>
      <c r="AD52" s="161"/>
      <c r="AE52" s="210"/>
      <c r="AI52" s="161"/>
      <c r="AJ52" s="161"/>
      <c r="AK52" s="161"/>
      <c r="AL52" s="161"/>
      <c r="AM52" s="161"/>
    </row>
    <row r="53" spans="2:39" ht="15.75" x14ac:dyDescent="0.25">
      <c r="B53" s="157"/>
      <c r="C53" s="186"/>
      <c r="D53" s="7"/>
      <c r="E53" s="7"/>
      <c r="F53" s="7"/>
      <c r="G53" s="7"/>
      <c r="H53" s="7"/>
      <c r="I53" s="2"/>
      <c r="J53" s="7"/>
      <c r="K53" s="7"/>
      <c r="L53" s="7"/>
      <c r="M53" s="7"/>
      <c r="N53" s="161"/>
      <c r="O53" s="7"/>
      <c r="P53" s="7"/>
      <c r="Q53" s="20"/>
      <c r="R53" s="20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2:39" x14ac:dyDescent="0.25">
      <c r="B54" s="169"/>
      <c r="C54" s="186"/>
      <c r="D54" s="122"/>
      <c r="E54"/>
      <c r="F54"/>
      <c r="G54" s="122"/>
      <c r="H54" s="184"/>
      <c r="I54" s="184"/>
      <c r="J54" s="20"/>
      <c r="K54" s="103"/>
      <c r="L54" s="7"/>
      <c r="M54" s="134"/>
      <c r="N54" s="204"/>
      <c r="O54" s="204"/>
      <c r="P54" s="204"/>
      <c r="Q54" s="159"/>
      <c r="R54" s="159"/>
      <c r="S54" s="134"/>
      <c r="T54" s="134"/>
      <c r="U54" s="165"/>
      <c r="W54" s="188"/>
      <c r="X54" s="188"/>
      <c r="Y54" s="134"/>
      <c r="Z54" s="134"/>
      <c r="AA54" s="134"/>
      <c r="AB54" s="134"/>
      <c r="AC54" s="134"/>
      <c r="AD54" s="204"/>
      <c r="AE54" s="211"/>
      <c r="AF54" s="7"/>
      <c r="AG54" s="7"/>
      <c r="AH54" s="7"/>
      <c r="AI54" s="161"/>
      <c r="AJ54" s="161"/>
      <c r="AK54" s="161"/>
      <c r="AL54" s="161"/>
      <c r="AM54" s="161"/>
    </row>
    <row r="55" spans="2:39" x14ac:dyDescent="0.25">
      <c r="B55" s="168"/>
      <c r="C55" s="186"/>
      <c r="D55" s="122"/>
      <c r="E55"/>
      <c r="F55"/>
      <c r="G55" s="122"/>
      <c r="H55" s="184"/>
      <c r="I55" s="184"/>
      <c r="J55" s="155"/>
      <c r="K55" s="251"/>
      <c r="L55" s="252"/>
      <c r="M55" s="252"/>
      <c r="N55" s="296"/>
      <c r="O55" s="297"/>
      <c r="P55" s="297"/>
      <c r="Q55" s="301"/>
      <c r="R55" s="302"/>
      <c r="S55" s="303"/>
      <c r="T55" s="304"/>
      <c r="U55" s="305"/>
      <c r="V55" s="298"/>
      <c r="W55" s="306"/>
      <c r="X55" s="307"/>
      <c r="Y55" s="253"/>
      <c r="Z55" s="253"/>
      <c r="AA55" s="253"/>
      <c r="AB55" s="254"/>
      <c r="AC55" s="248"/>
      <c r="AD55" s="247"/>
      <c r="AE55" s="308"/>
      <c r="AF55" s="7"/>
      <c r="AG55" s="7"/>
      <c r="AH55" s="7"/>
      <c r="AI55" s="161"/>
      <c r="AJ55" s="161"/>
      <c r="AK55" s="161"/>
      <c r="AL55" s="161"/>
      <c r="AM55" s="161"/>
    </row>
    <row r="56" spans="2:39" x14ac:dyDescent="0.25">
      <c r="B56" s="169"/>
      <c r="C56" s="170"/>
      <c r="D56" s="122"/>
      <c r="E56"/>
      <c r="F56"/>
      <c r="G56" s="122"/>
      <c r="H56" s="184"/>
      <c r="I56" s="184"/>
      <c r="J56" s="155"/>
      <c r="K56" s="102"/>
      <c r="L56" s="133"/>
      <c r="M56" s="133"/>
      <c r="N56" s="205"/>
      <c r="O56" s="206"/>
      <c r="P56" s="206"/>
      <c r="Q56" s="160"/>
      <c r="R56" s="163"/>
      <c r="S56" s="158"/>
      <c r="T56" s="162"/>
      <c r="U56" s="166"/>
      <c r="V56" s="199"/>
      <c r="W56" s="188"/>
      <c r="X56" s="188"/>
      <c r="Y56" s="134"/>
      <c r="Z56" s="134"/>
      <c r="AA56" s="134"/>
      <c r="AB56" s="142"/>
      <c r="AC56" s="143"/>
      <c r="AD56" s="207"/>
      <c r="AE56" s="212"/>
      <c r="AF56" s="120"/>
      <c r="AG56" s="10"/>
      <c r="AH56" s="10"/>
      <c r="AI56" s="217"/>
      <c r="AJ56" s="217"/>
      <c r="AK56" s="217"/>
      <c r="AL56" s="217"/>
      <c r="AM56" s="217"/>
    </row>
    <row r="57" spans="2:39" x14ac:dyDescent="0.25">
      <c r="B57" s="168"/>
      <c r="C57" s="170"/>
      <c r="D57" s="122"/>
      <c r="E57"/>
      <c r="F57"/>
      <c r="G57" s="122"/>
      <c r="H57" s="184"/>
      <c r="I57" s="184"/>
      <c r="J57" s="155"/>
      <c r="K57" s="102"/>
      <c r="L57" s="133"/>
      <c r="M57" s="252"/>
      <c r="N57" s="299"/>
      <c r="O57" s="300"/>
      <c r="P57" s="206"/>
      <c r="Q57" s="160"/>
      <c r="R57" s="163"/>
      <c r="S57" s="158"/>
      <c r="T57" s="162"/>
      <c r="U57" s="305"/>
      <c r="V57" s="298"/>
      <c r="W57" s="188"/>
      <c r="X57" s="188"/>
      <c r="Y57" s="241"/>
      <c r="Z57" s="134"/>
      <c r="AA57" s="134"/>
      <c r="AB57" s="142"/>
      <c r="AC57" s="143"/>
      <c r="AD57" s="207"/>
      <c r="AE57" s="212"/>
      <c r="AF57" s="120"/>
      <c r="AG57" s="10"/>
      <c r="AH57" s="10"/>
      <c r="AI57" s="217"/>
      <c r="AJ57" s="217"/>
      <c r="AK57" s="217"/>
      <c r="AL57" s="217"/>
      <c r="AM57" s="217"/>
    </row>
    <row r="58" spans="2:39" x14ac:dyDescent="0.25">
      <c r="B58" s="169"/>
      <c r="C58" s="170"/>
      <c r="D58" s="122"/>
      <c r="E58"/>
      <c r="F58"/>
      <c r="G58" s="122"/>
      <c r="H58" s="184"/>
      <c r="I58" s="184"/>
      <c r="J58" s="155"/>
      <c r="K58" s="102"/>
      <c r="L58" s="133"/>
      <c r="M58" s="133"/>
      <c r="N58" s="205"/>
      <c r="O58" s="206"/>
      <c r="P58" s="206"/>
      <c r="Q58" s="160"/>
      <c r="R58" s="163"/>
      <c r="S58" s="158"/>
      <c r="T58" s="162"/>
      <c r="U58" s="166"/>
      <c r="V58" s="199"/>
      <c r="W58" s="188"/>
      <c r="X58" s="188"/>
      <c r="Y58" s="134"/>
      <c r="Z58" s="134"/>
      <c r="AA58" s="134"/>
      <c r="AB58" s="142"/>
      <c r="AC58" s="143"/>
      <c r="AD58" s="207"/>
      <c r="AE58" s="212"/>
      <c r="AF58" s="120"/>
      <c r="AG58" s="10"/>
      <c r="AH58" s="10"/>
      <c r="AI58" s="217"/>
      <c r="AJ58" s="217"/>
      <c r="AK58" s="217"/>
      <c r="AL58" s="217"/>
      <c r="AM58" s="217"/>
    </row>
    <row r="59" spans="2:39" x14ac:dyDescent="0.25">
      <c r="B59" s="168"/>
      <c r="C59" s="170"/>
      <c r="D59" s="122"/>
      <c r="E59"/>
      <c r="F59"/>
      <c r="G59" s="122"/>
      <c r="H59" s="184"/>
      <c r="I59" s="184"/>
      <c r="J59" s="155"/>
      <c r="K59" s="102"/>
      <c r="L59" s="133"/>
      <c r="M59" s="252"/>
      <c r="N59" s="299"/>
      <c r="O59" s="300"/>
      <c r="P59" s="206"/>
      <c r="Q59" s="160"/>
      <c r="R59" s="163"/>
      <c r="S59" s="158"/>
      <c r="T59" s="162"/>
      <c r="U59" s="305"/>
      <c r="V59" s="298"/>
      <c r="W59" s="188"/>
      <c r="X59" s="188"/>
      <c r="Y59" s="241"/>
      <c r="Z59" s="134"/>
      <c r="AA59" s="134"/>
      <c r="AB59" s="142"/>
      <c r="AC59" s="143"/>
      <c r="AD59" s="207"/>
      <c r="AE59" s="212"/>
      <c r="AF59" s="120"/>
      <c r="AG59" s="10"/>
      <c r="AH59" s="10"/>
      <c r="AI59" s="217"/>
      <c r="AJ59" s="217"/>
      <c r="AK59" s="217"/>
      <c r="AL59" s="217"/>
      <c r="AM59" s="217"/>
    </row>
    <row r="60" spans="2:39" x14ac:dyDescent="0.25">
      <c r="B60" s="169"/>
      <c r="C60" s="170"/>
      <c r="D60" s="122"/>
      <c r="E60"/>
      <c r="F60"/>
      <c r="G60" s="122"/>
      <c r="H60" s="184"/>
      <c r="I60" s="184"/>
      <c r="J60" s="155"/>
      <c r="K60" s="102"/>
      <c r="L60" s="133"/>
      <c r="M60" s="133"/>
      <c r="N60" s="205"/>
      <c r="O60" s="206"/>
      <c r="P60" s="206"/>
      <c r="Q60" s="160"/>
      <c r="R60" s="163"/>
      <c r="S60" s="158"/>
      <c r="T60" s="162"/>
      <c r="U60" s="166"/>
      <c r="V60" s="199"/>
      <c r="W60" s="188"/>
      <c r="X60" s="188"/>
      <c r="Y60" s="134"/>
      <c r="Z60" s="134"/>
      <c r="AA60" s="134"/>
      <c r="AB60" s="142"/>
      <c r="AC60" s="143"/>
      <c r="AD60" s="207"/>
      <c r="AE60" s="212"/>
      <c r="AF60" s="120"/>
      <c r="AG60" s="10"/>
      <c r="AH60" s="10"/>
      <c r="AI60" s="217"/>
      <c r="AJ60" s="217"/>
      <c r="AK60" s="217"/>
      <c r="AL60" s="217"/>
      <c r="AM60" s="217"/>
    </row>
    <row r="61" spans="2:39" x14ac:dyDescent="0.25">
      <c r="B61" s="168"/>
      <c r="C61" s="187"/>
      <c r="D61" s="122"/>
      <c r="E61"/>
      <c r="F61"/>
      <c r="G61" s="122"/>
      <c r="H61" s="184"/>
      <c r="I61" s="184"/>
      <c r="J61" s="155"/>
      <c r="K61" s="102"/>
      <c r="L61" s="133"/>
      <c r="M61" s="252"/>
      <c r="N61" s="299"/>
      <c r="O61" s="300"/>
      <c r="P61" s="206"/>
      <c r="Q61" s="160"/>
      <c r="R61" s="163"/>
      <c r="S61" s="158"/>
      <c r="T61" s="162"/>
      <c r="U61" s="305"/>
      <c r="V61" s="298"/>
      <c r="W61" s="188"/>
      <c r="X61" s="188"/>
      <c r="Y61" s="241"/>
      <c r="Z61" s="134"/>
      <c r="AA61" s="134"/>
      <c r="AB61" s="142"/>
      <c r="AC61" s="143"/>
      <c r="AD61" s="207"/>
      <c r="AE61" s="212"/>
      <c r="AF61" s="120"/>
      <c r="AG61" s="10"/>
      <c r="AH61" s="10"/>
      <c r="AI61" s="217"/>
      <c r="AJ61" s="217"/>
      <c r="AK61" s="217"/>
      <c r="AL61" s="217"/>
      <c r="AM61" s="217"/>
    </row>
    <row r="62" spans="2:39" x14ac:dyDescent="0.25">
      <c r="B62" s="169"/>
      <c r="C62" s="170"/>
      <c r="D62" s="122"/>
      <c r="E62"/>
      <c r="F62"/>
      <c r="G62" s="122"/>
      <c r="H62" s="184"/>
      <c r="I62" s="184"/>
      <c r="J62" s="155"/>
      <c r="K62" s="102"/>
      <c r="L62" s="133"/>
      <c r="M62" s="133"/>
      <c r="N62" s="205"/>
      <c r="O62" s="206"/>
      <c r="P62" s="206"/>
      <c r="Q62" s="160"/>
      <c r="R62" s="163"/>
      <c r="S62" s="158"/>
      <c r="T62" s="162"/>
      <c r="U62" s="166"/>
      <c r="V62" s="199"/>
      <c r="W62" s="188"/>
      <c r="X62" s="188"/>
      <c r="Y62" s="134"/>
      <c r="Z62" s="134"/>
      <c r="AA62" s="134"/>
      <c r="AB62" s="142"/>
      <c r="AC62" s="143"/>
      <c r="AD62" s="207"/>
      <c r="AE62" s="212"/>
      <c r="AF62" s="120"/>
      <c r="AG62" s="10"/>
      <c r="AH62" s="10"/>
      <c r="AI62" s="217"/>
      <c r="AJ62" s="217"/>
      <c r="AK62" s="217"/>
      <c r="AL62" s="217"/>
      <c r="AM62" s="217"/>
    </row>
    <row r="63" spans="2:39" x14ac:dyDescent="0.25">
      <c r="B63" s="168"/>
      <c r="C63" s="170"/>
      <c r="D63" s="122"/>
      <c r="E63"/>
      <c r="F63"/>
      <c r="G63" s="122"/>
      <c r="H63" s="184"/>
      <c r="I63" s="184"/>
      <c r="J63" s="155"/>
      <c r="K63" s="102"/>
      <c r="L63" s="133"/>
      <c r="M63" s="252"/>
      <c r="N63" s="299"/>
      <c r="O63" s="300"/>
      <c r="P63" s="206"/>
      <c r="Q63" s="160"/>
      <c r="R63" s="163"/>
      <c r="S63" s="158"/>
      <c r="T63" s="162"/>
      <c r="U63" s="305"/>
      <c r="V63" s="298"/>
      <c r="W63" s="188"/>
      <c r="X63" s="188"/>
      <c r="Y63" s="241"/>
      <c r="Z63" s="134"/>
      <c r="AA63" s="134"/>
      <c r="AB63" s="142"/>
      <c r="AC63" s="143"/>
      <c r="AD63" s="207"/>
      <c r="AE63" s="212"/>
      <c r="AF63" s="120"/>
      <c r="AG63" s="10"/>
      <c r="AH63" s="10"/>
      <c r="AI63" s="217"/>
      <c r="AJ63" s="217"/>
      <c r="AK63" s="217"/>
      <c r="AL63" s="217"/>
      <c r="AM63" s="217"/>
    </row>
    <row r="64" spans="2:39" x14ac:dyDescent="0.25">
      <c r="B64" s="169"/>
      <c r="C64" s="170"/>
      <c r="D64" s="122"/>
      <c r="E64"/>
      <c r="F64"/>
      <c r="G64" s="122"/>
      <c r="H64" s="184"/>
      <c r="I64" s="184"/>
      <c r="J64" s="155"/>
      <c r="K64" s="102"/>
      <c r="L64" s="133"/>
      <c r="M64" s="133"/>
      <c r="N64" s="205"/>
      <c r="O64" s="206"/>
      <c r="P64" s="206"/>
      <c r="Q64" s="160"/>
      <c r="R64" s="163"/>
      <c r="S64" s="158"/>
      <c r="T64" s="162"/>
      <c r="U64" s="166"/>
      <c r="V64" s="199"/>
      <c r="W64" s="188"/>
      <c r="X64" s="188"/>
      <c r="Y64" s="134"/>
      <c r="Z64" s="134"/>
      <c r="AA64" s="134"/>
      <c r="AB64" s="142"/>
      <c r="AC64" s="143"/>
      <c r="AD64" s="207"/>
      <c r="AE64" s="212"/>
      <c r="AF64" s="120"/>
      <c r="AG64" s="10"/>
      <c r="AH64" s="10"/>
      <c r="AI64" s="217"/>
      <c r="AJ64" s="217"/>
      <c r="AK64" s="217"/>
      <c r="AL64" s="217"/>
      <c r="AM64" s="217"/>
    </row>
    <row r="65" spans="2:39" x14ac:dyDescent="0.25">
      <c r="B65" s="168"/>
      <c r="C65" s="170"/>
      <c r="D65" s="122"/>
      <c r="E65"/>
      <c r="F65"/>
      <c r="G65" s="122"/>
      <c r="H65" s="184"/>
      <c r="I65" s="295"/>
      <c r="J65" s="155"/>
      <c r="K65" s="102"/>
      <c r="L65" s="133"/>
      <c r="M65" s="252"/>
      <c r="N65" s="296"/>
      <c r="O65" s="297"/>
      <c r="P65" s="319"/>
      <c r="Q65" s="160"/>
      <c r="R65" s="163"/>
      <c r="S65" s="158"/>
      <c r="T65" s="162"/>
      <c r="U65" s="305"/>
      <c r="V65" s="298"/>
      <c r="W65" s="195"/>
      <c r="X65" s="198"/>
      <c r="Y65" s="241"/>
      <c r="Z65" s="134"/>
      <c r="AA65" s="134"/>
      <c r="AB65" s="142"/>
      <c r="AC65" s="143"/>
      <c r="AD65" s="208"/>
      <c r="AE65" s="320"/>
      <c r="AF65" s="215"/>
      <c r="AG65" s="216"/>
      <c r="AH65" s="216"/>
      <c r="AI65" s="193"/>
      <c r="AJ65" s="218"/>
      <c r="AK65" s="193"/>
      <c r="AL65" s="193"/>
      <c r="AM65" s="193"/>
    </row>
    <row r="66" spans="2:39" x14ac:dyDescent="0.25">
      <c r="B66" s="169"/>
      <c r="C66" s="170"/>
      <c r="D66" s="122"/>
      <c r="E66"/>
      <c r="F66"/>
      <c r="G66" s="122"/>
      <c r="H66" s="184"/>
      <c r="I66" s="184"/>
      <c r="J66" s="155"/>
      <c r="K66" s="102"/>
      <c r="L66" s="133"/>
      <c r="M66" s="133"/>
      <c r="N66" s="205"/>
      <c r="O66" s="206"/>
      <c r="P66" s="206"/>
      <c r="Q66" s="160"/>
      <c r="R66" s="163"/>
      <c r="S66" s="158"/>
      <c r="T66" s="162"/>
      <c r="U66" s="166"/>
      <c r="V66" s="199"/>
      <c r="W66" s="188"/>
      <c r="X66" s="188"/>
      <c r="Y66" s="134"/>
      <c r="Z66" s="134"/>
      <c r="AA66" s="134"/>
      <c r="AB66" s="142"/>
      <c r="AC66" s="143"/>
      <c r="AD66" s="207"/>
      <c r="AE66" s="212"/>
      <c r="AF66" s="120"/>
      <c r="AG66" s="10"/>
      <c r="AH66" s="10"/>
      <c r="AI66" s="217"/>
      <c r="AJ66" s="217"/>
      <c r="AK66" s="217"/>
      <c r="AL66" s="217"/>
      <c r="AM66" s="217"/>
    </row>
    <row r="67" spans="2:39" x14ac:dyDescent="0.25">
      <c r="N67" s="191"/>
      <c r="O67" s="191"/>
      <c r="P67" s="191"/>
      <c r="AD67" s="191"/>
      <c r="AE67" s="214"/>
      <c r="AF67" s="120"/>
      <c r="AG67" s="10"/>
      <c r="AH67" s="10"/>
      <c r="AI67" s="217"/>
      <c r="AJ67" s="217"/>
      <c r="AK67" s="219"/>
      <c r="AL67" s="219"/>
      <c r="AM67" s="219"/>
    </row>
    <row r="68" spans="2:39" ht="15.75" x14ac:dyDescent="0.25">
      <c r="B68" s="74"/>
      <c r="N68" s="191"/>
      <c r="O68" s="191"/>
      <c r="P68" s="191"/>
      <c r="AD68" s="191"/>
      <c r="AE68" s="214"/>
      <c r="AF68" s="120"/>
      <c r="AG68" s="10"/>
      <c r="AH68" s="10"/>
      <c r="AI68" s="217"/>
      <c r="AJ68" s="217"/>
      <c r="AK68" s="217"/>
      <c r="AL68" s="217"/>
      <c r="AM68" s="217"/>
    </row>
    <row r="69" spans="2:39" x14ac:dyDescent="0.25">
      <c r="N69" s="191"/>
      <c r="O69" s="191"/>
      <c r="P69" s="191"/>
      <c r="AD69" s="191"/>
      <c r="AE69" s="214"/>
      <c r="AF69" s="120"/>
      <c r="AG69" s="10"/>
      <c r="AH69" s="10"/>
      <c r="AI69" s="217"/>
      <c r="AJ69" s="217"/>
      <c r="AK69" s="217"/>
      <c r="AL69" s="217"/>
      <c r="AM69" s="217"/>
    </row>
    <row r="70" spans="2:39" ht="18.75" x14ac:dyDescent="0.3">
      <c r="B70" s="5"/>
      <c r="C70" s="185"/>
      <c r="D70" s="7"/>
      <c r="E70" s="7"/>
      <c r="F70" s="7"/>
      <c r="G70" s="7"/>
      <c r="H70" s="63"/>
      <c r="I70" s="63"/>
      <c r="J70" s="99"/>
      <c r="K70" s="24"/>
      <c r="L70" s="24"/>
      <c r="M70" s="24"/>
      <c r="N70" s="21"/>
      <c r="O70" s="21"/>
      <c r="P70" s="21"/>
      <c r="Q70" s="24"/>
      <c r="R70" s="24"/>
      <c r="S70" s="21"/>
      <c r="T70" s="21"/>
      <c r="U70" s="99"/>
      <c r="V70" s="167"/>
      <c r="W70" s="185"/>
      <c r="X70" s="185"/>
      <c r="Y70" s="5"/>
      <c r="Z70" s="5"/>
      <c r="AA70" s="5"/>
      <c r="AB70" s="5"/>
      <c r="AC70" s="5"/>
      <c r="AD70" s="21"/>
      <c r="AE70" s="185"/>
      <c r="AF70" s="99"/>
      <c r="AG70" s="99"/>
      <c r="AH70" s="99"/>
      <c r="AI70" s="21"/>
      <c r="AJ70" s="21"/>
      <c r="AK70" s="21"/>
      <c r="AL70" s="21"/>
      <c r="AM70" s="21"/>
    </row>
    <row r="71" spans="2:39" x14ac:dyDescent="0.25">
      <c r="C71" s="186"/>
      <c r="D71" s="7"/>
      <c r="E71" s="7"/>
      <c r="F71" s="7"/>
      <c r="G71" s="7"/>
      <c r="H71" s="2"/>
      <c r="I71" s="2"/>
      <c r="J71" s="7"/>
      <c r="K71" s="7"/>
      <c r="L71" s="7"/>
      <c r="M71" s="7"/>
      <c r="N71" s="161"/>
      <c r="O71" s="161"/>
      <c r="P71" s="161"/>
      <c r="Q71" s="20"/>
      <c r="R71" s="20"/>
      <c r="S71" s="161"/>
      <c r="T71" s="2"/>
      <c r="U71" s="164"/>
      <c r="V71" s="164"/>
      <c r="W71" s="186"/>
      <c r="X71" s="186"/>
      <c r="Y71" s="7"/>
      <c r="Z71" s="7"/>
      <c r="AA71" s="7"/>
      <c r="AB71" s="7"/>
      <c r="AD71" s="191"/>
      <c r="AE71" s="214"/>
      <c r="AF71" s="120"/>
      <c r="AG71" s="10"/>
      <c r="AH71" s="10"/>
      <c r="AI71" s="191"/>
      <c r="AJ71" s="161"/>
      <c r="AK71" s="161"/>
      <c r="AL71" s="161"/>
      <c r="AM71" s="161"/>
    </row>
    <row r="72" spans="2:39" x14ac:dyDescent="0.25">
      <c r="K72" s="7"/>
      <c r="L72" s="7"/>
      <c r="M72" s="47"/>
      <c r="O72" s="7"/>
      <c r="P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2:39" x14ac:dyDescent="0.25">
      <c r="C73" s="170"/>
      <c r="D73" s="122"/>
      <c r="E73"/>
      <c r="F73"/>
      <c r="G73" s="122"/>
      <c r="H73" s="184"/>
      <c r="I73" s="184"/>
      <c r="J73" s="155"/>
      <c r="K73" s="203"/>
      <c r="L73" s="201"/>
      <c r="M73" s="201"/>
      <c r="N73" s="205"/>
      <c r="O73" s="206"/>
      <c r="P73" s="206"/>
      <c r="Q73" s="160"/>
      <c r="R73" s="163"/>
      <c r="S73" s="158"/>
      <c r="T73" s="162"/>
      <c r="U73" s="166"/>
      <c r="V73" s="199"/>
      <c r="W73" s="195"/>
      <c r="X73" s="198"/>
      <c r="Y73" s="105"/>
      <c r="Z73" s="105"/>
      <c r="AA73" s="201"/>
      <c r="AB73" s="202"/>
      <c r="AC73" s="202"/>
      <c r="AD73" s="317"/>
      <c r="AE73" s="327"/>
      <c r="AF73" s="120"/>
      <c r="AG73" s="8"/>
      <c r="AH73" s="8"/>
      <c r="AI73" s="246"/>
      <c r="AJ73" s="268"/>
      <c r="AK73" s="313"/>
      <c r="AL73" s="313"/>
      <c r="AM73" s="313"/>
    </row>
    <row r="74" spans="2:39" x14ac:dyDescent="0.25">
      <c r="C74" s="170"/>
      <c r="D74" s="122"/>
      <c r="E74"/>
      <c r="F74"/>
      <c r="G74" s="122"/>
      <c r="H74" s="184"/>
      <c r="I74" s="184"/>
      <c r="J74" s="155"/>
      <c r="K74" s="203"/>
      <c r="L74" s="201"/>
      <c r="M74" s="201"/>
      <c r="N74" s="205"/>
      <c r="O74" s="206"/>
      <c r="P74" s="206"/>
      <c r="Q74" s="160"/>
      <c r="R74" s="163"/>
      <c r="S74" s="158"/>
      <c r="T74" s="162"/>
      <c r="U74" s="166"/>
      <c r="V74" s="199"/>
      <c r="W74" s="195"/>
      <c r="X74" s="198"/>
      <c r="Y74" s="105"/>
      <c r="Z74" s="105"/>
      <c r="AA74" s="201"/>
      <c r="AB74" s="202"/>
      <c r="AC74" s="202"/>
      <c r="AD74" s="317"/>
      <c r="AE74" s="327"/>
      <c r="AF74" s="120"/>
      <c r="AG74" s="8"/>
      <c r="AH74" s="8"/>
      <c r="AI74" s="246"/>
      <c r="AJ74" s="268"/>
      <c r="AK74" s="313"/>
      <c r="AL74" s="313"/>
      <c r="AM74" s="313"/>
    </row>
    <row r="75" spans="2:39" x14ac:dyDescent="0.25">
      <c r="C75" s="170"/>
      <c r="D75" s="122"/>
      <c r="E75"/>
      <c r="F75"/>
      <c r="G75" s="122"/>
      <c r="H75" s="184"/>
      <c r="I75" s="184"/>
      <c r="J75" s="155"/>
      <c r="K75" s="203"/>
      <c r="L75" s="201"/>
      <c r="M75" s="201"/>
      <c r="N75" s="205"/>
      <c r="O75" s="206"/>
      <c r="P75" s="206"/>
      <c r="Q75" s="160"/>
      <c r="R75" s="163"/>
      <c r="S75" s="158"/>
      <c r="T75" s="162"/>
      <c r="U75" s="166"/>
      <c r="V75" s="199"/>
      <c r="W75" s="195"/>
      <c r="X75" s="198"/>
      <c r="Y75" s="105"/>
      <c r="Z75" s="105"/>
      <c r="AA75" s="201"/>
      <c r="AB75" s="202"/>
      <c r="AC75" s="202"/>
      <c r="AD75" s="317"/>
      <c r="AE75" s="327"/>
      <c r="AF75" s="120"/>
      <c r="AG75" s="8"/>
      <c r="AH75" s="8"/>
      <c r="AI75" s="246"/>
      <c r="AJ75" s="268"/>
      <c r="AK75" s="313"/>
      <c r="AL75" s="313"/>
      <c r="AM75" s="313"/>
    </row>
    <row r="76" spans="2:39" x14ac:dyDescent="0.25">
      <c r="C76" s="170"/>
      <c r="D76" s="122"/>
      <c r="E76"/>
      <c r="F76"/>
      <c r="G76" s="122"/>
      <c r="H76" s="184"/>
      <c r="I76" s="184"/>
      <c r="J76" s="155"/>
      <c r="K76" s="203"/>
      <c r="L76" s="201"/>
      <c r="M76" s="201"/>
      <c r="N76" s="205"/>
      <c r="O76" s="206"/>
      <c r="P76" s="206"/>
      <c r="Q76" s="160"/>
      <c r="R76" s="163"/>
      <c r="S76" s="158"/>
      <c r="T76" s="162"/>
      <c r="U76" s="166"/>
      <c r="V76" s="199"/>
      <c r="W76" s="195"/>
      <c r="X76" s="198"/>
      <c r="Y76" s="105"/>
      <c r="Z76" s="105"/>
      <c r="AA76" s="201"/>
      <c r="AB76" s="202"/>
      <c r="AC76" s="202"/>
      <c r="AD76" s="317"/>
      <c r="AE76" s="327"/>
      <c r="AF76" s="120"/>
      <c r="AG76" s="8"/>
      <c r="AH76" s="8"/>
      <c r="AI76" s="246"/>
      <c r="AJ76" s="268"/>
      <c r="AK76" s="313"/>
      <c r="AL76" s="313"/>
      <c r="AM76" s="313"/>
    </row>
    <row r="77" spans="2:39" x14ac:dyDescent="0.25">
      <c r="C77" s="170"/>
      <c r="D77" s="122"/>
      <c r="E77"/>
      <c r="F77"/>
      <c r="G77" s="122"/>
      <c r="H77" s="184"/>
      <c r="I77" s="184"/>
      <c r="J77" s="155"/>
      <c r="K77" s="203"/>
      <c r="L77" s="201"/>
      <c r="M77" s="201"/>
      <c r="N77" s="205"/>
      <c r="O77" s="206"/>
      <c r="P77" s="206"/>
      <c r="Q77" s="160"/>
      <c r="R77" s="163"/>
      <c r="S77" s="158"/>
      <c r="T77" s="162"/>
      <c r="U77" s="166"/>
      <c r="V77" s="199"/>
      <c r="W77" s="195"/>
      <c r="X77" s="198"/>
      <c r="Y77" s="105"/>
      <c r="Z77" s="105"/>
      <c r="AA77" s="201"/>
      <c r="AB77" s="202"/>
      <c r="AC77" s="202"/>
      <c r="AD77" s="317"/>
      <c r="AE77" s="327"/>
      <c r="AF77" s="120"/>
      <c r="AG77" s="8"/>
      <c r="AH77" s="8"/>
      <c r="AI77" s="246"/>
      <c r="AJ77" s="268"/>
      <c r="AK77" s="313"/>
      <c r="AL77" s="313"/>
      <c r="AM77" s="313"/>
    </row>
    <row r="78" spans="2:39" x14ac:dyDescent="0.25">
      <c r="C78" s="170"/>
      <c r="D78" s="122"/>
      <c r="E78"/>
      <c r="F78"/>
      <c r="G78" s="122"/>
      <c r="H78" s="184"/>
      <c r="I78" s="184"/>
      <c r="J78" s="155"/>
      <c r="K78" s="203"/>
      <c r="L78" s="201"/>
      <c r="M78" s="201"/>
      <c r="N78" s="205"/>
      <c r="O78" s="206"/>
      <c r="P78" s="206"/>
      <c r="Q78" s="160"/>
      <c r="R78" s="163"/>
      <c r="S78" s="158"/>
      <c r="T78" s="162"/>
      <c r="U78" s="166"/>
      <c r="V78" s="199"/>
      <c r="W78" s="195"/>
      <c r="X78" s="198"/>
      <c r="Y78" s="105"/>
      <c r="Z78" s="105"/>
      <c r="AA78" s="201"/>
      <c r="AB78" s="202"/>
      <c r="AC78" s="202"/>
      <c r="AD78" s="317"/>
      <c r="AE78" s="327"/>
      <c r="AF78" s="120"/>
      <c r="AG78" s="8"/>
      <c r="AH78" s="8"/>
      <c r="AI78" s="246"/>
      <c r="AJ78" s="268"/>
      <c r="AK78" s="313"/>
      <c r="AL78" s="313"/>
      <c r="AM78" s="313"/>
    </row>
    <row r="79" spans="2:39" x14ac:dyDescent="0.25">
      <c r="C79" s="170"/>
      <c r="D79" s="122"/>
      <c r="E79"/>
      <c r="F79"/>
      <c r="G79" s="122"/>
      <c r="H79" s="184"/>
      <c r="I79" s="184"/>
      <c r="J79" s="155"/>
      <c r="K79" s="203"/>
      <c r="L79" s="201"/>
      <c r="M79" s="201"/>
      <c r="N79" s="205"/>
      <c r="O79" s="206"/>
      <c r="P79" s="206"/>
      <c r="Q79" s="160"/>
      <c r="R79" s="163"/>
      <c r="S79" s="158"/>
      <c r="T79" s="162"/>
      <c r="U79" s="166"/>
      <c r="V79" s="199"/>
      <c r="W79" s="195"/>
      <c r="X79" s="198"/>
      <c r="Y79" s="105"/>
      <c r="Z79" s="105"/>
      <c r="AA79" s="201"/>
      <c r="AB79" s="202"/>
      <c r="AC79" s="202"/>
      <c r="AD79" s="317"/>
      <c r="AE79" s="327"/>
      <c r="AF79" s="120"/>
      <c r="AG79" s="8"/>
      <c r="AH79" s="8"/>
      <c r="AI79" s="246"/>
      <c r="AJ79" s="268"/>
      <c r="AK79" s="313"/>
      <c r="AL79" s="313"/>
      <c r="AM79" s="313"/>
    </row>
    <row r="80" spans="2:39" x14ac:dyDescent="0.25">
      <c r="C80" s="170"/>
      <c r="D80" s="122"/>
      <c r="E80"/>
      <c r="F80"/>
      <c r="G80" s="122"/>
      <c r="H80" s="184"/>
      <c r="I80" s="184"/>
      <c r="J80" s="155"/>
      <c r="K80" s="203"/>
      <c r="L80" s="201"/>
      <c r="M80" s="201"/>
      <c r="N80" s="205"/>
      <c r="O80" s="206"/>
      <c r="P80" s="206"/>
      <c r="Q80" s="160"/>
      <c r="R80" s="163"/>
      <c r="S80" s="158"/>
      <c r="T80" s="162"/>
      <c r="U80" s="166"/>
      <c r="V80" s="199"/>
      <c r="W80" s="195"/>
      <c r="X80" s="198"/>
      <c r="Y80" s="105"/>
      <c r="Z80" s="105"/>
      <c r="AA80" s="201"/>
      <c r="AB80" s="202"/>
      <c r="AC80" s="202"/>
      <c r="AD80" s="317"/>
      <c r="AE80" s="327"/>
      <c r="AF80" s="120"/>
      <c r="AG80" s="8"/>
      <c r="AH80" s="8"/>
      <c r="AI80" s="246"/>
      <c r="AJ80" s="268"/>
      <c r="AK80" s="313"/>
      <c r="AL80" s="313"/>
      <c r="AM80" s="313"/>
    </row>
    <row r="81" spans="2:39" x14ac:dyDescent="0.25">
      <c r="C81" s="170"/>
      <c r="D81" s="122"/>
      <c r="E81"/>
      <c r="F81"/>
      <c r="G81" s="122"/>
      <c r="H81" s="184"/>
      <c r="I81" s="184"/>
      <c r="J81" s="155"/>
      <c r="K81" s="203"/>
      <c r="L81" s="201"/>
      <c r="M81" s="201"/>
      <c r="N81" s="205"/>
      <c r="O81" s="206"/>
      <c r="P81" s="206"/>
      <c r="Q81" s="160"/>
      <c r="R81" s="163"/>
      <c r="S81" s="158"/>
      <c r="T81" s="162"/>
      <c r="U81" s="166"/>
      <c r="V81" s="199"/>
      <c r="W81" s="195"/>
      <c r="X81" s="198"/>
      <c r="Y81" s="105"/>
      <c r="Z81" s="105"/>
      <c r="AA81" s="201"/>
      <c r="AB81" s="202"/>
      <c r="AC81" s="202"/>
      <c r="AD81" s="317"/>
      <c r="AE81" s="327"/>
      <c r="AF81" s="120"/>
      <c r="AG81" s="8"/>
      <c r="AH81" s="8"/>
      <c r="AI81" s="246"/>
      <c r="AJ81" s="268"/>
      <c r="AK81" s="313"/>
      <c r="AL81" s="313"/>
      <c r="AM81" s="313"/>
    </row>
    <row r="82" spans="2:39" x14ac:dyDescent="0.25">
      <c r="B82" s="5"/>
      <c r="C82" s="294"/>
      <c r="D82" s="122"/>
      <c r="E82" s="4"/>
      <c r="F82" s="4"/>
      <c r="G82" s="121"/>
      <c r="H82" s="295"/>
      <c r="I82" s="295"/>
      <c r="J82" s="155"/>
      <c r="K82" s="203"/>
      <c r="L82" s="201"/>
      <c r="M82" s="201"/>
      <c r="N82" s="321"/>
      <c r="O82" s="319"/>
      <c r="P82" s="319"/>
      <c r="Q82" s="322"/>
      <c r="R82" s="323"/>
      <c r="S82" s="324"/>
      <c r="T82" s="325"/>
      <c r="U82" s="326"/>
      <c r="V82" s="199"/>
      <c r="W82" s="195"/>
      <c r="X82" s="198"/>
      <c r="Y82" s="105"/>
      <c r="Z82" s="105"/>
      <c r="AA82" s="201"/>
      <c r="AB82" s="202"/>
      <c r="AC82" s="202"/>
      <c r="AD82" s="221"/>
      <c r="AE82" s="213"/>
      <c r="AF82" s="215"/>
      <c r="AG82" s="33"/>
      <c r="AH82" s="33"/>
      <c r="AI82" s="245"/>
      <c r="AJ82" s="218"/>
      <c r="AK82" s="220"/>
      <c r="AL82" s="220"/>
      <c r="AM82" s="220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FBAF-7B61-48DA-BE3E-9BECB4A7625C}">
  <dimension ref="B1:AM82"/>
  <sheetViews>
    <sheetView workbookViewId="0">
      <pane ySplit="1" topLeftCell="A2" activePane="bottomLeft" state="frozen"/>
      <selection pane="bottomLeft" activeCell="R43" sqref="R43"/>
    </sheetView>
  </sheetViews>
  <sheetFormatPr defaultColWidth="8.85546875" defaultRowHeight="15" x14ac:dyDescent="0.25"/>
  <cols>
    <col min="1" max="1" width="5.140625" customWidth="1"/>
    <col min="2" max="2" width="10.5703125" style="1" bestFit="1" customWidth="1"/>
    <col min="3" max="10" width="8.85546875" style="1"/>
    <col min="11" max="11" width="14.28515625" bestFit="1" customWidth="1"/>
    <col min="12" max="12" width="9.42578125" customWidth="1"/>
    <col min="13" max="13" width="9.28515625" customWidth="1"/>
    <col min="14" max="14" width="9.140625" customWidth="1"/>
    <col min="15" max="15" width="13.5703125" customWidth="1"/>
    <col min="16" max="16" width="13" customWidth="1"/>
    <col min="17" max="17" width="9.7109375" customWidth="1"/>
    <col min="18" max="18" width="11.28515625" customWidth="1"/>
    <col min="19" max="19" width="11.140625" customWidth="1"/>
    <col min="20" max="21" width="11.28515625" customWidth="1"/>
    <col min="22" max="22" width="13.28515625" customWidth="1"/>
    <col min="23" max="23" width="9" customWidth="1"/>
    <col min="24" max="24" width="10.42578125" customWidth="1"/>
    <col min="25" max="25" width="11.42578125" customWidth="1"/>
    <col min="26" max="26" width="10.5703125" bestFit="1" customWidth="1"/>
    <col min="27" max="27" width="12.42578125" bestFit="1" customWidth="1"/>
    <col min="28" max="28" width="11" customWidth="1"/>
    <col min="29" max="29" width="9.140625" customWidth="1"/>
    <col min="30" max="30" width="14.5703125" customWidth="1"/>
    <col min="31" max="31" width="9.140625" customWidth="1"/>
    <col min="32" max="32" width="8.28515625" customWidth="1"/>
    <col min="33" max="34" width="8.7109375" customWidth="1"/>
    <col min="35" max="35" width="9.140625" customWidth="1"/>
    <col min="36" max="36" width="12" customWidth="1"/>
    <col min="37" max="37" width="14" bestFit="1" customWidth="1"/>
    <col min="38" max="38" width="12" customWidth="1"/>
    <col min="39" max="39" width="8.7109375" customWidth="1"/>
  </cols>
  <sheetData>
    <row r="1" spans="2:39" ht="18.75" x14ac:dyDescent="0.3">
      <c r="B1" s="99" t="s">
        <v>0</v>
      </c>
      <c r="C1" s="185" t="s">
        <v>1</v>
      </c>
      <c r="D1" s="7" t="s">
        <v>2</v>
      </c>
      <c r="E1" s="7" t="s">
        <v>3</v>
      </c>
      <c r="F1" s="7" t="s">
        <v>202</v>
      </c>
      <c r="G1" s="7" t="s">
        <v>203</v>
      </c>
      <c r="H1" s="63" t="s">
        <v>179</v>
      </c>
      <c r="I1" s="63" t="s">
        <v>180</v>
      </c>
      <c r="J1" s="99" t="s">
        <v>32</v>
      </c>
      <c r="K1" s="24" t="s">
        <v>95</v>
      </c>
      <c r="L1" s="24" t="s">
        <v>160</v>
      </c>
      <c r="M1" s="24" t="s">
        <v>162</v>
      </c>
      <c r="N1" s="21" t="s">
        <v>272</v>
      </c>
      <c r="O1" s="21" t="s">
        <v>269</v>
      </c>
      <c r="P1" s="21" t="s">
        <v>270</v>
      </c>
      <c r="Q1" s="24" t="s">
        <v>164</v>
      </c>
      <c r="R1" s="24" t="s">
        <v>165</v>
      </c>
      <c r="S1" s="21" t="s">
        <v>166</v>
      </c>
      <c r="T1" s="21" t="s">
        <v>167</v>
      </c>
      <c r="U1" s="99" t="s">
        <v>238</v>
      </c>
      <c r="V1" s="167" t="s">
        <v>171</v>
      </c>
      <c r="W1" s="185" t="s">
        <v>141</v>
      </c>
      <c r="X1" s="185" t="s">
        <v>208</v>
      </c>
      <c r="Y1" s="5" t="s">
        <v>144</v>
      </c>
      <c r="Z1" s="5"/>
      <c r="AA1" s="5" t="s">
        <v>143</v>
      </c>
      <c r="AB1" s="5" t="s">
        <v>248</v>
      </c>
      <c r="AC1" s="24" t="s">
        <v>145</v>
      </c>
      <c r="AD1" s="21" t="s">
        <v>48</v>
      </c>
      <c r="AE1" s="209" t="s">
        <v>47</v>
      </c>
      <c r="AF1" s="99" t="s">
        <v>50</v>
      </c>
      <c r="AG1" s="99" t="s">
        <v>281</v>
      </c>
      <c r="AH1" s="99" t="s">
        <v>282</v>
      </c>
      <c r="AI1" s="21" t="s">
        <v>53</v>
      </c>
      <c r="AJ1" s="21" t="s">
        <v>286</v>
      </c>
      <c r="AK1" s="21" t="s">
        <v>293</v>
      </c>
      <c r="AL1" s="21" t="s">
        <v>291</v>
      </c>
      <c r="AM1" s="21" t="s">
        <v>298</v>
      </c>
    </row>
    <row r="2" spans="2:39" x14ac:dyDescent="0.25">
      <c r="B2" s="7" t="s">
        <v>36</v>
      </c>
      <c r="C2" s="186" t="s">
        <v>207</v>
      </c>
      <c r="D2" s="7" t="s">
        <v>301</v>
      </c>
      <c r="E2" s="7" t="s">
        <v>206</v>
      </c>
      <c r="F2" s="7" t="s">
        <v>206</v>
      </c>
      <c r="G2" s="7" t="s">
        <v>39</v>
      </c>
      <c r="H2" s="2" t="s">
        <v>206</v>
      </c>
      <c r="I2" s="2" t="s">
        <v>39</v>
      </c>
      <c r="J2" s="7"/>
      <c r="K2" s="7"/>
      <c r="L2" s="7" t="s">
        <v>161</v>
      </c>
      <c r="M2" s="7" t="s">
        <v>161</v>
      </c>
      <c r="N2" s="161" t="s">
        <v>161</v>
      </c>
      <c r="O2" s="161" t="s">
        <v>161</v>
      </c>
      <c r="P2" s="161" t="s">
        <v>161</v>
      </c>
      <c r="Q2" s="20" t="s">
        <v>168</v>
      </c>
      <c r="R2" s="20" t="s">
        <v>205</v>
      </c>
      <c r="S2" s="161" t="s">
        <v>169</v>
      </c>
      <c r="T2" s="2" t="s">
        <v>204</v>
      </c>
      <c r="U2" s="164" t="s">
        <v>170</v>
      </c>
      <c r="W2" s="186"/>
      <c r="X2" s="186"/>
      <c r="Y2" s="7"/>
      <c r="Z2" s="7"/>
      <c r="AA2" s="7"/>
      <c r="AB2" s="7"/>
      <c r="AC2" s="7"/>
      <c r="AD2" s="161"/>
      <c r="AE2" s="210"/>
      <c r="AI2" s="161" t="s">
        <v>283</v>
      </c>
      <c r="AJ2" s="161" t="s">
        <v>288</v>
      </c>
      <c r="AK2" s="161" t="s">
        <v>288</v>
      </c>
      <c r="AL2" s="161" t="s">
        <v>161</v>
      </c>
      <c r="AM2" s="161" t="s">
        <v>288</v>
      </c>
    </row>
    <row r="3" spans="2:39" x14ac:dyDescent="0.25">
      <c r="B3" s="7"/>
      <c r="C3" s="186"/>
      <c r="D3" s="7"/>
      <c r="E3" s="7"/>
      <c r="F3" s="7"/>
      <c r="G3" s="7"/>
      <c r="H3" s="2"/>
      <c r="I3" s="2"/>
      <c r="J3" s="7"/>
      <c r="K3" s="7"/>
      <c r="L3" s="7"/>
      <c r="M3" s="7"/>
      <c r="N3" s="161"/>
      <c r="O3" s="161"/>
      <c r="P3" s="161"/>
      <c r="Q3" s="20"/>
      <c r="R3" s="20"/>
      <c r="S3" s="161"/>
      <c r="T3" s="2"/>
      <c r="U3" s="164"/>
      <c r="V3" s="312" t="s">
        <v>172</v>
      </c>
      <c r="W3" s="186"/>
      <c r="X3" s="186"/>
      <c r="Y3" s="7"/>
      <c r="Z3" s="7"/>
      <c r="AA3" s="7"/>
      <c r="AB3" s="7"/>
      <c r="AC3" s="7"/>
      <c r="AD3" s="161"/>
      <c r="AE3" s="210"/>
      <c r="AI3" s="161"/>
      <c r="AJ3" s="161"/>
      <c r="AK3" s="312" t="s">
        <v>325</v>
      </c>
      <c r="AL3" s="312" t="s">
        <v>324</v>
      </c>
      <c r="AM3" s="161"/>
    </row>
    <row r="4" spans="2:39" ht="15.75" x14ac:dyDescent="0.25">
      <c r="B4" s="157" t="s">
        <v>338</v>
      </c>
      <c r="C4" s="186"/>
      <c r="D4" s="7"/>
      <c r="E4" s="7"/>
      <c r="F4" s="7"/>
      <c r="G4" s="7"/>
      <c r="H4" s="7"/>
      <c r="I4" s="2"/>
      <c r="J4" s="7"/>
      <c r="K4" s="7" t="s">
        <v>262</v>
      </c>
      <c r="L4" s="7" t="s">
        <v>262</v>
      </c>
      <c r="M4" s="7" t="s">
        <v>263</v>
      </c>
      <c r="N4" s="161"/>
      <c r="O4" s="7" t="s">
        <v>264</v>
      </c>
      <c r="P4" s="7" t="s">
        <v>265</v>
      </c>
      <c r="Q4" s="20"/>
      <c r="R4" s="20"/>
      <c r="S4" s="7"/>
      <c r="T4" s="7"/>
      <c r="U4" s="7"/>
      <c r="V4" s="7" t="s">
        <v>251</v>
      </c>
      <c r="W4" s="7" t="s">
        <v>252</v>
      </c>
      <c r="X4" s="7" t="s">
        <v>253</v>
      </c>
      <c r="Y4" s="7"/>
      <c r="Z4" s="7"/>
      <c r="AA4" s="7"/>
      <c r="AB4" s="7"/>
      <c r="AC4" s="7"/>
      <c r="AD4" s="7" t="s">
        <v>273</v>
      </c>
      <c r="AE4" s="7" t="s">
        <v>273</v>
      </c>
      <c r="AF4" s="7" t="s">
        <v>277</v>
      </c>
      <c r="AG4" s="7" t="s">
        <v>277</v>
      </c>
      <c r="AH4" s="7" t="s">
        <v>277</v>
      </c>
      <c r="AI4" s="7" t="s">
        <v>284</v>
      </c>
      <c r="AJ4" s="7" t="s">
        <v>287</v>
      </c>
      <c r="AK4" s="7" t="s">
        <v>292</v>
      </c>
      <c r="AL4" s="7" t="s">
        <v>292</v>
      </c>
      <c r="AM4" s="7" t="s">
        <v>299</v>
      </c>
    </row>
    <row r="5" spans="2:39" x14ac:dyDescent="0.25">
      <c r="B5" s="169">
        <v>3600</v>
      </c>
      <c r="C5" s="186">
        <f t="shared" ref="C5:C6" si="0">0.00011448*B5 + 1.16638115</f>
        <v>1.5785091500000001</v>
      </c>
      <c r="D5" s="122">
        <f t="shared" ref="D5:D6" si="1">0.04285545*B5 + 15.6741559</f>
        <v>169.95377590000001</v>
      </c>
      <c r="E5">
        <f t="shared" ref="E5:E6" si="2">0.0000000907*B5^2 - 0.0003674172*B5 + 0.9616952608</f>
        <v>0.81446534079999999</v>
      </c>
      <c r="F5">
        <f t="shared" ref="F5:F20" si="3">0.00000236*B5 + 0.01241004</f>
        <v>2.0906040000000001E-2</v>
      </c>
      <c r="G5" s="122">
        <f t="shared" ref="G5:G20" si="4">20.40472*B5^(-1.02454)</f>
        <v>4.6361392887804258E-3</v>
      </c>
      <c r="H5" s="184">
        <f xml:space="preserve"> 0.00000000004*B5^2 + 0.000002*B5 + 0.0125</f>
        <v>2.0218400000000001E-2</v>
      </c>
      <c r="I5" s="184">
        <f>9.6806*B5^(-0.919)</f>
        <v>5.2198770942607498E-3</v>
      </c>
      <c r="J5" s="20"/>
      <c r="K5" s="103"/>
      <c r="L5" s="7"/>
      <c r="M5" s="134"/>
      <c r="N5" s="204"/>
      <c r="O5" s="204"/>
      <c r="P5" s="204"/>
      <c r="Q5" s="159"/>
      <c r="R5" s="159"/>
      <c r="S5" s="134"/>
      <c r="T5" s="134"/>
      <c r="U5" s="165"/>
      <c r="W5" s="188"/>
      <c r="X5" s="188"/>
      <c r="Y5" s="134"/>
      <c r="Z5" s="134"/>
      <c r="AA5" s="134"/>
      <c r="AB5" s="134"/>
      <c r="AC5" s="134"/>
      <c r="AD5" s="204"/>
      <c r="AE5" s="211"/>
      <c r="AF5" s="7"/>
      <c r="AG5" s="7"/>
      <c r="AH5" s="7"/>
      <c r="AI5" s="161"/>
      <c r="AJ5" s="161"/>
      <c r="AK5" s="161"/>
      <c r="AL5" s="161"/>
      <c r="AM5" s="161"/>
    </row>
    <row r="6" spans="2:39" s="18" customFormat="1" x14ac:dyDescent="0.25">
      <c r="B6" s="226">
        <v>3550</v>
      </c>
      <c r="C6" s="227">
        <f t="shared" si="0"/>
        <v>1.5727851500000001</v>
      </c>
      <c r="D6" s="228">
        <f t="shared" si="1"/>
        <v>167.8110034</v>
      </c>
      <c r="E6" s="18">
        <f t="shared" si="2"/>
        <v>0.80041095079999991</v>
      </c>
      <c r="F6" s="18">
        <f t="shared" si="3"/>
        <v>2.0788040000000001E-2</v>
      </c>
      <c r="G6" s="228">
        <f t="shared" si="4"/>
        <v>4.7030509405883124E-3</v>
      </c>
      <c r="H6" s="229">
        <f t="shared" ref="H6:H20" si="5" xml:space="preserve"> 0.00000000004*B6^2 + 0.000002*B6 + 0.0125</f>
        <v>2.01041E-2</v>
      </c>
      <c r="I6" s="229">
        <f t="shared" ref="I6:I20" si="6">9.6806*B6^(-0.919)</f>
        <v>5.2874030728652177E-3</v>
      </c>
      <c r="J6" s="230">
        <f>Data!D$14</f>
        <v>1.49E-5</v>
      </c>
      <c r="K6" s="366">
        <f>'Huff&amp;Puff_3rd Cycle'!K38</f>
        <v>0.11299608054875901</v>
      </c>
      <c r="L6" s="231">
        <f>Data!D$21*K$6</f>
        <v>0.1466689125522892</v>
      </c>
      <c r="M6" s="231">
        <f>Data!D$21-L$6</f>
        <v>1.1513310874477107</v>
      </c>
      <c r="N6" s="232">
        <f>'Huff&amp;Puff_3rd Cycle'!P6</f>
        <v>64.698130008904712</v>
      </c>
      <c r="O6" s="233">
        <f>30.4*Data!N$8*Data!O$8/5.615</f>
        <v>7.7962600178094377</v>
      </c>
      <c r="P6" s="233">
        <f>N6+O6</f>
        <v>72.494390026714143</v>
      </c>
      <c r="Q6" s="234">
        <f>C6</f>
        <v>1.5727851500000001</v>
      </c>
      <c r="R6" s="235">
        <f>(C6-C5)/(B6-B5)</f>
        <v>1.1448000000000125E-4</v>
      </c>
      <c r="S6" s="236">
        <f>I6</f>
        <v>5.2874030728652177E-3</v>
      </c>
      <c r="T6" s="237">
        <f>(I6-I5)/(B6-B5)</f>
        <v>-1.3505195720893599E-6</v>
      </c>
      <c r="U6" s="238">
        <f>M6*C$6*J$6</f>
        <v>2.6980866912359552E-5</v>
      </c>
      <c r="V6" s="383">
        <f>B6-((B6-B$6+(L6*Q6/U6)-(P6-'Huff&amp;Puff_3rd Cycle'!AL$38)*S6/U6))/(1+(L6*R6/U6)-(P6-'Huff&amp;Puff_3rd Cycle'!AL$38)*T6/U6)</f>
        <v>3931.6102266207222</v>
      </c>
      <c r="W6" s="240"/>
      <c r="X6" s="243"/>
      <c r="Y6" s="241"/>
      <c r="Z6" s="241"/>
      <c r="AA6" s="241"/>
      <c r="AB6" s="242"/>
      <c r="AC6" s="200">
        <f>'Huff&amp;Puff_3rd Cycle'!AC38</f>
        <v>4.2306581575017281</v>
      </c>
      <c r="AD6" s="341"/>
      <c r="AE6" s="244"/>
      <c r="AF6" s="59"/>
      <c r="AG6" s="59"/>
      <c r="AH6" s="59"/>
      <c r="AI6" s="196"/>
      <c r="AJ6" s="196"/>
      <c r="AK6" s="197">
        <f>'Huff&amp;Puff_2nd Cycle'!AK36</f>
        <v>32.582578138999253</v>
      </c>
      <c r="AL6" s="197">
        <f>'Huff&amp;Puff_2nd Cycle'!AL36</f>
        <v>14.616469708773487</v>
      </c>
      <c r="AM6" s="388">
        <f>'Huff&amp;Puff_3rd Cycle'!AM38</f>
        <v>328.62708268566303</v>
      </c>
    </row>
    <row r="7" spans="2:39" x14ac:dyDescent="0.25">
      <c r="B7" s="169">
        <f>B8-50</f>
        <v>3881.6102266207222</v>
      </c>
      <c r="C7" s="170">
        <f xml:space="preserve"> -0.00001529*B7 + 1.47725786</f>
        <v>1.417908039634969</v>
      </c>
      <c r="D7" s="122">
        <v>120.569011576135</v>
      </c>
      <c r="E7">
        <f xml:space="preserve"> 0.0000554429*B7 + 0.4645469286</f>
        <v>0.67975465623351006</v>
      </c>
      <c r="F7">
        <f t="shared" si="3"/>
        <v>2.1570640134824903E-2</v>
      </c>
      <c r="G7" s="122">
        <f t="shared" si="4"/>
        <v>4.2918483066252833E-3</v>
      </c>
      <c r="H7" s="184">
        <f t="shared" si="5"/>
        <v>2.086589637129771E-2</v>
      </c>
      <c r="I7" s="184">
        <f t="shared" si="6"/>
        <v>4.8708002309130142E-3</v>
      </c>
      <c r="J7" s="155"/>
      <c r="K7" s="102"/>
      <c r="L7" s="133"/>
      <c r="M7" s="252"/>
      <c r="N7" s="205"/>
      <c r="O7" s="206"/>
      <c r="P7" s="206"/>
      <c r="Q7" s="160"/>
      <c r="R7" s="163"/>
      <c r="S7" s="158"/>
      <c r="T7" s="162"/>
      <c r="U7" s="166"/>
      <c r="V7" s="384"/>
      <c r="W7" s="188"/>
      <c r="X7" s="188"/>
      <c r="Y7" s="134"/>
      <c r="Z7" s="134"/>
      <c r="AA7" s="134"/>
      <c r="AB7" s="142"/>
      <c r="AC7" s="143"/>
      <c r="AD7" s="207"/>
      <c r="AE7" s="212"/>
      <c r="AF7" s="120"/>
      <c r="AG7" s="10"/>
      <c r="AH7" s="10"/>
      <c r="AI7" s="217"/>
      <c r="AJ7" s="217"/>
      <c r="AK7" s="217"/>
      <c r="AL7" s="217"/>
    </row>
    <row r="8" spans="2:39" x14ac:dyDescent="0.25">
      <c r="B8" s="168">
        <f>V6</f>
        <v>3931.6102266207222</v>
      </c>
      <c r="C8" s="170">
        <f t="shared" ref="C8:C20" si="7" xml:space="preserve"> -0.00001529*B8 + 1.47725786</f>
        <v>1.417143539634969</v>
      </c>
      <c r="D8" s="122">
        <v>120.569011576135</v>
      </c>
      <c r="E8">
        <f xml:space="preserve"> 0.0000554429*B8 + 0.4645469286</f>
        <v>0.68252680123351006</v>
      </c>
      <c r="F8">
        <f t="shared" si="3"/>
        <v>2.1688640134824903E-2</v>
      </c>
      <c r="G8" s="122">
        <f t="shared" si="4"/>
        <v>4.2359363391610344E-3</v>
      </c>
      <c r="H8" s="184">
        <f t="shared" si="5"/>
        <v>2.0981522812204188E-2</v>
      </c>
      <c r="I8" s="184">
        <f t="shared" si="6"/>
        <v>4.8138441579857411E-3</v>
      </c>
      <c r="J8" s="155"/>
      <c r="K8" s="102"/>
      <c r="L8" s="133">
        <f>Data!D$21*K$6</f>
        <v>0.1466689125522892</v>
      </c>
      <c r="M8" s="252">
        <f>Data!D$21-L$6</f>
        <v>1.1513310874477107</v>
      </c>
      <c r="N8" s="205">
        <f>N6</f>
        <v>64.698130008904712</v>
      </c>
      <c r="O8" s="206">
        <f>O6</f>
        <v>7.7962600178094377</v>
      </c>
      <c r="P8" s="206">
        <f>N8+O8</f>
        <v>72.494390026714143</v>
      </c>
      <c r="Q8" s="160">
        <f>C8</f>
        <v>1.417143539634969</v>
      </c>
      <c r="R8" s="163">
        <f>(C8-C7)/(B8-B7)</f>
        <v>-1.5290000000001136E-5</v>
      </c>
      <c r="S8" s="158">
        <f t="shared" ref="S8:S14" si="8">I8</f>
        <v>4.8138441579857411E-3</v>
      </c>
      <c r="T8" s="162">
        <f>(I8-I7)/(B8-B7)</f>
        <v>-1.1391214585454618E-6</v>
      </c>
      <c r="U8" s="166">
        <f>M8*C$6*J$6</f>
        <v>2.6980866912359552E-5</v>
      </c>
      <c r="V8" s="384">
        <f>B8-((B8-B$6+(L8*Q8/U8)-(P8-'Huff&amp;Puff_3rd Cycle'!AL$38)*S8/U8))/(1+(L8*R8/U8)-(P8-'Huff&amp;Puff_3rd Cycle'!AL$38)*T8/U8)</f>
        <v>4306.3889858508628</v>
      </c>
      <c r="W8" s="188"/>
      <c r="X8" s="188"/>
      <c r="Y8" s="253"/>
      <c r="Z8" s="134"/>
      <c r="AA8" s="134"/>
      <c r="AB8" s="142"/>
      <c r="AC8" s="143"/>
      <c r="AD8" s="207"/>
      <c r="AE8" s="212"/>
      <c r="AF8" s="120"/>
      <c r="AG8" s="10"/>
      <c r="AH8" s="10"/>
      <c r="AI8" s="217"/>
      <c r="AJ8" s="217"/>
      <c r="AK8" s="217"/>
      <c r="AL8" s="217"/>
      <c r="AM8" s="217"/>
    </row>
    <row r="9" spans="2:39" x14ac:dyDescent="0.25">
      <c r="B9" s="169">
        <f>B10-50</f>
        <v>4256.3889858508628</v>
      </c>
      <c r="C9" s="170">
        <f t="shared" si="7"/>
        <v>1.4121776724063402</v>
      </c>
      <c r="D9" s="122">
        <v>120.569011576135</v>
      </c>
      <c r="E9">
        <f xml:space="preserve"> 0.0000554429*B9 + 0.4645469286</f>
        <v>0.70053347750363082</v>
      </c>
      <c r="F9">
        <f t="shared" si="3"/>
        <v>2.2455118006608037E-2</v>
      </c>
      <c r="G9" s="122">
        <f t="shared" si="4"/>
        <v>3.9051044561963988E-3</v>
      </c>
      <c r="H9" s="184">
        <f t="shared" si="5"/>
        <v>2.1737451859656629E-2</v>
      </c>
      <c r="I9" s="184">
        <f t="shared" si="6"/>
        <v>4.4752088823607448E-3</v>
      </c>
      <c r="J9" s="155"/>
      <c r="K9" s="102"/>
      <c r="L9" s="133"/>
      <c r="M9" s="252"/>
      <c r="N9" s="205"/>
      <c r="O9" s="206"/>
      <c r="P9" s="206"/>
      <c r="Q9" s="160"/>
      <c r="R9" s="163"/>
      <c r="S9" s="158"/>
      <c r="T9" s="162"/>
      <c r="U9" s="166"/>
      <c r="V9" s="384"/>
      <c r="W9" s="188"/>
      <c r="X9" s="188"/>
      <c r="Y9" s="253"/>
      <c r="Z9" s="134"/>
      <c r="AA9" s="134"/>
      <c r="AB9" s="142"/>
      <c r="AC9" s="143"/>
      <c r="AD9" s="207"/>
      <c r="AE9" s="212"/>
      <c r="AF9" s="120"/>
      <c r="AG9" s="10"/>
      <c r="AH9" s="10"/>
      <c r="AI9" s="217"/>
      <c r="AJ9" s="217"/>
      <c r="AK9" s="217"/>
      <c r="AL9" s="217"/>
      <c r="AM9" s="217"/>
    </row>
    <row r="10" spans="2:39" x14ac:dyDescent="0.25">
      <c r="B10" s="168">
        <f>V8</f>
        <v>4306.3889858508628</v>
      </c>
      <c r="C10" s="170">
        <f t="shared" si="7"/>
        <v>1.4114131724063403</v>
      </c>
      <c r="D10" s="122">
        <v>120.569011576135</v>
      </c>
      <c r="E10">
        <f t="shared" ref="E10:E14" si="9" xml:space="preserve"> 0.0000554429*B10 + 0.4645469286</f>
        <v>0.70330562250363082</v>
      </c>
      <c r="F10">
        <f t="shared" si="3"/>
        <v>2.2573118006608037E-2</v>
      </c>
      <c r="G10" s="122">
        <f t="shared" si="4"/>
        <v>3.8586576119360168E-3</v>
      </c>
      <c r="H10" s="184">
        <f t="shared" si="5"/>
        <v>2.185457741560003E-2</v>
      </c>
      <c r="I10" s="184">
        <f t="shared" si="6"/>
        <v>4.4274349928453112E-3</v>
      </c>
      <c r="J10" s="155"/>
      <c r="K10" s="102"/>
      <c r="L10" s="133">
        <f>Data!D$21*K$6</f>
        <v>0.1466689125522892</v>
      </c>
      <c r="M10" s="252">
        <f>Data!D$21-L$6</f>
        <v>1.1513310874477107</v>
      </c>
      <c r="N10" s="205">
        <f>N8</f>
        <v>64.698130008904712</v>
      </c>
      <c r="O10" s="206">
        <f>O8</f>
        <v>7.7962600178094377</v>
      </c>
      <c r="P10" s="206">
        <f t="shared" ref="P10:P14" si="10">N10+O10</f>
        <v>72.494390026714143</v>
      </c>
      <c r="Q10" s="160">
        <f t="shared" ref="Q10:Q14" si="11">C10</f>
        <v>1.4114131724063403</v>
      </c>
      <c r="R10" s="163">
        <f>(C10-C9)/(B10-B9)</f>
        <v>-1.5289999999996694E-5</v>
      </c>
      <c r="S10" s="158">
        <f t="shared" si="8"/>
        <v>4.4274349928453112E-3</v>
      </c>
      <c r="T10" s="162">
        <f>(I10-I9)/(B10-B9)</f>
        <v>-9.5547779030867247E-7</v>
      </c>
      <c r="U10" s="166">
        <f>M10*C$6*J$6</f>
        <v>2.6980866912359552E-5</v>
      </c>
      <c r="V10" s="384">
        <f>B10-((B10-B$6+(L10*Q10/U10)-(P10-'Huff&amp;Puff_3rd Cycle'!AL$38)*S10/U10))/(1+(L10*R10/U10)-(P10-'Huff&amp;Puff_3rd Cycle'!AL$38)*T10/U10)</f>
        <v>4334.6641774149748</v>
      </c>
      <c r="W10" s="188"/>
      <c r="X10" s="188"/>
      <c r="Y10" s="253"/>
      <c r="Z10" s="134"/>
      <c r="AA10" s="134"/>
      <c r="AB10" s="142"/>
      <c r="AC10" s="143"/>
      <c r="AD10" s="207"/>
      <c r="AE10" s="212"/>
      <c r="AF10" s="120"/>
      <c r="AG10" s="10"/>
      <c r="AH10" s="10"/>
      <c r="AI10" s="217"/>
      <c r="AJ10" s="217"/>
      <c r="AK10" s="217"/>
      <c r="AL10" s="217"/>
      <c r="AM10" s="217"/>
    </row>
    <row r="11" spans="2:39" x14ac:dyDescent="0.25">
      <c r="B11" s="169">
        <f>B12-50</f>
        <v>4284.6641774149748</v>
      </c>
      <c r="C11" s="170">
        <f t="shared" si="7"/>
        <v>1.4117453447273249</v>
      </c>
      <c r="D11" s="122">
        <v>120.569011576135</v>
      </c>
      <c r="E11">
        <f xml:space="preserve"> 0.0000554429*B11 + 0.4645469286</f>
        <v>0.70210113612200065</v>
      </c>
      <c r="F11">
        <f t="shared" si="3"/>
        <v>2.252184745869934E-2</v>
      </c>
      <c r="G11" s="122">
        <f t="shared" si="4"/>
        <v>3.878703777077224E-3</v>
      </c>
      <c r="H11" s="184">
        <f t="shared" si="5"/>
        <v>2.1803662239358874E-2</v>
      </c>
      <c r="I11" s="184">
        <f t="shared" si="6"/>
        <v>4.4480611272242144E-3</v>
      </c>
      <c r="J11" s="155"/>
      <c r="K11" s="102"/>
      <c r="L11" s="133"/>
      <c r="M11" s="252"/>
      <c r="N11" s="205"/>
      <c r="O11" s="206"/>
      <c r="P11" s="206"/>
      <c r="Q11" s="160"/>
      <c r="R11" s="163"/>
      <c r="S11" s="158"/>
      <c r="T11" s="162"/>
      <c r="U11" s="166"/>
      <c r="V11" s="384"/>
      <c r="W11" s="188"/>
      <c r="X11" s="188"/>
      <c r="Y11" s="253"/>
      <c r="Z11" s="134"/>
      <c r="AA11" s="134"/>
      <c r="AB11" s="142"/>
      <c r="AC11" s="143"/>
      <c r="AD11" s="207"/>
      <c r="AE11" s="212"/>
      <c r="AF11" s="120"/>
      <c r="AG11" s="10"/>
      <c r="AH11" s="10"/>
      <c r="AI11" s="217"/>
      <c r="AJ11" s="217"/>
      <c r="AK11" s="217"/>
      <c r="AL11" s="217"/>
      <c r="AM11" s="217"/>
    </row>
    <row r="12" spans="2:39" x14ac:dyDescent="0.25">
      <c r="B12" s="168">
        <f>V10</f>
        <v>4334.6641774149748</v>
      </c>
      <c r="C12" s="187">
        <f t="shared" si="7"/>
        <v>1.4109808447273249</v>
      </c>
      <c r="D12" s="122">
        <v>120.569011576135</v>
      </c>
      <c r="E12">
        <f t="shared" si="9"/>
        <v>0.70487328112200065</v>
      </c>
      <c r="F12">
        <f t="shared" si="3"/>
        <v>2.263984745869934E-2</v>
      </c>
      <c r="G12" s="122">
        <f t="shared" si="4"/>
        <v>3.83287182279463E-3</v>
      </c>
      <c r="H12" s="184">
        <f t="shared" si="5"/>
        <v>2.1920900896068535E-2</v>
      </c>
      <c r="I12" s="184">
        <f t="shared" si="6"/>
        <v>4.4008869327207441E-3</v>
      </c>
      <c r="J12" s="155"/>
      <c r="K12" s="143"/>
      <c r="L12" s="133">
        <f>Data!D$21*K$6</f>
        <v>0.1466689125522892</v>
      </c>
      <c r="M12" s="252">
        <f>Data!D$21-L$6</f>
        <v>1.1513310874477107</v>
      </c>
      <c r="N12" s="205">
        <f>N10</f>
        <v>64.698130008904712</v>
      </c>
      <c r="O12" s="206">
        <f>O10</f>
        <v>7.7962600178094377</v>
      </c>
      <c r="P12" s="206">
        <f t="shared" si="10"/>
        <v>72.494390026714143</v>
      </c>
      <c r="Q12" s="160">
        <f t="shared" si="11"/>
        <v>1.4109808447273249</v>
      </c>
      <c r="R12" s="163">
        <f>(C12-C11)/(B12-B11)</f>
        <v>-1.5290000000001136E-5</v>
      </c>
      <c r="S12" s="158">
        <f t="shared" si="8"/>
        <v>4.4008869327207441E-3</v>
      </c>
      <c r="T12" s="162">
        <f>(I12-I11)/(B12-B11)</f>
        <v>-9.4348389006940551E-7</v>
      </c>
      <c r="U12" s="166">
        <f>M12*C$6*J$6</f>
        <v>2.6980866912359552E-5</v>
      </c>
      <c r="V12" s="384">
        <f>B12-((B12-B$6+(L12*Q12/U12)-(P12-'Huff&amp;Puff_3rd Cycle'!AL$38)*S12/U12))/(1+(L12*R12/U12)-(P12-'Huff&amp;Puff_3rd Cycle'!AL$38)*T12/U12)</f>
        <v>4334.9937764230563</v>
      </c>
      <c r="W12" s="188"/>
      <c r="X12" s="188"/>
      <c r="Y12" s="253"/>
      <c r="Z12" s="134"/>
      <c r="AA12" s="134"/>
      <c r="AB12" s="142"/>
      <c r="AC12" s="143"/>
      <c r="AD12" s="207"/>
      <c r="AE12" s="212"/>
      <c r="AF12" s="120"/>
      <c r="AG12" s="10"/>
      <c r="AH12" s="10"/>
      <c r="AI12" s="217"/>
      <c r="AJ12" s="217"/>
      <c r="AK12" s="217"/>
      <c r="AL12" s="217"/>
      <c r="AM12" s="217"/>
    </row>
    <row r="13" spans="2:39" x14ac:dyDescent="0.25">
      <c r="B13" s="169">
        <f>B14-50</f>
        <v>4284.9937764230563</v>
      </c>
      <c r="C13" s="170">
        <f t="shared" si="7"/>
        <v>1.4117403051584914</v>
      </c>
      <c r="D13" s="122">
        <v>120.569011576135</v>
      </c>
      <c r="E13">
        <f xml:space="preserve"> 0.0000554429*B13 + 0.4645469286</f>
        <v>0.70211941004684586</v>
      </c>
      <c r="F13">
        <f t="shared" si="3"/>
        <v>2.2522625312358414E-2</v>
      </c>
      <c r="G13" s="122">
        <f t="shared" si="4"/>
        <v>3.8783981084809863E-3</v>
      </c>
      <c r="H13" s="184">
        <f t="shared" si="5"/>
        <v>2.1804434419405487E-2</v>
      </c>
      <c r="I13" s="184">
        <f t="shared" si="6"/>
        <v>4.4477466977049006E-3</v>
      </c>
      <c r="J13" s="155"/>
      <c r="K13" s="102"/>
      <c r="L13" s="133"/>
      <c r="M13" s="252"/>
      <c r="N13" s="205"/>
      <c r="O13" s="206"/>
      <c r="P13" s="206"/>
      <c r="Q13" s="160"/>
      <c r="R13" s="163"/>
      <c r="S13" s="158"/>
      <c r="T13" s="162"/>
      <c r="U13" s="166"/>
      <c r="V13" s="384"/>
      <c r="W13" s="188"/>
      <c r="X13" s="188"/>
      <c r="Y13" s="253"/>
      <c r="Z13" s="134"/>
      <c r="AA13" s="134"/>
      <c r="AB13" s="142"/>
      <c r="AC13" s="143"/>
      <c r="AD13" s="207"/>
      <c r="AE13" s="212"/>
      <c r="AF13" s="120"/>
      <c r="AG13" s="10"/>
      <c r="AH13" s="10"/>
      <c r="AI13" s="217"/>
      <c r="AJ13" s="217"/>
      <c r="AK13" s="217"/>
      <c r="AL13" s="217"/>
      <c r="AM13" s="217"/>
    </row>
    <row r="14" spans="2:39" x14ac:dyDescent="0.25">
      <c r="B14" s="168">
        <f t="shared" ref="B14" si="12">V12</f>
        <v>4334.9937764230563</v>
      </c>
      <c r="C14" s="170">
        <f t="shared" si="7"/>
        <v>1.4109758051584913</v>
      </c>
      <c r="D14" s="122">
        <v>120.569011576135</v>
      </c>
      <c r="E14">
        <f t="shared" si="9"/>
        <v>0.70489155504684586</v>
      </c>
      <c r="F14">
        <f t="shared" si="3"/>
        <v>2.2640625312358414E-2</v>
      </c>
      <c r="G14" s="122">
        <f t="shared" si="4"/>
        <v>3.8325732500039951E-3</v>
      </c>
      <c r="H14" s="184">
        <f t="shared" si="5"/>
        <v>2.1921674394511176E-2</v>
      </c>
      <c r="I14" s="184">
        <f t="shared" si="6"/>
        <v>4.4005794260953621E-3</v>
      </c>
      <c r="J14" s="155"/>
      <c r="K14" s="102"/>
      <c r="L14" s="133">
        <f>Data!D$21*K$6</f>
        <v>0.1466689125522892</v>
      </c>
      <c r="M14" s="252">
        <f>Data!D$21-L$6</f>
        <v>1.1513310874477107</v>
      </c>
      <c r="N14" s="205">
        <f>N12</f>
        <v>64.698130008904712</v>
      </c>
      <c r="O14" s="206">
        <f>O12</f>
        <v>7.7962600178094377</v>
      </c>
      <c r="P14" s="206">
        <f t="shared" si="10"/>
        <v>72.494390026714143</v>
      </c>
      <c r="Q14" s="160">
        <f t="shared" si="11"/>
        <v>1.4109758051584913</v>
      </c>
      <c r="R14" s="163">
        <f>(C14-C13)/(B14-B13)</f>
        <v>-1.5290000000001136E-5</v>
      </c>
      <c r="S14" s="158">
        <f t="shared" si="8"/>
        <v>4.4005794260953621E-3</v>
      </c>
      <c r="T14" s="162">
        <f>(I14-I13)/(B14-B13)</f>
        <v>-9.4334543219077097E-7</v>
      </c>
      <c r="U14" s="166">
        <f>M14*C$6*J$6</f>
        <v>2.6980866912359552E-5</v>
      </c>
      <c r="V14" s="384">
        <f>B14-((B14-B$6+(L14*Q14/U14)-(P14-'Huff&amp;Puff_3rd Cycle'!AL$38)*S14/U14))/(1+(L14*R14/U14)-(P14-'Huff&amp;Puff_3rd Cycle'!AL$38)*T14/U14)</f>
        <v>4334.9962154287086</v>
      </c>
      <c r="W14" s="188"/>
      <c r="X14" s="188"/>
      <c r="Y14" s="253"/>
      <c r="Z14" s="134"/>
      <c r="AA14" s="134"/>
      <c r="AB14" s="142"/>
      <c r="AC14" s="143"/>
      <c r="AD14" s="207"/>
      <c r="AE14" s="212"/>
      <c r="AF14" s="120"/>
      <c r="AG14" s="10"/>
      <c r="AH14" s="10"/>
      <c r="AI14" s="217"/>
      <c r="AJ14" s="217"/>
      <c r="AK14" s="217"/>
      <c r="AL14" s="217"/>
      <c r="AM14" s="217"/>
    </row>
    <row r="15" spans="2:39" x14ac:dyDescent="0.25">
      <c r="B15" s="169">
        <f>B16-50</f>
        <v>4284.9962154287086</v>
      </c>
      <c r="C15" s="170">
        <f t="shared" si="7"/>
        <v>1.4117402678660951</v>
      </c>
      <c r="D15" s="122">
        <v>120.569011576135</v>
      </c>
      <c r="E15">
        <f xml:space="preserve"> 0.0000554429*B15 + 0.4645469286</f>
        <v>0.7021195452723924</v>
      </c>
      <c r="F15">
        <f t="shared" si="3"/>
        <v>2.2522631068411753E-2</v>
      </c>
      <c r="G15" s="122">
        <f t="shared" si="4"/>
        <v>3.8783958467358453E-3</v>
      </c>
      <c r="H15" s="184">
        <f t="shared" si="5"/>
        <v>2.1804440133506953E-2</v>
      </c>
      <c r="I15" s="184">
        <f t="shared" si="6"/>
        <v>4.4477443711252156E-3</v>
      </c>
      <c r="J15" s="155"/>
      <c r="K15" s="102"/>
      <c r="L15" s="133"/>
      <c r="M15" s="252"/>
      <c r="N15" s="205"/>
      <c r="O15" s="206"/>
      <c r="P15" s="206"/>
      <c r="Q15" s="160"/>
      <c r="R15" s="163"/>
      <c r="S15" s="158"/>
      <c r="T15" s="162"/>
      <c r="U15" s="166"/>
      <c r="V15" s="384"/>
      <c r="W15" s="188"/>
      <c r="X15" s="188"/>
      <c r="Y15" s="253"/>
      <c r="Z15" s="134"/>
      <c r="AA15" s="134"/>
      <c r="AB15" s="142"/>
      <c r="AC15" s="143"/>
      <c r="AD15" s="207"/>
      <c r="AE15" s="212"/>
      <c r="AF15" s="120"/>
      <c r="AG15" s="10"/>
      <c r="AH15" s="10"/>
      <c r="AI15" s="217"/>
      <c r="AJ15" s="217"/>
      <c r="AK15" s="217"/>
      <c r="AL15" s="217"/>
      <c r="AM15" s="217"/>
    </row>
    <row r="16" spans="2:39" x14ac:dyDescent="0.25">
      <c r="B16" s="168">
        <f t="shared" ref="B16" si="13">V14</f>
        <v>4334.9962154287086</v>
      </c>
      <c r="C16" s="170">
        <f t="shared" si="7"/>
        <v>1.410975767866095</v>
      </c>
      <c r="D16" s="122">
        <v>120.569011576135</v>
      </c>
      <c r="E16">
        <f t="shared" ref="E16" si="14" xml:space="preserve"> 0.0000554429*B16 + 0.4645469286</f>
        <v>0.70489169027239229</v>
      </c>
      <c r="F16">
        <f t="shared" si="3"/>
        <v>2.264063106841175E-2</v>
      </c>
      <c r="G16" s="122">
        <f t="shared" si="4"/>
        <v>3.8325710407611114E-3</v>
      </c>
      <c r="H16" s="184">
        <f t="shared" si="5"/>
        <v>2.1921680118368668E-2</v>
      </c>
      <c r="I16" s="184">
        <f t="shared" si="6"/>
        <v>4.4005771507387662E-3</v>
      </c>
      <c r="J16" s="155"/>
      <c r="K16" s="102"/>
      <c r="L16" s="133">
        <f>Data!D$21*K$6</f>
        <v>0.1466689125522892</v>
      </c>
      <c r="M16" s="252">
        <f>Data!D$21-L$6</f>
        <v>1.1513310874477107</v>
      </c>
      <c r="N16" s="205">
        <f>N14</f>
        <v>64.698130008904712</v>
      </c>
      <c r="O16" s="206">
        <f>O14</f>
        <v>7.7962600178094377</v>
      </c>
      <c r="P16" s="206">
        <f t="shared" ref="P16" si="15">N16+O16</f>
        <v>72.494390026714143</v>
      </c>
      <c r="Q16" s="160">
        <f t="shared" ref="Q16" si="16">C16</f>
        <v>1.410975767866095</v>
      </c>
      <c r="R16" s="163">
        <f>(C16-C15)/(B16-B15)</f>
        <v>-1.5290000000001136E-5</v>
      </c>
      <c r="S16" s="158">
        <f t="shared" ref="S16" si="17">I16</f>
        <v>4.4005771507387662E-3</v>
      </c>
      <c r="T16" s="162">
        <f>(I16-I15)/(B16-B15)</f>
        <v>-9.4334440772898819E-7</v>
      </c>
      <c r="U16" s="166">
        <f>M16*C$6*J$6</f>
        <v>2.6980866912359552E-5</v>
      </c>
      <c r="V16" s="384">
        <f>B16-((B16-B$6+(L16*Q16/U16)-(P16-'Huff&amp;Puff_3rd Cycle'!AL$38)*S16/U16))/(1+(L16*R16/U16)-(P16-'Huff&amp;Puff_3rd Cycle'!AL$38)*T16/U16)</f>
        <v>4334.9962333571648</v>
      </c>
      <c r="W16" s="188"/>
      <c r="X16" s="188"/>
      <c r="Y16" s="253"/>
      <c r="Z16" s="134"/>
      <c r="AA16" s="134"/>
      <c r="AB16" s="142"/>
      <c r="AC16" s="143"/>
      <c r="AD16" s="207"/>
      <c r="AE16" s="212"/>
      <c r="AF16" s="120"/>
      <c r="AG16" s="10"/>
      <c r="AH16" s="19"/>
      <c r="AI16" s="217"/>
      <c r="AJ16" s="217"/>
      <c r="AK16" s="217"/>
      <c r="AL16" s="217"/>
      <c r="AM16" s="217"/>
    </row>
    <row r="17" spans="2:39" x14ac:dyDescent="0.25">
      <c r="B17" s="169">
        <f>B18-50</f>
        <v>4284.9962333571648</v>
      </c>
      <c r="C17" s="170">
        <f t="shared" si="7"/>
        <v>1.4117402675919688</v>
      </c>
      <c r="D17" s="122">
        <v>120.569011576135</v>
      </c>
      <c r="E17">
        <f xml:space="preserve"> 0.0000554429*B17 + 0.4645469286</f>
        <v>0.70211954626639794</v>
      </c>
      <c r="F17">
        <f t="shared" si="3"/>
        <v>2.2522631110722911E-2</v>
      </c>
      <c r="G17" s="122">
        <f t="shared" si="4"/>
        <v>3.8783958301103912E-3</v>
      </c>
      <c r="H17" s="184">
        <f t="shared" si="5"/>
        <v>2.1804440175509733E-2</v>
      </c>
      <c r="I17" s="184">
        <f t="shared" si="6"/>
        <v>4.4477443540231806E-3</v>
      </c>
      <c r="J17" s="155"/>
      <c r="K17" s="102"/>
      <c r="L17" s="133"/>
      <c r="M17" s="252"/>
      <c r="N17" s="205"/>
      <c r="O17" s="206"/>
      <c r="P17" s="206"/>
      <c r="Q17" s="160"/>
      <c r="R17" s="163"/>
      <c r="S17" s="158"/>
      <c r="T17" s="162"/>
      <c r="U17" s="166"/>
      <c r="V17" s="384"/>
      <c r="W17" s="188"/>
      <c r="X17" s="188"/>
      <c r="Y17" s="253"/>
      <c r="Z17" s="134"/>
      <c r="AA17" s="134"/>
      <c r="AB17" s="142"/>
      <c r="AC17" s="143"/>
      <c r="AD17" s="207"/>
      <c r="AE17" s="212"/>
      <c r="AF17" s="120"/>
      <c r="AG17" s="10"/>
      <c r="AH17" s="10"/>
      <c r="AI17" s="217"/>
      <c r="AJ17" s="217"/>
      <c r="AK17" s="217"/>
      <c r="AL17" s="217"/>
      <c r="AM17" s="217"/>
    </row>
    <row r="18" spans="2:39" x14ac:dyDescent="0.25">
      <c r="B18" s="168">
        <f t="shared" ref="B18" si="18">V16</f>
        <v>4334.9962333571648</v>
      </c>
      <c r="C18" s="170">
        <f t="shared" si="7"/>
        <v>1.410975767591969</v>
      </c>
      <c r="D18" s="122">
        <v>120.569011576135</v>
      </c>
      <c r="E18">
        <f t="shared" ref="E18" si="19" xml:space="preserve"> 0.0000554429*B18 + 0.4645469286</f>
        <v>0.70489169126639795</v>
      </c>
      <c r="F18">
        <f t="shared" si="3"/>
        <v>2.2640631110722911E-2</v>
      </c>
      <c r="G18" s="122">
        <f t="shared" si="4"/>
        <v>3.8325710245215891E-3</v>
      </c>
      <c r="H18" s="184">
        <f t="shared" si="5"/>
        <v>2.1921680160443165E-2</v>
      </c>
      <c r="I18" s="184">
        <f t="shared" si="6"/>
        <v>4.4005771340132529E-3</v>
      </c>
      <c r="J18" s="155"/>
      <c r="K18" s="102"/>
      <c r="L18" s="133">
        <f>Data!D$21*K$6</f>
        <v>0.1466689125522892</v>
      </c>
      <c r="M18" s="252">
        <f>Data!D$21-L$6</f>
        <v>1.1513310874477107</v>
      </c>
      <c r="N18" s="205">
        <f>N16</f>
        <v>64.698130008904712</v>
      </c>
      <c r="O18" s="206">
        <f>O16</f>
        <v>7.7962600178094377</v>
      </c>
      <c r="P18" s="206">
        <f t="shared" ref="P18" si="20">N18+O18</f>
        <v>72.494390026714143</v>
      </c>
      <c r="Q18" s="160">
        <f t="shared" ref="Q18" si="21">C18</f>
        <v>1.410975767591969</v>
      </c>
      <c r="R18" s="163">
        <f>(C18-C17)/(B18-B17)</f>
        <v>-1.5289999999996694E-5</v>
      </c>
      <c r="S18" s="158">
        <f t="shared" ref="S18" si="22">I18</f>
        <v>4.4005771340132529E-3</v>
      </c>
      <c r="T18" s="162">
        <f>(I18-I17)/(B18-B17)</f>
        <v>-9.4334440019855358E-7</v>
      </c>
      <c r="U18" s="166">
        <f>M18*C$6*J$6</f>
        <v>2.6980866912359552E-5</v>
      </c>
      <c r="V18" s="384">
        <f>B18-((B18-B$6+(L18*Q18/U18)-(P18-'Huff&amp;Puff_3rd Cycle'!AL$38)*S18/U18))/(1+(L18*R18/U18)-(P18-'Huff&amp;Puff_3rd Cycle'!AL$38)*T18/U18)</f>
        <v>4334.9962334889406</v>
      </c>
      <c r="W18" s="188"/>
      <c r="X18" s="188"/>
      <c r="Y18" s="253"/>
      <c r="Z18" s="134"/>
      <c r="AA18" s="134"/>
      <c r="AB18" s="142"/>
      <c r="AC18" s="143"/>
      <c r="AD18" s="207"/>
      <c r="AE18" s="212"/>
      <c r="AF18" s="120"/>
      <c r="AG18" s="10"/>
      <c r="AH18" s="10"/>
      <c r="AI18" s="217"/>
      <c r="AJ18" s="217"/>
      <c r="AK18" s="217"/>
      <c r="AL18" s="217"/>
      <c r="AM18" s="217"/>
    </row>
    <row r="19" spans="2:39" x14ac:dyDescent="0.25">
      <c r="B19" s="169">
        <f>B20-50</f>
        <v>4284.9962334889406</v>
      </c>
      <c r="C19" s="170">
        <f t="shared" si="7"/>
        <v>1.411740267589954</v>
      </c>
      <c r="D19" s="122">
        <v>120.569011576135</v>
      </c>
      <c r="E19">
        <f xml:space="preserve"> 0.0000554429*B19 + 0.4645469286</f>
        <v>0.70211954627370399</v>
      </c>
      <c r="F19">
        <f t="shared" si="3"/>
        <v>2.2522631111033899E-2</v>
      </c>
      <c r="G19" s="122">
        <f t="shared" si="4"/>
        <v>3.8783958299881934E-3</v>
      </c>
      <c r="H19" s="184">
        <f t="shared" si="5"/>
        <v>2.1804440175818458E-2</v>
      </c>
      <c r="I19" s="184">
        <f t="shared" si="6"/>
        <v>4.4477443538974799E-3</v>
      </c>
      <c r="J19" s="155"/>
      <c r="K19" s="102"/>
      <c r="L19" s="133"/>
      <c r="M19" s="252"/>
      <c r="N19" s="205"/>
      <c r="O19" s="206"/>
      <c r="P19" s="206"/>
      <c r="Q19" s="160"/>
      <c r="R19" s="163"/>
      <c r="S19" s="158"/>
      <c r="T19" s="162"/>
      <c r="U19" s="166"/>
      <c r="V19" s="384"/>
      <c r="W19" s="188"/>
      <c r="X19" s="188"/>
      <c r="Y19" s="253"/>
      <c r="Z19" s="134"/>
      <c r="AA19" s="134"/>
      <c r="AB19" s="142"/>
      <c r="AC19" s="143"/>
      <c r="AD19" s="207"/>
      <c r="AE19" s="212"/>
      <c r="AF19" s="120"/>
      <c r="AG19" s="10"/>
      <c r="AH19" s="10"/>
      <c r="AI19" s="217"/>
      <c r="AJ19" s="217"/>
      <c r="AK19" s="217"/>
      <c r="AL19" s="217"/>
      <c r="AM19" s="217"/>
    </row>
    <row r="20" spans="2:39" x14ac:dyDescent="0.25">
      <c r="B20" s="168">
        <f>V18</f>
        <v>4334.9962334889406</v>
      </c>
      <c r="C20" s="170">
        <f t="shared" si="7"/>
        <v>1.4109757675899539</v>
      </c>
      <c r="D20" s="122">
        <v>120.569011576135</v>
      </c>
      <c r="E20">
        <f t="shared" ref="E20" si="23" xml:space="preserve"> 0.0000554429*B20 + 0.4645469286</f>
        <v>0.70489169127370399</v>
      </c>
      <c r="F20">
        <f t="shared" si="3"/>
        <v>2.2640631111033899E-2</v>
      </c>
      <c r="G20" s="122">
        <f t="shared" si="4"/>
        <v>3.8325710244022314E-3</v>
      </c>
      <c r="H20" s="184">
        <f t="shared" si="5"/>
        <v>2.1921680160752414E-2</v>
      </c>
      <c r="I20" s="295">
        <f t="shared" si="6"/>
        <v>4.4005771338903234E-3</v>
      </c>
      <c r="J20" s="155"/>
      <c r="K20" s="102">
        <f>K6</f>
        <v>0.11299608054875901</v>
      </c>
      <c r="L20" s="133">
        <f>Data!D$21*K$6</f>
        <v>0.1466689125522892</v>
      </c>
      <c r="M20" s="252">
        <f>Data!D$21-L$6</f>
        <v>1.1513310874477107</v>
      </c>
      <c r="N20" s="205">
        <f>N18</f>
        <v>64.698130008904712</v>
      </c>
      <c r="O20" s="206">
        <f>O18</f>
        <v>7.7962600178094377</v>
      </c>
      <c r="P20" s="319">
        <f t="shared" ref="P20" si="24">N20+O20</f>
        <v>72.494390026714143</v>
      </c>
      <c r="Q20" s="160">
        <f t="shared" ref="Q20" si="25">C20</f>
        <v>1.4109757675899539</v>
      </c>
      <c r="R20" s="163">
        <f>(C20-C19)/(B20-B19)</f>
        <v>-1.5290000000001136E-5</v>
      </c>
      <c r="S20" s="158">
        <f t="shared" ref="S20" si="26">I20</f>
        <v>4.4005771338903234E-3</v>
      </c>
      <c r="T20" s="162">
        <f>(I20-I19)/(B20-B19)</f>
        <v>-9.4334440014312914E-7</v>
      </c>
      <c r="U20" s="166">
        <f>M20*C$6*J$6</f>
        <v>2.6980866912359552E-5</v>
      </c>
      <c r="V20" s="384">
        <f>B20-((B20-B$6+(L20*Q20/U20)-(P20-'Huff&amp;Puff_3rd Cycle'!AL$38)*S20/U20))/(1+(L20*R20/U20)-(P20-'Huff&amp;Puff_3rd Cycle'!AL$38)*T20/U20)</f>
        <v>4334.9962334899137</v>
      </c>
      <c r="W20" s="342">
        <f>Data!D$42/(141.2*C20*E20*LN(Data!D$47))</f>
        <v>0.11127775758310954</v>
      </c>
      <c r="X20" s="198">
        <f>W20*(B20-Data!D$43)</f>
        <v>259.83314482765616</v>
      </c>
      <c r="Y20" s="253"/>
      <c r="Z20" s="134"/>
      <c r="AA20" s="134"/>
      <c r="AB20" s="143">
        <f>Data!N$8/12</f>
        <v>0.24</v>
      </c>
      <c r="AC20" s="248">
        <f>AB20+AC6</f>
        <v>4.4706581575017283</v>
      </c>
      <c r="AD20" s="365">
        <f>1000000*(P20-0)*I20/Data!D$48</f>
        <v>9.565555380447463E-2</v>
      </c>
      <c r="AE20" s="367">
        <f>1-AD20-Data!D$13</f>
        <v>0.40834444619552535</v>
      </c>
      <c r="AF20" s="171">
        <f>(AD20-Data!D$27)/(1-Data!D$27-Data!D$19-Data!D$13)</f>
        <v>0.31465642698840335</v>
      </c>
      <c r="AG20" s="363">
        <f>Data!D$29*AF20</f>
        <v>0.31465642698840335</v>
      </c>
      <c r="AH20" s="363">
        <f>Data!D$28*(1-AF20)</f>
        <v>0.68534357301159665</v>
      </c>
      <c r="AI20" s="364">
        <f>5.615*(D20+(E20*C20*AG20)/(5.615*H20*I20*AH20))</f>
        <v>5410.5424418878438</v>
      </c>
      <c r="AJ20" s="365">
        <f>X20*AI20/1000000</f>
        <v>1.4058382578992246</v>
      </c>
      <c r="AK20" s="193">
        <f>AK6</f>
        <v>32.582578138999253</v>
      </c>
      <c r="AL20" s="193">
        <f>AL6</f>
        <v>14.616469708773487</v>
      </c>
      <c r="AM20" s="193">
        <f>AM6</f>
        <v>328.62708268566303</v>
      </c>
    </row>
    <row r="21" spans="2:39" x14ac:dyDescent="0.25">
      <c r="N21" s="191"/>
      <c r="O21" s="191"/>
      <c r="P21" s="191"/>
      <c r="AD21" s="191"/>
      <c r="AE21" s="214"/>
      <c r="AF21" s="120"/>
      <c r="AG21" s="10"/>
      <c r="AH21" s="10"/>
      <c r="AI21" s="217"/>
      <c r="AJ21" s="217"/>
      <c r="AK21" s="219"/>
      <c r="AL21" s="219"/>
      <c r="AM21" s="219"/>
    </row>
    <row r="22" spans="2:39" ht="15.75" x14ac:dyDescent="0.25">
      <c r="B22" s="74" t="s">
        <v>337</v>
      </c>
      <c r="N22" s="191"/>
      <c r="O22" s="191"/>
      <c r="P22" s="191"/>
      <c r="AD22" s="191"/>
      <c r="AE22" s="214"/>
      <c r="AF22" s="120"/>
      <c r="AG22" s="10"/>
      <c r="AH22" s="10"/>
      <c r="AI22" s="217"/>
      <c r="AJ22" s="217"/>
      <c r="AK22" s="217"/>
      <c r="AL22" s="217"/>
      <c r="AM22" s="217"/>
    </row>
    <row r="23" spans="2:39" x14ac:dyDescent="0.25">
      <c r="N23" s="191"/>
      <c r="O23" s="191"/>
      <c r="P23" s="191"/>
      <c r="AD23" s="191"/>
      <c r="AE23" s="214"/>
      <c r="AF23" s="120"/>
      <c r="AG23" s="10"/>
      <c r="AH23" s="10"/>
      <c r="AI23" s="217"/>
      <c r="AJ23" s="217"/>
      <c r="AK23" s="217"/>
      <c r="AL23" s="217"/>
      <c r="AM23" s="217"/>
    </row>
    <row r="24" spans="2:39" ht="18.75" x14ac:dyDescent="0.3">
      <c r="B24" s="5" t="s">
        <v>239</v>
      </c>
      <c r="C24" s="185" t="s">
        <v>1</v>
      </c>
      <c r="D24" s="7" t="s">
        <v>2</v>
      </c>
      <c r="E24" s="7" t="s">
        <v>3</v>
      </c>
      <c r="F24" s="7" t="s">
        <v>202</v>
      </c>
      <c r="G24" s="7" t="s">
        <v>203</v>
      </c>
      <c r="H24" s="63" t="s">
        <v>179</v>
      </c>
      <c r="I24" s="63" t="s">
        <v>180</v>
      </c>
      <c r="J24" s="99" t="s">
        <v>32</v>
      </c>
      <c r="K24" s="24" t="s">
        <v>261</v>
      </c>
      <c r="L24" s="24" t="s">
        <v>260</v>
      </c>
      <c r="M24" s="24" t="s">
        <v>162</v>
      </c>
      <c r="N24" s="21" t="s">
        <v>163</v>
      </c>
      <c r="O24" s="21" t="s">
        <v>269</v>
      </c>
      <c r="P24" s="21" t="s">
        <v>270</v>
      </c>
      <c r="Q24" s="24" t="s">
        <v>164</v>
      </c>
      <c r="R24" s="24" t="s">
        <v>165</v>
      </c>
      <c r="S24" s="21" t="s">
        <v>166</v>
      </c>
      <c r="T24" s="21" t="s">
        <v>167</v>
      </c>
      <c r="U24" s="99" t="s">
        <v>238</v>
      </c>
      <c r="V24" s="167" t="s">
        <v>171</v>
      </c>
      <c r="W24" s="185" t="s">
        <v>240</v>
      </c>
      <c r="X24" s="185" t="s">
        <v>241</v>
      </c>
      <c r="Y24" s="5" t="s">
        <v>242</v>
      </c>
      <c r="Z24" s="5" t="s">
        <v>243</v>
      </c>
      <c r="AA24" s="5" t="s">
        <v>244</v>
      </c>
      <c r="AB24" s="5" t="s">
        <v>247</v>
      </c>
      <c r="AC24" s="5" t="s">
        <v>249</v>
      </c>
      <c r="AD24" s="21" t="s">
        <v>295</v>
      </c>
      <c r="AE24" s="185" t="s">
        <v>297</v>
      </c>
      <c r="AF24" s="99" t="s">
        <v>278</v>
      </c>
      <c r="AG24" s="99" t="s">
        <v>279</v>
      </c>
      <c r="AH24" s="99" t="s">
        <v>280</v>
      </c>
      <c r="AI24" s="21" t="s">
        <v>285</v>
      </c>
      <c r="AJ24" s="21" t="s">
        <v>289</v>
      </c>
      <c r="AK24" s="21" t="s">
        <v>294</v>
      </c>
      <c r="AL24" s="21" t="s">
        <v>290</v>
      </c>
      <c r="AM24" s="21" t="s">
        <v>300</v>
      </c>
    </row>
    <row r="25" spans="2:39" x14ac:dyDescent="0.25">
      <c r="B25" s="1" t="s">
        <v>36</v>
      </c>
      <c r="C25" s="186" t="s">
        <v>207</v>
      </c>
      <c r="D25" s="7" t="s">
        <v>301</v>
      </c>
      <c r="E25" s="7" t="s">
        <v>206</v>
      </c>
      <c r="F25" s="7" t="s">
        <v>206</v>
      </c>
      <c r="G25" s="7" t="s">
        <v>39</v>
      </c>
      <c r="H25" s="2" t="s">
        <v>206</v>
      </c>
      <c r="I25" s="2" t="s">
        <v>39</v>
      </c>
      <c r="J25" s="7"/>
      <c r="K25" s="7"/>
      <c r="L25" s="7" t="s">
        <v>161</v>
      </c>
      <c r="M25" s="7" t="s">
        <v>161</v>
      </c>
      <c r="N25" s="161" t="s">
        <v>161</v>
      </c>
      <c r="O25" s="161" t="s">
        <v>161</v>
      </c>
      <c r="P25" s="161" t="s">
        <v>161</v>
      </c>
      <c r="Q25" s="20" t="s">
        <v>168</v>
      </c>
      <c r="R25" s="20" t="s">
        <v>205</v>
      </c>
      <c r="S25" s="161" t="s">
        <v>169</v>
      </c>
      <c r="T25" s="2" t="s">
        <v>204</v>
      </c>
      <c r="U25" s="164" t="s">
        <v>170</v>
      </c>
      <c r="V25" s="164" t="s">
        <v>172</v>
      </c>
      <c r="W25" s="186" t="s">
        <v>246</v>
      </c>
      <c r="X25" s="186" t="s">
        <v>150</v>
      </c>
      <c r="Y25" s="7"/>
      <c r="Z25" s="7" t="s">
        <v>161</v>
      </c>
      <c r="AA25" s="7" t="s">
        <v>245</v>
      </c>
      <c r="AB25" s="7" t="s">
        <v>266</v>
      </c>
      <c r="AD25" s="191"/>
      <c r="AE25" s="214"/>
      <c r="AF25" s="120"/>
      <c r="AG25" s="10"/>
      <c r="AH25" s="10"/>
      <c r="AI25" s="191" t="s">
        <v>283</v>
      </c>
      <c r="AJ25" s="161" t="s">
        <v>288</v>
      </c>
      <c r="AK25" s="161" t="s">
        <v>288</v>
      </c>
      <c r="AL25" s="21" t="s">
        <v>336</v>
      </c>
      <c r="AM25" s="161" t="s">
        <v>288</v>
      </c>
    </row>
    <row r="26" spans="2:39" x14ac:dyDescent="0.25">
      <c r="C26" s="186"/>
      <c r="D26" s="7"/>
      <c r="E26" s="7"/>
      <c r="F26" s="7"/>
      <c r="G26" s="7"/>
      <c r="H26" s="2"/>
      <c r="I26" s="2"/>
      <c r="J26" s="7"/>
      <c r="K26" s="7"/>
      <c r="L26" s="7"/>
      <c r="M26" s="7"/>
      <c r="N26" s="161"/>
      <c r="O26" s="161"/>
      <c r="P26" s="161"/>
      <c r="Q26" s="20"/>
      <c r="R26" s="20"/>
      <c r="S26" s="161"/>
      <c r="T26" s="2"/>
      <c r="U26" s="164"/>
      <c r="V26" s="164"/>
      <c r="W26" s="186"/>
      <c r="X26" s="186"/>
      <c r="Y26" s="312" t="s">
        <v>318</v>
      </c>
      <c r="Z26" s="312" t="s">
        <v>319</v>
      </c>
      <c r="AA26" s="312" t="s">
        <v>327</v>
      </c>
      <c r="AB26" s="312" t="s">
        <v>328</v>
      </c>
      <c r="AC26" s="312" t="s">
        <v>329</v>
      </c>
      <c r="AD26" s="312" t="s">
        <v>330</v>
      </c>
      <c r="AE26" s="312" t="s">
        <v>331</v>
      </c>
      <c r="AF26" s="312" t="s">
        <v>332</v>
      </c>
      <c r="AG26" s="312" t="s">
        <v>333</v>
      </c>
      <c r="AH26" s="312" t="s">
        <v>334</v>
      </c>
      <c r="AI26" s="312" t="s">
        <v>326</v>
      </c>
      <c r="AJ26" s="312" t="s">
        <v>320</v>
      </c>
      <c r="AK26" s="312" t="s">
        <v>321</v>
      </c>
      <c r="AL26" s="312" t="s">
        <v>322</v>
      </c>
      <c r="AM26" s="312" t="s">
        <v>323</v>
      </c>
    </row>
    <row r="27" spans="2:39" x14ac:dyDescent="0.25">
      <c r="K27" s="7" t="s">
        <v>258</v>
      </c>
      <c r="L27" s="7" t="s">
        <v>259</v>
      </c>
      <c r="M27" s="47" t="s">
        <v>271</v>
      </c>
      <c r="O27" s="7" t="s">
        <v>264</v>
      </c>
      <c r="P27" s="7" t="s">
        <v>265</v>
      </c>
      <c r="V27" s="7" t="s">
        <v>251</v>
      </c>
      <c r="W27" s="7" t="s">
        <v>267</v>
      </c>
      <c r="X27" s="7" t="s">
        <v>268</v>
      </c>
      <c r="Y27" s="7" t="s">
        <v>250</v>
      </c>
      <c r="Z27" s="7" t="s">
        <v>254</v>
      </c>
      <c r="AA27" s="7" t="s">
        <v>255</v>
      </c>
      <c r="AB27" s="7" t="s">
        <v>256</v>
      </c>
      <c r="AC27" s="7" t="s">
        <v>257</v>
      </c>
      <c r="AD27" s="7" t="s">
        <v>273</v>
      </c>
      <c r="AE27" s="7" t="s">
        <v>273</v>
      </c>
      <c r="AF27" s="7" t="s">
        <v>277</v>
      </c>
      <c r="AG27" s="7" t="s">
        <v>277</v>
      </c>
      <c r="AH27" s="7" t="s">
        <v>277</v>
      </c>
      <c r="AI27" s="7" t="s">
        <v>284</v>
      </c>
      <c r="AJ27" s="7" t="s">
        <v>287</v>
      </c>
      <c r="AK27" s="7" t="s">
        <v>292</v>
      </c>
      <c r="AL27" s="7" t="s">
        <v>292</v>
      </c>
      <c r="AM27" s="7" t="s">
        <v>299</v>
      </c>
    </row>
    <row r="28" spans="2:39" x14ac:dyDescent="0.25">
      <c r="B28" s="1">
        <v>4500</v>
      </c>
      <c r="C28" s="170">
        <f xml:space="preserve"> -0.00001529*B28 + 1.47725786</f>
        <v>1.4084528599999999</v>
      </c>
      <c r="D28" s="122">
        <v>119.56901157613535</v>
      </c>
      <c r="E28">
        <f xml:space="preserve"> 0.0000554429*B28 + 0.4645469286</f>
        <v>0.71403997860000001</v>
      </c>
      <c r="F28">
        <f>0.00000236*B28 + 0.01241004</f>
        <v>2.3030040000000002E-2</v>
      </c>
      <c r="G28" s="122">
        <f>20.40472*B28^(-1.02454)</f>
        <v>3.6886571506179284E-3</v>
      </c>
      <c r="H28" s="184">
        <f xml:space="preserve"> 0.00000000004*B28^2 + 0.000002*B28 + 0.0125</f>
        <v>2.231E-2</v>
      </c>
      <c r="I28" s="184">
        <f>9.6806*B28^(-0.919)</f>
        <v>4.2520657888098475E-3</v>
      </c>
      <c r="J28" s="155">
        <f>Data!D$14</f>
        <v>1.49E-5</v>
      </c>
      <c r="K28" s="385">
        <f>L28/Data!D$21</f>
        <v>0.11081142534133358</v>
      </c>
      <c r="L28" s="201">
        <f>L$20+Z28</f>
        <v>0.14383323009305099</v>
      </c>
      <c r="M28" s="201">
        <f>Data!D$21-L28</f>
        <v>1.1541667699069491</v>
      </c>
      <c r="N28" s="205">
        <v>0</v>
      </c>
      <c r="O28" s="206">
        <f>30.4*Data!N$5*Data!O$5/5.615</f>
        <v>47.102404274265361</v>
      </c>
      <c r="P28" s="206">
        <f>N28+O28</f>
        <v>47.102404274265361</v>
      </c>
      <c r="Q28" s="160"/>
      <c r="R28" s="163"/>
      <c r="S28" s="158"/>
      <c r="T28" s="162"/>
      <c r="U28" s="166"/>
      <c r="V28" s="199">
        <f>V20</f>
        <v>4334.9962334899137</v>
      </c>
      <c r="W28" s="342">
        <f>Data!D$42/(141.2*C28*E28*LN(Data!D$47))</f>
        <v>0.11004883963568925</v>
      </c>
      <c r="X28" s="198">
        <f>W28*(B28-Data!D$43)</f>
        <v>275.12209908922313</v>
      </c>
      <c r="Y28" s="105">
        <f>C$20*J28*(B$20-B28)/C28</f>
        <v>-2.4629600383017556E-3</v>
      </c>
      <c r="Z28" s="105">
        <f>Y28*M$20</f>
        <v>-2.8356824592382156E-3</v>
      </c>
      <c r="AA28" s="201">
        <f>365*(X$20-X28)/(1000000*Z28)</f>
        <v>1.9679454190266052</v>
      </c>
      <c r="AB28" s="201">
        <f>LN(X$20/X28)/AA28</f>
        <v>-2.9053306520566292E-2</v>
      </c>
      <c r="AC28" s="202">
        <f>AC$20+AB28</f>
        <v>4.4416048509811619</v>
      </c>
      <c r="AD28" s="317">
        <f>1000000*(P28-AL$20)*I28/Data!D$48</f>
        <v>4.141822597259899E-2</v>
      </c>
      <c r="AE28" s="213">
        <f>1-AD28-Data!D$13</f>
        <v>0.46258177402740097</v>
      </c>
      <c r="AF28" s="215">
        <f>(AD28-Data!D$27)/(1-Data!D$27-Data!D$19-Data!D$13)</f>
        <v>0.13624416438354928</v>
      </c>
      <c r="AG28" s="33">
        <f>Data!D$29*AF28</f>
        <v>0.13624416438354928</v>
      </c>
      <c r="AH28" s="33">
        <f>Data!D$28*(1-AF28)</f>
        <v>0.86375583561645075</v>
      </c>
      <c r="AI28" s="246">
        <f>5.615*(D28+(E28*C28*AG28)/(5.615*H28*I28*AH28))</f>
        <v>2343.5953809521711</v>
      </c>
      <c r="AJ28" s="268">
        <f>X28*AI28/1000000</f>
        <v>0.64477488062336885</v>
      </c>
      <c r="AK28" s="313">
        <f>365*AJ28*AB28</f>
        <v>-6.8374874188819801</v>
      </c>
      <c r="AL28" s="313">
        <f>AL$20+AK28/5.615</f>
        <v>13.398751557592368</v>
      </c>
      <c r="AM28" s="313">
        <f>AM$20+5.615*AL28</f>
        <v>403.86107268154416</v>
      </c>
    </row>
    <row r="29" spans="2:39" x14ac:dyDescent="0.25">
      <c r="B29" s="1">
        <f>B28-100</f>
        <v>4400</v>
      </c>
      <c r="C29" s="170">
        <f t="shared" ref="C29:C48" si="27" xml:space="preserve"> -0.00001529*B29 + 1.47725786</f>
        <v>1.4099818599999998</v>
      </c>
      <c r="D29" s="122">
        <v>119.56901157613535</v>
      </c>
      <c r="E29">
        <f t="shared" ref="E29:E48" si="28" xml:space="preserve"> 0.0000554429*B29 + 0.4645469286</f>
        <v>0.70849568860000001</v>
      </c>
      <c r="F29">
        <f t="shared" ref="F29:F48" si="29">0.00000236*B29 + 0.01241004</f>
        <v>2.2794040000000002E-2</v>
      </c>
      <c r="G29" s="122">
        <f t="shared" ref="G29:G48" si="30">20.40472*B29^(-1.02454)</f>
        <v>3.7745713090349938E-3</v>
      </c>
      <c r="H29" s="184">
        <f t="shared" ref="H29:H48" si="31" xml:space="preserve"> 0.00000000004*B29^2 + 0.000002*B29 + 0.0125</f>
        <v>2.2074400000000001E-2</v>
      </c>
      <c r="I29" s="184">
        <f t="shared" ref="I29:I48" si="32">9.6806*B29^(-0.919)</f>
        <v>4.3407948969773243E-3</v>
      </c>
      <c r="J29" s="155">
        <f>Data!D$14</f>
        <v>1.49E-5</v>
      </c>
      <c r="K29" s="385">
        <f>L29/Data!D$21</f>
        <v>0.11213636187747146</v>
      </c>
      <c r="L29" s="201">
        <f t="shared" ref="L29:L48" si="33">L$20+Z29</f>
        <v>0.14555299771695795</v>
      </c>
      <c r="M29" s="201">
        <f>Data!D$21-L29</f>
        <v>1.1524470022830422</v>
      </c>
      <c r="N29" s="205">
        <v>0</v>
      </c>
      <c r="O29" s="206">
        <f>30.4*Data!N$5*Data!O$5/5.615</f>
        <v>47.102404274265361</v>
      </c>
      <c r="P29" s="206">
        <f t="shared" ref="P29:P48" si="34">N29+O29</f>
        <v>47.102404274265361</v>
      </c>
      <c r="Q29" s="160"/>
      <c r="R29" s="163"/>
      <c r="S29" s="158"/>
      <c r="T29" s="162"/>
      <c r="U29" s="166"/>
      <c r="V29" s="199"/>
      <c r="W29" s="342">
        <f>Data!D$42/(141.2*C29*E29*LN(Data!D$47))</f>
        <v>0.11078974809090547</v>
      </c>
      <c r="X29" s="198">
        <f>W29*(B29-Data!D$43)</f>
        <v>265.89539541817311</v>
      </c>
      <c r="Y29" s="105">
        <f t="shared" ref="Y29:Y48" si="35">C$20*J29*(B$20-B29)/C29</f>
        <v>-9.6923886403955982E-4</v>
      </c>
      <c r="Z29" s="105">
        <f t="shared" ref="Z29:Z48" si="36">Y29*M$20</f>
        <v>-1.1159148353312503E-3</v>
      </c>
      <c r="AA29" s="201">
        <f t="shared" ref="AA29:AA48" si="37">365*(X$20-X29)/(1000000*Z29)</f>
        <v>1.9828766456732869</v>
      </c>
      <c r="AB29" s="201">
        <f>LN(X$20/X29)/AA29</f>
        <v>-1.1631236284242464E-2</v>
      </c>
      <c r="AC29" s="202">
        <f t="shared" ref="AC29:AC48" si="38">AC$20+AB29</f>
        <v>4.459026921217486</v>
      </c>
      <c r="AD29" s="317">
        <f>1000000*(P29-AL28)*I29/Data!D$48</f>
        <v>4.3867449991429143E-2</v>
      </c>
      <c r="AE29" s="213">
        <f>1-AD29-Data!D$13</f>
        <v>0.4601325500085709</v>
      </c>
      <c r="AF29" s="215">
        <f>(AD29-Data!D$27)/(1-Data!D$27-Data!D$19-Data!D$13)</f>
        <v>0.14430082234022742</v>
      </c>
      <c r="AG29" s="33">
        <f>Data!D$29*AF29</f>
        <v>0.14430082234022742</v>
      </c>
      <c r="AH29" s="33">
        <f>Data!D$28*(1-AF29)</f>
        <v>0.85569917765977255</v>
      </c>
      <c r="AI29" s="246">
        <f>5.615*(D29+(E29*C29*AG29)/(5.615*H29*I29*AH29))</f>
        <v>2429.4665633374575</v>
      </c>
      <c r="AJ29" s="268">
        <f t="shared" ref="AJ29:AJ48" si="39">X29*AI29/1000000</f>
        <v>0.64598397251384332</v>
      </c>
      <c r="AK29" s="313">
        <f>365*AJ29*AB29</f>
        <v>-2.7424611603518669</v>
      </c>
      <c r="AL29" s="313">
        <f>AL$20+AK29/5.615</f>
        <v>14.128052761248666</v>
      </c>
      <c r="AM29" s="313">
        <f>AM$20+5.615*AL29</f>
        <v>407.9560989400743</v>
      </c>
    </row>
    <row r="30" spans="2:39" x14ac:dyDescent="0.25">
      <c r="B30" s="1">
        <f t="shared" ref="B30:B48" si="40">B29-100</f>
        <v>4300</v>
      </c>
      <c r="C30" s="170">
        <f t="shared" si="27"/>
        <v>1.4115108599999999</v>
      </c>
      <c r="D30" s="122">
        <v>119.56901157613535</v>
      </c>
      <c r="E30">
        <f t="shared" si="28"/>
        <v>0.7029513986</v>
      </c>
      <c r="F30">
        <f t="shared" si="29"/>
        <v>2.2558040000000001E-2</v>
      </c>
      <c r="G30" s="122">
        <f t="shared" si="30"/>
        <v>3.8645316471736368E-3</v>
      </c>
      <c r="H30" s="184">
        <f t="shared" si="31"/>
        <v>2.1839600000000001E-2</v>
      </c>
      <c r="I30" s="184">
        <f t="shared" si="32"/>
        <v>4.4334801146330219E-3</v>
      </c>
      <c r="J30" s="155">
        <f>Data!D$14</f>
        <v>1.49E-5</v>
      </c>
      <c r="K30" s="385">
        <f>L30/Data!D$21</f>
        <v>0.11345842797453419</v>
      </c>
      <c r="L30" s="201">
        <f t="shared" si="33"/>
        <v>0.14726903951094539</v>
      </c>
      <c r="M30" s="201">
        <f>Data!D$21-L30</f>
        <v>1.1507309604890548</v>
      </c>
      <c r="N30" s="205">
        <v>0</v>
      </c>
      <c r="O30" s="206">
        <f>30.4*Data!N$5*Data!O$5/5.615</f>
        <v>47.102404274265361</v>
      </c>
      <c r="P30" s="206">
        <f t="shared" si="34"/>
        <v>47.102404274265361</v>
      </c>
      <c r="Q30" s="160"/>
      <c r="R30" s="163"/>
      <c r="S30" s="158"/>
      <c r="T30" s="162"/>
      <c r="U30" s="166"/>
      <c r="V30" s="199"/>
      <c r="W30" s="342">
        <f>Data!D$42/(141.2*C30*E30*LN(Data!D$47))</f>
        <v>0.11154260649414262</v>
      </c>
      <c r="X30" s="198">
        <f>W30*(B30-Data!D$43)</f>
        <v>256.54799493652803</v>
      </c>
      <c r="Y30" s="105">
        <f t="shared" si="35"/>
        <v>5.2124620380621513E-4</v>
      </c>
      <c r="Z30" s="105">
        <f t="shared" si="36"/>
        <v>6.0012695865620073E-4</v>
      </c>
      <c r="AA30" s="201">
        <f t="shared" si="37"/>
        <v>1.9980434022606419</v>
      </c>
      <c r="AB30" s="201">
        <f t="shared" ref="AB30:AB48" si="41">LN(X$20/X30)/AA30</f>
        <v>6.3681862260039695E-3</v>
      </c>
      <c r="AC30" s="202">
        <f t="shared" si="38"/>
        <v>4.477026343727732</v>
      </c>
      <c r="AD30" s="317">
        <f>1000000*(P30-AL29)*I30/Data!D$48</f>
        <v>4.3834613416740137E-2</v>
      </c>
      <c r="AE30" s="213">
        <f>1-AD30-Data!D$13</f>
        <v>0.46016538658325989</v>
      </c>
      <c r="AF30" s="215">
        <f>(AD30-Data!D$27)/(1-Data!D$27-Data!D$19-Data!D$13)</f>
        <v>0.14419280729190831</v>
      </c>
      <c r="AG30" s="33">
        <f>Data!D$29*AF30</f>
        <v>0.14419280729190831</v>
      </c>
      <c r="AH30" s="33">
        <f>Data!D$28*(1-AF30)</f>
        <v>0.85580719270809169</v>
      </c>
      <c r="AI30" s="246">
        <f t="shared" ref="AI30:AI48" si="42">5.615*(D30+(E30*C30*AG30)/(5.615*H30*I30*AH30))</f>
        <v>2397.9641250110799</v>
      </c>
      <c r="AJ30" s="268">
        <f t="shared" si="39"/>
        <v>0.61519288820131834</v>
      </c>
      <c r="AK30" s="313">
        <f t="shared" ref="AK30:AK48" si="43">365*AJ30*AB30</f>
        <v>1.4299469500974209</v>
      </c>
      <c r="AL30" s="313">
        <f t="shared" ref="AL30:AL48" si="44">AL$20+AK30/5.615</f>
        <v>14.871135238621648</v>
      </c>
      <c r="AM30" s="313">
        <f t="shared" ref="AM30:AM48" si="45">AM$20+5.615*AL30</f>
        <v>412.12850705052358</v>
      </c>
    </row>
    <row r="31" spans="2:39" x14ac:dyDescent="0.25">
      <c r="B31" s="1">
        <f t="shared" si="40"/>
        <v>4200</v>
      </c>
      <c r="C31" s="170">
        <f t="shared" si="27"/>
        <v>1.41303986</v>
      </c>
      <c r="D31" s="122">
        <v>119.56901157613535</v>
      </c>
      <c r="E31">
        <f t="shared" si="28"/>
        <v>0.69740710859999999</v>
      </c>
      <c r="F31">
        <f t="shared" si="29"/>
        <v>2.2322040000000001E-2</v>
      </c>
      <c r="G31" s="122">
        <f t="shared" si="30"/>
        <v>3.95882962583082E-3</v>
      </c>
      <c r="H31" s="184">
        <f t="shared" si="31"/>
        <v>2.1605600000000003E-2</v>
      </c>
      <c r="I31" s="184">
        <f t="shared" si="32"/>
        <v>4.5303961304867619E-3</v>
      </c>
      <c r="J31" s="155">
        <f>Data!D$14</f>
        <v>1.49E-5</v>
      </c>
      <c r="K31" s="385">
        <f>L31/Data!D$21</f>
        <v>0.11477763295052085</v>
      </c>
      <c r="L31" s="201">
        <f t="shared" si="33"/>
        <v>0.14898136756977606</v>
      </c>
      <c r="M31" s="201">
        <f>Data!D$21-L31</f>
        <v>1.1490186324302241</v>
      </c>
      <c r="N31" s="205">
        <v>0</v>
      </c>
      <c r="O31" s="206">
        <f>30.4*Data!N$5*Data!O$5/5.615</f>
        <v>47.102404274265361</v>
      </c>
      <c r="P31" s="206">
        <f t="shared" si="34"/>
        <v>47.102404274265361</v>
      </c>
      <c r="Q31" s="160"/>
      <c r="R31" s="163"/>
      <c r="S31" s="158"/>
      <c r="T31" s="162"/>
      <c r="U31" s="166"/>
      <c r="V31" s="199"/>
      <c r="W31" s="342">
        <f>Data!D$42/(141.2*C31*E31*LN(Data!D$47))</f>
        <v>0.11230769898740299</v>
      </c>
      <c r="X31" s="198">
        <f>W31*(B31-Data!D$43)</f>
        <v>247.07693777228658</v>
      </c>
      <c r="Y31" s="105">
        <f t="shared" si="35"/>
        <v>2.0085056702613311E-3</v>
      </c>
      <c r="Z31" s="105">
        <f t="shared" si="36"/>
        <v>2.3124550174868715E-3</v>
      </c>
      <c r="AA31" s="201">
        <f t="shared" si="37"/>
        <v>2.0134513060798716</v>
      </c>
      <c r="AB31" s="201">
        <f t="shared" si="41"/>
        <v>2.5001795230195033E-2</v>
      </c>
      <c r="AC31" s="202">
        <f t="shared" si="38"/>
        <v>4.4956599527319234</v>
      </c>
      <c r="AD31" s="317">
        <f>1000000*(P31-AL30)*I31/Data!D$48</f>
        <v>4.378342539338799E-2</v>
      </c>
      <c r="AE31" s="213">
        <f>1-AD31-Data!D$13</f>
        <v>0.46021657460661203</v>
      </c>
      <c r="AF31" s="215">
        <f>(AD31-Data!D$27)/(1-Data!D$27-Data!D$19-Data!D$13)</f>
        <v>0.14402442563614468</v>
      </c>
      <c r="AG31" s="33">
        <f>Data!D$29*AF31</f>
        <v>0.14402442563614468</v>
      </c>
      <c r="AH31" s="33">
        <f>Data!D$28*(1-AF31)</f>
        <v>0.8559755743638553</v>
      </c>
      <c r="AI31" s="246">
        <f t="shared" si="42"/>
        <v>2365.3786249119312</v>
      </c>
      <c r="AJ31" s="268">
        <f t="shared" si="39"/>
        <v>0.58443050731526203</v>
      </c>
      <c r="AK31" s="313">
        <f t="shared" si="43"/>
        <v>5.333311332613941</v>
      </c>
      <c r="AL31" s="313">
        <f t="shared" si="44"/>
        <v>15.566302537377929</v>
      </c>
      <c r="AM31" s="313">
        <f t="shared" si="45"/>
        <v>416.03187143304012</v>
      </c>
    </row>
    <row r="32" spans="2:39" x14ac:dyDescent="0.25">
      <c r="B32" s="1">
        <f t="shared" si="40"/>
        <v>4100</v>
      </c>
      <c r="C32" s="170">
        <f t="shared" si="27"/>
        <v>1.4145688599999999</v>
      </c>
      <c r="D32" s="122">
        <v>119.56901157613535</v>
      </c>
      <c r="E32">
        <f t="shared" si="28"/>
        <v>0.69186281859999998</v>
      </c>
      <c r="F32">
        <f t="shared" si="29"/>
        <v>2.2086040000000001E-2</v>
      </c>
      <c r="G32" s="122">
        <f t="shared" si="30"/>
        <v>4.0577853238507487E-3</v>
      </c>
      <c r="H32" s="184">
        <f t="shared" si="31"/>
        <v>2.13724E-2</v>
      </c>
      <c r="I32" s="184">
        <f t="shared" si="32"/>
        <v>4.6318438640526533E-3</v>
      </c>
      <c r="J32" s="155">
        <f>Data!D$14</f>
        <v>1.49E-5</v>
      </c>
      <c r="K32" s="385">
        <f>L32/Data!D$21</f>
        <v>0.11609398608314332</v>
      </c>
      <c r="L32" s="201">
        <f t="shared" si="33"/>
        <v>0.15068999393592003</v>
      </c>
      <c r="M32" s="201">
        <f>Data!D$21-L32</f>
        <v>1.14731000606408</v>
      </c>
      <c r="N32" s="205">
        <v>0</v>
      </c>
      <c r="O32" s="206">
        <f>30.4*Data!N$5*Data!O$5/5.615</f>
        <v>47.102404274265361</v>
      </c>
      <c r="P32" s="206">
        <f t="shared" si="34"/>
        <v>47.102404274265361</v>
      </c>
      <c r="Q32" s="160"/>
      <c r="R32" s="163"/>
      <c r="S32" s="158"/>
      <c r="T32" s="162"/>
      <c r="U32" s="166"/>
      <c r="V32" s="199"/>
      <c r="W32" s="342">
        <f>Data!D$42/(141.2*C32*E32*LN(Data!D$47))</f>
        <v>0.11308531882439941</v>
      </c>
      <c r="X32" s="198">
        <f>W32*(B32-Data!D$43)</f>
        <v>237.47916953123877</v>
      </c>
      <c r="Y32" s="105">
        <f t="shared" si="35"/>
        <v>3.4925499949322431E-3</v>
      </c>
      <c r="Z32" s="105">
        <f t="shared" si="36"/>
        <v>4.0210813836308364E-3</v>
      </c>
      <c r="AA32" s="201">
        <f t="shared" si="37"/>
        <v>2.0291061544805129</v>
      </c>
      <c r="AB32" s="201">
        <f t="shared" si="41"/>
        <v>4.433467502556402E-2</v>
      </c>
      <c r="AC32" s="202">
        <f t="shared" si="38"/>
        <v>4.5149928325272928</v>
      </c>
      <c r="AD32" s="317">
        <f>1000000*(P32-AL31)*I32/Data!D$48</f>
        <v>4.3798382480785693E-2</v>
      </c>
      <c r="AE32" s="213">
        <f>1-AD32-Data!D$13</f>
        <v>0.46020161751921429</v>
      </c>
      <c r="AF32" s="215">
        <f>(AD32-Data!D$27)/(1-Data!D$27-Data!D$19-Data!D$13)</f>
        <v>0.14407362658153186</v>
      </c>
      <c r="AG32" s="33">
        <f>Data!D$29*AF32</f>
        <v>0.14407362658153186</v>
      </c>
      <c r="AH32" s="33">
        <f>Data!D$28*(1-AF32)</f>
        <v>0.85592637341846811</v>
      </c>
      <c r="AI32" s="246">
        <f t="shared" si="42"/>
        <v>2335.5012261099969</v>
      </c>
      <c r="AJ32" s="268">
        <f t="shared" si="39"/>
        <v>0.55463289161579199</v>
      </c>
      <c r="AK32" s="313">
        <f t="shared" si="43"/>
        <v>8.9751561880203781</v>
      </c>
      <c r="AL32" s="313">
        <f t="shared" si="44"/>
        <v>16.214894675473463</v>
      </c>
      <c r="AM32" s="313">
        <f t="shared" si="45"/>
        <v>419.67371628844654</v>
      </c>
    </row>
    <row r="33" spans="2:39" x14ac:dyDescent="0.25">
      <c r="B33" s="1">
        <f t="shared" si="40"/>
        <v>4000</v>
      </c>
      <c r="C33" s="170">
        <f t="shared" si="27"/>
        <v>1.4160978599999998</v>
      </c>
      <c r="D33" s="122">
        <v>119.56901157613535</v>
      </c>
      <c r="E33">
        <f t="shared" si="28"/>
        <v>0.68631852859999998</v>
      </c>
      <c r="F33">
        <f t="shared" si="29"/>
        <v>2.1850040000000001E-2</v>
      </c>
      <c r="G33" s="122">
        <f t="shared" si="30"/>
        <v>4.1617510340148534E-3</v>
      </c>
      <c r="H33" s="184">
        <f t="shared" si="31"/>
        <v>2.1139999999999999E-2</v>
      </c>
      <c r="I33" s="184">
        <f t="shared" si="32"/>
        <v>4.7381536881952058E-3</v>
      </c>
      <c r="J33" s="155">
        <f>Data!D$14</f>
        <v>1.49E-5</v>
      </c>
      <c r="K33" s="385">
        <f>L33/Data!D$21</f>
        <v>0.11740749661004393</v>
      </c>
      <c r="L33" s="201">
        <f t="shared" si="33"/>
        <v>0.15239493059983703</v>
      </c>
      <c r="M33" s="201">
        <f>Data!D$21-L33</f>
        <v>1.1456050694001629</v>
      </c>
      <c r="N33" s="205">
        <v>0</v>
      </c>
      <c r="O33" s="206">
        <f>30.4*Data!N$5*Data!O$5/5.615</f>
        <v>47.102404274265361</v>
      </c>
      <c r="P33" s="206">
        <f t="shared" si="34"/>
        <v>47.102404274265361</v>
      </c>
      <c r="Q33" s="160"/>
      <c r="R33" s="163"/>
      <c r="S33" s="158"/>
      <c r="T33" s="162"/>
      <c r="U33" s="166"/>
      <c r="V33" s="199"/>
      <c r="W33" s="342">
        <f>Data!D$42/(141.2*C33*E33*LN(Data!D$47))</f>
        <v>0.11387576873857055</v>
      </c>
      <c r="X33" s="198">
        <f>W33*(B33-Data!D$43)</f>
        <v>227.75153747714111</v>
      </c>
      <c r="Y33" s="105">
        <f t="shared" si="35"/>
        <v>4.9733895922513018E-3</v>
      </c>
      <c r="Z33" s="105">
        <f t="shared" si="36"/>
        <v>5.7260180475478175E-3</v>
      </c>
      <c r="AA33" s="201">
        <f t="shared" si="37"/>
        <v>2.0450139321430778</v>
      </c>
      <c r="AB33" s="201">
        <f t="shared" si="41"/>
        <v>6.4441804249362314E-2</v>
      </c>
      <c r="AC33" s="202">
        <f t="shared" si="38"/>
        <v>4.535099961751091</v>
      </c>
      <c r="AD33" s="317">
        <f>1000000*(P33-AL32)*I33/Data!D$48</f>
        <v>4.388217949569747E-2</v>
      </c>
      <c r="AE33" s="213">
        <f>1-AD33-Data!D$13</f>
        <v>0.4601178205043025</v>
      </c>
      <c r="AF33" s="215">
        <f>(AD33-Data!D$27)/(1-Data!D$27-Data!D$19-Data!D$13)</f>
        <v>0.14434927465689953</v>
      </c>
      <c r="AG33" s="33">
        <f>Data!D$29*AF33</f>
        <v>0.14434927465689953</v>
      </c>
      <c r="AH33" s="33">
        <f>Data!D$28*(1-AF33)</f>
        <v>0.85565072534310049</v>
      </c>
      <c r="AI33" s="246">
        <f t="shared" si="42"/>
        <v>2308.2830081532561</v>
      </c>
      <c r="AJ33" s="268">
        <f t="shared" si="39"/>
        <v>0.5257150040392643</v>
      </c>
      <c r="AK33" s="313">
        <f t="shared" si="43"/>
        <v>12.36547853415661</v>
      </c>
      <c r="AL33" s="313">
        <f t="shared" si="44"/>
        <v>16.818692065702535</v>
      </c>
      <c r="AM33" s="313">
        <f t="shared" si="45"/>
        <v>423.06403863458274</v>
      </c>
    </row>
    <row r="34" spans="2:39" x14ac:dyDescent="0.25">
      <c r="B34" s="1">
        <f t="shared" si="40"/>
        <v>3900</v>
      </c>
      <c r="C34" s="170">
        <f t="shared" si="27"/>
        <v>1.4176268599999999</v>
      </c>
      <c r="D34" s="122">
        <v>119.56901157613535</v>
      </c>
      <c r="E34">
        <f t="shared" si="28"/>
        <v>0.68077423859999997</v>
      </c>
      <c r="F34">
        <f t="shared" si="29"/>
        <v>2.1614040000000001E-2</v>
      </c>
      <c r="G34" s="122">
        <f t="shared" si="30"/>
        <v>4.2711154145782622E-3</v>
      </c>
      <c r="H34" s="184">
        <f t="shared" si="31"/>
        <v>2.0908400000000001E-2</v>
      </c>
      <c r="I34" s="184">
        <f t="shared" si="32"/>
        <v>4.8496891402654329E-3</v>
      </c>
      <c r="J34" s="155">
        <f>Data!D$14</f>
        <v>1.49E-5</v>
      </c>
      <c r="K34" s="385">
        <f>L34/Data!D$21</f>
        <v>0.11871817372901144</v>
      </c>
      <c r="L34" s="201">
        <f t="shared" si="33"/>
        <v>0.15409618950025686</v>
      </c>
      <c r="M34" s="201">
        <f>Data!D$21-L34</f>
        <v>1.1439038104997432</v>
      </c>
      <c r="N34" s="205">
        <v>0</v>
      </c>
      <c r="O34" s="206">
        <f>30.4*Data!N$5*Data!O$5/5.615</f>
        <v>47.102404274265361</v>
      </c>
      <c r="P34" s="206">
        <f t="shared" si="34"/>
        <v>47.102404274265361</v>
      </c>
      <c r="Q34" s="160"/>
      <c r="R34" s="163"/>
      <c r="S34" s="158"/>
      <c r="T34" s="162"/>
      <c r="U34" s="166"/>
      <c r="V34" s="199"/>
      <c r="W34" s="342">
        <f>Data!D$42/(141.2*C34*E34*LN(Data!D$47))</f>
        <v>0.11467936132907959</v>
      </c>
      <c r="X34" s="198">
        <f>W34*(B34-Data!D$43)</f>
        <v>217.89078652525123</v>
      </c>
      <c r="Y34" s="105">
        <f t="shared" si="35"/>
        <v>6.4510348317203675E-3</v>
      </c>
      <c r="Z34" s="105">
        <f t="shared" si="36"/>
        <v>7.4272769479676705E-3</v>
      </c>
      <c r="AA34" s="201">
        <f t="shared" si="37"/>
        <v>2.0611808187072915</v>
      </c>
      <c r="AB34" s="201">
        <f t="shared" si="41"/>
        <v>8.5410127403516056E-2</v>
      </c>
      <c r="AC34" s="202">
        <f t="shared" si="38"/>
        <v>4.5560682849052441</v>
      </c>
      <c r="AD34" s="317">
        <f>1000000*(P34-AL33)*I34/Data!D$48</f>
        <v>4.4037145963203898E-2</v>
      </c>
      <c r="AE34" s="213">
        <f>1-AD34-Data!D$13</f>
        <v>0.45996285403679615</v>
      </c>
      <c r="AF34" s="215">
        <f>(AD34-Data!D$27)/(1-Data!D$27-Data!D$19-Data!D$13)</f>
        <v>0.14485903277369702</v>
      </c>
      <c r="AG34" s="33">
        <f>Data!D$29*AF34</f>
        <v>0.14485903277369702</v>
      </c>
      <c r="AH34" s="33">
        <f>Data!D$28*(1-AF34)</f>
        <v>0.85514096722630295</v>
      </c>
      <c r="AI34" s="246">
        <f t="shared" si="42"/>
        <v>2283.6516336671261</v>
      </c>
      <c r="AJ34" s="268">
        <f t="shared" si="39"/>
        <v>0.49758665060940499</v>
      </c>
      <c r="AK34" s="313">
        <f t="shared" si="43"/>
        <v>15.512112816335909</v>
      </c>
      <c r="AL34" s="313">
        <f t="shared" si="44"/>
        <v>17.379089978824403</v>
      </c>
      <c r="AM34" s="313">
        <f t="shared" si="45"/>
        <v>426.21067291676206</v>
      </c>
    </row>
    <row r="35" spans="2:39" x14ac:dyDescent="0.25">
      <c r="B35" s="1">
        <f t="shared" si="40"/>
        <v>3800</v>
      </c>
      <c r="C35" s="170">
        <f t="shared" si="27"/>
        <v>1.4191558599999998</v>
      </c>
      <c r="D35" s="122">
        <v>119.56901157613535</v>
      </c>
      <c r="E35">
        <f t="shared" si="28"/>
        <v>0.67522994859999996</v>
      </c>
      <c r="F35">
        <f t="shared" si="29"/>
        <v>2.1378040000000001E-2</v>
      </c>
      <c r="G35" s="122">
        <f t="shared" si="30"/>
        <v>4.3863082991995464E-3</v>
      </c>
      <c r="H35" s="184">
        <f t="shared" si="31"/>
        <v>2.0677600000000001E-2</v>
      </c>
      <c r="I35" s="184">
        <f t="shared" si="32"/>
        <v>4.9668512106970184E-3</v>
      </c>
      <c r="J35" s="155">
        <f>Data!D$14</f>
        <v>1.49E-5</v>
      </c>
      <c r="K35" s="385">
        <f>L35/Data!D$21</f>
        <v>0.12002602659819588</v>
      </c>
      <c r="L35" s="201">
        <f t="shared" si="33"/>
        <v>0.15579378252445825</v>
      </c>
      <c r="M35" s="201">
        <f>Data!D$21-L35</f>
        <v>1.1422062174755419</v>
      </c>
      <c r="N35" s="205">
        <v>0</v>
      </c>
      <c r="O35" s="206">
        <f>30.4*Data!N$5*Data!O$5/5.615</f>
        <v>47.102404274265361</v>
      </c>
      <c r="P35" s="206">
        <f t="shared" si="34"/>
        <v>47.102404274265361</v>
      </c>
      <c r="Q35" s="160"/>
      <c r="R35" s="163"/>
      <c r="S35" s="158"/>
      <c r="T35" s="162"/>
      <c r="U35" s="166"/>
      <c r="V35" s="199"/>
      <c r="W35" s="342">
        <f>Data!D$42/(141.2*C35*E35*LN(Data!D$47))</f>
        <v>0.11549641946582941</v>
      </c>
      <c r="X35" s="198">
        <f>W35*(B35-Data!D$43)</f>
        <v>207.89355503849293</v>
      </c>
      <c r="Y35" s="105">
        <f t="shared" si="35"/>
        <v>7.9254960381528513E-3</v>
      </c>
      <c r="Z35" s="105">
        <f t="shared" si="36"/>
        <v>9.1248699721690456E-3</v>
      </c>
      <c r="AA35" s="201">
        <f t="shared" si="37"/>
        <v>2.077613196776122</v>
      </c>
      <c r="AB35" s="201">
        <f t="shared" si="41"/>
        <v>0.10734119353930915</v>
      </c>
      <c r="AC35" s="202">
        <f t="shared" si="38"/>
        <v>4.5779993510410373</v>
      </c>
      <c r="AD35" s="317">
        <f>1000000*(P35-AL34)*I35/Data!D$48</f>
        <v>4.426643389946873E-2</v>
      </c>
      <c r="AE35" s="213">
        <f>1-AD35-Data!D$13</f>
        <v>0.45973356610053129</v>
      </c>
      <c r="AF35" s="215">
        <f>(AD35-Data!D$27)/(1-Data!D$27-Data!D$19-Data!D$13)</f>
        <v>0.14561326940614711</v>
      </c>
      <c r="AG35" s="33">
        <f>Data!D$29*AF35</f>
        <v>0.14561326940614711</v>
      </c>
      <c r="AH35" s="33">
        <f>Data!D$28*(1-AF35)</f>
        <v>0.85438673059385284</v>
      </c>
      <c r="AI35" s="246">
        <f t="shared" si="42"/>
        <v>2261.5624989894118</v>
      </c>
      <c r="AJ35" s="268">
        <f t="shared" si="39"/>
        <v>0.47016426785664689</v>
      </c>
      <c r="AK35" s="313">
        <f t="shared" si="43"/>
        <v>18.420817690012793</v>
      </c>
      <c r="AL35" s="313">
        <f t="shared" si="44"/>
        <v>17.897113999069621</v>
      </c>
      <c r="AM35" s="313">
        <f t="shared" si="45"/>
        <v>429.11937779043893</v>
      </c>
    </row>
    <row r="36" spans="2:39" x14ac:dyDescent="0.25">
      <c r="B36" s="1">
        <f t="shared" si="40"/>
        <v>3700</v>
      </c>
      <c r="C36" s="170">
        <f t="shared" si="27"/>
        <v>1.4206848599999999</v>
      </c>
      <c r="D36" s="122">
        <v>119.56901157613535</v>
      </c>
      <c r="E36">
        <f t="shared" si="28"/>
        <v>0.66968565859999996</v>
      </c>
      <c r="F36">
        <f t="shared" si="29"/>
        <v>2.1142040000000001E-2</v>
      </c>
      <c r="G36" s="122">
        <f t="shared" si="30"/>
        <v>4.5078062903013945E-3</v>
      </c>
      <c r="H36" s="184">
        <f t="shared" si="31"/>
        <v>2.04476E-2</v>
      </c>
      <c r="I36" s="184">
        <f t="shared" si="32"/>
        <v>5.0900833169336204E-3</v>
      </c>
      <c r="J36" s="155">
        <f>Data!D$14</f>
        <v>1.49E-5</v>
      </c>
      <c r="K36" s="387">
        <f>L36/Data!D$21</f>
        <v>0.12133106433632163</v>
      </c>
      <c r="L36" s="252">
        <f t="shared" si="33"/>
        <v>0.15748772150854548</v>
      </c>
      <c r="M36" s="252">
        <f>Data!D$21-L36</f>
        <v>1.1405122784914545</v>
      </c>
      <c r="N36" s="299">
        <v>0</v>
      </c>
      <c r="O36" s="300">
        <f>30.4*Data!N$5*Data!O$5/5.615</f>
        <v>47.102404274265361</v>
      </c>
      <c r="P36" s="300">
        <f t="shared" si="34"/>
        <v>47.102404274265361</v>
      </c>
      <c r="Q36" s="301"/>
      <c r="R36" s="302"/>
      <c r="S36" s="303"/>
      <c r="T36" s="304"/>
      <c r="U36" s="305"/>
      <c r="V36" s="298"/>
      <c r="W36" s="377">
        <f>Data!D$42/(141.2*C36*E36*LN(Data!D$47))</f>
        <v>0.11632727671459628</v>
      </c>
      <c r="X36" s="378">
        <f>W36*(B36-Data!D$43)</f>
        <v>197.75637041481366</v>
      </c>
      <c r="Y36" s="379">
        <f t="shared" si="35"/>
        <v>9.3967834919141992E-3</v>
      </c>
      <c r="Z36" s="379">
        <f t="shared" si="36"/>
        <v>1.0818808956256271E-2</v>
      </c>
      <c r="AA36" s="252">
        <f t="shared" si="37"/>
        <v>2.0943176603173952</v>
      </c>
      <c r="AB36" s="252">
        <f t="shared" si="41"/>
        <v>0.13035455838406962</v>
      </c>
      <c r="AC36" s="248">
        <f t="shared" si="38"/>
        <v>4.6010127158857976</v>
      </c>
      <c r="AD36" s="380">
        <f>1000000*(P36-AL35)*I36/Data!D$48</f>
        <v>4.4574098750827393E-2</v>
      </c>
      <c r="AE36" s="381">
        <f>1-AD36-Data!D$13</f>
        <v>0.4594259012491726</v>
      </c>
      <c r="AF36" s="215">
        <f>(AD36-Data!D$27)/(1-Data!D$27-Data!D$19-Data!D$13)</f>
        <v>0.14662532483824797</v>
      </c>
      <c r="AG36" s="33">
        <f>Data!D$29*AF36</f>
        <v>0.14662532483824797</v>
      </c>
      <c r="AH36" s="33">
        <f>Data!D$28*(1-AF36)</f>
        <v>0.85337467516175203</v>
      </c>
      <c r="AI36" s="246">
        <f t="shared" si="42"/>
        <v>2241.9986700513145</v>
      </c>
      <c r="AJ36" s="268">
        <f t="shared" si="39"/>
        <v>0.44336951946418734</v>
      </c>
      <c r="AK36" s="313">
        <f t="shared" si="43"/>
        <v>21.095261837409623</v>
      </c>
      <c r="AL36" s="313">
        <f t="shared" si="44"/>
        <v>18.373417498160777</v>
      </c>
      <c r="AM36" s="313">
        <f t="shared" si="45"/>
        <v>431.79382193783579</v>
      </c>
    </row>
    <row r="37" spans="2:39" x14ac:dyDescent="0.25">
      <c r="B37" s="1">
        <f t="shared" si="40"/>
        <v>3600</v>
      </c>
      <c r="C37" s="170">
        <f t="shared" si="27"/>
        <v>1.4222138599999998</v>
      </c>
      <c r="D37" s="122">
        <v>120.569011576135</v>
      </c>
      <c r="E37">
        <f t="shared" si="28"/>
        <v>0.66414136859999995</v>
      </c>
      <c r="F37">
        <f t="shared" si="29"/>
        <v>2.0906040000000001E-2</v>
      </c>
      <c r="G37" s="122">
        <f t="shared" si="30"/>
        <v>4.6361392887804258E-3</v>
      </c>
      <c r="H37" s="184">
        <f t="shared" si="31"/>
        <v>2.0218400000000001E-2</v>
      </c>
      <c r="I37" s="184">
        <f t="shared" si="32"/>
        <v>5.2198770942607498E-3</v>
      </c>
      <c r="J37" s="155">
        <f>Data!D$14</f>
        <v>1.49E-5</v>
      </c>
      <c r="K37" s="387">
        <f>L37/Data!D$21</f>
        <v>0.12263329602289955</v>
      </c>
      <c r="L37" s="252">
        <f t="shared" si="33"/>
        <v>0.15917801823772362</v>
      </c>
      <c r="M37" s="252">
        <f>Data!D$21-L37</f>
        <v>1.1388219817622764</v>
      </c>
      <c r="N37" s="299">
        <v>1</v>
      </c>
      <c r="O37" s="300">
        <f>30.4*Data!N$5*Data!O$5/5.615</f>
        <v>47.102404274265361</v>
      </c>
      <c r="P37" s="300">
        <f t="shared" si="34"/>
        <v>48.102404274265361</v>
      </c>
      <c r="Q37" s="372"/>
      <c r="R37" s="373"/>
      <c r="S37" s="374"/>
      <c r="T37" s="375"/>
      <c r="U37" s="376"/>
      <c r="V37" s="298"/>
      <c r="W37" s="377">
        <f>Data!D$42/(141.2*C37*E37*LN(Data!D$47))</f>
        <v>0.11717227778345843</v>
      </c>
      <c r="X37" s="378">
        <f>W37*(B37-Data!D$43)</f>
        <v>187.47564445353348</v>
      </c>
      <c r="Y37" s="379">
        <f t="shared" si="35"/>
        <v>1.0864907429160806E-2</v>
      </c>
      <c r="Z37" s="379">
        <f t="shared" si="36"/>
        <v>1.2509105685434422E-2</v>
      </c>
      <c r="AA37" s="252">
        <f t="shared" si="37"/>
        <v>2.1113010234862033</v>
      </c>
      <c r="AB37" s="252">
        <f t="shared" si="41"/>
        <v>0.15459223009243453</v>
      </c>
      <c r="AC37" s="248">
        <f t="shared" si="38"/>
        <v>4.6252503875941633</v>
      </c>
      <c r="AD37" s="380">
        <f>1000000*(P37-AL36)*I37/Data!D$48</f>
        <v>4.6530373411847417E-2</v>
      </c>
      <c r="AE37" s="381">
        <f>1-AD37-Data!D$13</f>
        <v>0.4574696265881526</v>
      </c>
      <c r="AF37" s="215">
        <f>(AD37-Data!D$27)/(1-Data!D$27-Data!D$19-Data!D$13)</f>
        <v>0.15306043885476123</v>
      </c>
      <c r="AG37" s="33">
        <f>Data!D$29*AF37</f>
        <v>0.15306043885476123</v>
      </c>
      <c r="AH37" s="33">
        <f>Data!D$28*(1-AF37)</f>
        <v>0.84693956114523883</v>
      </c>
      <c r="AI37" s="246">
        <f t="shared" si="42"/>
        <v>2294.4377307444256</v>
      </c>
      <c r="AJ37" s="268">
        <f t="shared" si="39"/>
        <v>0.43015119222981413</v>
      </c>
      <c r="AK37" s="313">
        <f t="shared" si="43"/>
        <v>24.271781710560155</v>
      </c>
      <c r="AL37" s="313">
        <f t="shared" si="44"/>
        <v>18.939137867377255</v>
      </c>
      <c r="AM37" s="313">
        <f t="shared" si="45"/>
        <v>434.97034181098633</v>
      </c>
    </row>
    <row r="38" spans="2:39" x14ac:dyDescent="0.25">
      <c r="B38" s="1">
        <f t="shared" si="40"/>
        <v>3500</v>
      </c>
      <c r="C38" s="170">
        <f t="shared" si="27"/>
        <v>1.4237428599999999</v>
      </c>
      <c r="D38" s="122">
        <v>121.569011576135</v>
      </c>
      <c r="E38">
        <f t="shared" si="28"/>
        <v>0.65859707859999994</v>
      </c>
      <c r="F38">
        <f t="shared" si="29"/>
        <v>2.0670040000000001E-2</v>
      </c>
      <c r="G38" s="122">
        <f t="shared" si="30"/>
        <v>4.7718981480560693E-3</v>
      </c>
      <c r="H38" s="184">
        <f t="shared" si="31"/>
        <v>1.9990000000000001E-2</v>
      </c>
      <c r="I38" s="184">
        <f t="shared" si="32"/>
        <v>5.35677916485268E-3</v>
      </c>
      <c r="J38" s="155">
        <f>Data!D$14</f>
        <v>1.49E-5</v>
      </c>
      <c r="K38" s="387">
        <f>L38/Data!D$21</f>
        <v>0.12393273069843747</v>
      </c>
      <c r="L38" s="252">
        <f t="shared" si="33"/>
        <v>0.16086468444657184</v>
      </c>
      <c r="M38" s="252">
        <f>Data!D$21-L38</f>
        <v>1.1371353155534283</v>
      </c>
      <c r="N38" s="299">
        <v>2</v>
      </c>
      <c r="O38" s="300">
        <f>30.4*Data!N$5*Data!O$5/5.615</f>
        <v>47.102404274265361</v>
      </c>
      <c r="P38" s="300">
        <f t="shared" si="34"/>
        <v>49.102404274265361</v>
      </c>
      <c r="Q38" s="301"/>
      <c r="R38" s="302"/>
      <c r="S38" s="303"/>
      <c r="T38" s="304"/>
      <c r="U38" s="305"/>
      <c r="V38" s="298"/>
      <c r="W38" s="377">
        <f>Data!D$42/(141.2*C38*E38*LN(Data!D$47))</f>
        <v>0.11803177899177331</v>
      </c>
      <c r="X38" s="378">
        <f>W38*(B38-Data!D$43)</f>
        <v>177.04766848765996</v>
      </c>
      <c r="Y38" s="379">
        <f t="shared" si="35"/>
        <v>1.2329878042077413E-2</v>
      </c>
      <c r="Z38" s="379">
        <f t="shared" si="36"/>
        <v>1.4195771894282639E-2</v>
      </c>
      <c r="AA38" s="252">
        <f t="shared" si="37"/>
        <v>2.1285703298929741</v>
      </c>
      <c r="AB38" s="252">
        <f t="shared" si="41"/>
        <v>0.18022456629694292</v>
      </c>
      <c r="AC38" s="248">
        <f t="shared" si="38"/>
        <v>4.650882723798671</v>
      </c>
      <c r="AD38" s="380">
        <f>1000000*(P38-AL37)*I38/Data!D$48</f>
        <v>4.8448269054097264E-2</v>
      </c>
      <c r="AE38" s="381">
        <f>1-AD38-Data!D$13</f>
        <v>0.45555173094590273</v>
      </c>
      <c r="AF38" s="215">
        <f>(AD38-Data!D$27)/(1-Data!D$27-Data!D$19-Data!D$13)</f>
        <v>0.15936930609900413</v>
      </c>
      <c r="AG38" s="33">
        <f>Data!D$29*AF38</f>
        <v>0.15936930609900413</v>
      </c>
      <c r="AH38" s="33">
        <f>Data!D$28*(1-AF38)</f>
        <v>0.84063069390099587</v>
      </c>
      <c r="AI38" s="246">
        <f t="shared" si="42"/>
        <v>2342.7100418967416</v>
      </c>
      <c r="AJ38" s="268">
        <f t="shared" si="39"/>
        <v>0.41477135086044631</v>
      </c>
      <c r="AK38" s="313">
        <f t="shared" si="43"/>
        <v>27.284475189745695</v>
      </c>
      <c r="AL38" s="313">
        <f t="shared" si="44"/>
        <v>19.475681674890261</v>
      </c>
      <c r="AM38" s="313">
        <f t="shared" si="45"/>
        <v>437.98303529017187</v>
      </c>
    </row>
    <row r="39" spans="2:39" s="18" customFormat="1" x14ac:dyDescent="0.25">
      <c r="B39" s="361">
        <f t="shared" si="40"/>
        <v>3400</v>
      </c>
      <c r="C39" s="362">
        <f t="shared" si="27"/>
        <v>1.4252718599999998</v>
      </c>
      <c r="D39" s="228">
        <v>122.569011576135</v>
      </c>
      <c r="E39" s="18">
        <f t="shared" si="28"/>
        <v>0.65305278860000004</v>
      </c>
      <c r="F39" s="18">
        <f t="shared" si="29"/>
        <v>2.0434040000000001E-2</v>
      </c>
      <c r="G39" s="228">
        <f t="shared" si="30"/>
        <v>4.9157436848325277E-3</v>
      </c>
      <c r="H39" s="229">
        <f t="shared" si="31"/>
        <v>1.9762399999999999E-2</v>
      </c>
      <c r="I39" s="229">
        <f t="shared" si="32"/>
        <v>5.5013990838723974E-3</v>
      </c>
      <c r="J39" s="230">
        <f>Data!D$14</f>
        <v>1.49E-5</v>
      </c>
      <c r="K39" s="366">
        <f>L39/Data!D$21</f>
        <v>0.12522937736464934</v>
      </c>
      <c r="L39" s="231">
        <f t="shared" si="33"/>
        <v>0.16254773181931487</v>
      </c>
      <c r="M39" s="231">
        <f>Data!D$21-L39</f>
        <v>1.1354522681806851</v>
      </c>
      <c r="N39" s="232">
        <v>3</v>
      </c>
      <c r="O39" s="233">
        <f>30.4*Data!N$5*Data!O$5/5.615</f>
        <v>47.102404274265361</v>
      </c>
      <c r="P39" s="233">
        <f t="shared" si="34"/>
        <v>50.102404274265361</v>
      </c>
      <c r="Q39" s="234"/>
      <c r="R39" s="235"/>
      <c r="S39" s="236"/>
      <c r="T39" s="237"/>
      <c r="U39" s="238"/>
      <c r="V39" s="239"/>
      <c r="W39" s="382">
        <f>Data!D$42/(141.2*C39*E39*LN(Data!D$47))</f>
        <v>0.11890614876304469</v>
      </c>
      <c r="X39" s="354">
        <f>W39*(B39-Data!D$43)</f>
        <v>166.46860826826256</v>
      </c>
      <c r="Y39" s="355">
        <f t="shared" si="35"/>
        <v>1.3791705479112966E-2</v>
      </c>
      <c r="Z39" s="355">
        <f t="shared" si="36"/>
        <v>1.5878819267025682E-2</v>
      </c>
      <c r="AA39" s="231">
        <f t="shared" si="37"/>
        <v>2.1461328623436082</v>
      </c>
      <c r="AB39" s="231">
        <f t="shared" si="41"/>
        <v>0.20745822844393721</v>
      </c>
      <c r="AC39" s="200">
        <f t="shared" si="38"/>
        <v>4.6781163859456658</v>
      </c>
      <c r="AD39" s="368">
        <f>1000000*(P39-AL38)*I39/Data!D$48</f>
        <v>5.052075455719679E-2</v>
      </c>
      <c r="AE39" s="357">
        <f>1-AD39-Data!D$13</f>
        <v>0.45347924544280316</v>
      </c>
      <c r="AF39" s="225">
        <f>(AD39-Data!D$27)/(1-Data!D$27-Data!D$19-Data!D$13)</f>
        <v>0.16618669262235783</v>
      </c>
      <c r="AG39" s="358">
        <f>Data!D$29*AF39</f>
        <v>0.16618669262235783</v>
      </c>
      <c r="AH39" s="358">
        <f>Data!D$28*(1-AF39)</f>
        <v>0.83381330737764214</v>
      </c>
      <c r="AI39" s="369">
        <f t="shared" si="42"/>
        <v>2394.5454098007745</v>
      </c>
      <c r="AJ39" s="370">
        <f t="shared" si="39"/>
        <v>0.39861664180469136</v>
      </c>
      <c r="AK39" s="371">
        <f t="shared" si="43"/>
        <v>30.184150353031555</v>
      </c>
      <c r="AL39" s="371">
        <f t="shared" si="44"/>
        <v>19.99209755437127</v>
      </c>
      <c r="AM39" s="371">
        <f t="shared" si="45"/>
        <v>440.88271045345772</v>
      </c>
    </row>
    <row r="40" spans="2:39" x14ac:dyDescent="0.25">
      <c r="B40" s="1">
        <f t="shared" si="40"/>
        <v>3300</v>
      </c>
      <c r="C40" s="170">
        <f t="shared" si="27"/>
        <v>1.4268008599999999</v>
      </c>
      <c r="D40" s="122">
        <v>123.569011576135</v>
      </c>
      <c r="E40">
        <f t="shared" si="28"/>
        <v>0.64750849860000004</v>
      </c>
      <c r="F40">
        <f t="shared" si="29"/>
        <v>2.019804E-2</v>
      </c>
      <c r="G40" s="122">
        <f t="shared" si="30"/>
        <v>5.0684173354736293E-3</v>
      </c>
      <c r="H40" s="184">
        <f t="shared" si="31"/>
        <v>1.95356E-2</v>
      </c>
      <c r="I40" s="184">
        <f t="shared" si="32"/>
        <v>5.6544187091220003E-3</v>
      </c>
      <c r="J40" s="155">
        <f>Data!D$14</f>
        <v>1.49E-5</v>
      </c>
      <c r="K40" s="387">
        <f>L40/Data!D$21</f>
        <v>0.12652324498466327</v>
      </c>
      <c r="L40" s="252">
        <f t="shared" si="33"/>
        <v>0.16422717199009293</v>
      </c>
      <c r="M40" s="252">
        <f>Data!D$21-L40</f>
        <v>1.1337728280099071</v>
      </c>
      <c r="N40" s="299">
        <v>4</v>
      </c>
      <c r="O40" s="300">
        <f>30.4*Data!N$5*Data!O$5/5.615</f>
        <v>47.102404274265361</v>
      </c>
      <c r="P40" s="300">
        <f t="shared" si="34"/>
        <v>51.102404274265361</v>
      </c>
      <c r="Q40" s="301"/>
      <c r="R40" s="302"/>
      <c r="S40" s="303"/>
      <c r="T40" s="304"/>
      <c r="U40" s="305"/>
      <c r="V40" s="298"/>
      <c r="W40" s="377">
        <f>Data!D$42/(141.2*C40*E40*LN(Data!D$47))</f>
        <v>0.11979576814311024</v>
      </c>
      <c r="X40" s="378">
        <f>W40*(B40-Data!D$43)</f>
        <v>155.73449858604332</v>
      </c>
      <c r="Y40" s="379">
        <f t="shared" si="35"/>
        <v>1.5250399845214951E-2</v>
      </c>
      <c r="Z40" s="379">
        <f t="shared" si="36"/>
        <v>1.755825943780373E-2</v>
      </c>
      <c r="AA40" s="252">
        <f t="shared" si="37"/>
        <v>2.163996153080046</v>
      </c>
      <c r="AB40" s="252">
        <f t="shared" si="41"/>
        <v>0.23654711605520437</v>
      </c>
      <c r="AC40" s="248">
        <f t="shared" si="38"/>
        <v>4.7072052735569327</v>
      </c>
      <c r="AD40" s="380">
        <f>1000000*(P40-AL39)*I40/Data!D$48</f>
        <v>5.2745863960889816E-2</v>
      </c>
      <c r="AE40" s="381">
        <f>1-AD40-Data!D$13</f>
        <v>0.45125413603911024</v>
      </c>
      <c r="AF40" s="215">
        <f>(AD40-Data!D$27)/(1-Data!D$27-Data!D$19-Data!D$13)</f>
        <v>0.17350613145029542</v>
      </c>
      <c r="AG40" s="33">
        <f>Data!D$29*AF40</f>
        <v>0.17350613145029542</v>
      </c>
      <c r="AH40" s="33">
        <f>Data!D$28*(1-AF40)</f>
        <v>0.82649386854970452</v>
      </c>
      <c r="AI40" s="246">
        <f t="shared" si="42"/>
        <v>2449.6168030552753</v>
      </c>
      <c r="AJ40" s="268">
        <f t="shared" si="39"/>
        <v>0.38148984455175972</v>
      </c>
      <c r="AK40" s="313">
        <f t="shared" si="43"/>
        <v>32.937717724569445</v>
      </c>
      <c r="AL40" s="313">
        <f t="shared" si="44"/>
        <v>20.482492455802774</v>
      </c>
      <c r="AM40" s="313">
        <f t="shared" si="45"/>
        <v>443.6362778249956</v>
      </c>
    </row>
    <row r="41" spans="2:39" x14ac:dyDescent="0.25">
      <c r="B41" s="1">
        <f t="shared" si="40"/>
        <v>3200</v>
      </c>
      <c r="C41" s="170">
        <f t="shared" si="27"/>
        <v>1.4283298599999998</v>
      </c>
      <c r="D41" s="122">
        <v>124.569011576135</v>
      </c>
      <c r="E41">
        <f t="shared" si="28"/>
        <v>0.64196420860000003</v>
      </c>
      <c r="F41">
        <f t="shared" si="29"/>
        <v>1.996204E-2</v>
      </c>
      <c r="G41" s="122">
        <f t="shared" si="30"/>
        <v>5.2307538193639164E-3</v>
      </c>
      <c r="H41" s="184">
        <f t="shared" si="31"/>
        <v>1.93096E-2</v>
      </c>
      <c r="I41" s="184">
        <f t="shared" si="32"/>
        <v>5.816603301667134E-3</v>
      </c>
      <c r="J41" s="155">
        <f>Data!D$14</f>
        <v>1.49E-5</v>
      </c>
      <c r="K41" s="387">
        <f>L41/Data!D$21</f>
        <v>0.12781434248322779</v>
      </c>
      <c r="L41" s="252">
        <f t="shared" si="33"/>
        <v>0.16590301654322967</v>
      </c>
      <c r="M41" s="252">
        <f>Data!D$21-L41</f>
        <v>1.1320969834567705</v>
      </c>
      <c r="N41" s="299">
        <v>5</v>
      </c>
      <c r="O41" s="300">
        <f>30.4*Data!N$5*Data!O$5/5.615</f>
        <v>47.102404274265361</v>
      </c>
      <c r="P41" s="300">
        <f t="shared" si="34"/>
        <v>52.102404274265361</v>
      </c>
      <c r="Q41" s="301"/>
      <c r="R41" s="302"/>
      <c r="S41" s="303"/>
      <c r="T41" s="304"/>
      <c r="U41" s="305"/>
      <c r="V41" s="298"/>
      <c r="W41" s="377">
        <f>Data!D$42/(141.2*C41*E41*LN(Data!D$47))</f>
        <v>0.12070103134518191</v>
      </c>
      <c r="X41" s="378">
        <f>W41*(B41-Data!D$43)</f>
        <v>144.8412376142183</v>
      </c>
      <c r="Y41" s="379">
        <f t="shared" si="35"/>
        <v>1.6705971202062242E-2</v>
      </c>
      <c r="Z41" s="379">
        <f t="shared" si="36"/>
        <v>1.9234103990940461E-2</v>
      </c>
      <c r="AA41" s="252">
        <f t="shared" si="37"/>
        <v>2.1821679945514623</v>
      </c>
      <c r="AB41" s="252">
        <f t="shared" si="41"/>
        <v>0.2678077243556356</v>
      </c>
      <c r="AC41" s="248">
        <f t="shared" si="38"/>
        <v>4.7384658818573637</v>
      </c>
      <c r="AD41" s="380">
        <f>1000000*(P41-AL40)*I41/Data!D$48</f>
        <v>5.5147553737781248E-2</v>
      </c>
      <c r="AE41" s="381">
        <f>1-AD41-Data!D$13</f>
        <v>0.44885244626221876</v>
      </c>
      <c r="AF41" s="215">
        <f>(AD41-Data!D$27)/(1-Data!D$27-Data!D$19-Data!D$13)</f>
        <v>0.18140642676901722</v>
      </c>
      <c r="AG41" s="33">
        <f>Data!D$29*AF41</f>
        <v>0.18140642676901722</v>
      </c>
      <c r="AH41" s="33">
        <f>Data!D$28*(1-AF41)</f>
        <v>0.81859357323098281</v>
      </c>
      <c r="AI41" s="246">
        <f t="shared" si="42"/>
        <v>2508.6315351609196</v>
      </c>
      <c r="AJ41" s="268">
        <f t="shared" si="39"/>
        <v>0.36335329627076396</v>
      </c>
      <c r="AK41" s="313">
        <f t="shared" si="43"/>
        <v>35.517719085158213</v>
      </c>
      <c r="AL41" s="313">
        <f t="shared" si="44"/>
        <v>20.941976224384923</v>
      </c>
      <c r="AM41" s="313">
        <f t="shared" si="45"/>
        <v>446.21627918558437</v>
      </c>
    </row>
    <row r="42" spans="2:39" x14ac:dyDescent="0.25">
      <c r="B42" s="1">
        <f t="shared" si="40"/>
        <v>3100</v>
      </c>
      <c r="C42" s="170">
        <f t="shared" si="27"/>
        <v>1.42985886</v>
      </c>
      <c r="D42" s="122">
        <v>125.569011576135</v>
      </c>
      <c r="E42">
        <f t="shared" si="28"/>
        <v>0.63641991860000002</v>
      </c>
      <c r="F42">
        <f t="shared" si="29"/>
        <v>1.972604E-2</v>
      </c>
      <c r="G42" s="122">
        <f t="shared" si="30"/>
        <v>5.4036962642082043E-3</v>
      </c>
      <c r="H42" s="184">
        <f t="shared" si="31"/>
        <v>1.9084400000000001E-2</v>
      </c>
      <c r="I42" s="184">
        <f t="shared" si="32"/>
        <v>5.988814743293107E-3</v>
      </c>
      <c r="J42" s="155">
        <f>Data!D$14</f>
        <v>1.49E-5</v>
      </c>
      <c r="K42" s="387">
        <f>L42/Data!D$21</f>
        <v>0.12910267874691725</v>
      </c>
      <c r="L42" s="252">
        <f t="shared" si="33"/>
        <v>0.16757527701349859</v>
      </c>
      <c r="M42" s="252">
        <f>Data!D$21-L42</f>
        <v>1.1304247229865014</v>
      </c>
      <c r="N42" s="299">
        <v>6</v>
      </c>
      <c r="O42" s="300">
        <f>30.4*Data!N$5*Data!O$5/5.615</f>
        <v>47.102404274265361</v>
      </c>
      <c r="P42" s="300">
        <f t="shared" si="34"/>
        <v>53.102404274265361</v>
      </c>
      <c r="Q42" s="301"/>
      <c r="R42" s="302"/>
      <c r="S42" s="303"/>
      <c r="T42" s="304"/>
      <c r="U42" s="305"/>
      <c r="V42" s="298"/>
      <c r="W42" s="377">
        <f>Data!D$42/(141.2*C42*E42*LN(Data!D$47))</f>
        <v>0.12162234632337481</v>
      </c>
      <c r="X42" s="378">
        <f>W42*(B42-Data!D$43)</f>
        <v>133.78458095571227</v>
      </c>
      <c r="Y42" s="379">
        <f t="shared" si="35"/>
        <v>1.8158429568296428E-2</v>
      </c>
      <c r="Z42" s="379">
        <f t="shared" si="36"/>
        <v>2.090636446120939E-2</v>
      </c>
      <c r="AA42" s="252">
        <f t="shared" si="37"/>
        <v>2.2006564507484945</v>
      </c>
      <c r="AB42" s="252">
        <f t="shared" si="41"/>
        <v>0.30164125461617253</v>
      </c>
      <c r="AC42" s="248">
        <f t="shared" si="38"/>
        <v>4.772299412117901</v>
      </c>
      <c r="AD42" s="380">
        <f>1000000*(P42-AL41)*I42/Data!D$48</f>
        <v>5.7750912675840219E-2</v>
      </c>
      <c r="AE42" s="381">
        <f>1-AD42-Data!D$13</f>
        <v>0.4462490873241598</v>
      </c>
      <c r="AF42" s="215">
        <f>(AD42-Data!D$27)/(1-Data!D$27-Data!D$19-Data!D$13)</f>
        <v>0.18997010748631649</v>
      </c>
      <c r="AG42" s="33">
        <f>Data!D$29*AF42</f>
        <v>0.18997010748631649</v>
      </c>
      <c r="AH42" s="33">
        <f>Data!D$28*(1-AF42)</f>
        <v>0.81002989251368351</v>
      </c>
      <c r="AI42" s="246">
        <f t="shared" si="42"/>
        <v>2572.3169876633451</v>
      </c>
      <c r="AJ42" s="268">
        <f t="shared" si="39"/>
        <v>0.34413635027980072</v>
      </c>
      <c r="AK42" s="313">
        <f t="shared" si="43"/>
        <v>37.889087966961846</v>
      </c>
      <c r="AL42" s="313">
        <f t="shared" si="44"/>
        <v>21.364303718918073</v>
      </c>
      <c r="AM42" s="313">
        <f t="shared" si="45"/>
        <v>448.58764806738805</v>
      </c>
    </row>
    <row r="43" spans="2:39" x14ac:dyDescent="0.25">
      <c r="B43" s="1">
        <f t="shared" si="40"/>
        <v>3000</v>
      </c>
      <c r="C43" s="170">
        <f t="shared" si="27"/>
        <v>1.4313878599999998</v>
      </c>
      <c r="D43" s="122">
        <v>126.569011576135</v>
      </c>
      <c r="E43">
        <f t="shared" si="28"/>
        <v>0.63087562860000002</v>
      </c>
      <c r="F43">
        <f t="shared" si="29"/>
        <v>1.949004E-2</v>
      </c>
      <c r="G43" s="122">
        <f t="shared" si="30"/>
        <v>5.5883143699619071E-3</v>
      </c>
      <c r="H43" s="184">
        <f t="shared" si="31"/>
        <v>1.8860000000000002E-2</v>
      </c>
      <c r="I43" s="184">
        <f t="shared" si="32"/>
        <v>6.1720273583721775E-3</v>
      </c>
      <c r="J43" s="155">
        <f>Data!D$14</f>
        <v>1.49E-5</v>
      </c>
      <c r="K43" s="387">
        <f>L43/Data!D$21</f>
        <v>0.1303882626243357</v>
      </c>
      <c r="L43" s="252">
        <f t="shared" si="33"/>
        <v>0.16924396488638774</v>
      </c>
      <c r="M43" s="252">
        <f>Data!D$21-L43</f>
        <v>1.1287560351136123</v>
      </c>
      <c r="N43" s="299">
        <v>7</v>
      </c>
      <c r="O43" s="300">
        <f>30.4*Data!N$5*Data!O$5/5.615</f>
        <v>47.102404274265361</v>
      </c>
      <c r="P43" s="300">
        <f t="shared" si="34"/>
        <v>54.102404274265361</v>
      </c>
      <c r="Q43" s="301"/>
      <c r="R43" s="302"/>
      <c r="S43" s="303"/>
      <c r="T43" s="304"/>
      <c r="U43" s="305"/>
      <c r="V43" s="298"/>
      <c r="W43" s="377">
        <f>Data!D$42/(141.2*C43*E43*LN(Data!D$47))</f>
        <v>0.12256013537647904</v>
      </c>
      <c r="X43" s="378">
        <f>W43*(B43-Data!D$43)</f>
        <v>122.56013537647904</v>
      </c>
      <c r="Y43" s="379">
        <f t="shared" si="35"/>
        <v>1.9607784919751698E-2</v>
      </c>
      <c r="Z43" s="379">
        <f t="shared" si="36"/>
        <v>2.2575052334098546E-2</v>
      </c>
      <c r="AA43" s="252">
        <f t="shared" si="37"/>
        <v>2.2194698691350965</v>
      </c>
      <c r="AB43" s="252">
        <f t="shared" si="41"/>
        <v>0.33856637309098692</v>
      </c>
      <c r="AC43" s="248">
        <f t="shared" si="38"/>
        <v>4.809224530592715</v>
      </c>
      <c r="AD43" s="380">
        <f>1000000*(P43-AL42)*I43/Data!D$48</f>
        <v>6.0586724436177235E-2</v>
      </c>
      <c r="AE43" s="381">
        <f>1-AD43-Data!D$13</f>
        <v>0.44341327556382282</v>
      </c>
      <c r="AF43" s="215">
        <f>(AD43-Data!D$27)/(1-Data!D$27-Data!D$19-Data!D$13)</f>
        <v>0.19929843564531982</v>
      </c>
      <c r="AG43" s="33">
        <f>Data!D$29*AF43</f>
        <v>0.19929843564531982</v>
      </c>
      <c r="AH43" s="33">
        <f>Data!D$28*(1-AF43)</f>
        <v>0.80070156435468021</v>
      </c>
      <c r="AI43" s="246">
        <f t="shared" si="42"/>
        <v>2641.6071387503953</v>
      </c>
      <c r="AJ43" s="268">
        <f t="shared" si="39"/>
        <v>0.32375572853672191</v>
      </c>
      <c r="AK43" s="313">
        <f t="shared" si="43"/>
        <v>40.008673014009446</v>
      </c>
      <c r="AL43" s="313">
        <f t="shared" si="44"/>
        <v>21.741789924981759</v>
      </c>
      <c r="AM43" s="313">
        <f t="shared" si="45"/>
        <v>450.70723311443561</v>
      </c>
    </row>
    <row r="44" spans="2:39" x14ac:dyDescent="0.25">
      <c r="B44" s="1">
        <f t="shared" si="40"/>
        <v>2900</v>
      </c>
      <c r="C44" s="170">
        <f t="shared" si="27"/>
        <v>1.43291686</v>
      </c>
      <c r="D44" s="122">
        <v>127.569011576135</v>
      </c>
      <c r="E44">
        <f t="shared" si="28"/>
        <v>0.62533133860000001</v>
      </c>
      <c r="F44">
        <f t="shared" si="29"/>
        <v>1.925404E-2</v>
      </c>
      <c r="G44" s="122">
        <f t="shared" si="30"/>
        <v>5.7858263477252618E-3</v>
      </c>
      <c r="H44" s="184">
        <f t="shared" si="31"/>
        <v>1.8636400000000001E-2</v>
      </c>
      <c r="I44" s="184">
        <f t="shared" si="32"/>
        <v>6.3673469606875827E-3</v>
      </c>
      <c r="J44" s="155">
        <f>Data!D$14</f>
        <v>1.49E-5</v>
      </c>
      <c r="K44" s="387">
        <f>L44/Data!D$21</f>
        <v>0.13167110292631939</v>
      </c>
      <c r="L44" s="252">
        <f t="shared" si="33"/>
        <v>0.17090909159836259</v>
      </c>
      <c r="M44" s="252">
        <f>Data!D$21-L44</f>
        <v>1.1270909084016374</v>
      </c>
      <c r="N44" s="299">
        <v>8</v>
      </c>
      <c r="O44" s="300">
        <f>30.4*Data!N$5*Data!O$5/5.615</f>
        <v>47.102404274265361</v>
      </c>
      <c r="P44" s="300">
        <f t="shared" si="34"/>
        <v>55.102404274265361</v>
      </c>
      <c r="Q44" s="301"/>
      <c r="R44" s="302"/>
      <c r="S44" s="303"/>
      <c r="T44" s="304"/>
      <c r="U44" s="305"/>
      <c r="V44" s="298"/>
      <c r="W44" s="377">
        <f>Data!D$42/(141.2*C44*E44*LN(Data!D$47))</f>
        <v>0.12351483578384959</v>
      </c>
      <c r="X44" s="378">
        <f>W44*(B44-Data!D$43)</f>
        <v>111.16335220546463</v>
      </c>
      <c r="Y44" s="379">
        <f t="shared" si="35"/>
        <v>2.1054047189683206E-2</v>
      </c>
      <c r="Z44" s="379">
        <f t="shared" si="36"/>
        <v>2.4240179046073385E-2</v>
      </c>
      <c r="AA44" s="252">
        <f t="shared" si="37"/>
        <v>2.2386168932151551</v>
      </c>
      <c r="AB44" s="252">
        <f t="shared" si="41"/>
        <v>0.37926941225002042</v>
      </c>
      <c r="AC44" s="248">
        <f t="shared" si="38"/>
        <v>4.849927569751749</v>
      </c>
      <c r="AD44" s="380">
        <f>1000000*(P44-AL43)*I44/Data!D$48</f>
        <v>6.369256044071446E-2</v>
      </c>
      <c r="AE44" s="381">
        <f>1-AD44-Data!D$13</f>
        <v>0.44030743955928553</v>
      </c>
      <c r="AF44" s="215">
        <f>(AD44-Data!D$27)/(1-Data!D$27-Data!D$19-Data!D$13)</f>
        <v>0.20951500144971857</v>
      </c>
      <c r="AG44" s="33">
        <f>Data!D$29*AF44</f>
        <v>0.20951500144971857</v>
      </c>
      <c r="AH44" s="33">
        <f>Data!D$28*(1-AF44)</f>
        <v>0.79048499855028143</v>
      </c>
      <c r="AI44" s="246">
        <f t="shared" si="42"/>
        <v>2717.6919086131647</v>
      </c>
      <c r="AJ44" s="268">
        <f t="shared" si="39"/>
        <v>0.30210774282310665</v>
      </c>
      <c r="AK44" s="313">
        <f t="shared" si="43"/>
        <v>41.821782510695492</v>
      </c>
      <c r="AL44" s="313">
        <f t="shared" si="44"/>
        <v>22.064694554845701</v>
      </c>
      <c r="AM44" s="313">
        <f t="shared" si="45"/>
        <v>452.52034261112163</v>
      </c>
    </row>
    <row r="45" spans="2:39" x14ac:dyDescent="0.25">
      <c r="B45" s="1">
        <f t="shared" si="40"/>
        <v>2800</v>
      </c>
      <c r="C45" s="170">
        <f t="shared" si="27"/>
        <v>1.4344458599999999</v>
      </c>
      <c r="D45" s="122">
        <v>128.56901157613501</v>
      </c>
      <c r="E45">
        <f t="shared" si="28"/>
        <v>0.6197870486</v>
      </c>
      <c r="F45">
        <f t="shared" si="29"/>
        <v>1.901804E-2</v>
      </c>
      <c r="G45" s="122">
        <f t="shared" si="30"/>
        <v>5.9976255810478751E-3</v>
      </c>
      <c r="H45" s="184">
        <f t="shared" si="31"/>
        <v>1.8413600000000002E-2</v>
      </c>
      <c r="I45" s="184">
        <f t="shared" si="32"/>
        <v>6.5760339210212916E-3</v>
      </c>
      <c r="J45" s="155">
        <f>Data!D$14</f>
        <v>1.49E-5</v>
      </c>
      <c r="K45" s="387">
        <f>L45/Data!D$21</f>
        <v>0.13295120842613814</v>
      </c>
      <c r="L45" s="252">
        <f t="shared" si="33"/>
        <v>0.1725706685371273</v>
      </c>
      <c r="M45" s="252">
        <f>Data!D$21-L45</f>
        <v>1.1254293314628727</v>
      </c>
      <c r="N45" s="299">
        <v>9</v>
      </c>
      <c r="O45" s="300">
        <f>30.4*Data!N$5*Data!O$5/5.615</f>
        <v>47.102404274265361</v>
      </c>
      <c r="P45" s="300">
        <f t="shared" si="34"/>
        <v>56.102404274265361</v>
      </c>
      <c r="Q45" s="301"/>
      <c r="R45" s="302"/>
      <c r="S45" s="303"/>
      <c r="T45" s="304"/>
      <c r="U45" s="305"/>
      <c r="V45" s="298"/>
      <c r="W45" s="377">
        <f>Data!D$42/(141.2*C45*E45*LN(Data!D$47))</f>
        <v>0.12448690047542728</v>
      </c>
      <c r="X45" s="378">
        <f>W45*(B45-Data!D$43)</f>
        <v>99.589520380341824</v>
      </c>
      <c r="Y45" s="379">
        <f t="shared" si="35"/>
        <v>2.249722626899402E-2</v>
      </c>
      <c r="Z45" s="379">
        <f t="shared" si="36"/>
        <v>2.5901755984838088E-2</v>
      </c>
      <c r="AA45" s="252">
        <f t="shared" si="37"/>
        <v>2.2581064757735714</v>
      </c>
      <c r="AB45" s="252">
        <f t="shared" si="41"/>
        <v>0.42468446135784438</v>
      </c>
      <c r="AC45" s="248">
        <f t="shared" si="38"/>
        <v>4.8953426188595728</v>
      </c>
      <c r="AD45" s="380">
        <f>1000000*(P45-AL44)*I45/Data!D$48</f>
        <v>6.7115144196157883E-2</v>
      </c>
      <c r="AE45" s="381">
        <f>1-AD45-Data!D$13</f>
        <v>0.43688485580384206</v>
      </c>
      <c r="AF45" s="215">
        <f>(AD45-Data!D$27)/(1-Data!D$27-Data!D$19-Data!D$13)</f>
        <v>0.22077350064525617</v>
      </c>
      <c r="AG45" s="33">
        <f>Data!D$29*AF45</f>
        <v>0.22077350064525617</v>
      </c>
      <c r="AH45" s="33">
        <f>Data!D$28*(1-AF45)</f>
        <v>0.77922649935474386</v>
      </c>
      <c r="AI45" s="246">
        <f t="shared" si="42"/>
        <v>2802.1248065588384</v>
      </c>
      <c r="AJ45" s="268">
        <f t="shared" si="39"/>
        <v>0.27906226553105284</v>
      </c>
      <c r="AK45" s="313">
        <f t="shared" si="43"/>
        <v>43.257393891659547</v>
      </c>
      <c r="AL45" s="313">
        <f t="shared" si="44"/>
        <v>22.320368888053906</v>
      </c>
      <c r="AM45" s="313">
        <f t="shared" si="45"/>
        <v>453.95595399208571</v>
      </c>
    </row>
    <row r="46" spans="2:39" x14ac:dyDescent="0.25">
      <c r="B46" s="1">
        <f t="shared" si="40"/>
        <v>2700</v>
      </c>
      <c r="C46" s="170">
        <f t="shared" si="27"/>
        <v>1.43597486</v>
      </c>
      <c r="D46" s="122">
        <v>129.56901157613501</v>
      </c>
      <c r="E46">
        <f t="shared" si="28"/>
        <v>0.61424275859999999</v>
      </c>
      <c r="F46">
        <f t="shared" si="29"/>
        <v>1.878204E-2</v>
      </c>
      <c r="G46" s="122">
        <f t="shared" si="30"/>
        <v>6.2253132387986359E-3</v>
      </c>
      <c r="H46" s="184">
        <f t="shared" si="31"/>
        <v>1.8191600000000002E-2</v>
      </c>
      <c r="I46" s="184">
        <f t="shared" si="32"/>
        <v>6.7995312843871338E-3</v>
      </c>
      <c r="J46" s="155">
        <f>Data!D$14</f>
        <v>1.49E-5</v>
      </c>
      <c r="K46" s="387">
        <f>L46/Data!D$21</f>
        <v>0.13422858785969519</v>
      </c>
      <c r="L46" s="252">
        <f t="shared" si="33"/>
        <v>0.17422870704188434</v>
      </c>
      <c r="M46" s="252">
        <f>Data!D$21-L46</f>
        <v>1.1237712929581156</v>
      </c>
      <c r="N46" s="299">
        <v>10</v>
      </c>
      <c r="O46" s="300">
        <f>30.4*Data!N$5*Data!O$5/5.615</f>
        <v>47.102404274265361</v>
      </c>
      <c r="P46" s="300">
        <f t="shared" si="34"/>
        <v>57.102404274265361</v>
      </c>
      <c r="Q46" s="301"/>
      <c r="R46" s="302"/>
      <c r="S46" s="303"/>
      <c r="T46" s="304"/>
      <c r="U46" s="305"/>
      <c r="V46" s="298"/>
      <c r="W46" s="377">
        <f>Data!D$42/(141.2*C46*E46*LN(Data!D$47))</f>
        <v>0.12547679873804563</v>
      </c>
      <c r="X46" s="378">
        <f>W46*(B46-Data!D$43)</f>
        <v>87.833759116631938</v>
      </c>
      <c r="Y46" s="379">
        <f t="shared" si="35"/>
        <v>2.3937332006460577E-2</v>
      </c>
      <c r="Z46" s="379">
        <f t="shared" si="36"/>
        <v>2.7559794489595148E-2</v>
      </c>
      <c r="AA46" s="252">
        <f t="shared" si="37"/>
        <v>2.2779478928344532</v>
      </c>
      <c r="AB46" s="252">
        <f t="shared" si="41"/>
        <v>0.47612754919681693</v>
      </c>
      <c r="AC46" s="248">
        <f t="shared" si="38"/>
        <v>4.9467857066985452</v>
      </c>
      <c r="AD46" s="380">
        <f>1000000*(P46-AL45)*I46/Data!D$48</f>
        <v>7.0913696043320332E-2</v>
      </c>
      <c r="AE46" s="381">
        <f>1-AD46-Data!D$13</f>
        <v>0.43308630395667969</v>
      </c>
      <c r="AF46" s="215">
        <f>(AD46-Data!D$27)/(1-Data!D$27-Data!D$19-Data!D$13)</f>
        <v>0.23326873698460632</v>
      </c>
      <c r="AG46" s="33">
        <f>Data!D$29*AF46</f>
        <v>0.23326873698460632</v>
      </c>
      <c r="AH46" s="33">
        <f>Data!D$28*(1-AF46)</f>
        <v>0.76673126301539374</v>
      </c>
      <c r="AI46" s="246">
        <f t="shared" si="42"/>
        <v>2896.9836387152782</v>
      </c>
      <c r="AJ46" s="268">
        <f t="shared" si="39"/>
        <v>0.25445296308774162</v>
      </c>
      <c r="AK46" s="313">
        <f t="shared" si="43"/>
        <v>44.220503980804608</v>
      </c>
      <c r="AL46" s="313">
        <f t="shared" si="44"/>
        <v>22.491893391908768</v>
      </c>
      <c r="AM46" s="313">
        <f t="shared" si="45"/>
        <v>454.91906408123077</v>
      </c>
    </row>
    <row r="47" spans="2:39" x14ac:dyDescent="0.25">
      <c r="B47" s="1">
        <f t="shared" si="40"/>
        <v>2600</v>
      </c>
      <c r="C47" s="170">
        <f t="shared" si="27"/>
        <v>1.4375038599999999</v>
      </c>
      <c r="D47" s="122">
        <v>130.56901157613501</v>
      </c>
      <c r="E47">
        <f t="shared" si="28"/>
        <v>0.60869846859999999</v>
      </c>
      <c r="F47">
        <f t="shared" si="29"/>
        <v>1.854604E-2</v>
      </c>
      <c r="G47" s="122">
        <f t="shared" si="30"/>
        <v>6.4707384482873432E-3</v>
      </c>
      <c r="H47" s="184">
        <f t="shared" si="31"/>
        <v>1.7970400000000001E-2</v>
      </c>
      <c r="I47" s="184">
        <f t="shared" si="32"/>
        <v>7.0394992787015933E-3</v>
      </c>
      <c r="J47" s="155">
        <f>Data!D$14</f>
        <v>1.49E-5</v>
      </c>
      <c r="K47" s="387">
        <f>L47/Data!D$21</f>
        <v>0.13550324992572613</v>
      </c>
      <c r="L47" s="252">
        <f t="shared" si="33"/>
        <v>0.17588321840359253</v>
      </c>
      <c r="M47" s="252">
        <f>Data!D$21-L47</f>
        <v>1.1221167815964075</v>
      </c>
      <c r="N47" s="299">
        <v>11</v>
      </c>
      <c r="O47" s="300">
        <f>30.4*Data!N$5*Data!O$5/5.615</f>
        <v>47.102404274265361</v>
      </c>
      <c r="P47" s="300">
        <f t="shared" si="34"/>
        <v>58.102404274265361</v>
      </c>
      <c r="Q47" s="301"/>
      <c r="R47" s="302"/>
      <c r="S47" s="303"/>
      <c r="T47" s="304"/>
      <c r="U47" s="305"/>
      <c r="V47" s="298"/>
      <c r="W47" s="377">
        <f>Data!D$42/(141.2*C47*E47*LN(Data!D$47))</f>
        <v>0.12648501696033851</v>
      </c>
      <c r="X47" s="378">
        <f>W47*(B47-Data!D$43)</f>
        <v>75.89101017620311</v>
      </c>
      <c r="Y47" s="379">
        <f t="shared" si="35"/>
        <v>2.5374374208956753E-2</v>
      </c>
      <c r="Z47" s="379">
        <f t="shared" si="36"/>
        <v>2.9214305851303322E-2</v>
      </c>
      <c r="AA47" s="252">
        <f t="shared" si="37"/>
        <v>2.2981507583821346</v>
      </c>
      <c r="AB47" s="252">
        <f t="shared" si="41"/>
        <v>0.5355355541703497</v>
      </c>
      <c r="AC47" s="248">
        <f t="shared" si="38"/>
        <v>5.0061937116720783</v>
      </c>
      <c r="AD47" s="380">
        <f>1000000*(P47-AL46)*I47/Data!D$48</f>
        <v>7.5165080286928976E-2</v>
      </c>
      <c r="AE47" s="381">
        <f>1-AD47-Data!D$13</f>
        <v>0.42883491971307097</v>
      </c>
      <c r="AF47" s="215">
        <f>(AD47-Data!D$27)/(1-Data!D$27-Data!D$19-Data!D$13)</f>
        <v>0.24725355357542422</v>
      </c>
      <c r="AG47" s="33">
        <f>Data!D$29*AF47</f>
        <v>0.24725355357542422</v>
      </c>
      <c r="AH47" s="33">
        <f>Data!D$28*(1-AF47)</f>
        <v>0.75274644642457578</v>
      </c>
      <c r="AI47" s="246">
        <f t="shared" si="42"/>
        <v>3005.1304401631987</v>
      </c>
      <c r="AJ47" s="268">
        <f t="shared" si="39"/>
        <v>0.22806238481524305</v>
      </c>
      <c r="AK47" s="313">
        <f t="shared" si="43"/>
        <v>44.579463207666592</v>
      </c>
      <c r="AL47" s="313">
        <f t="shared" si="44"/>
        <v>22.555822016461214</v>
      </c>
      <c r="AM47" s="313">
        <f t="shared" si="45"/>
        <v>455.27802330809277</v>
      </c>
    </row>
    <row r="48" spans="2:39" x14ac:dyDescent="0.25">
      <c r="B48" s="1">
        <f t="shared" si="40"/>
        <v>2500</v>
      </c>
      <c r="C48" s="170">
        <f t="shared" si="27"/>
        <v>1.43903286</v>
      </c>
      <c r="D48" s="122">
        <v>131.56901157613501</v>
      </c>
      <c r="E48">
        <f t="shared" si="28"/>
        <v>0.60315417859999998</v>
      </c>
      <c r="F48">
        <f t="shared" si="29"/>
        <v>1.831004E-2</v>
      </c>
      <c r="G48" s="122">
        <f t="shared" si="30"/>
        <v>6.736048153923738E-3</v>
      </c>
      <c r="H48" s="184">
        <f t="shared" si="31"/>
        <v>1.7750000000000002E-2</v>
      </c>
      <c r="I48" s="184">
        <f t="shared" si="32"/>
        <v>7.2978579810583713E-3</v>
      </c>
      <c r="J48" s="155">
        <f>Data!D$14</f>
        <v>1.49E-5</v>
      </c>
      <c r="K48" s="387">
        <f>L48/Data!D$21</f>
        <v>0.13677520328599624</v>
      </c>
      <c r="L48" s="252">
        <f t="shared" si="33"/>
        <v>0.17753421386522311</v>
      </c>
      <c r="M48" s="252">
        <f>Data!D$21-L48</f>
        <v>1.1204657861347769</v>
      </c>
      <c r="N48" s="299">
        <v>12</v>
      </c>
      <c r="O48" s="300">
        <f>30.4*Data!N$5*Data!O$5/5.615</f>
        <v>47.102404274265361</v>
      </c>
      <c r="P48" s="300">
        <f t="shared" si="34"/>
        <v>59.102404274265361</v>
      </c>
      <c r="Q48" s="301"/>
      <c r="R48" s="302"/>
      <c r="S48" s="303"/>
      <c r="T48" s="304"/>
      <c r="U48" s="305"/>
      <c r="V48" s="298"/>
      <c r="W48" s="377">
        <f>Data!D$42/(141.2*C48*E48*LN(Data!D$47))</f>
        <v>0.1275120594187312</v>
      </c>
      <c r="X48" s="378">
        <f>W48*(B48-Data!D$43)</f>
        <v>63.756029709365599</v>
      </c>
      <c r="Y48" s="379">
        <f t="shared" si="35"/>
        <v>2.6808362641676443E-2</v>
      </c>
      <c r="Z48" s="379">
        <f t="shared" si="36"/>
        <v>3.0865301312933923E-2</v>
      </c>
      <c r="AA48" s="252">
        <f t="shared" si="37"/>
        <v>2.3187250398940975</v>
      </c>
      <c r="AB48" s="252">
        <f t="shared" si="41"/>
        <v>0.60592605286422052</v>
      </c>
      <c r="AC48" s="248">
        <f t="shared" si="38"/>
        <v>5.0765842103659491</v>
      </c>
      <c r="AD48" s="380">
        <f>1000000*(P48-AL47)*I48/Data!D$48</f>
        <v>7.9972068500871504E-2</v>
      </c>
      <c r="AE48" s="381">
        <f>1-AD48-Data!D$13</f>
        <v>0.42402793149912854</v>
      </c>
      <c r="AF48" s="215">
        <f>(AD48-Data!D$27)/(1-Data!D$27-Data!D$19-Data!D$13)</f>
        <v>0.26306601480549835</v>
      </c>
      <c r="AG48" s="33">
        <f>Data!D$29*AF48</f>
        <v>0.26306601480549835</v>
      </c>
      <c r="AH48" s="33">
        <f>Data!D$28*(1-AF48)</f>
        <v>0.7369339851945016</v>
      </c>
      <c r="AI48" s="246">
        <f t="shared" si="42"/>
        <v>3130.6513452412914</v>
      </c>
      <c r="AJ48" s="268">
        <f t="shared" si="39"/>
        <v>0.19959790017686915</v>
      </c>
      <c r="AK48" s="313">
        <f t="shared" si="43"/>
        <v>44.14367225216732</v>
      </c>
      <c r="AL48" s="313">
        <f t="shared" si="44"/>
        <v>22.478210092062412</v>
      </c>
      <c r="AM48" s="313">
        <f t="shared" si="45"/>
        <v>454.84223235259344</v>
      </c>
    </row>
    <row r="50" spans="2:39" ht="15.75" x14ac:dyDescent="0.25">
      <c r="B50" s="157"/>
      <c r="C50" s="186"/>
      <c r="D50" s="7"/>
      <c r="E50" s="7"/>
      <c r="F50" s="7"/>
      <c r="G50" s="7"/>
      <c r="H50" s="7"/>
      <c r="I50" s="2"/>
    </row>
    <row r="51" spans="2:39" ht="18.75" x14ac:dyDescent="0.3">
      <c r="B51" s="99"/>
      <c r="C51" s="185"/>
      <c r="D51" s="7"/>
      <c r="E51" s="7"/>
      <c r="F51" s="7"/>
      <c r="G51" s="7"/>
      <c r="H51" s="63"/>
      <c r="I51" s="63"/>
      <c r="J51" s="99"/>
      <c r="K51" s="24"/>
      <c r="L51" s="24"/>
      <c r="M51" s="24"/>
      <c r="N51" s="21"/>
      <c r="O51" s="21"/>
      <c r="P51" s="21"/>
      <c r="Q51" s="24"/>
      <c r="R51" s="24"/>
      <c r="S51" s="21"/>
      <c r="T51" s="21"/>
      <c r="U51" s="99"/>
      <c r="V51" s="167"/>
      <c r="W51" s="185"/>
      <c r="X51" s="185"/>
      <c r="Y51" s="5"/>
      <c r="Z51" s="5"/>
      <c r="AA51" s="5"/>
      <c r="AB51" s="5"/>
      <c r="AC51" s="24"/>
      <c r="AD51" s="21"/>
      <c r="AE51" s="209"/>
      <c r="AF51" s="99"/>
      <c r="AG51" s="99"/>
      <c r="AH51" s="99"/>
      <c r="AI51" s="21"/>
      <c r="AJ51" s="21"/>
      <c r="AK51" s="21"/>
      <c r="AL51" s="21"/>
      <c r="AM51" s="21"/>
    </row>
    <row r="52" spans="2:39" x14ac:dyDescent="0.25">
      <c r="B52" s="7"/>
      <c r="C52" s="186"/>
      <c r="D52" s="7"/>
      <c r="E52" s="7"/>
      <c r="F52" s="7"/>
      <c r="G52" s="7"/>
      <c r="H52" s="2"/>
      <c r="I52" s="2"/>
      <c r="J52" s="7"/>
      <c r="K52" s="7"/>
      <c r="L52" s="7"/>
      <c r="M52" s="7"/>
      <c r="N52" s="161"/>
      <c r="O52" s="161"/>
      <c r="P52" s="161"/>
      <c r="Q52" s="20"/>
      <c r="R52" s="20"/>
      <c r="S52" s="161"/>
      <c r="T52" s="2"/>
      <c r="U52" s="164"/>
      <c r="V52" s="164"/>
      <c r="W52" s="186"/>
      <c r="X52" s="186"/>
      <c r="Y52" s="7"/>
      <c r="Z52" s="7"/>
      <c r="AA52" s="7"/>
      <c r="AB52" s="7"/>
      <c r="AC52" s="7"/>
      <c r="AD52" s="161"/>
      <c r="AE52" s="210"/>
      <c r="AI52" s="161"/>
      <c r="AJ52" s="161"/>
      <c r="AK52" s="161"/>
      <c r="AL52" s="161"/>
      <c r="AM52" s="161"/>
    </row>
    <row r="53" spans="2:39" ht="15.75" x14ac:dyDescent="0.25">
      <c r="B53" s="157"/>
      <c r="C53" s="186"/>
      <c r="D53" s="7"/>
      <c r="E53" s="7"/>
      <c r="F53" s="7"/>
      <c r="G53" s="7"/>
      <c r="H53" s="7"/>
      <c r="I53" s="2"/>
      <c r="J53" s="7"/>
      <c r="K53" s="7"/>
      <c r="L53" s="7"/>
      <c r="M53" s="7"/>
      <c r="N53" s="161"/>
      <c r="O53" s="7"/>
      <c r="P53" s="7"/>
      <c r="Q53" s="20"/>
      <c r="R53" s="20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2:39" x14ac:dyDescent="0.25">
      <c r="B54" s="169"/>
      <c r="C54" s="186"/>
      <c r="D54" s="122"/>
      <c r="E54"/>
      <c r="F54"/>
      <c r="G54" s="122"/>
      <c r="H54" s="184"/>
      <c r="I54" s="184"/>
      <c r="J54" s="20"/>
      <c r="K54" s="103"/>
      <c r="L54" s="7"/>
      <c r="M54" s="134"/>
      <c r="N54" s="204"/>
      <c r="O54" s="204"/>
      <c r="P54" s="204"/>
      <c r="Q54" s="159"/>
      <c r="R54" s="159"/>
      <c r="S54" s="134"/>
      <c r="T54" s="134"/>
      <c r="U54" s="165"/>
      <c r="W54" s="188"/>
      <c r="X54" s="188"/>
      <c r="Y54" s="134"/>
      <c r="Z54" s="134"/>
      <c r="AA54" s="134"/>
      <c r="AB54" s="134"/>
      <c r="AC54" s="134"/>
      <c r="AD54" s="204"/>
      <c r="AE54" s="211"/>
      <c r="AF54" s="7"/>
      <c r="AG54" s="7"/>
      <c r="AH54" s="7"/>
      <c r="AI54" s="161"/>
      <c r="AJ54" s="161"/>
      <c r="AK54" s="161"/>
      <c r="AL54" s="161"/>
      <c r="AM54" s="161"/>
    </row>
    <row r="55" spans="2:39" x14ac:dyDescent="0.25">
      <c r="B55" s="168"/>
      <c r="C55" s="186"/>
      <c r="D55" s="122"/>
      <c r="E55"/>
      <c r="F55"/>
      <c r="G55" s="122"/>
      <c r="H55" s="184"/>
      <c r="I55" s="184"/>
      <c r="J55" s="155"/>
      <c r="K55" s="251"/>
      <c r="L55" s="252"/>
      <c r="M55" s="252"/>
      <c r="N55" s="296"/>
      <c r="O55" s="297"/>
      <c r="P55" s="297"/>
      <c r="Q55" s="301"/>
      <c r="R55" s="302"/>
      <c r="S55" s="303"/>
      <c r="T55" s="304"/>
      <c r="U55" s="305"/>
      <c r="V55" s="298"/>
      <c r="W55" s="306"/>
      <c r="X55" s="307"/>
      <c r="Y55" s="253"/>
      <c r="Z55" s="253"/>
      <c r="AA55" s="253"/>
      <c r="AB55" s="254"/>
      <c r="AC55" s="248"/>
      <c r="AD55" s="247"/>
      <c r="AE55" s="308"/>
      <c r="AF55" s="7"/>
      <c r="AG55" s="7"/>
      <c r="AH55" s="7"/>
      <c r="AI55" s="161"/>
      <c r="AJ55" s="161"/>
      <c r="AK55" s="161"/>
      <c r="AL55" s="161"/>
      <c r="AM55" s="161"/>
    </row>
    <row r="56" spans="2:39" x14ac:dyDescent="0.25">
      <c r="B56" s="169"/>
      <c r="C56" s="170"/>
      <c r="D56" s="122"/>
      <c r="E56"/>
      <c r="F56"/>
      <c r="G56" s="122"/>
      <c r="H56" s="184"/>
      <c r="I56" s="184"/>
      <c r="J56" s="155"/>
      <c r="K56" s="102"/>
      <c r="L56" s="133"/>
      <c r="M56" s="133"/>
      <c r="N56" s="205"/>
      <c r="O56" s="206"/>
      <c r="P56" s="206"/>
      <c r="Q56" s="160"/>
      <c r="R56" s="163"/>
      <c r="S56" s="158"/>
      <c r="T56" s="162"/>
      <c r="U56" s="166"/>
      <c r="V56" s="199"/>
      <c r="W56" s="188"/>
      <c r="X56" s="188"/>
      <c r="Y56" s="134"/>
      <c r="Z56" s="134"/>
      <c r="AA56" s="134"/>
      <c r="AB56" s="142"/>
      <c r="AC56" s="143"/>
      <c r="AD56" s="207"/>
      <c r="AE56" s="212"/>
      <c r="AF56" s="120"/>
      <c r="AG56" s="10"/>
      <c r="AH56" s="10"/>
      <c r="AI56" s="217"/>
      <c r="AJ56" s="217"/>
      <c r="AK56" s="217"/>
      <c r="AL56" s="217"/>
      <c r="AM56" s="217"/>
    </row>
    <row r="57" spans="2:39" x14ac:dyDescent="0.25">
      <c r="B57" s="168"/>
      <c r="C57" s="170"/>
      <c r="D57" s="122"/>
      <c r="E57"/>
      <c r="F57"/>
      <c r="G57" s="122"/>
      <c r="H57" s="184"/>
      <c r="I57" s="184"/>
      <c r="J57" s="155"/>
      <c r="K57" s="102"/>
      <c r="L57" s="133"/>
      <c r="M57" s="252"/>
      <c r="N57" s="299"/>
      <c r="O57" s="300"/>
      <c r="P57" s="206"/>
      <c r="Q57" s="160"/>
      <c r="R57" s="163"/>
      <c r="S57" s="158"/>
      <c r="T57" s="162"/>
      <c r="U57" s="305"/>
      <c r="V57" s="298"/>
      <c r="W57" s="188"/>
      <c r="X57" s="188"/>
      <c r="Y57" s="241"/>
      <c r="Z57" s="134"/>
      <c r="AA57" s="134"/>
      <c r="AB57" s="142"/>
      <c r="AC57" s="143"/>
      <c r="AD57" s="207"/>
      <c r="AE57" s="212"/>
      <c r="AF57" s="120"/>
      <c r="AG57" s="10"/>
      <c r="AH57" s="10"/>
      <c r="AI57" s="217"/>
      <c r="AJ57" s="217"/>
      <c r="AK57" s="217"/>
      <c r="AL57" s="217"/>
      <c r="AM57" s="217"/>
    </row>
    <row r="58" spans="2:39" x14ac:dyDescent="0.25">
      <c r="B58" s="169"/>
      <c r="C58" s="170"/>
      <c r="D58" s="122"/>
      <c r="E58"/>
      <c r="F58"/>
      <c r="G58" s="122"/>
      <c r="H58" s="184"/>
      <c r="I58" s="184"/>
      <c r="J58" s="155"/>
      <c r="K58" s="102"/>
      <c r="L58" s="133"/>
      <c r="M58" s="133"/>
      <c r="N58" s="205"/>
      <c r="O58" s="206"/>
      <c r="P58" s="206"/>
      <c r="Q58" s="160"/>
      <c r="R58" s="163"/>
      <c r="S58" s="158"/>
      <c r="T58" s="162"/>
      <c r="U58" s="166"/>
      <c r="V58" s="199"/>
      <c r="W58" s="188"/>
      <c r="X58" s="188"/>
      <c r="Y58" s="134"/>
      <c r="Z58" s="134"/>
      <c r="AA58" s="134"/>
      <c r="AB58" s="142"/>
      <c r="AC58" s="143"/>
      <c r="AD58" s="207"/>
      <c r="AE58" s="212"/>
      <c r="AF58" s="120"/>
      <c r="AG58" s="10"/>
      <c r="AH58" s="10"/>
      <c r="AI58" s="217"/>
      <c r="AJ58" s="217"/>
      <c r="AK58" s="217"/>
      <c r="AL58" s="217"/>
      <c r="AM58" s="217"/>
    </row>
    <row r="59" spans="2:39" x14ac:dyDescent="0.25">
      <c r="B59" s="168"/>
      <c r="C59" s="170"/>
      <c r="D59" s="122"/>
      <c r="E59"/>
      <c r="F59"/>
      <c r="G59" s="122"/>
      <c r="H59" s="184"/>
      <c r="I59" s="184"/>
      <c r="J59" s="155"/>
      <c r="K59" s="102"/>
      <c r="L59" s="133"/>
      <c r="M59" s="252"/>
      <c r="N59" s="299"/>
      <c r="O59" s="300"/>
      <c r="P59" s="206"/>
      <c r="Q59" s="160"/>
      <c r="R59" s="163"/>
      <c r="S59" s="158"/>
      <c r="T59" s="162"/>
      <c r="U59" s="305"/>
      <c r="V59" s="298"/>
      <c r="W59" s="188"/>
      <c r="X59" s="188"/>
      <c r="Y59" s="241"/>
      <c r="Z59" s="134"/>
      <c r="AA59" s="134"/>
      <c r="AB59" s="142"/>
      <c r="AC59" s="143"/>
      <c r="AD59" s="207"/>
      <c r="AE59" s="212"/>
      <c r="AF59" s="120"/>
      <c r="AG59" s="10"/>
      <c r="AH59" s="10"/>
      <c r="AI59" s="217"/>
      <c r="AJ59" s="217"/>
      <c r="AK59" s="217"/>
      <c r="AL59" s="217"/>
      <c r="AM59" s="217"/>
    </row>
    <row r="60" spans="2:39" x14ac:dyDescent="0.25">
      <c r="B60" s="169"/>
      <c r="C60" s="170"/>
      <c r="D60" s="122"/>
      <c r="E60"/>
      <c r="F60"/>
      <c r="G60" s="122"/>
      <c r="H60" s="184"/>
      <c r="I60" s="184"/>
      <c r="J60" s="155"/>
      <c r="K60" s="102"/>
      <c r="L60" s="133"/>
      <c r="M60" s="133"/>
      <c r="N60" s="205"/>
      <c r="O60" s="206"/>
      <c r="P60" s="206"/>
      <c r="Q60" s="160"/>
      <c r="R60" s="163"/>
      <c r="S60" s="158"/>
      <c r="T60" s="162"/>
      <c r="U60" s="166"/>
      <c r="V60" s="199"/>
      <c r="W60" s="188"/>
      <c r="X60" s="188"/>
      <c r="Y60" s="134"/>
      <c r="Z60" s="134"/>
      <c r="AA60" s="134"/>
      <c r="AB60" s="142"/>
      <c r="AC60" s="143"/>
      <c r="AD60" s="207"/>
      <c r="AE60" s="212"/>
      <c r="AF60" s="120"/>
      <c r="AG60" s="10"/>
      <c r="AH60" s="10"/>
      <c r="AI60" s="217"/>
      <c r="AJ60" s="217"/>
      <c r="AK60" s="217"/>
      <c r="AL60" s="217"/>
      <c r="AM60" s="217"/>
    </row>
    <row r="61" spans="2:39" x14ac:dyDescent="0.25">
      <c r="B61" s="168"/>
      <c r="C61" s="187"/>
      <c r="D61" s="122"/>
      <c r="E61"/>
      <c r="F61"/>
      <c r="G61" s="122"/>
      <c r="H61" s="184"/>
      <c r="I61" s="184"/>
      <c r="J61" s="155"/>
      <c r="K61" s="102"/>
      <c r="L61" s="133"/>
      <c r="M61" s="252"/>
      <c r="N61" s="299"/>
      <c r="O61" s="300"/>
      <c r="P61" s="206"/>
      <c r="Q61" s="160"/>
      <c r="R61" s="163"/>
      <c r="S61" s="158"/>
      <c r="T61" s="162"/>
      <c r="U61" s="305"/>
      <c r="V61" s="298"/>
      <c r="W61" s="188"/>
      <c r="X61" s="188"/>
      <c r="Y61" s="241"/>
      <c r="Z61" s="134"/>
      <c r="AA61" s="134"/>
      <c r="AB61" s="142"/>
      <c r="AC61" s="143"/>
      <c r="AD61" s="207"/>
      <c r="AE61" s="212"/>
      <c r="AF61" s="120"/>
      <c r="AG61" s="10"/>
      <c r="AH61" s="10"/>
      <c r="AI61" s="217"/>
      <c r="AJ61" s="217"/>
      <c r="AK61" s="217"/>
      <c r="AL61" s="217"/>
      <c r="AM61" s="217"/>
    </row>
    <row r="62" spans="2:39" x14ac:dyDescent="0.25">
      <c r="B62" s="169"/>
      <c r="C62" s="170"/>
      <c r="D62" s="122"/>
      <c r="E62"/>
      <c r="F62"/>
      <c r="G62" s="122"/>
      <c r="H62" s="184"/>
      <c r="I62" s="184"/>
      <c r="J62" s="155"/>
      <c r="K62" s="102"/>
      <c r="L62" s="133"/>
      <c r="M62" s="133"/>
      <c r="N62" s="205"/>
      <c r="O62" s="206"/>
      <c r="P62" s="206"/>
      <c r="Q62" s="160"/>
      <c r="R62" s="163"/>
      <c r="S62" s="158"/>
      <c r="T62" s="162"/>
      <c r="U62" s="166"/>
      <c r="V62" s="199"/>
      <c r="W62" s="188"/>
      <c r="X62" s="188"/>
      <c r="Y62" s="134"/>
      <c r="Z62" s="134"/>
      <c r="AA62" s="134"/>
      <c r="AB62" s="142"/>
      <c r="AC62" s="143"/>
      <c r="AD62" s="207"/>
      <c r="AE62" s="212"/>
      <c r="AF62" s="120"/>
      <c r="AG62" s="10"/>
      <c r="AH62" s="10"/>
      <c r="AI62" s="217"/>
      <c r="AJ62" s="217"/>
      <c r="AK62" s="217"/>
      <c r="AL62" s="217"/>
      <c r="AM62" s="217"/>
    </row>
    <row r="63" spans="2:39" x14ac:dyDescent="0.25">
      <c r="B63" s="168"/>
      <c r="C63" s="170"/>
      <c r="D63" s="122"/>
      <c r="E63"/>
      <c r="F63"/>
      <c r="G63" s="122"/>
      <c r="H63" s="184"/>
      <c r="I63" s="184"/>
      <c r="J63" s="155"/>
      <c r="K63" s="102"/>
      <c r="L63" s="133"/>
      <c r="M63" s="252"/>
      <c r="N63" s="299"/>
      <c r="O63" s="300"/>
      <c r="P63" s="206"/>
      <c r="Q63" s="160"/>
      <c r="R63" s="163"/>
      <c r="S63" s="158"/>
      <c r="T63" s="162"/>
      <c r="U63" s="305"/>
      <c r="V63" s="298"/>
      <c r="W63" s="188"/>
      <c r="X63" s="188"/>
      <c r="Y63" s="241"/>
      <c r="Z63" s="134"/>
      <c r="AA63" s="134"/>
      <c r="AB63" s="142"/>
      <c r="AC63" s="143"/>
      <c r="AD63" s="207"/>
      <c r="AE63" s="212"/>
      <c r="AF63" s="120"/>
      <c r="AG63" s="10"/>
      <c r="AH63" s="10"/>
      <c r="AI63" s="217"/>
      <c r="AJ63" s="217"/>
      <c r="AK63" s="217"/>
      <c r="AL63" s="217"/>
      <c r="AM63" s="217"/>
    </row>
    <row r="64" spans="2:39" x14ac:dyDescent="0.25">
      <c r="B64" s="169"/>
      <c r="C64" s="170"/>
      <c r="D64" s="122"/>
      <c r="E64"/>
      <c r="F64"/>
      <c r="G64" s="122"/>
      <c r="H64" s="184"/>
      <c r="I64" s="184"/>
      <c r="J64" s="155"/>
      <c r="K64" s="102"/>
      <c r="L64" s="133"/>
      <c r="M64" s="133"/>
      <c r="N64" s="205"/>
      <c r="O64" s="206"/>
      <c r="P64" s="206"/>
      <c r="Q64" s="160"/>
      <c r="R64" s="163"/>
      <c r="S64" s="158"/>
      <c r="T64" s="162"/>
      <c r="U64" s="166"/>
      <c r="V64" s="199"/>
      <c r="W64" s="188"/>
      <c r="X64" s="188"/>
      <c r="Y64" s="134"/>
      <c r="Z64" s="134"/>
      <c r="AA64" s="134"/>
      <c r="AB64" s="142"/>
      <c r="AC64" s="143"/>
      <c r="AD64" s="207"/>
      <c r="AE64" s="212"/>
      <c r="AF64" s="120"/>
      <c r="AG64" s="10"/>
      <c r="AH64" s="10"/>
      <c r="AI64" s="217"/>
      <c r="AJ64" s="217"/>
      <c r="AK64" s="217"/>
      <c r="AL64" s="217"/>
      <c r="AM64" s="217"/>
    </row>
    <row r="65" spans="2:39" x14ac:dyDescent="0.25">
      <c r="B65" s="168"/>
      <c r="C65" s="170"/>
      <c r="D65" s="122"/>
      <c r="E65"/>
      <c r="F65"/>
      <c r="G65" s="122"/>
      <c r="H65" s="184"/>
      <c r="I65" s="295"/>
      <c r="J65" s="155"/>
      <c r="K65" s="102"/>
      <c r="L65" s="133"/>
      <c r="M65" s="252"/>
      <c r="N65" s="296"/>
      <c r="O65" s="297"/>
      <c r="P65" s="319"/>
      <c r="Q65" s="160"/>
      <c r="R65" s="163"/>
      <c r="S65" s="158"/>
      <c r="T65" s="162"/>
      <c r="U65" s="305"/>
      <c r="V65" s="298"/>
      <c r="W65" s="195"/>
      <c r="X65" s="198"/>
      <c r="Y65" s="241"/>
      <c r="Z65" s="134"/>
      <c r="AA65" s="134"/>
      <c r="AB65" s="142"/>
      <c r="AC65" s="143"/>
      <c r="AD65" s="208"/>
      <c r="AE65" s="320"/>
      <c r="AF65" s="215"/>
      <c r="AG65" s="216"/>
      <c r="AH65" s="216"/>
      <c r="AI65" s="193"/>
      <c r="AJ65" s="218"/>
      <c r="AK65" s="193"/>
      <c r="AL65" s="193"/>
      <c r="AM65" s="193"/>
    </row>
    <row r="66" spans="2:39" x14ac:dyDescent="0.25">
      <c r="B66" s="169"/>
      <c r="C66" s="170"/>
      <c r="D66" s="122"/>
      <c r="E66"/>
      <c r="F66"/>
      <c r="G66" s="122"/>
      <c r="H66" s="184"/>
      <c r="I66" s="184"/>
      <c r="J66" s="155"/>
      <c r="K66" s="102"/>
      <c r="L66" s="133"/>
      <c r="M66" s="133"/>
      <c r="N66" s="205"/>
      <c r="O66" s="206"/>
      <c r="P66" s="206"/>
      <c r="Q66" s="160"/>
      <c r="R66" s="163"/>
      <c r="S66" s="158"/>
      <c r="T66" s="162"/>
      <c r="U66" s="166"/>
      <c r="V66" s="199"/>
      <c r="W66" s="188"/>
      <c r="X66" s="188"/>
      <c r="Y66" s="134"/>
      <c r="Z66" s="134"/>
      <c r="AA66" s="134"/>
      <c r="AB66" s="142"/>
      <c r="AC66" s="143"/>
      <c r="AD66" s="207"/>
      <c r="AE66" s="212"/>
      <c r="AF66" s="120"/>
      <c r="AG66" s="10"/>
      <c r="AH66" s="10"/>
      <c r="AI66" s="217"/>
      <c r="AJ66" s="217"/>
      <c r="AK66" s="217"/>
      <c r="AL66" s="217"/>
      <c r="AM66" s="217"/>
    </row>
    <row r="67" spans="2:39" x14ac:dyDescent="0.25">
      <c r="N67" s="191"/>
      <c r="O67" s="191"/>
      <c r="P67" s="191"/>
      <c r="AD67" s="191"/>
      <c r="AE67" s="214"/>
      <c r="AF67" s="120"/>
      <c r="AG67" s="10"/>
      <c r="AH67" s="10"/>
      <c r="AI67" s="217"/>
      <c r="AJ67" s="217"/>
      <c r="AK67" s="219"/>
      <c r="AL67" s="219"/>
      <c r="AM67" s="219"/>
    </row>
    <row r="68" spans="2:39" ht="15.75" x14ac:dyDescent="0.25">
      <c r="B68" s="74"/>
      <c r="N68" s="191"/>
      <c r="O68" s="191"/>
      <c r="P68" s="191"/>
      <c r="AD68" s="191"/>
      <c r="AE68" s="214"/>
      <c r="AF68" s="120"/>
      <c r="AG68" s="10"/>
      <c r="AH68" s="10"/>
      <c r="AI68" s="217"/>
      <c r="AJ68" s="217"/>
      <c r="AK68" s="217"/>
      <c r="AL68" s="217"/>
      <c r="AM68" s="217"/>
    </row>
    <row r="69" spans="2:39" x14ac:dyDescent="0.25">
      <c r="N69" s="191"/>
      <c r="O69" s="191"/>
      <c r="P69" s="191"/>
      <c r="AD69" s="191"/>
      <c r="AE69" s="214"/>
      <c r="AF69" s="120"/>
      <c r="AG69" s="10"/>
      <c r="AH69" s="10"/>
      <c r="AI69" s="217"/>
      <c r="AJ69" s="217"/>
      <c r="AK69" s="217"/>
      <c r="AL69" s="217"/>
      <c r="AM69" s="217"/>
    </row>
    <row r="70" spans="2:39" ht="18.75" x14ac:dyDescent="0.3">
      <c r="B70" s="5"/>
      <c r="C70" s="185"/>
      <c r="D70" s="7"/>
      <c r="E70" s="7"/>
      <c r="F70" s="7"/>
      <c r="G70" s="7"/>
      <c r="H70" s="63"/>
      <c r="I70" s="63"/>
      <c r="J70" s="99"/>
      <c r="K70" s="24"/>
      <c r="L70" s="24"/>
      <c r="M70" s="24"/>
      <c r="N70" s="21"/>
      <c r="O70" s="21"/>
      <c r="P70" s="21"/>
      <c r="Q70" s="24"/>
      <c r="R70" s="24"/>
      <c r="S70" s="21"/>
      <c r="T70" s="21"/>
      <c r="U70" s="99"/>
      <c r="V70" s="167"/>
      <c r="W70" s="185"/>
      <c r="X70" s="185"/>
      <c r="Y70" s="5"/>
      <c r="Z70" s="5"/>
      <c r="AA70" s="5"/>
      <c r="AB70" s="5"/>
      <c r="AC70" s="5"/>
      <c r="AD70" s="21"/>
      <c r="AE70" s="185"/>
      <c r="AF70" s="99"/>
      <c r="AG70" s="99"/>
      <c r="AH70" s="99"/>
      <c r="AI70" s="21"/>
      <c r="AJ70" s="21"/>
      <c r="AK70" s="21"/>
      <c r="AL70" s="21"/>
      <c r="AM70" s="21"/>
    </row>
    <row r="71" spans="2:39" x14ac:dyDescent="0.25">
      <c r="C71" s="186"/>
      <c r="D71" s="7"/>
      <c r="E71" s="7"/>
      <c r="F71" s="7"/>
      <c r="G71" s="7"/>
      <c r="H71" s="2"/>
      <c r="I71" s="2"/>
      <c r="J71" s="7"/>
      <c r="K71" s="7"/>
      <c r="L71" s="7"/>
      <c r="M71" s="7"/>
      <c r="N71" s="161"/>
      <c r="O71" s="161"/>
      <c r="P71" s="161"/>
      <c r="Q71" s="20"/>
      <c r="R71" s="20"/>
      <c r="S71" s="161"/>
      <c r="T71" s="2"/>
      <c r="U71" s="164"/>
      <c r="V71" s="164"/>
      <c r="W71" s="186"/>
      <c r="X71" s="186"/>
      <c r="Y71" s="7"/>
      <c r="Z71" s="7"/>
      <c r="AA71" s="7"/>
      <c r="AB71" s="7"/>
      <c r="AD71" s="191"/>
      <c r="AE71" s="214"/>
      <c r="AF71" s="120"/>
      <c r="AG71" s="10"/>
      <c r="AH71" s="10"/>
      <c r="AI71" s="191"/>
      <c r="AJ71" s="161"/>
      <c r="AK71" s="161"/>
      <c r="AL71" s="161"/>
      <c r="AM71" s="161"/>
    </row>
    <row r="72" spans="2:39" x14ac:dyDescent="0.25">
      <c r="K72" s="7"/>
      <c r="L72" s="7"/>
      <c r="M72" s="47"/>
      <c r="O72" s="7"/>
      <c r="P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2:39" x14ac:dyDescent="0.25">
      <c r="C73" s="170"/>
      <c r="D73" s="122"/>
      <c r="E73"/>
      <c r="F73"/>
      <c r="G73" s="122"/>
      <c r="H73" s="184"/>
      <c r="I73" s="184"/>
      <c r="J73" s="155"/>
      <c r="K73" s="203"/>
      <c r="L73" s="201"/>
      <c r="M73" s="201"/>
      <c r="N73" s="205"/>
      <c r="O73" s="206"/>
      <c r="P73" s="206"/>
      <c r="Q73" s="160"/>
      <c r="R73" s="163"/>
      <c r="S73" s="158"/>
      <c r="T73" s="162"/>
      <c r="U73" s="166"/>
      <c r="V73" s="199"/>
      <c r="W73" s="195"/>
      <c r="X73" s="198"/>
      <c r="Y73" s="105"/>
      <c r="Z73" s="105"/>
      <c r="AA73" s="201"/>
      <c r="AB73" s="202"/>
      <c r="AC73" s="202"/>
      <c r="AD73" s="317"/>
      <c r="AE73" s="327"/>
      <c r="AF73" s="120"/>
      <c r="AG73" s="8"/>
      <c r="AH73" s="8"/>
      <c r="AI73" s="246"/>
      <c r="AJ73" s="268"/>
      <c r="AK73" s="313"/>
      <c r="AL73" s="313"/>
      <c r="AM73" s="313"/>
    </row>
    <row r="74" spans="2:39" x14ac:dyDescent="0.25">
      <c r="C74" s="170"/>
      <c r="D74" s="122"/>
      <c r="E74"/>
      <c r="F74"/>
      <c r="G74" s="122"/>
      <c r="H74" s="184"/>
      <c r="I74" s="184"/>
      <c r="J74" s="155"/>
      <c r="K74" s="203"/>
      <c r="L74" s="201"/>
      <c r="M74" s="201"/>
      <c r="N74" s="205"/>
      <c r="O74" s="206"/>
      <c r="P74" s="206"/>
      <c r="Q74" s="160"/>
      <c r="R74" s="163"/>
      <c r="S74" s="158"/>
      <c r="T74" s="162"/>
      <c r="U74" s="166"/>
      <c r="V74" s="199"/>
      <c r="W74" s="195"/>
      <c r="X74" s="198"/>
      <c r="Y74" s="105"/>
      <c r="Z74" s="105"/>
      <c r="AA74" s="201"/>
      <c r="AB74" s="202"/>
      <c r="AC74" s="202"/>
      <c r="AD74" s="317"/>
      <c r="AE74" s="327"/>
      <c r="AF74" s="120"/>
      <c r="AG74" s="8"/>
      <c r="AH74" s="8"/>
      <c r="AI74" s="246"/>
      <c r="AJ74" s="268"/>
      <c r="AK74" s="313"/>
      <c r="AL74" s="313"/>
      <c r="AM74" s="313"/>
    </row>
    <row r="75" spans="2:39" x14ac:dyDescent="0.25">
      <c r="C75" s="170"/>
      <c r="D75" s="122"/>
      <c r="E75"/>
      <c r="F75"/>
      <c r="G75" s="122"/>
      <c r="H75" s="184"/>
      <c r="I75" s="184"/>
      <c r="J75" s="155"/>
      <c r="K75" s="203"/>
      <c r="L75" s="201"/>
      <c r="M75" s="201"/>
      <c r="N75" s="205"/>
      <c r="O75" s="206"/>
      <c r="P75" s="206"/>
      <c r="Q75" s="160"/>
      <c r="R75" s="163"/>
      <c r="S75" s="158"/>
      <c r="T75" s="162"/>
      <c r="U75" s="166"/>
      <c r="V75" s="199"/>
      <c r="W75" s="195"/>
      <c r="X75" s="198"/>
      <c r="Y75" s="105"/>
      <c r="Z75" s="105"/>
      <c r="AA75" s="201"/>
      <c r="AB75" s="202"/>
      <c r="AC75" s="202"/>
      <c r="AD75" s="317"/>
      <c r="AE75" s="327"/>
      <c r="AF75" s="120"/>
      <c r="AG75" s="8"/>
      <c r="AH75" s="8"/>
      <c r="AI75" s="246"/>
      <c r="AJ75" s="268"/>
      <c r="AK75" s="313"/>
      <c r="AL75" s="313"/>
      <c r="AM75" s="313"/>
    </row>
    <row r="76" spans="2:39" x14ac:dyDescent="0.25">
      <c r="C76" s="170"/>
      <c r="D76" s="122"/>
      <c r="E76"/>
      <c r="F76"/>
      <c r="G76" s="122"/>
      <c r="H76" s="184"/>
      <c r="I76" s="184"/>
      <c r="J76" s="155"/>
      <c r="K76" s="203"/>
      <c r="L76" s="201"/>
      <c r="M76" s="201"/>
      <c r="N76" s="205"/>
      <c r="O76" s="206"/>
      <c r="P76" s="206"/>
      <c r="Q76" s="160"/>
      <c r="R76" s="163"/>
      <c r="S76" s="158"/>
      <c r="T76" s="162"/>
      <c r="U76" s="166"/>
      <c r="V76" s="199"/>
      <c r="W76" s="195"/>
      <c r="X76" s="198"/>
      <c r="Y76" s="105"/>
      <c r="Z76" s="105"/>
      <c r="AA76" s="201"/>
      <c r="AB76" s="202"/>
      <c r="AC76" s="202"/>
      <c r="AD76" s="317"/>
      <c r="AE76" s="327"/>
      <c r="AF76" s="120"/>
      <c r="AG76" s="8"/>
      <c r="AH76" s="8"/>
      <c r="AI76" s="246"/>
      <c r="AJ76" s="268"/>
      <c r="AK76" s="313"/>
      <c r="AL76" s="313"/>
      <c r="AM76" s="313"/>
    </row>
    <row r="77" spans="2:39" x14ac:dyDescent="0.25">
      <c r="C77" s="170"/>
      <c r="D77" s="122"/>
      <c r="E77"/>
      <c r="F77"/>
      <c r="G77" s="122"/>
      <c r="H77" s="184"/>
      <c r="I77" s="184"/>
      <c r="J77" s="155"/>
      <c r="K77" s="203"/>
      <c r="L77" s="201"/>
      <c r="M77" s="201"/>
      <c r="N77" s="205"/>
      <c r="O77" s="206"/>
      <c r="P77" s="206"/>
      <c r="Q77" s="160"/>
      <c r="R77" s="163"/>
      <c r="S77" s="158"/>
      <c r="T77" s="162"/>
      <c r="U77" s="166"/>
      <c r="V77" s="199"/>
      <c r="W77" s="195"/>
      <c r="X77" s="198"/>
      <c r="Y77" s="105"/>
      <c r="Z77" s="105"/>
      <c r="AA77" s="201"/>
      <c r="AB77" s="202"/>
      <c r="AC77" s="202"/>
      <c r="AD77" s="317"/>
      <c r="AE77" s="327"/>
      <c r="AF77" s="120"/>
      <c r="AG77" s="8"/>
      <c r="AH77" s="8"/>
      <c r="AI77" s="246"/>
      <c r="AJ77" s="268"/>
      <c r="AK77" s="313"/>
      <c r="AL77" s="313"/>
      <c r="AM77" s="313"/>
    </row>
    <row r="78" spans="2:39" x14ac:dyDescent="0.25">
      <c r="C78" s="170"/>
      <c r="D78" s="122"/>
      <c r="E78"/>
      <c r="F78"/>
      <c r="G78" s="122"/>
      <c r="H78" s="184"/>
      <c r="I78" s="184"/>
      <c r="J78" s="155"/>
      <c r="K78" s="203"/>
      <c r="L78" s="201"/>
      <c r="M78" s="201"/>
      <c r="N78" s="205"/>
      <c r="O78" s="206"/>
      <c r="P78" s="206"/>
      <c r="Q78" s="160"/>
      <c r="R78" s="163"/>
      <c r="S78" s="158"/>
      <c r="T78" s="162"/>
      <c r="U78" s="166"/>
      <c r="V78" s="199"/>
      <c r="W78" s="195"/>
      <c r="X78" s="198"/>
      <c r="Y78" s="105"/>
      <c r="Z78" s="105"/>
      <c r="AA78" s="201"/>
      <c r="AB78" s="202"/>
      <c r="AC78" s="202"/>
      <c r="AD78" s="317"/>
      <c r="AE78" s="327"/>
      <c r="AF78" s="120"/>
      <c r="AG78" s="8"/>
      <c r="AH78" s="8"/>
      <c r="AI78" s="246"/>
      <c r="AJ78" s="268"/>
      <c r="AK78" s="313"/>
      <c r="AL78" s="313"/>
      <c r="AM78" s="313"/>
    </row>
    <row r="79" spans="2:39" x14ac:dyDescent="0.25">
      <c r="C79" s="170"/>
      <c r="D79" s="122"/>
      <c r="E79"/>
      <c r="F79"/>
      <c r="G79" s="122"/>
      <c r="H79" s="184"/>
      <c r="I79" s="184"/>
      <c r="J79" s="155"/>
      <c r="K79" s="203"/>
      <c r="L79" s="201"/>
      <c r="M79" s="201"/>
      <c r="N79" s="205"/>
      <c r="O79" s="206"/>
      <c r="P79" s="206"/>
      <c r="Q79" s="160"/>
      <c r="R79" s="163"/>
      <c r="S79" s="158"/>
      <c r="T79" s="162"/>
      <c r="U79" s="166"/>
      <c r="V79" s="199"/>
      <c r="W79" s="195"/>
      <c r="X79" s="198"/>
      <c r="Y79" s="105"/>
      <c r="Z79" s="105"/>
      <c r="AA79" s="201"/>
      <c r="AB79" s="202"/>
      <c r="AC79" s="202"/>
      <c r="AD79" s="317"/>
      <c r="AE79" s="327"/>
      <c r="AF79" s="120"/>
      <c r="AG79" s="8"/>
      <c r="AH79" s="8"/>
      <c r="AI79" s="246"/>
      <c r="AJ79" s="268"/>
      <c r="AK79" s="313"/>
      <c r="AL79" s="313"/>
      <c r="AM79" s="313"/>
    </row>
    <row r="80" spans="2:39" x14ac:dyDescent="0.25">
      <c r="C80" s="170"/>
      <c r="D80" s="122"/>
      <c r="E80"/>
      <c r="F80"/>
      <c r="G80" s="122"/>
      <c r="H80" s="184"/>
      <c r="I80" s="184"/>
      <c r="J80" s="155"/>
      <c r="K80" s="203"/>
      <c r="L80" s="201"/>
      <c r="M80" s="201"/>
      <c r="N80" s="205"/>
      <c r="O80" s="206"/>
      <c r="P80" s="206"/>
      <c r="Q80" s="160"/>
      <c r="R80" s="163"/>
      <c r="S80" s="158"/>
      <c r="T80" s="162"/>
      <c r="U80" s="166"/>
      <c r="V80" s="199"/>
      <c r="W80" s="195"/>
      <c r="X80" s="198"/>
      <c r="Y80" s="105"/>
      <c r="Z80" s="105"/>
      <c r="AA80" s="201"/>
      <c r="AB80" s="202"/>
      <c r="AC80" s="202"/>
      <c r="AD80" s="317"/>
      <c r="AE80" s="327"/>
      <c r="AF80" s="120"/>
      <c r="AG80" s="8"/>
      <c r="AH80" s="8"/>
      <c r="AI80" s="246"/>
      <c r="AJ80" s="268"/>
      <c r="AK80" s="313"/>
      <c r="AL80" s="313"/>
      <c r="AM80" s="313"/>
    </row>
    <row r="81" spans="2:39" x14ac:dyDescent="0.25">
      <c r="C81" s="170"/>
      <c r="D81" s="122"/>
      <c r="E81"/>
      <c r="F81"/>
      <c r="G81" s="122"/>
      <c r="H81" s="184"/>
      <c r="I81" s="184"/>
      <c r="J81" s="155"/>
      <c r="K81" s="203"/>
      <c r="L81" s="201"/>
      <c r="M81" s="201"/>
      <c r="N81" s="205"/>
      <c r="O81" s="206"/>
      <c r="P81" s="206"/>
      <c r="Q81" s="160"/>
      <c r="R81" s="163"/>
      <c r="S81" s="158"/>
      <c r="T81" s="162"/>
      <c r="U81" s="166"/>
      <c r="V81" s="199"/>
      <c r="W81" s="195"/>
      <c r="X81" s="198"/>
      <c r="Y81" s="105"/>
      <c r="Z81" s="105"/>
      <c r="AA81" s="201"/>
      <c r="AB81" s="202"/>
      <c r="AC81" s="202"/>
      <c r="AD81" s="317"/>
      <c r="AE81" s="327"/>
      <c r="AF81" s="120"/>
      <c r="AG81" s="8"/>
      <c r="AH81" s="8"/>
      <c r="AI81" s="246"/>
      <c r="AJ81" s="268"/>
      <c r="AK81" s="313"/>
      <c r="AL81" s="313"/>
      <c r="AM81" s="313"/>
    </row>
    <row r="82" spans="2:39" x14ac:dyDescent="0.25">
      <c r="B82" s="5"/>
      <c r="C82" s="294"/>
      <c r="D82" s="122"/>
      <c r="E82" s="4"/>
      <c r="F82" s="4"/>
      <c r="G82" s="121"/>
      <c r="H82" s="295"/>
      <c r="I82" s="295"/>
      <c r="J82" s="155"/>
      <c r="K82" s="203"/>
      <c r="L82" s="201"/>
      <c r="M82" s="201"/>
      <c r="N82" s="321"/>
      <c r="O82" s="319"/>
      <c r="P82" s="319"/>
      <c r="Q82" s="322"/>
      <c r="R82" s="323"/>
      <c r="S82" s="324"/>
      <c r="T82" s="325"/>
      <c r="U82" s="326"/>
      <c r="V82" s="199"/>
      <c r="W82" s="195"/>
      <c r="X82" s="198"/>
      <c r="Y82" s="105"/>
      <c r="Z82" s="105"/>
      <c r="AA82" s="201"/>
      <c r="AB82" s="202"/>
      <c r="AC82" s="202"/>
      <c r="AD82" s="221"/>
      <c r="AE82" s="213"/>
      <c r="AF82" s="215"/>
      <c r="AG82" s="33"/>
      <c r="AH82" s="33"/>
      <c r="AI82" s="245"/>
      <c r="AJ82" s="218"/>
      <c r="AK82" s="220"/>
      <c r="AL82" s="220"/>
      <c r="AM82" s="220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F720-F93F-4451-A0FD-516A5EE24EFD}">
  <dimension ref="B1:AM82"/>
  <sheetViews>
    <sheetView workbookViewId="0">
      <pane ySplit="1" topLeftCell="A25" activePane="bottomLeft" state="frozen"/>
      <selection pane="bottomLeft" activeCell="AE16" sqref="AE16"/>
    </sheetView>
  </sheetViews>
  <sheetFormatPr defaultColWidth="8.85546875" defaultRowHeight="15" x14ac:dyDescent="0.25"/>
  <cols>
    <col min="1" max="1" width="5.140625" customWidth="1"/>
    <col min="2" max="2" width="10.5703125" style="1" bestFit="1" customWidth="1"/>
    <col min="3" max="10" width="8.85546875" style="1"/>
    <col min="11" max="11" width="12.28515625" customWidth="1"/>
    <col min="12" max="12" width="9.42578125" customWidth="1"/>
    <col min="13" max="13" width="9.28515625" customWidth="1"/>
    <col min="14" max="14" width="9.140625" customWidth="1"/>
    <col min="15" max="15" width="13.5703125" customWidth="1"/>
    <col min="16" max="16" width="13" customWidth="1"/>
    <col min="17" max="17" width="9.7109375" customWidth="1"/>
    <col min="18" max="18" width="11.28515625" customWidth="1"/>
    <col min="19" max="19" width="11.140625" customWidth="1"/>
    <col min="20" max="21" width="11.28515625" customWidth="1"/>
    <col min="22" max="22" width="13.28515625" customWidth="1"/>
    <col min="23" max="23" width="9" customWidth="1"/>
    <col min="24" max="24" width="10.42578125" customWidth="1"/>
    <col min="25" max="25" width="11.42578125" customWidth="1"/>
    <col min="26" max="26" width="10.5703125" bestFit="1" customWidth="1"/>
    <col min="27" max="27" width="12.42578125" bestFit="1" customWidth="1"/>
    <col min="28" max="28" width="11" customWidth="1"/>
    <col min="29" max="29" width="9.140625" customWidth="1"/>
    <col min="30" max="30" width="14.5703125" customWidth="1"/>
    <col min="31" max="31" width="9.140625" customWidth="1"/>
    <col min="32" max="32" width="8.28515625" customWidth="1"/>
    <col min="33" max="34" width="8.7109375" customWidth="1"/>
    <col min="35" max="35" width="9.140625" customWidth="1"/>
    <col min="36" max="36" width="12" customWidth="1"/>
    <col min="37" max="37" width="14" bestFit="1" customWidth="1"/>
    <col min="38" max="38" width="12" customWidth="1"/>
    <col min="39" max="39" width="8.7109375" customWidth="1"/>
  </cols>
  <sheetData>
    <row r="1" spans="2:39" ht="18.75" x14ac:dyDescent="0.3">
      <c r="B1" s="99" t="s">
        <v>0</v>
      </c>
      <c r="C1" s="185" t="s">
        <v>1</v>
      </c>
      <c r="D1" s="7" t="s">
        <v>2</v>
      </c>
      <c r="E1" s="7" t="s">
        <v>3</v>
      </c>
      <c r="F1" s="7" t="s">
        <v>202</v>
      </c>
      <c r="G1" s="7" t="s">
        <v>203</v>
      </c>
      <c r="H1" s="63" t="s">
        <v>179</v>
      </c>
      <c r="I1" s="63" t="s">
        <v>180</v>
      </c>
      <c r="J1" s="99" t="s">
        <v>32</v>
      </c>
      <c r="K1" s="24" t="s">
        <v>95</v>
      </c>
      <c r="L1" s="24" t="s">
        <v>160</v>
      </c>
      <c r="M1" s="24" t="s">
        <v>162</v>
      </c>
      <c r="N1" s="21" t="s">
        <v>272</v>
      </c>
      <c r="O1" s="21" t="s">
        <v>269</v>
      </c>
      <c r="P1" s="21" t="s">
        <v>270</v>
      </c>
      <c r="Q1" s="24" t="s">
        <v>164</v>
      </c>
      <c r="R1" s="24" t="s">
        <v>165</v>
      </c>
      <c r="S1" s="21" t="s">
        <v>166</v>
      </c>
      <c r="T1" s="21" t="s">
        <v>167</v>
      </c>
      <c r="U1" s="99" t="s">
        <v>238</v>
      </c>
      <c r="V1" s="167" t="s">
        <v>171</v>
      </c>
      <c r="W1" s="185" t="s">
        <v>141</v>
      </c>
      <c r="X1" s="185" t="s">
        <v>208</v>
      </c>
      <c r="Y1" s="5" t="s">
        <v>144</v>
      </c>
      <c r="Z1" s="5"/>
      <c r="AA1" s="5" t="s">
        <v>143</v>
      </c>
      <c r="AB1" s="5" t="s">
        <v>248</v>
      </c>
      <c r="AC1" s="24" t="s">
        <v>145</v>
      </c>
      <c r="AD1" s="21" t="s">
        <v>48</v>
      </c>
      <c r="AE1" s="209" t="s">
        <v>47</v>
      </c>
      <c r="AF1" s="99" t="s">
        <v>50</v>
      </c>
      <c r="AG1" s="99" t="s">
        <v>281</v>
      </c>
      <c r="AH1" s="99" t="s">
        <v>282</v>
      </c>
      <c r="AI1" s="21" t="s">
        <v>53</v>
      </c>
      <c r="AJ1" s="21" t="s">
        <v>286</v>
      </c>
      <c r="AK1" s="21" t="s">
        <v>293</v>
      </c>
      <c r="AL1" s="21" t="s">
        <v>291</v>
      </c>
      <c r="AM1" s="21" t="s">
        <v>298</v>
      </c>
    </row>
    <row r="2" spans="2:39" x14ac:dyDescent="0.25">
      <c r="B2" s="7" t="s">
        <v>36</v>
      </c>
      <c r="C2" s="186" t="s">
        <v>207</v>
      </c>
      <c r="D2" s="7" t="s">
        <v>301</v>
      </c>
      <c r="E2" s="7" t="s">
        <v>206</v>
      </c>
      <c r="F2" s="7" t="s">
        <v>206</v>
      </c>
      <c r="G2" s="7" t="s">
        <v>39</v>
      </c>
      <c r="H2" s="2" t="s">
        <v>206</v>
      </c>
      <c r="I2" s="2" t="s">
        <v>39</v>
      </c>
      <c r="J2" s="7"/>
      <c r="K2" s="7"/>
      <c r="L2" s="7" t="s">
        <v>161</v>
      </c>
      <c r="M2" s="7" t="s">
        <v>161</v>
      </c>
      <c r="N2" s="161" t="s">
        <v>161</v>
      </c>
      <c r="O2" s="161" t="s">
        <v>161</v>
      </c>
      <c r="P2" s="161" t="s">
        <v>161</v>
      </c>
      <c r="Q2" s="20" t="s">
        <v>168</v>
      </c>
      <c r="R2" s="20" t="s">
        <v>205</v>
      </c>
      <c r="S2" s="161" t="s">
        <v>169</v>
      </c>
      <c r="T2" s="2" t="s">
        <v>204</v>
      </c>
      <c r="U2" s="164" t="s">
        <v>170</v>
      </c>
      <c r="W2" s="186"/>
      <c r="X2" s="186"/>
      <c r="Y2" s="7"/>
      <c r="Z2" s="7"/>
      <c r="AA2" s="7"/>
      <c r="AB2" s="7"/>
      <c r="AC2" s="7"/>
      <c r="AD2" s="161"/>
      <c r="AE2" s="210"/>
      <c r="AI2" s="161" t="s">
        <v>283</v>
      </c>
      <c r="AJ2" s="161" t="s">
        <v>288</v>
      </c>
      <c r="AK2" s="161" t="s">
        <v>288</v>
      </c>
      <c r="AL2" s="161" t="s">
        <v>161</v>
      </c>
      <c r="AM2" s="161" t="s">
        <v>288</v>
      </c>
    </row>
    <row r="3" spans="2:39" x14ac:dyDescent="0.25">
      <c r="B3" s="7"/>
      <c r="C3" s="186"/>
      <c r="D3" s="7"/>
      <c r="E3" s="7"/>
      <c r="F3" s="7"/>
      <c r="G3" s="7"/>
      <c r="H3" s="2"/>
      <c r="I3" s="2"/>
      <c r="J3" s="7"/>
      <c r="K3" s="7"/>
      <c r="L3" s="7"/>
      <c r="M3" s="7"/>
      <c r="N3" s="161"/>
      <c r="O3" s="161"/>
      <c r="P3" s="161"/>
      <c r="Q3" s="20"/>
      <c r="R3" s="20"/>
      <c r="S3" s="161"/>
      <c r="T3" s="2"/>
      <c r="U3" s="164"/>
      <c r="V3" s="312" t="s">
        <v>172</v>
      </c>
      <c r="W3" s="186"/>
      <c r="X3" s="186"/>
      <c r="Y3" s="7"/>
      <c r="Z3" s="7"/>
      <c r="AA3" s="7"/>
      <c r="AB3" s="7"/>
      <c r="AC3" s="7"/>
      <c r="AD3" s="161"/>
      <c r="AE3" s="210"/>
      <c r="AI3" s="161"/>
      <c r="AJ3" s="161"/>
      <c r="AK3" s="312" t="s">
        <v>325</v>
      </c>
      <c r="AL3" s="312" t="s">
        <v>324</v>
      </c>
      <c r="AM3" s="161"/>
    </row>
    <row r="4" spans="2:39" ht="15.75" x14ac:dyDescent="0.25">
      <c r="B4" s="157" t="s">
        <v>338</v>
      </c>
      <c r="C4" s="186"/>
      <c r="D4" s="7"/>
      <c r="E4" s="7"/>
      <c r="F4" s="7"/>
      <c r="G4" s="7"/>
      <c r="H4" s="7"/>
      <c r="I4" s="2"/>
      <c r="J4" s="7"/>
      <c r="K4" s="7" t="s">
        <v>262</v>
      </c>
      <c r="L4" s="7" t="s">
        <v>262</v>
      </c>
      <c r="M4" s="7" t="s">
        <v>263</v>
      </c>
      <c r="N4" s="161"/>
      <c r="O4" s="7" t="s">
        <v>264</v>
      </c>
      <c r="P4" s="7" t="s">
        <v>265</v>
      </c>
      <c r="Q4" s="20"/>
      <c r="R4" s="20"/>
      <c r="S4" s="7"/>
      <c r="T4" s="7"/>
      <c r="U4" s="7"/>
      <c r="V4" s="7" t="s">
        <v>251</v>
      </c>
      <c r="W4" s="7" t="s">
        <v>252</v>
      </c>
      <c r="X4" s="7" t="s">
        <v>253</v>
      </c>
      <c r="Y4" s="7"/>
      <c r="Z4" s="7"/>
      <c r="AA4" s="7"/>
      <c r="AB4" s="7"/>
      <c r="AC4" s="7"/>
      <c r="AD4" s="7" t="s">
        <v>273</v>
      </c>
      <c r="AE4" s="7" t="s">
        <v>273</v>
      </c>
      <c r="AF4" s="7" t="s">
        <v>277</v>
      </c>
      <c r="AG4" s="7" t="s">
        <v>277</v>
      </c>
      <c r="AH4" s="7" t="s">
        <v>277</v>
      </c>
      <c r="AI4" s="7" t="s">
        <v>284</v>
      </c>
      <c r="AJ4" s="7" t="s">
        <v>287</v>
      </c>
      <c r="AK4" s="7" t="s">
        <v>292</v>
      </c>
      <c r="AL4" s="7" t="s">
        <v>292</v>
      </c>
      <c r="AM4" s="7" t="s">
        <v>299</v>
      </c>
    </row>
    <row r="5" spans="2:39" x14ac:dyDescent="0.25">
      <c r="B5" s="169">
        <v>3350</v>
      </c>
      <c r="C5" s="186">
        <f t="shared" ref="C5:C6" si="0">0.00011448*B5 + 1.16638115</f>
        <v>1.54988915</v>
      </c>
      <c r="D5" s="122">
        <f t="shared" ref="D5:D6" si="1">0.04285545*B5 + 15.6741559</f>
        <v>159.23991340000001</v>
      </c>
      <c r="E5">
        <f t="shared" ref="E5:E6" si="2">0.0000000907*B5^2 - 0.0003674172*B5 + 0.9616952608</f>
        <v>0.74872839079999998</v>
      </c>
      <c r="F5">
        <f t="shared" ref="F5:F20" si="3">0.00000236*B5 + 0.01241004</f>
        <v>2.031604E-2</v>
      </c>
      <c r="G5" s="122">
        <f t="shared" ref="G5:G20" si="4">20.40472*B5^(-1.02454)</f>
        <v>4.990927176247292E-3</v>
      </c>
      <c r="H5" s="184">
        <f xml:space="preserve"> 0.00000000004*B5^2 + 0.000002*B5 + 0.0125</f>
        <v>1.96489E-2</v>
      </c>
      <c r="I5" s="184">
        <f>9.6806*B5^(-0.919)</f>
        <v>5.5768132026545571E-3</v>
      </c>
      <c r="J5" s="20"/>
      <c r="K5" s="103"/>
      <c r="L5" s="7"/>
      <c r="M5" s="134"/>
      <c r="N5" s="204"/>
      <c r="O5" s="204"/>
      <c r="P5" s="204"/>
      <c r="Q5" s="159"/>
      <c r="R5" s="159"/>
      <c r="S5" s="134"/>
      <c r="T5" s="134"/>
      <c r="U5" s="165"/>
      <c r="W5" s="188"/>
      <c r="X5" s="188"/>
      <c r="Y5" s="134"/>
      <c r="Z5" s="134"/>
      <c r="AA5" s="134"/>
      <c r="AB5" s="134"/>
      <c r="AC5" s="134"/>
      <c r="AD5" s="204"/>
      <c r="AE5" s="211"/>
      <c r="AF5" s="7"/>
      <c r="AG5" s="7"/>
      <c r="AH5" s="7"/>
      <c r="AI5" s="161"/>
      <c r="AJ5" s="161"/>
      <c r="AK5" s="161"/>
      <c r="AL5" s="161"/>
      <c r="AM5" s="161"/>
    </row>
    <row r="6" spans="2:39" s="18" customFormat="1" x14ac:dyDescent="0.25">
      <c r="B6" s="226">
        <v>3400</v>
      </c>
      <c r="C6" s="227">
        <f t="shared" si="0"/>
        <v>1.5556131500000001</v>
      </c>
      <c r="D6" s="228">
        <f t="shared" si="1"/>
        <v>161.38268590000001</v>
      </c>
      <c r="E6" s="18">
        <f t="shared" si="2"/>
        <v>0.76096878080000008</v>
      </c>
      <c r="F6" s="18">
        <f t="shared" si="3"/>
        <v>2.0434040000000001E-2</v>
      </c>
      <c r="G6" s="228">
        <f t="shared" si="4"/>
        <v>4.9157436848325277E-3</v>
      </c>
      <c r="H6" s="229">
        <f t="shared" ref="H6:H20" si="5" xml:space="preserve"> 0.00000000004*B6^2 + 0.000002*B6 + 0.0125</f>
        <v>1.9762399999999999E-2</v>
      </c>
      <c r="I6" s="229">
        <f t="shared" ref="I6:I20" si="6">9.6806*B6^(-0.919)</f>
        <v>5.5013990838723974E-3</v>
      </c>
      <c r="J6" s="230">
        <f>Data!D$14</f>
        <v>1.49E-5</v>
      </c>
      <c r="K6" s="366">
        <f>'Huff&amp;Puff_4th Cycle'!K39</f>
        <v>0.12522937736464934</v>
      </c>
      <c r="L6" s="231">
        <f>Data!D$21*K$6</f>
        <v>0.16254773181931484</v>
      </c>
      <c r="M6" s="231">
        <f>Data!D$21-L$6</f>
        <v>1.1354522681806851</v>
      </c>
      <c r="N6" s="232">
        <f>'Huff&amp;Puff_4th Cycle'!P6</f>
        <v>72.494390026714143</v>
      </c>
      <c r="O6" s="233">
        <f>30.4*Data!N$9*Data!O$9/5.615</f>
        <v>2.4363312555654497</v>
      </c>
      <c r="P6" s="233">
        <f>N6+O6</f>
        <v>74.930721282279592</v>
      </c>
      <c r="Q6" s="234">
        <f>C6</f>
        <v>1.5556131500000001</v>
      </c>
      <c r="R6" s="235">
        <f>(C6-C5)/(B6-B5)</f>
        <v>1.1448000000000125E-4</v>
      </c>
      <c r="S6" s="236">
        <f>I6</f>
        <v>5.5013990838723974E-3</v>
      </c>
      <c r="T6" s="237">
        <f>(I6-I5)/(B6-B5)</f>
        <v>-1.5082823756431933E-6</v>
      </c>
      <c r="U6" s="238">
        <f>M6*C$6*J$6</f>
        <v>2.6318234745730088E-5</v>
      </c>
      <c r="V6" s="383">
        <f>B6-((B6-B$6+(L6*Q6/U6)-(P6-'Huff&amp;Puff_3rd Cycle'!AL$38)*S6/U6))/(1+(L6*R6/U6)-(P6-'Huff&amp;Puff_3rd Cycle'!AL$38)*T6/U6)</f>
        <v>3760.709660758685</v>
      </c>
      <c r="W6" s="240"/>
      <c r="X6" s="243"/>
      <c r="Y6" s="241"/>
      <c r="Z6" s="241"/>
      <c r="AA6" s="241"/>
      <c r="AB6" s="242"/>
      <c r="AC6" s="200">
        <f>'Huff&amp;Puff_4th Cycle'!AC39</f>
        <v>4.6781163859456658</v>
      </c>
      <c r="AD6" s="341"/>
      <c r="AE6" s="244"/>
      <c r="AF6" s="59"/>
      <c r="AG6" s="59"/>
      <c r="AH6" s="59"/>
      <c r="AI6" s="196"/>
      <c r="AJ6" s="196"/>
      <c r="AK6" s="197">
        <f>'Huff&amp;Puff_2nd Cycle'!AK36</f>
        <v>32.582578138999253</v>
      </c>
      <c r="AL6" s="197">
        <f>'Huff&amp;Puff_2nd Cycle'!AL36</f>
        <v>14.616469708773487</v>
      </c>
      <c r="AM6" s="388">
        <f>'Huff&amp;Puff_4th Cycle'!AM39</f>
        <v>440.88271045345772</v>
      </c>
    </row>
    <row r="7" spans="2:39" x14ac:dyDescent="0.25">
      <c r="B7" s="169">
        <f>B8-50</f>
        <v>3710.709660758685</v>
      </c>
      <c r="C7" s="170">
        <f xml:space="preserve"> -0.00001529*B7 + 1.47725786</f>
        <v>1.4205211092869996</v>
      </c>
      <c r="D7" s="122">
        <v>120.569011576135</v>
      </c>
      <c r="E7">
        <f xml:space="preserve"> 0.0000554429*B7 + 0.4645469286</f>
        <v>0.67027943325047767</v>
      </c>
      <c r="F7">
        <f t="shared" si="3"/>
        <v>2.1167314799390498E-2</v>
      </c>
      <c r="G7" s="122">
        <f t="shared" si="4"/>
        <v>4.4944772921134196E-3</v>
      </c>
      <c r="H7" s="184">
        <f t="shared" si="5"/>
        <v>2.0472193968975282E-2</v>
      </c>
      <c r="I7" s="184">
        <f t="shared" si="6"/>
        <v>5.0765809484444547E-3</v>
      </c>
      <c r="J7" s="155"/>
      <c r="K7" s="102"/>
      <c r="L7" s="133"/>
      <c r="M7" s="252"/>
      <c r="N7" s="205"/>
      <c r="O7" s="206"/>
      <c r="P7" s="206"/>
      <c r="Q7" s="160"/>
      <c r="R7" s="163"/>
      <c r="S7" s="158"/>
      <c r="T7" s="162"/>
      <c r="U7" s="166"/>
      <c r="V7" s="384"/>
      <c r="W7" s="188"/>
      <c r="X7" s="188"/>
      <c r="Y7" s="134"/>
      <c r="Z7" s="134"/>
      <c r="AA7" s="134"/>
      <c r="AB7" s="142"/>
      <c r="AC7" s="143"/>
      <c r="AD7" s="207"/>
      <c r="AE7" s="212"/>
      <c r="AF7" s="120"/>
      <c r="AG7" s="10"/>
      <c r="AH7" s="10"/>
      <c r="AI7" s="217"/>
      <c r="AJ7" s="217"/>
      <c r="AK7" s="217"/>
      <c r="AL7" s="217"/>
    </row>
    <row r="8" spans="2:39" x14ac:dyDescent="0.25">
      <c r="B8" s="168">
        <f>V6</f>
        <v>3760.709660758685</v>
      </c>
      <c r="C8" s="170">
        <f t="shared" ref="C8:C20" si="7" xml:space="preserve"> -0.00001529*B8 + 1.47725786</f>
        <v>1.4197566092869995</v>
      </c>
      <c r="D8" s="122">
        <v>120.569011576135</v>
      </c>
      <c r="E8">
        <f xml:space="preserve"> 0.0000554429*B8 + 0.4645469286</f>
        <v>0.67305157825047768</v>
      </c>
      <c r="F8">
        <f t="shared" si="3"/>
        <v>2.1285314799390498E-2</v>
      </c>
      <c r="G8" s="122">
        <f t="shared" si="4"/>
        <v>4.4332652109382465E-3</v>
      </c>
      <c r="H8" s="184">
        <f t="shared" si="5"/>
        <v>2.0587136807618318E-2</v>
      </c>
      <c r="I8" s="184">
        <f t="shared" si="6"/>
        <v>5.0145194951378641E-3</v>
      </c>
      <c r="J8" s="155"/>
      <c r="K8" s="102"/>
      <c r="L8" s="133">
        <f>Data!D$21*K$6</f>
        <v>0.16254773181931484</v>
      </c>
      <c r="M8" s="252">
        <f>Data!D$21-L$6</f>
        <v>1.1354522681806851</v>
      </c>
      <c r="N8" s="205">
        <f>N6</f>
        <v>72.494390026714143</v>
      </c>
      <c r="O8" s="206">
        <f>O6</f>
        <v>2.4363312555654497</v>
      </c>
      <c r="P8" s="206">
        <f>N8+O8</f>
        <v>74.930721282279592</v>
      </c>
      <c r="Q8" s="160">
        <f>C8</f>
        <v>1.4197566092869995</v>
      </c>
      <c r="R8" s="163">
        <f>(C8-C7)/(B8-B7)</f>
        <v>-1.5290000000001136E-5</v>
      </c>
      <c r="S8" s="158">
        <f t="shared" ref="S8:S14" si="8">I8</f>
        <v>5.0145194951378641E-3</v>
      </c>
      <c r="T8" s="162">
        <f>(I8-I7)/(B8-B7)</f>
        <v>-1.2412290661318117E-6</v>
      </c>
      <c r="U8" s="166">
        <f>M8*C$6*J$6</f>
        <v>2.6318234745730088E-5</v>
      </c>
      <c r="V8" s="384">
        <f>B8-((B8-B$6+(L8*Q8/U8)-(P8-'Huff&amp;Puff_3rd Cycle'!AL$38)*S8/U8))/(1+(L8*R8/U8)-(P8-'Huff&amp;Puff_3rd Cycle'!AL$38)*T8/U8)</f>
        <v>4110.4654866509982</v>
      </c>
      <c r="W8" s="188"/>
      <c r="X8" s="188"/>
      <c r="Y8" s="253"/>
      <c r="Z8" s="134"/>
      <c r="AA8" s="134"/>
      <c r="AB8" s="142"/>
      <c r="AC8" s="143"/>
      <c r="AD8" s="207"/>
      <c r="AE8" s="212"/>
      <c r="AF8" s="120"/>
      <c r="AG8" s="10"/>
      <c r="AH8" s="10"/>
      <c r="AI8" s="217"/>
      <c r="AJ8" s="217"/>
      <c r="AK8" s="217"/>
      <c r="AL8" s="217"/>
      <c r="AM8" s="217"/>
    </row>
    <row r="9" spans="2:39" x14ac:dyDescent="0.25">
      <c r="B9" s="169">
        <f>B10-50</f>
        <v>4060.4654866509982</v>
      </c>
      <c r="C9" s="170">
        <f t="shared" si="7"/>
        <v>1.4151733427091062</v>
      </c>
      <c r="D9" s="122">
        <v>120.569011576135</v>
      </c>
      <c r="E9">
        <f xml:space="preserve"> 0.0000554429*B9 + 0.4645469286</f>
        <v>0.68967091052984264</v>
      </c>
      <c r="F9">
        <f t="shared" si="3"/>
        <v>2.1992738548496357E-2</v>
      </c>
      <c r="G9" s="122">
        <f t="shared" si="4"/>
        <v>4.0982680990246188E-3</v>
      </c>
      <c r="H9" s="184">
        <f t="shared" si="5"/>
        <v>2.1280426172033354E-2</v>
      </c>
      <c r="I9" s="184">
        <f t="shared" si="6"/>
        <v>4.6732723733913422E-3</v>
      </c>
      <c r="J9" s="155"/>
      <c r="K9" s="102"/>
      <c r="L9" s="133"/>
      <c r="M9" s="252"/>
      <c r="N9" s="205"/>
      <c r="O9" s="206"/>
      <c r="P9" s="206"/>
      <c r="Q9" s="160"/>
      <c r="R9" s="163"/>
      <c r="S9" s="158"/>
      <c r="T9" s="162"/>
      <c r="U9" s="166"/>
      <c r="V9" s="384"/>
      <c r="W9" s="188"/>
      <c r="X9" s="188"/>
      <c r="Y9" s="253"/>
      <c r="Z9" s="134"/>
      <c r="AA9" s="134"/>
      <c r="AB9" s="142"/>
      <c r="AC9" s="143"/>
      <c r="AD9" s="207"/>
      <c r="AE9" s="212"/>
      <c r="AF9" s="120"/>
      <c r="AG9" s="10"/>
      <c r="AH9" s="10"/>
      <c r="AI9" s="217"/>
      <c r="AJ9" s="217"/>
      <c r="AK9" s="217"/>
      <c r="AL9" s="217"/>
      <c r="AM9" s="217"/>
    </row>
    <row r="10" spans="2:39" x14ac:dyDescent="0.25">
      <c r="B10" s="168">
        <f>V8</f>
        <v>4110.4654866509982</v>
      </c>
      <c r="C10" s="170">
        <f t="shared" si="7"/>
        <v>1.4144088427091062</v>
      </c>
      <c r="D10" s="122">
        <v>120.569011576135</v>
      </c>
      <c r="E10">
        <f t="shared" ref="E10:E14" si="9" xml:space="preserve"> 0.0000554429*B10 + 0.4645469286</f>
        <v>0.69244305552984264</v>
      </c>
      <c r="F10">
        <f t="shared" si="3"/>
        <v>2.2110738548496357E-2</v>
      </c>
      <c r="G10" s="122">
        <f t="shared" si="4"/>
        <v>4.0472007633662139E-3</v>
      </c>
      <c r="H10" s="184">
        <f t="shared" si="5"/>
        <v>2.1396768033979958E-2</v>
      </c>
      <c r="I10" s="184">
        <f t="shared" si="6"/>
        <v>4.6210050275331364E-3</v>
      </c>
      <c r="J10" s="155"/>
      <c r="K10" s="102"/>
      <c r="L10" s="133">
        <f>Data!D$21*K$6</f>
        <v>0.16254773181931484</v>
      </c>
      <c r="M10" s="252">
        <f>Data!D$21-L$6</f>
        <v>1.1354522681806851</v>
      </c>
      <c r="N10" s="205">
        <f>N8</f>
        <v>72.494390026714143</v>
      </c>
      <c r="O10" s="206">
        <f>O8</f>
        <v>2.4363312555654497</v>
      </c>
      <c r="P10" s="206">
        <f t="shared" ref="P10:P14" si="10">N10+O10</f>
        <v>74.930721282279592</v>
      </c>
      <c r="Q10" s="160">
        <f t="shared" ref="Q10:Q14" si="11">C10</f>
        <v>1.4144088427091062</v>
      </c>
      <c r="R10" s="163">
        <f>(C10-C9)/(B10-B9)</f>
        <v>-1.5290000000001136E-5</v>
      </c>
      <c r="S10" s="158">
        <f t="shared" si="8"/>
        <v>4.6210050275331364E-3</v>
      </c>
      <c r="T10" s="162">
        <f>(I10-I9)/(B10-B9)</f>
        <v>-1.0453469171641146E-6</v>
      </c>
      <c r="U10" s="166">
        <f>M10*C$6*J$6</f>
        <v>2.6318234745730088E-5</v>
      </c>
      <c r="V10" s="384">
        <f>B10-((B10-B$6+(L10*Q10/U10)-(P10-'Huff&amp;Puff_3rd Cycle'!AL$38)*S10/U10))/(1+(L10*R10/U10)-(P10-'Huff&amp;Puff_3rd Cycle'!AL$38)*T10/U10)</f>
        <v>4137.8242080811851</v>
      </c>
      <c r="W10" s="188"/>
      <c r="X10" s="188"/>
      <c r="Y10" s="253"/>
      <c r="Z10" s="134"/>
      <c r="AA10" s="134"/>
      <c r="AB10" s="142"/>
      <c r="AC10" s="143"/>
      <c r="AD10" s="207"/>
      <c r="AE10" s="212"/>
      <c r="AF10" s="120"/>
      <c r="AG10" s="10"/>
      <c r="AH10" s="10"/>
      <c r="AI10" s="217"/>
      <c r="AJ10" s="217"/>
      <c r="AK10" s="217"/>
      <c r="AL10" s="217"/>
      <c r="AM10" s="217"/>
    </row>
    <row r="11" spans="2:39" x14ac:dyDescent="0.25">
      <c r="B11" s="169">
        <f>B12-50</f>
        <v>4087.8242080811851</v>
      </c>
      <c r="C11" s="170">
        <f t="shared" si="7"/>
        <v>1.4147550278584387</v>
      </c>
      <c r="D11" s="122">
        <v>120.569011576135</v>
      </c>
      <c r="E11">
        <f xml:space="preserve"> 0.0000554429*B11 + 0.4645469286</f>
        <v>0.6911877573862244</v>
      </c>
      <c r="F11">
        <f t="shared" si="3"/>
        <v>2.2057305131071597E-2</v>
      </c>
      <c r="G11" s="122">
        <f t="shared" si="4"/>
        <v>4.0701686938290054E-3</v>
      </c>
      <c r="H11" s="184">
        <f t="shared" si="5"/>
        <v>2.1344060686409351E-2</v>
      </c>
      <c r="I11" s="184">
        <f t="shared" si="6"/>
        <v>4.6445210275768232E-3</v>
      </c>
      <c r="J11" s="155"/>
      <c r="K11" s="102"/>
      <c r="L11" s="133"/>
      <c r="M11" s="252"/>
      <c r="N11" s="205"/>
      <c r="O11" s="206"/>
      <c r="P11" s="206"/>
      <c r="Q11" s="160"/>
      <c r="R11" s="163"/>
      <c r="S11" s="158"/>
      <c r="T11" s="162"/>
      <c r="U11" s="166"/>
      <c r="V11" s="384"/>
      <c r="W11" s="188"/>
      <c r="X11" s="188"/>
      <c r="Y11" s="253"/>
      <c r="Z11" s="134"/>
      <c r="AA11" s="134"/>
      <c r="AB11" s="142"/>
      <c r="AC11" s="143"/>
      <c r="AD11" s="207"/>
      <c r="AE11" s="212"/>
      <c r="AF11" s="120"/>
      <c r="AG11" s="10"/>
      <c r="AH11" s="10"/>
      <c r="AI11" s="217"/>
      <c r="AJ11" s="217"/>
      <c r="AK11" s="217"/>
      <c r="AL11" s="217"/>
      <c r="AM11" s="217"/>
    </row>
    <row r="12" spans="2:39" x14ac:dyDescent="0.25">
      <c r="B12" s="168">
        <f>V10</f>
        <v>4137.8242080811851</v>
      </c>
      <c r="C12" s="187">
        <f t="shared" si="7"/>
        <v>1.4139905278584386</v>
      </c>
      <c r="D12" s="122">
        <v>120.569011576135</v>
      </c>
      <c r="E12">
        <f t="shared" si="9"/>
        <v>0.6939599023862244</v>
      </c>
      <c r="F12">
        <f t="shared" si="3"/>
        <v>2.2175305131071597E-2</v>
      </c>
      <c r="G12" s="122">
        <f t="shared" si="4"/>
        <v>4.019786781718061E-3</v>
      </c>
      <c r="H12" s="184">
        <f t="shared" si="5"/>
        <v>2.1460511983241677E-2</v>
      </c>
      <c r="I12" s="184">
        <f t="shared" si="6"/>
        <v>4.5929188736078975E-3</v>
      </c>
      <c r="J12" s="155"/>
      <c r="K12" s="102"/>
      <c r="L12" s="133">
        <f>Data!D$21*K$6</f>
        <v>0.16254773181931484</v>
      </c>
      <c r="M12" s="252">
        <f>Data!D$21-L$6</f>
        <v>1.1354522681806851</v>
      </c>
      <c r="N12" s="205">
        <f>N10</f>
        <v>72.494390026714143</v>
      </c>
      <c r="O12" s="206">
        <f>O10</f>
        <v>2.4363312555654497</v>
      </c>
      <c r="P12" s="206">
        <f t="shared" si="10"/>
        <v>74.930721282279592</v>
      </c>
      <c r="Q12" s="160">
        <f t="shared" si="11"/>
        <v>1.4139905278584386</v>
      </c>
      <c r="R12" s="163">
        <f>(C12-C11)/(B12-B11)</f>
        <v>-1.5290000000001136E-5</v>
      </c>
      <c r="S12" s="158">
        <f t="shared" si="8"/>
        <v>4.5929188736078975E-3</v>
      </c>
      <c r="T12" s="162">
        <f>(I12-I11)/(B12-B11)</f>
        <v>-1.032043079378514E-6</v>
      </c>
      <c r="U12" s="166">
        <f>M12*C$6*J$6</f>
        <v>2.6318234745730088E-5</v>
      </c>
      <c r="V12" s="384">
        <f>B12-((B12-B$6+(L12*Q12/U12)-(P12-'Huff&amp;Puff_3rd Cycle'!AL$38)*S12/U12))/(1+(L12*R12/U12)-(P12-'Huff&amp;Puff_3rd Cycle'!AL$38)*T12/U12)</f>
        <v>4138.1730527471655</v>
      </c>
      <c r="W12" s="188"/>
      <c r="X12" s="188"/>
      <c r="Y12" s="253"/>
      <c r="Z12" s="134"/>
      <c r="AA12" s="134"/>
      <c r="AB12" s="142"/>
      <c r="AC12" s="143"/>
      <c r="AD12" s="207"/>
      <c r="AE12" s="212"/>
      <c r="AF12" s="120"/>
      <c r="AG12" s="10"/>
      <c r="AH12" s="10"/>
      <c r="AI12" s="217"/>
      <c r="AJ12" s="217"/>
      <c r="AK12" s="217"/>
      <c r="AL12" s="217"/>
      <c r="AM12" s="217"/>
    </row>
    <row r="13" spans="2:39" x14ac:dyDescent="0.25">
      <c r="B13" s="169">
        <f>B14-50</f>
        <v>4088.1730527471655</v>
      </c>
      <c r="C13" s="170">
        <f t="shared" si="7"/>
        <v>1.4147496940234958</v>
      </c>
      <c r="D13" s="122">
        <v>120.569011576135</v>
      </c>
      <c r="E13">
        <f xml:space="preserve"> 0.0000554429*B13 + 0.4645469286</f>
        <v>0.69120709834615579</v>
      </c>
      <c r="F13">
        <f t="shared" si="3"/>
        <v>2.2058128404483311E-2</v>
      </c>
      <c r="G13" s="122">
        <f t="shared" si="4"/>
        <v>4.0698128629044041E-3</v>
      </c>
      <c r="H13" s="184">
        <f t="shared" si="5"/>
        <v>2.1344872461862653E-2</v>
      </c>
      <c r="I13" s="184">
        <f t="shared" si="6"/>
        <v>4.6441568101168798E-3</v>
      </c>
      <c r="J13" s="155"/>
      <c r="K13" s="102"/>
      <c r="L13" s="133"/>
      <c r="M13" s="252"/>
      <c r="N13" s="205"/>
      <c r="O13" s="206"/>
      <c r="P13" s="206"/>
      <c r="Q13" s="160"/>
      <c r="R13" s="163"/>
      <c r="S13" s="158"/>
      <c r="T13" s="162"/>
      <c r="U13" s="166"/>
      <c r="V13" s="384"/>
      <c r="W13" s="188"/>
      <c r="X13" s="188"/>
      <c r="Y13" s="253"/>
      <c r="Z13" s="134"/>
      <c r="AA13" s="134"/>
      <c r="AB13" s="142"/>
      <c r="AC13" s="143"/>
      <c r="AD13" s="207"/>
      <c r="AE13" s="212"/>
      <c r="AF13" s="120"/>
      <c r="AG13" s="10"/>
      <c r="AH13" s="10"/>
      <c r="AI13" s="217"/>
      <c r="AJ13" s="217"/>
      <c r="AK13" s="217"/>
      <c r="AL13" s="217"/>
      <c r="AM13" s="217"/>
    </row>
    <row r="14" spans="2:39" x14ac:dyDescent="0.25">
      <c r="B14" s="168">
        <f t="shared" ref="B14" si="12">V12</f>
        <v>4138.1730527471655</v>
      </c>
      <c r="C14" s="170">
        <f t="shared" si="7"/>
        <v>1.4139851940234958</v>
      </c>
      <c r="D14" s="122">
        <v>120.569011576135</v>
      </c>
      <c r="E14">
        <f t="shared" si="9"/>
        <v>0.69397924334615579</v>
      </c>
      <c r="F14">
        <f t="shared" si="3"/>
        <v>2.2176128404483311E-2</v>
      </c>
      <c r="G14" s="122">
        <f t="shared" si="4"/>
        <v>4.0194396015366396E-3</v>
      </c>
      <c r="H14" s="184">
        <f t="shared" si="5"/>
        <v>2.1461325154073643E-2</v>
      </c>
      <c r="I14" s="184">
        <f t="shared" si="6"/>
        <v>4.5925630545487353E-3</v>
      </c>
      <c r="J14" s="155"/>
      <c r="K14" s="102"/>
      <c r="L14" s="133">
        <f>Data!D$21*K$6</f>
        <v>0.16254773181931484</v>
      </c>
      <c r="M14" s="252">
        <f>Data!D$21-L$6</f>
        <v>1.1354522681806851</v>
      </c>
      <c r="N14" s="205">
        <f>N12</f>
        <v>72.494390026714143</v>
      </c>
      <c r="O14" s="206">
        <f>O12</f>
        <v>2.4363312555654497</v>
      </c>
      <c r="P14" s="206">
        <f t="shared" si="10"/>
        <v>74.930721282279592</v>
      </c>
      <c r="Q14" s="160">
        <f t="shared" si="11"/>
        <v>1.4139851940234958</v>
      </c>
      <c r="R14" s="163">
        <f>(C14-C13)/(B14-B13)</f>
        <v>-1.5290000000001136E-5</v>
      </c>
      <c r="S14" s="158">
        <f t="shared" si="8"/>
        <v>4.5925630545487353E-3</v>
      </c>
      <c r="T14" s="162">
        <f>(I14-I13)/(B14-B13)</f>
        <v>-1.0318751113628893E-6</v>
      </c>
      <c r="U14" s="166">
        <f>M14*C$6*J$6</f>
        <v>2.6318234745730088E-5</v>
      </c>
      <c r="V14" s="384">
        <f>B14-((B14-B$6+(L14*Q14/U14)-(P14-'Huff&amp;Puff_3rd Cycle'!AL$38)*S14/U14))/(1+(L14*R14/U14)-(P14-'Huff&amp;Puff_3rd Cycle'!AL$38)*T14/U14)</f>
        <v>4138.1759104827288</v>
      </c>
      <c r="W14" s="188"/>
      <c r="X14" s="188"/>
      <c r="Y14" s="253"/>
      <c r="Z14" s="134"/>
      <c r="AA14" s="134"/>
      <c r="AB14" s="142"/>
      <c r="AC14" s="143"/>
      <c r="AD14" s="207"/>
      <c r="AE14" s="212"/>
      <c r="AF14" s="120"/>
      <c r="AG14" s="10"/>
      <c r="AH14" s="10"/>
      <c r="AI14" s="217"/>
      <c r="AJ14" s="217"/>
      <c r="AK14" s="217"/>
      <c r="AL14" s="217"/>
      <c r="AM14" s="217"/>
    </row>
    <row r="15" spans="2:39" x14ac:dyDescent="0.25">
      <c r="B15" s="169">
        <f>B16-50</f>
        <v>4088.1759104827288</v>
      </c>
      <c r="C15" s="170">
        <f t="shared" si="7"/>
        <v>1.4147496503287189</v>
      </c>
      <c r="D15" s="122">
        <v>120.569011576135</v>
      </c>
      <c r="E15">
        <f xml:space="preserve"> 0.0000554429*B15 + 0.4645469286</f>
        <v>0.69120725678730288</v>
      </c>
      <c r="F15">
        <f t="shared" si="3"/>
        <v>2.2058135148739239E-2</v>
      </c>
      <c r="G15" s="122">
        <f t="shared" si="4"/>
        <v>4.069809948191264E-3</v>
      </c>
      <c r="H15" s="184">
        <f t="shared" si="5"/>
        <v>2.1344879111967509E-2</v>
      </c>
      <c r="I15" s="184">
        <f t="shared" si="6"/>
        <v>4.6441538266936725E-3</v>
      </c>
      <c r="J15" s="155"/>
      <c r="K15" s="102"/>
      <c r="L15" s="133"/>
      <c r="M15" s="252"/>
      <c r="N15" s="205"/>
      <c r="O15" s="206"/>
      <c r="P15" s="206"/>
      <c r="Q15" s="160"/>
      <c r="R15" s="163"/>
      <c r="S15" s="158"/>
      <c r="T15" s="162"/>
      <c r="U15" s="166"/>
      <c r="V15" s="384"/>
      <c r="W15" s="188"/>
      <c r="X15" s="188"/>
      <c r="Y15" s="253"/>
      <c r="Z15" s="134"/>
      <c r="AA15" s="134"/>
      <c r="AB15" s="142"/>
      <c r="AC15" s="143"/>
      <c r="AD15" s="207"/>
      <c r="AE15" s="212"/>
      <c r="AF15" s="120"/>
      <c r="AG15" s="10"/>
      <c r="AH15" s="10"/>
      <c r="AI15" s="217"/>
      <c r="AJ15" s="217"/>
      <c r="AK15" s="217"/>
      <c r="AL15" s="217"/>
      <c r="AM15" s="217"/>
    </row>
    <row r="16" spans="2:39" x14ac:dyDescent="0.25">
      <c r="B16" s="168">
        <f t="shared" ref="B16" si="13">V14</f>
        <v>4138.1759104827288</v>
      </c>
      <c r="C16" s="170">
        <f t="shared" si="7"/>
        <v>1.4139851503287191</v>
      </c>
      <c r="D16" s="122">
        <v>120.569011576135</v>
      </c>
      <c r="E16">
        <f t="shared" ref="E16" si="14" xml:space="preserve"> 0.0000554429*B16 + 0.4645469286</f>
        <v>0.69397940178730289</v>
      </c>
      <c r="F16">
        <f t="shared" si="3"/>
        <v>2.2176135148739239E-2</v>
      </c>
      <c r="G16" s="122">
        <f t="shared" si="4"/>
        <v>4.0194367576812193E-3</v>
      </c>
      <c r="H16" s="184">
        <f t="shared" si="5"/>
        <v>2.1461331815609441E-2</v>
      </c>
      <c r="I16" s="184">
        <f t="shared" si="6"/>
        <v>4.5925601399166398E-3</v>
      </c>
      <c r="J16" s="155"/>
      <c r="K16" s="102"/>
      <c r="L16" s="133">
        <f>Data!D$21*K$6</f>
        <v>0.16254773181931484</v>
      </c>
      <c r="M16" s="252">
        <f>Data!D$21-L$6</f>
        <v>1.1354522681806851</v>
      </c>
      <c r="N16" s="205">
        <f>N14</f>
        <v>72.494390026714143</v>
      </c>
      <c r="O16" s="206">
        <f>O14</f>
        <v>2.4363312555654497</v>
      </c>
      <c r="P16" s="206">
        <f t="shared" ref="P16" si="15">N16+O16</f>
        <v>74.930721282279592</v>
      </c>
      <c r="Q16" s="160">
        <f t="shared" ref="Q16" si="16">C16</f>
        <v>1.4139851503287191</v>
      </c>
      <c r="R16" s="163">
        <f>(C16-C15)/(B16-B15)</f>
        <v>-1.5289999999996694E-5</v>
      </c>
      <c r="S16" s="158">
        <f t="shared" ref="S16" si="17">I16</f>
        <v>4.5925601399166398E-3</v>
      </c>
      <c r="T16" s="162">
        <f>(I16-I15)/(B16-B15)</f>
        <v>-1.0318737355406553E-6</v>
      </c>
      <c r="U16" s="166">
        <f>M16*C$6*J$6</f>
        <v>2.6318234745730088E-5</v>
      </c>
      <c r="V16" s="384">
        <f>B16-((B16-B$6+(L16*Q16/U16)-(P16-'Huff&amp;Puff_3rd Cycle'!AL$38)*S16/U16))/(1+(L16*R16/U16)-(P16-'Huff&amp;Puff_3rd Cycle'!AL$38)*T16/U16)</f>
        <v>4138.175933728593</v>
      </c>
      <c r="W16" s="188"/>
      <c r="X16" s="188"/>
      <c r="Y16" s="253"/>
      <c r="Z16" s="134"/>
      <c r="AA16" s="134"/>
      <c r="AB16" s="142"/>
      <c r="AC16" s="143"/>
      <c r="AD16" s="207"/>
      <c r="AE16" s="212"/>
      <c r="AF16" s="120"/>
      <c r="AG16" s="10"/>
      <c r="AH16" s="19"/>
      <c r="AI16" s="217"/>
      <c r="AJ16" s="217"/>
      <c r="AK16" s="217"/>
      <c r="AL16" s="217"/>
      <c r="AM16" s="217"/>
    </row>
    <row r="17" spans="2:39" x14ac:dyDescent="0.25">
      <c r="B17" s="169">
        <f>B18-50</f>
        <v>4088.175933728593</v>
      </c>
      <c r="C17" s="170">
        <f t="shared" si="7"/>
        <v>1.4147496499732897</v>
      </c>
      <c r="D17" s="122">
        <v>120.569011576135</v>
      </c>
      <c r="E17">
        <f xml:space="preserve"> 0.0000554429*B17 + 0.4645469286</f>
        <v>0.69120725807612104</v>
      </c>
      <c r="F17">
        <f t="shared" si="3"/>
        <v>2.2058135203599477E-2</v>
      </c>
      <c r="G17" s="122">
        <f t="shared" si="4"/>
        <v>4.0698099244819352E-3</v>
      </c>
      <c r="H17" s="184">
        <f t="shared" si="5"/>
        <v>2.1344879166061891E-2</v>
      </c>
      <c r="I17" s="184">
        <f t="shared" si="6"/>
        <v>4.6441538024254323E-3</v>
      </c>
      <c r="J17" s="155"/>
      <c r="K17" s="102"/>
      <c r="L17" s="133"/>
      <c r="M17" s="252"/>
      <c r="N17" s="205"/>
      <c r="O17" s="206"/>
      <c r="P17" s="206"/>
      <c r="Q17" s="160"/>
      <c r="R17" s="163"/>
      <c r="S17" s="158"/>
      <c r="T17" s="162"/>
      <c r="U17" s="166"/>
      <c r="V17" s="384"/>
      <c r="W17" s="188"/>
      <c r="X17" s="188"/>
      <c r="Y17" s="253"/>
      <c r="Z17" s="134"/>
      <c r="AA17" s="134"/>
      <c r="AB17" s="142"/>
      <c r="AC17" s="143"/>
      <c r="AD17" s="207"/>
      <c r="AE17" s="212"/>
      <c r="AF17" s="120"/>
      <c r="AG17" s="10"/>
      <c r="AH17" s="10"/>
      <c r="AI17" s="217"/>
      <c r="AJ17" s="217"/>
      <c r="AK17" s="217"/>
      <c r="AL17" s="217"/>
      <c r="AM17" s="217"/>
    </row>
    <row r="18" spans="2:39" x14ac:dyDescent="0.25">
      <c r="B18" s="168">
        <f t="shared" ref="B18" si="18">V16</f>
        <v>4138.175933728593</v>
      </c>
      <c r="C18" s="170">
        <f t="shared" si="7"/>
        <v>1.4139851499732898</v>
      </c>
      <c r="D18" s="122">
        <v>120.569011576135</v>
      </c>
      <c r="E18">
        <f t="shared" ref="E18" si="19" xml:space="preserve"> 0.0000554429*B18 + 0.4645469286</f>
        <v>0.69397940307612105</v>
      </c>
      <c r="F18">
        <f t="shared" si="3"/>
        <v>2.2176135203599477E-2</v>
      </c>
      <c r="G18" s="122">
        <f t="shared" si="4"/>
        <v>4.0194367345482759E-3</v>
      </c>
      <c r="H18" s="184">
        <f t="shared" si="5"/>
        <v>2.1461331869796804E-2</v>
      </c>
      <c r="I18" s="184">
        <f t="shared" si="6"/>
        <v>4.592560116207978E-3</v>
      </c>
      <c r="J18" s="155"/>
      <c r="K18" s="102"/>
      <c r="L18" s="133">
        <f>Data!D$21*K$6</f>
        <v>0.16254773181931484</v>
      </c>
      <c r="M18" s="252">
        <f>Data!D$21-L$6</f>
        <v>1.1354522681806851</v>
      </c>
      <c r="N18" s="205">
        <f>N16</f>
        <v>72.494390026714143</v>
      </c>
      <c r="O18" s="206">
        <f>O16</f>
        <v>2.4363312555654497</v>
      </c>
      <c r="P18" s="206">
        <f t="shared" ref="P18" si="20">N18+O18</f>
        <v>74.930721282279592</v>
      </c>
      <c r="Q18" s="160">
        <f t="shared" ref="Q18" si="21">C18</f>
        <v>1.4139851499732898</v>
      </c>
      <c r="R18" s="163">
        <f>(C18-C17)/(B18-B17)</f>
        <v>-1.5289999999996694E-5</v>
      </c>
      <c r="S18" s="158">
        <f t="shared" ref="S18" si="22">I18</f>
        <v>4.592560116207978E-3</v>
      </c>
      <c r="T18" s="162">
        <f>(I18-I17)/(B18-B17)</f>
        <v>-1.0318737243490868E-6</v>
      </c>
      <c r="U18" s="166">
        <f>M18*C$6*J$6</f>
        <v>2.6318234745730088E-5</v>
      </c>
      <c r="V18" s="384">
        <f>B18-((B18-B$6+(L18*Q18/U18)-(P18-'Huff&amp;Puff_3rd Cycle'!AL$38)*S18/U18))/(1+(L18*R18/U18)-(P18-'Huff&amp;Puff_3rd Cycle'!AL$38)*T18/U18)</f>
        <v>4138.1759339176751</v>
      </c>
      <c r="W18" s="188"/>
      <c r="X18" s="188"/>
      <c r="Y18" s="253"/>
      <c r="Z18" s="134"/>
      <c r="AA18" s="134"/>
      <c r="AB18" s="142"/>
      <c r="AC18" s="143"/>
      <c r="AD18" s="207"/>
      <c r="AE18" s="212"/>
      <c r="AF18" s="120"/>
      <c r="AG18" s="10"/>
      <c r="AH18" s="10"/>
      <c r="AI18" s="217"/>
      <c r="AJ18" s="217"/>
      <c r="AK18" s="217"/>
      <c r="AL18" s="217"/>
      <c r="AM18" s="217"/>
    </row>
    <row r="19" spans="2:39" x14ac:dyDescent="0.25">
      <c r="B19" s="169">
        <f>B20-50</f>
        <v>4088.1759339176751</v>
      </c>
      <c r="C19" s="170">
        <f t="shared" si="7"/>
        <v>1.4147496499703986</v>
      </c>
      <c r="D19" s="122">
        <v>120.569011576135</v>
      </c>
      <c r="E19">
        <f xml:space="preserve"> 0.0000554429*B19 + 0.4645469286</f>
        <v>0.69120725808660421</v>
      </c>
      <c r="F19">
        <f t="shared" si="3"/>
        <v>2.2058135204045714E-2</v>
      </c>
      <c r="G19" s="122">
        <f t="shared" si="4"/>
        <v>4.0698099242890825E-3</v>
      </c>
      <c r="H19" s="184">
        <f t="shared" si="5"/>
        <v>2.13448791665019E-2</v>
      </c>
      <c r="I19" s="184">
        <f t="shared" si="6"/>
        <v>4.6441538022280338E-3</v>
      </c>
      <c r="J19" s="155"/>
      <c r="K19" s="102"/>
      <c r="L19" s="133"/>
      <c r="M19" s="252"/>
      <c r="N19" s="205"/>
      <c r="O19" s="206"/>
      <c r="P19" s="206"/>
      <c r="Q19" s="160"/>
      <c r="R19" s="163"/>
      <c r="S19" s="158"/>
      <c r="T19" s="162"/>
      <c r="U19" s="166"/>
      <c r="V19" s="384"/>
      <c r="W19" s="188"/>
      <c r="X19" s="188"/>
      <c r="Y19" s="253"/>
      <c r="Z19" s="134"/>
      <c r="AA19" s="134"/>
      <c r="AB19" s="142"/>
      <c r="AC19" s="143"/>
      <c r="AD19" s="207"/>
      <c r="AE19" s="212"/>
      <c r="AF19" s="120"/>
      <c r="AG19" s="10"/>
      <c r="AH19" s="10"/>
      <c r="AI19" s="217"/>
      <c r="AJ19" s="217"/>
      <c r="AK19" s="217"/>
      <c r="AL19" s="217"/>
      <c r="AM19" s="217"/>
    </row>
    <row r="20" spans="2:39" x14ac:dyDescent="0.25">
      <c r="B20" s="168">
        <f>V18</f>
        <v>4138.1759339176751</v>
      </c>
      <c r="C20" s="170">
        <f t="shared" si="7"/>
        <v>1.4139851499703986</v>
      </c>
      <c r="D20" s="122">
        <v>120.569011576135</v>
      </c>
      <c r="E20">
        <f t="shared" ref="E20" si="23" xml:space="preserve"> 0.0000554429*B20 + 0.4645469286</f>
        <v>0.69397940308660422</v>
      </c>
      <c r="F20">
        <f t="shared" si="3"/>
        <v>2.2176135204045714E-2</v>
      </c>
      <c r="G20" s="122">
        <f t="shared" si="4"/>
        <v>4.0194367343601173E-3</v>
      </c>
      <c r="H20" s="184">
        <f t="shared" si="5"/>
        <v>2.146133187023757E-2</v>
      </c>
      <c r="I20" s="295">
        <f t="shared" si="6"/>
        <v>4.5925601160151349E-3</v>
      </c>
      <c r="J20" s="155"/>
      <c r="K20" s="102">
        <f>K6</f>
        <v>0.12522937736464934</v>
      </c>
      <c r="L20" s="133">
        <f>Data!D$21*K$6</f>
        <v>0.16254773181931484</v>
      </c>
      <c r="M20" s="252">
        <f>Data!D$21-L$6</f>
        <v>1.1354522681806851</v>
      </c>
      <c r="N20" s="205">
        <f>N18</f>
        <v>72.494390026714143</v>
      </c>
      <c r="O20" s="206">
        <f>O18</f>
        <v>2.4363312555654497</v>
      </c>
      <c r="P20" s="319">
        <f t="shared" ref="P20" si="24">N20+O20</f>
        <v>74.930721282279592</v>
      </c>
      <c r="Q20" s="160">
        <f t="shared" ref="Q20" si="25">C20</f>
        <v>1.4139851499703986</v>
      </c>
      <c r="R20" s="163">
        <f>(C20-C19)/(B20-B19)</f>
        <v>-1.5290000000001136E-5</v>
      </c>
      <c r="S20" s="158">
        <f t="shared" ref="S20" si="26">I20</f>
        <v>4.5925601160151349E-3</v>
      </c>
      <c r="T20" s="162">
        <f>(I20-I19)/(B20-B19)</f>
        <v>-1.0318737242579791E-6</v>
      </c>
      <c r="U20" s="166">
        <f>M20*C$6*J$6</f>
        <v>2.6318234745730088E-5</v>
      </c>
      <c r="V20" s="384">
        <f>B20-((B20-B$6+(L20*Q20/U20)-(P20-'Huff&amp;Puff_3rd Cycle'!AL$38)*S20/U20))/(1+(L20*R20/U20)-(P20-'Huff&amp;Puff_3rd Cycle'!AL$38)*T20/U20)</f>
        <v>4138.1759339192158</v>
      </c>
      <c r="W20" s="342">
        <f>Data!D$42/(141.2*C20*E20*LN(Data!D$47))</f>
        <v>0.11278695778483505</v>
      </c>
      <c r="X20" s="198">
        <f>W20*(B20-Data!D$43)</f>
        <v>241.1583587953231</v>
      </c>
      <c r="Y20" s="253"/>
      <c r="Z20" s="134"/>
      <c r="AA20" s="134"/>
      <c r="AB20" s="143">
        <f>Data!N$8/12</f>
        <v>0.24</v>
      </c>
      <c r="AC20" s="248">
        <f>AB20+AC6</f>
        <v>4.918116385945666</v>
      </c>
      <c r="AD20" s="365">
        <f>1000000*(P20-0)*I20/Data!D$48</f>
        <v>0.10318365693306719</v>
      </c>
      <c r="AE20" s="367">
        <f>1-AD20-Data!D$13</f>
        <v>0.40081634306693281</v>
      </c>
      <c r="AF20" s="171">
        <f>(AD20-Data!D$27)/(1-Data!D$27-Data!D$19-Data!D$13)</f>
        <v>0.3394199241219315</v>
      </c>
      <c r="AG20" s="363">
        <f>Data!D$29*AF20</f>
        <v>0.3394199241219315</v>
      </c>
      <c r="AH20" s="363">
        <f>Data!D$28*(1-AF20)</f>
        <v>0.66058007587806844</v>
      </c>
      <c r="AI20" s="364">
        <f>5.615*(D20+(E20*C20*AG20)/(5.615*H20*I20*AH20))</f>
        <v>5792.53836618073</v>
      </c>
      <c r="AJ20" s="365">
        <f>X20*AI20/1000000</f>
        <v>1.396919045647087</v>
      </c>
      <c r="AK20" s="193">
        <f>AK6</f>
        <v>32.582578138999253</v>
      </c>
      <c r="AL20" s="193">
        <f>AL6</f>
        <v>14.616469708773487</v>
      </c>
      <c r="AM20" s="193">
        <f>AM6</f>
        <v>440.88271045345772</v>
      </c>
    </row>
    <row r="21" spans="2:39" x14ac:dyDescent="0.25">
      <c r="N21" s="191"/>
      <c r="O21" s="191"/>
      <c r="P21" s="191"/>
      <c r="AD21" s="191"/>
      <c r="AE21" s="214"/>
      <c r="AF21" s="120"/>
      <c r="AG21" s="10"/>
      <c r="AH21" s="10"/>
      <c r="AI21" s="217"/>
      <c r="AJ21" s="217"/>
      <c r="AK21" s="219"/>
      <c r="AL21" s="219"/>
      <c r="AM21" s="219"/>
    </row>
    <row r="22" spans="2:39" ht="15.75" x14ac:dyDescent="0.25">
      <c r="B22" s="74" t="s">
        <v>337</v>
      </c>
      <c r="N22" s="191"/>
      <c r="O22" s="191"/>
      <c r="P22" s="191"/>
      <c r="AD22" s="191"/>
      <c r="AE22" s="214"/>
      <c r="AF22" s="120"/>
      <c r="AG22" s="10"/>
      <c r="AH22" s="10"/>
      <c r="AI22" s="217"/>
      <c r="AJ22" s="217"/>
      <c r="AK22" s="217"/>
      <c r="AL22" s="217"/>
      <c r="AM22" s="217"/>
    </row>
    <row r="23" spans="2:39" x14ac:dyDescent="0.25">
      <c r="N23" s="191"/>
      <c r="O23" s="191"/>
      <c r="P23" s="191"/>
      <c r="AD23" s="191"/>
      <c r="AE23" s="214"/>
      <c r="AF23" s="120"/>
      <c r="AG23" s="10"/>
      <c r="AH23" s="10"/>
      <c r="AI23" s="217"/>
      <c r="AJ23" s="217"/>
      <c r="AK23" s="217"/>
      <c r="AL23" s="217"/>
      <c r="AM23" s="217"/>
    </row>
    <row r="24" spans="2:39" ht="18.75" x14ac:dyDescent="0.3">
      <c r="B24" s="5" t="s">
        <v>239</v>
      </c>
      <c r="C24" s="185" t="s">
        <v>1</v>
      </c>
      <c r="D24" s="7" t="s">
        <v>2</v>
      </c>
      <c r="E24" s="7" t="s">
        <v>3</v>
      </c>
      <c r="F24" s="7" t="s">
        <v>202</v>
      </c>
      <c r="G24" s="7" t="s">
        <v>203</v>
      </c>
      <c r="H24" s="63" t="s">
        <v>179</v>
      </c>
      <c r="I24" s="63" t="s">
        <v>180</v>
      </c>
      <c r="J24" s="99" t="s">
        <v>32</v>
      </c>
      <c r="K24" s="24" t="s">
        <v>261</v>
      </c>
      <c r="L24" s="24" t="s">
        <v>260</v>
      </c>
      <c r="M24" s="24" t="s">
        <v>162</v>
      </c>
      <c r="N24" s="21" t="s">
        <v>163</v>
      </c>
      <c r="O24" s="21" t="s">
        <v>269</v>
      </c>
      <c r="P24" s="21" t="s">
        <v>270</v>
      </c>
      <c r="Q24" s="24" t="s">
        <v>164</v>
      </c>
      <c r="R24" s="24" t="s">
        <v>165</v>
      </c>
      <c r="S24" s="21" t="s">
        <v>166</v>
      </c>
      <c r="T24" s="21" t="s">
        <v>167</v>
      </c>
      <c r="U24" s="99" t="s">
        <v>238</v>
      </c>
      <c r="V24" s="167" t="s">
        <v>171</v>
      </c>
      <c r="W24" s="185" t="s">
        <v>240</v>
      </c>
      <c r="X24" s="185" t="s">
        <v>241</v>
      </c>
      <c r="Y24" s="5" t="s">
        <v>242</v>
      </c>
      <c r="Z24" s="5" t="s">
        <v>243</v>
      </c>
      <c r="AA24" s="5" t="s">
        <v>244</v>
      </c>
      <c r="AB24" s="5" t="s">
        <v>247</v>
      </c>
      <c r="AC24" s="5" t="s">
        <v>249</v>
      </c>
      <c r="AD24" s="21" t="s">
        <v>295</v>
      </c>
      <c r="AE24" s="185" t="s">
        <v>297</v>
      </c>
      <c r="AF24" s="99" t="s">
        <v>278</v>
      </c>
      <c r="AG24" s="99" t="s">
        <v>279</v>
      </c>
      <c r="AH24" s="99" t="s">
        <v>280</v>
      </c>
      <c r="AI24" s="21" t="s">
        <v>285</v>
      </c>
      <c r="AJ24" s="21" t="s">
        <v>289</v>
      </c>
      <c r="AK24" s="21" t="s">
        <v>294</v>
      </c>
      <c r="AL24" s="21" t="s">
        <v>290</v>
      </c>
      <c r="AM24" s="21" t="s">
        <v>300</v>
      </c>
    </row>
    <row r="25" spans="2:39" x14ac:dyDescent="0.25">
      <c r="B25" s="1" t="s">
        <v>36</v>
      </c>
      <c r="C25" s="186" t="s">
        <v>207</v>
      </c>
      <c r="D25" s="7" t="s">
        <v>301</v>
      </c>
      <c r="E25" s="7" t="s">
        <v>206</v>
      </c>
      <c r="F25" s="7" t="s">
        <v>206</v>
      </c>
      <c r="G25" s="7" t="s">
        <v>39</v>
      </c>
      <c r="H25" s="2" t="s">
        <v>206</v>
      </c>
      <c r="I25" s="2" t="s">
        <v>39</v>
      </c>
      <c r="J25" s="7"/>
      <c r="K25" s="7"/>
      <c r="L25" s="7" t="s">
        <v>161</v>
      </c>
      <c r="M25" s="7" t="s">
        <v>161</v>
      </c>
      <c r="N25" s="161" t="s">
        <v>161</v>
      </c>
      <c r="O25" s="161" t="s">
        <v>161</v>
      </c>
      <c r="P25" s="161" t="s">
        <v>161</v>
      </c>
      <c r="Q25" s="20" t="s">
        <v>168</v>
      </c>
      <c r="R25" s="20" t="s">
        <v>205</v>
      </c>
      <c r="S25" s="161" t="s">
        <v>169</v>
      </c>
      <c r="T25" s="2" t="s">
        <v>204</v>
      </c>
      <c r="U25" s="164" t="s">
        <v>170</v>
      </c>
      <c r="V25" s="164" t="s">
        <v>172</v>
      </c>
      <c r="W25" s="186" t="s">
        <v>246</v>
      </c>
      <c r="X25" s="186" t="s">
        <v>150</v>
      </c>
      <c r="Y25" s="7"/>
      <c r="Z25" s="7" t="s">
        <v>161</v>
      </c>
      <c r="AA25" s="7" t="s">
        <v>245</v>
      </c>
      <c r="AB25" s="7" t="s">
        <v>266</v>
      </c>
      <c r="AD25" s="191"/>
      <c r="AE25" s="214"/>
      <c r="AF25" s="120"/>
      <c r="AG25" s="10"/>
      <c r="AH25" s="10"/>
      <c r="AI25" s="191" t="s">
        <v>283</v>
      </c>
      <c r="AJ25" s="161" t="s">
        <v>288</v>
      </c>
      <c r="AK25" s="161" t="s">
        <v>288</v>
      </c>
      <c r="AL25" s="21" t="s">
        <v>336</v>
      </c>
      <c r="AM25" s="161" t="s">
        <v>288</v>
      </c>
    </row>
    <row r="26" spans="2:39" x14ac:dyDescent="0.25">
      <c r="C26" s="186"/>
      <c r="D26" s="7"/>
      <c r="E26" s="7"/>
      <c r="F26" s="7"/>
      <c r="G26" s="7"/>
      <c r="H26" s="2"/>
      <c r="I26" s="2"/>
      <c r="J26" s="7"/>
      <c r="K26" s="7"/>
      <c r="L26" s="7"/>
      <c r="M26" s="7"/>
      <c r="N26" s="161"/>
      <c r="O26" s="161"/>
      <c r="P26" s="161"/>
      <c r="Q26" s="20"/>
      <c r="R26" s="20"/>
      <c r="S26" s="161"/>
      <c r="T26" s="2"/>
      <c r="U26" s="164"/>
      <c r="V26" s="164"/>
      <c r="W26" s="186"/>
      <c r="X26" s="186"/>
      <c r="Y26" s="312" t="s">
        <v>318</v>
      </c>
      <c r="Z26" s="312" t="s">
        <v>319</v>
      </c>
      <c r="AA26" s="312" t="s">
        <v>327</v>
      </c>
      <c r="AB26" s="312" t="s">
        <v>328</v>
      </c>
      <c r="AC26" s="312" t="s">
        <v>329</v>
      </c>
      <c r="AD26" s="312" t="s">
        <v>330</v>
      </c>
      <c r="AE26" s="312" t="s">
        <v>331</v>
      </c>
      <c r="AF26" s="312" t="s">
        <v>332</v>
      </c>
      <c r="AG26" s="312" t="s">
        <v>333</v>
      </c>
      <c r="AH26" s="312" t="s">
        <v>334</v>
      </c>
      <c r="AI26" s="312" t="s">
        <v>326</v>
      </c>
      <c r="AJ26" s="312" t="s">
        <v>320</v>
      </c>
      <c r="AK26" s="312" t="s">
        <v>321</v>
      </c>
      <c r="AL26" s="312" t="s">
        <v>322</v>
      </c>
      <c r="AM26" s="312" t="s">
        <v>323</v>
      </c>
    </row>
    <row r="27" spans="2:39" x14ac:dyDescent="0.25">
      <c r="K27" s="7" t="s">
        <v>258</v>
      </c>
      <c r="L27" s="7" t="s">
        <v>259</v>
      </c>
      <c r="M27" s="47" t="s">
        <v>271</v>
      </c>
      <c r="O27" s="7" t="s">
        <v>264</v>
      </c>
      <c r="P27" s="7" t="s">
        <v>265</v>
      </c>
      <c r="V27" s="7" t="s">
        <v>251</v>
      </c>
      <c r="W27" s="7" t="s">
        <v>267</v>
      </c>
      <c r="X27" s="7" t="s">
        <v>268</v>
      </c>
      <c r="Y27" s="7" t="s">
        <v>250</v>
      </c>
      <c r="Z27" s="7" t="s">
        <v>254</v>
      </c>
      <c r="AA27" s="7" t="s">
        <v>255</v>
      </c>
      <c r="AB27" s="7" t="s">
        <v>256</v>
      </c>
      <c r="AC27" s="7" t="s">
        <v>257</v>
      </c>
      <c r="AD27" s="7" t="s">
        <v>273</v>
      </c>
      <c r="AE27" s="7" t="s">
        <v>273</v>
      </c>
      <c r="AF27" s="7" t="s">
        <v>277</v>
      </c>
      <c r="AG27" s="7" t="s">
        <v>277</v>
      </c>
      <c r="AH27" s="7" t="s">
        <v>277</v>
      </c>
      <c r="AI27" s="7" t="s">
        <v>284</v>
      </c>
      <c r="AJ27" s="7" t="s">
        <v>287</v>
      </c>
      <c r="AK27" s="7" t="s">
        <v>292</v>
      </c>
      <c r="AL27" s="7" t="s">
        <v>292</v>
      </c>
      <c r="AM27" s="7" t="s">
        <v>299</v>
      </c>
    </row>
    <row r="28" spans="2:39" x14ac:dyDescent="0.25">
      <c r="B28" s="1">
        <v>4500</v>
      </c>
      <c r="C28" s="170">
        <f xml:space="preserve"> -0.00001529*B28 + 1.47725786</f>
        <v>1.4084528599999999</v>
      </c>
      <c r="D28" s="122">
        <v>119.56901157613535</v>
      </c>
      <c r="E28">
        <f xml:space="preserve"> 0.0000554429*B28 + 0.4645469286</f>
        <v>0.71403997860000001</v>
      </c>
      <c r="F28">
        <f>0.00000236*B28 + 0.01241004</f>
        <v>2.3030040000000002E-2</v>
      </c>
      <c r="G28" s="122">
        <f>20.40472*B28^(-1.02454)</f>
        <v>3.6886571506179284E-3</v>
      </c>
      <c r="H28" s="184">
        <f xml:space="preserve"> 0.00000000004*B28^2 + 0.000002*B28 + 0.0125</f>
        <v>2.231E-2</v>
      </c>
      <c r="I28" s="184">
        <f>9.6806*B28^(-0.919)</f>
        <v>4.2520657888098475E-3</v>
      </c>
      <c r="J28" s="155">
        <f>Data!D$14</f>
        <v>1.49E-5</v>
      </c>
      <c r="K28" s="385">
        <f>L28/Data!D$21</f>
        <v>0.12049480847197411</v>
      </c>
      <c r="L28" s="201">
        <f>L$20+Z28</f>
        <v>0.15640226139662239</v>
      </c>
      <c r="M28" s="201">
        <f>Data!D$21-L28</f>
        <v>1.1415977386033775</v>
      </c>
      <c r="N28" s="205">
        <v>0</v>
      </c>
      <c r="O28" s="206">
        <f>30.4*Data!N$5*Data!O$5/5.615</f>
        <v>47.102404274265361</v>
      </c>
      <c r="P28" s="206">
        <f>N28+O28</f>
        <v>47.102404274265361</v>
      </c>
      <c r="Q28" s="160"/>
      <c r="R28" s="163"/>
      <c r="S28" s="158"/>
      <c r="T28" s="162"/>
      <c r="U28" s="166"/>
      <c r="V28" s="199">
        <f>V20</f>
        <v>4138.1759339192158</v>
      </c>
      <c r="W28" s="342">
        <f>Data!D$42/(141.2*C28*E28*LN(Data!D$47))</f>
        <v>0.11004883963568925</v>
      </c>
      <c r="X28" s="198">
        <f>W28*(B28-Data!D$43)</f>
        <v>275.12209908922313</v>
      </c>
      <c r="Y28" s="105">
        <f>C$20*J28*(B$20-B28)/C28</f>
        <v>-5.4123547020952494E-3</v>
      </c>
      <c r="Z28" s="105">
        <f>Y28*M$20</f>
        <v>-6.1454704226924471E-3</v>
      </c>
      <c r="AA28" s="201">
        <f>365*(X$20-X28)/(1000000*Z28)</f>
        <v>2.0172198960551264</v>
      </c>
      <c r="AB28" s="201">
        <f>LN(X$20/X28)/AA28</f>
        <v>-6.5318207467951833E-2</v>
      </c>
      <c r="AC28" s="202">
        <f>AC$20+AB28</f>
        <v>4.8527981784777143</v>
      </c>
      <c r="AD28" s="317">
        <f>1000000*(P28-AL$20)*I28/Data!D$48</f>
        <v>4.141822597259899E-2</v>
      </c>
      <c r="AE28" s="213">
        <f>1-AD28-Data!D$13</f>
        <v>0.46258177402740097</v>
      </c>
      <c r="AF28" s="215">
        <f>(AD28-Data!D$27)/(1-Data!D$27-Data!D$19-Data!D$13)</f>
        <v>0.13624416438354928</v>
      </c>
      <c r="AG28" s="33">
        <f>Data!D$29*AF28</f>
        <v>0.13624416438354928</v>
      </c>
      <c r="AH28" s="33">
        <f>Data!D$28*(1-AF28)</f>
        <v>0.86375583561645075</v>
      </c>
      <c r="AI28" s="246">
        <f>5.615*(D28+(E28*C28*AG28)/(5.615*H28*I28*AH28))</f>
        <v>2343.5953809521711</v>
      </c>
      <c r="AJ28" s="268">
        <f>X28*AI28/1000000</f>
        <v>0.64477488062336885</v>
      </c>
      <c r="AK28" s="313">
        <f>365*AJ28*AB28</f>
        <v>-15.372171889278595</v>
      </c>
      <c r="AL28" s="313">
        <f>AL$20+AK28/5.615</f>
        <v>11.878772132766613</v>
      </c>
      <c r="AM28" s="313">
        <f>AM$20+5.615*AL28</f>
        <v>507.58201597894225</v>
      </c>
    </row>
    <row r="29" spans="2:39" x14ac:dyDescent="0.25">
      <c r="B29" s="1">
        <f>B28-100</f>
        <v>4400</v>
      </c>
      <c r="C29" s="170">
        <f t="shared" ref="C29:C48" si="27" xml:space="preserve"> -0.00001529*B29 + 1.47725786</f>
        <v>1.4099818599999998</v>
      </c>
      <c r="D29" s="122">
        <v>119.56901157613535</v>
      </c>
      <c r="E29">
        <f t="shared" ref="E29:E48" si="28" xml:space="preserve"> 0.0000554429*B29 + 0.4645469286</f>
        <v>0.70849568860000001</v>
      </c>
      <c r="F29">
        <f t="shared" ref="F29:F48" si="29">0.00000236*B29 + 0.01241004</f>
        <v>2.2794040000000002E-2</v>
      </c>
      <c r="G29" s="122">
        <f t="shared" ref="G29:G48" si="30">20.40472*B29^(-1.02454)</f>
        <v>3.7745713090349938E-3</v>
      </c>
      <c r="H29" s="184">
        <f t="shared" ref="H29:H48" si="31" xml:space="preserve"> 0.00000000004*B29^2 + 0.000002*B29 + 0.0125</f>
        <v>2.2074400000000001E-2</v>
      </c>
      <c r="I29" s="184">
        <f t="shared" ref="I29:I48" si="32">9.6806*B29^(-0.919)</f>
        <v>4.3407948969773243E-3</v>
      </c>
      <c r="J29" s="155">
        <f>Data!D$14</f>
        <v>1.49E-5</v>
      </c>
      <c r="K29" s="385">
        <f>L29/Data!D$21</f>
        <v>0.12180705161969207</v>
      </c>
      <c r="L29" s="201">
        <f t="shared" ref="L29:L48" si="33">L$20+Z29</f>
        <v>0.15810555300236032</v>
      </c>
      <c r="M29" s="201">
        <f>Data!D$21-L29</f>
        <v>1.1398944469976398</v>
      </c>
      <c r="N29" s="205">
        <v>0</v>
      </c>
      <c r="O29" s="206">
        <f>30.4*Data!N$5*Data!O$5/5.615</f>
        <v>47.102404274265361</v>
      </c>
      <c r="P29" s="206">
        <f t="shared" ref="P29:P48" si="34">N29+O29</f>
        <v>47.102404274265361</v>
      </c>
      <c r="Q29" s="160"/>
      <c r="R29" s="163"/>
      <c r="S29" s="158"/>
      <c r="T29" s="162"/>
      <c r="U29" s="166"/>
      <c r="V29" s="199"/>
      <c r="W29" s="342">
        <f>Data!D$42/(141.2*C29*E29*LN(Data!D$47))</f>
        <v>0.11078974809090547</v>
      </c>
      <c r="X29" s="198">
        <f>W29*(B29-Data!D$43)</f>
        <v>265.89539541817311</v>
      </c>
      <c r="Y29" s="105">
        <f t="shared" ref="Y29:Y48" si="35">C$20*J29*(B$20-B29)/C29</f>
        <v>-3.9122550030853652E-3</v>
      </c>
      <c r="Z29" s="105">
        <f t="shared" ref="Z29:Z48" si="36">Y29*M$20</f>
        <v>-4.4421788169545116E-3</v>
      </c>
      <c r="AA29" s="201">
        <f t="shared" ref="AA29:AA48" si="37">365*(X$20-X29)/(1000000*Z29)</f>
        <v>2.0325652656932909</v>
      </c>
      <c r="AB29" s="201">
        <f>LN(X$20/X29)/AA29</f>
        <v>-4.804233086178885E-2</v>
      </c>
      <c r="AC29" s="202">
        <f t="shared" ref="AC29:AC48" si="38">AC$20+AB29</f>
        <v>4.8700740550838768</v>
      </c>
      <c r="AD29" s="317">
        <f>1000000*(P29-AL28)*I29/Data!D$48</f>
        <v>4.5845799993046617E-2</v>
      </c>
      <c r="AE29" s="213">
        <f>1-AD29-Data!D$13</f>
        <v>0.45815420000695339</v>
      </c>
      <c r="AF29" s="215">
        <f>(AD29-Data!D$27)/(1-Data!D$27-Data!D$19-Data!D$13)</f>
        <v>0.15080855260870596</v>
      </c>
      <c r="AG29" s="33">
        <f>Data!D$29*AF29</f>
        <v>0.15080855260870596</v>
      </c>
      <c r="AH29" s="33">
        <f>Data!D$28*(1-AF29)</f>
        <v>0.84919144739129404</v>
      </c>
      <c r="AI29" s="246">
        <f>5.615*(D29+(E29*C29*AG29)/(5.615*H29*I29*AH29))</f>
        <v>2522.8339882792798</v>
      </c>
      <c r="AJ29" s="268">
        <f t="shared" ref="AJ29:AJ48" si="39">X29*AI29/1000000</f>
        <v>0.67080994088792578</v>
      </c>
      <c r="AK29" s="313">
        <f>365*AJ29*AB29</f>
        <v>-11.762954690812885</v>
      </c>
      <c r="AL29" s="313">
        <f>AL$20+AK29/5.615</f>
        <v>12.52155346820129</v>
      </c>
      <c r="AM29" s="313">
        <f>AM$20+5.615*AL29</f>
        <v>511.19123317740798</v>
      </c>
    </row>
    <row r="30" spans="2:39" x14ac:dyDescent="0.25">
      <c r="B30" s="1">
        <f t="shared" ref="B30:B48" si="40">B29-100</f>
        <v>4300</v>
      </c>
      <c r="C30" s="170">
        <f t="shared" si="27"/>
        <v>1.4115108599999999</v>
      </c>
      <c r="D30" s="122">
        <v>119.56901157613535</v>
      </c>
      <c r="E30">
        <f t="shared" si="28"/>
        <v>0.7029513986</v>
      </c>
      <c r="F30">
        <f t="shared" si="29"/>
        <v>2.2558040000000001E-2</v>
      </c>
      <c r="G30" s="122">
        <f t="shared" si="30"/>
        <v>3.8645316471736368E-3</v>
      </c>
      <c r="H30" s="184">
        <f t="shared" si="31"/>
        <v>2.1839600000000001E-2</v>
      </c>
      <c r="I30" s="184">
        <f t="shared" si="32"/>
        <v>4.4334801146330219E-3</v>
      </c>
      <c r="J30" s="155">
        <f>Data!D$14</f>
        <v>1.49E-5</v>
      </c>
      <c r="K30" s="385">
        <f>L30/Data!D$21</f>
        <v>0.12311645182821673</v>
      </c>
      <c r="L30" s="201">
        <f t="shared" si="33"/>
        <v>0.15980515447302532</v>
      </c>
      <c r="M30" s="201">
        <f>Data!D$21-L30</f>
        <v>1.1381948455269748</v>
      </c>
      <c r="N30" s="205">
        <v>0</v>
      </c>
      <c r="O30" s="206">
        <f>30.4*Data!N$5*Data!O$5/5.615</f>
        <v>47.102404274265361</v>
      </c>
      <c r="P30" s="206">
        <f t="shared" si="34"/>
        <v>47.102404274265361</v>
      </c>
      <c r="Q30" s="160"/>
      <c r="R30" s="163"/>
      <c r="S30" s="158"/>
      <c r="T30" s="162"/>
      <c r="U30" s="166"/>
      <c r="V30" s="199"/>
      <c r="W30" s="342">
        <f>Data!D$42/(141.2*C30*E30*LN(Data!D$47))</f>
        <v>0.11154260649414262</v>
      </c>
      <c r="X30" s="198">
        <f>W30*(B30-Data!D$43)</f>
        <v>256.54799493652803</v>
      </c>
      <c r="Y30" s="105">
        <f t="shared" si="35"/>
        <v>-2.4154052293927893E-3</v>
      </c>
      <c r="Z30" s="105">
        <f t="shared" si="36"/>
        <v>-2.7425773462895309E-3</v>
      </c>
      <c r="AA30" s="201">
        <f t="shared" si="37"/>
        <v>2.0481526980959743</v>
      </c>
      <c r="AB30" s="201">
        <f t="shared" ref="AB30:AB48" si="41">LN(X$20/X30)/AA30</f>
        <v>-3.0203780112956977E-2</v>
      </c>
      <c r="AC30" s="202">
        <f t="shared" si="38"/>
        <v>4.8879126058327094</v>
      </c>
      <c r="AD30" s="317">
        <f>1000000*(P30-AL29)*I30/Data!D$48</f>
        <v>4.5970221009726447E-2</v>
      </c>
      <c r="AE30" s="213">
        <f>1-AD30-Data!D$13</f>
        <v>0.45802977899027353</v>
      </c>
      <c r="AF30" s="215">
        <f>(AD30-Data!D$27)/(1-Data!D$27-Data!D$19-Data!D$13)</f>
        <v>0.15121783226883698</v>
      </c>
      <c r="AG30" s="33">
        <f>Data!D$29*AF30</f>
        <v>0.15121783226883698</v>
      </c>
      <c r="AH30" s="33">
        <f>Data!D$28*(1-AF30)</f>
        <v>0.848782167731163</v>
      </c>
      <c r="AI30" s="246">
        <f t="shared" ref="AI30:AI48" si="42">5.615*(D30+(E30*C30*AG30)/(5.615*H30*I30*AH30))</f>
        <v>2497.0691720931754</v>
      </c>
      <c r="AJ30" s="268">
        <f t="shared" si="39"/>
        <v>0.64061808931832021</v>
      </c>
      <c r="AK30" s="313">
        <f t="shared" ref="AK30:AK48" si="43">365*AJ30*AB30</f>
        <v>-7.0624170857459099</v>
      </c>
      <c r="AL30" s="313">
        <f t="shared" ref="AL30:AL48" si="44">AL$20+AK30/5.615</f>
        <v>13.358692845773325</v>
      </c>
      <c r="AM30" s="313">
        <f t="shared" ref="AM30:AM48" si="45">AM$20+5.615*AL30</f>
        <v>515.89177078247496</v>
      </c>
    </row>
    <row r="31" spans="2:39" x14ac:dyDescent="0.25">
      <c r="B31" s="1">
        <f t="shared" si="40"/>
        <v>4200</v>
      </c>
      <c r="C31" s="170">
        <f t="shared" si="27"/>
        <v>1.41303986</v>
      </c>
      <c r="D31" s="122">
        <v>119.56901157613535</v>
      </c>
      <c r="E31">
        <f t="shared" si="28"/>
        <v>0.69740710859999999</v>
      </c>
      <c r="F31">
        <f t="shared" si="29"/>
        <v>2.2322040000000001E-2</v>
      </c>
      <c r="G31" s="122">
        <f t="shared" si="30"/>
        <v>3.95882962583082E-3</v>
      </c>
      <c r="H31" s="184">
        <f t="shared" si="31"/>
        <v>2.1605600000000003E-2</v>
      </c>
      <c r="I31" s="184">
        <f t="shared" si="32"/>
        <v>4.5303961304867619E-3</v>
      </c>
      <c r="J31" s="155">
        <f>Data!D$14</f>
        <v>1.49E-5</v>
      </c>
      <c r="K31" s="385">
        <f>L31/Data!D$21</f>
        <v>0.12442301832627713</v>
      </c>
      <c r="L31" s="201">
        <f t="shared" si="33"/>
        <v>0.16150107778750772</v>
      </c>
      <c r="M31" s="201">
        <f>Data!D$21-L31</f>
        <v>1.1364989222124924</v>
      </c>
      <c r="N31" s="205">
        <v>0</v>
      </c>
      <c r="O31" s="206">
        <f>30.4*Data!N$5*Data!O$5/5.615</f>
        <v>47.102404274265361</v>
      </c>
      <c r="P31" s="206">
        <f t="shared" si="34"/>
        <v>47.102404274265361</v>
      </c>
      <c r="Q31" s="160"/>
      <c r="R31" s="163"/>
      <c r="S31" s="158"/>
      <c r="T31" s="162"/>
      <c r="U31" s="166"/>
      <c r="V31" s="199"/>
      <c r="W31" s="342">
        <f>Data!D$42/(141.2*C31*E31*LN(Data!D$47))</f>
        <v>0.11230769898740299</v>
      </c>
      <c r="X31" s="198">
        <f>W31*(B31-Data!D$43)</f>
        <v>247.07693777228658</v>
      </c>
      <c r="Y31" s="105">
        <f t="shared" si="35"/>
        <v>-9.2179483113294445E-4</v>
      </c>
      <c r="Z31" s="105">
        <f t="shared" si="36"/>
        <v>-1.0466540318071335E-3</v>
      </c>
      <c r="AA31" s="201">
        <f t="shared" si="37"/>
        <v>2.0639879663595919</v>
      </c>
      <c r="AB31" s="201">
        <f t="shared" si="41"/>
        <v>-1.174714646542804E-2</v>
      </c>
      <c r="AC31" s="202">
        <f t="shared" si="38"/>
        <v>4.9063692394802381</v>
      </c>
      <c r="AD31" s="317">
        <f>1000000*(P31-AL30)*I31/Data!D$48</f>
        <v>4.5837949172636047E-2</v>
      </c>
      <c r="AE31" s="213">
        <f>1-AD31-Data!D$13</f>
        <v>0.45816205082736394</v>
      </c>
      <c r="AF31" s="215">
        <f>(AD31-Data!D$27)/(1-Data!D$27-Data!D$19-Data!D$13)</f>
        <v>0.15078272754156591</v>
      </c>
      <c r="AG31" s="33">
        <f>Data!D$29*AF31</f>
        <v>0.15078272754156591</v>
      </c>
      <c r="AH31" s="33">
        <f>Data!D$28*(1-AF31)</f>
        <v>0.84921727245843415</v>
      </c>
      <c r="AI31" s="246">
        <f t="shared" si="42"/>
        <v>2458.9828972014197</v>
      </c>
      <c r="AJ31" s="268">
        <f t="shared" si="39"/>
        <v>0.60755796427495223</v>
      </c>
      <c r="AK31" s="313">
        <f t="shared" si="43"/>
        <v>-2.6050314232899336</v>
      </c>
      <c r="AL31" s="313">
        <f t="shared" si="44"/>
        <v>14.152528226442243</v>
      </c>
      <c r="AM31" s="313">
        <f t="shared" si="45"/>
        <v>520.34915644493094</v>
      </c>
    </row>
    <row r="32" spans="2:39" x14ac:dyDescent="0.25">
      <c r="B32" s="1">
        <f t="shared" si="40"/>
        <v>4100</v>
      </c>
      <c r="C32" s="170">
        <f t="shared" si="27"/>
        <v>1.4145688599999999</v>
      </c>
      <c r="D32" s="122">
        <v>119.56901157613535</v>
      </c>
      <c r="E32">
        <f t="shared" si="28"/>
        <v>0.69186281859999998</v>
      </c>
      <c r="F32">
        <f t="shared" si="29"/>
        <v>2.2086040000000001E-2</v>
      </c>
      <c r="G32" s="122">
        <f t="shared" si="30"/>
        <v>4.0577853238507487E-3</v>
      </c>
      <c r="H32" s="184">
        <f t="shared" si="31"/>
        <v>2.13724E-2</v>
      </c>
      <c r="I32" s="184">
        <f t="shared" si="32"/>
        <v>4.6318438640526533E-3</v>
      </c>
      <c r="J32" s="155">
        <f>Data!D$14</f>
        <v>1.49E-5</v>
      </c>
      <c r="K32" s="385">
        <f>L32/Data!D$21</f>
        <v>0.12572676030270125</v>
      </c>
      <c r="L32" s="201">
        <f t="shared" si="33"/>
        <v>0.16319333487290621</v>
      </c>
      <c r="M32" s="201">
        <f>Data!D$21-L32</f>
        <v>1.1348066651270938</v>
      </c>
      <c r="N32" s="205">
        <v>0</v>
      </c>
      <c r="O32" s="206">
        <f>30.4*Data!N$5*Data!O$5/5.615</f>
        <v>47.102404274265361</v>
      </c>
      <c r="P32" s="206">
        <f t="shared" si="34"/>
        <v>47.102404274265361</v>
      </c>
      <c r="Q32" s="160"/>
      <c r="R32" s="163"/>
      <c r="S32" s="158"/>
      <c r="T32" s="162"/>
      <c r="U32" s="166"/>
      <c r="V32" s="199"/>
      <c r="W32" s="342">
        <f>Data!D$42/(141.2*C32*E32*LN(Data!D$47))</f>
        <v>0.11308531882439941</v>
      </c>
      <c r="X32" s="198">
        <f>W32*(B32-Data!D$43)</f>
        <v>237.47916953123877</v>
      </c>
      <c r="Y32" s="105">
        <f t="shared" si="35"/>
        <v>5.6858669596549307E-4</v>
      </c>
      <c r="Z32" s="105">
        <f t="shared" si="36"/>
        <v>6.456030535913807E-4</v>
      </c>
      <c r="AA32" s="201">
        <f t="shared" si="37"/>
        <v>2.0800770286330454</v>
      </c>
      <c r="AB32" s="201">
        <f t="shared" si="41"/>
        <v>7.3910223204974373E-3</v>
      </c>
      <c r="AC32" s="202">
        <f t="shared" si="38"/>
        <v>4.9255074082661636</v>
      </c>
      <c r="AD32" s="317">
        <f>1000000*(P32-AL31)*I32/Data!D$48</f>
        <v>4.5761879064113935E-2</v>
      </c>
      <c r="AE32" s="213">
        <f>1-AD32-Data!D$13</f>
        <v>0.45823812093588612</v>
      </c>
      <c r="AF32" s="215">
        <f>(AD32-Data!D$27)/(1-Data!D$27-Data!D$19-Data!D$13)</f>
        <v>0.15053249692142739</v>
      </c>
      <c r="AG32" s="33">
        <f>Data!D$29*AF32</f>
        <v>0.15053249692142739</v>
      </c>
      <c r="AH32" s="33">
        <f>Data!D$28*(1-AF32)</f>
        <v>0.84946750307857255</v>
      </c>
      <c r="AI32" s="246">
        <f t="shared" si="42"/>
        <v>2423.324630650362</v>
      </c>
      <c r="AJ32" s="268">
        <f t="shared" si="39"/>
        <v>0.57548912079144388</v>
      </c>
      <c r="AK32" s="313">
        <f t="shared" si="43"/>
        <v>1.5525103219951477</v>
      </c>
      <c r="AL32" s="313">
        <f t="shared" si="44"/>
        <v>14.892963087579389</v>
      </c>
      <c r="AM32" s="313">
        <f t="shared" si="45"/>
        <v>524.50669819021596</v>
      </c>
    </row>
    <row r="33" spans="2:39" x14ac:dyDescent="0.25">
      <c r="B33" s="1">
        <f t="shared" si="40"/>
        <v>4000</v>
      </c>
      <c r="C33" s="170">
        <f t="shared" si="27"/>
        <v>1.4160978599999998</v>
      </c>
      <c r="D33" s="122">
        <v>119.56901157613535</v>
      </c>
      <c r="E33">
        <f t="shared" si="28"/>
        <v>0.68631852859999998</v>
      </c>
      <c r="F33">
        <f t="shared" si="29"/>
        <v>2.1850040000000001E-2</v>
      </c>
      <c r="G33" s="122">
        <f t="shared" si="30"/>
        <v>4.1617510340148534E-3</v>
      </c>
      <c r="H33" s="184">
        <f t="shared" si="31"/>
        <v>2.1139999999999999E-2</v>
      </c>
      <c r="I33" s="184">
        <f t="shared" si="32"/>
        <v>4.7381536881952058E-3</v>
      </c>
      <c r="J33" s="155">
        <f>Data!D$14</f>
        <v>1.49E-5</v>
      </c>
      <c r="K33" s="385">
        <f>L33/Data!D$21</f>
        <v>0.12702768690663135</v>
      </c>
      <c r="L33" s="201">
        <f t="shared" si="33"/>
        <v>0.16488193760480749</v>
      </c>
      <c r="M33" s="201">
        <f>Data!D$21-L33</f>
        <v>1.1331180623951926</v>
      </c>
      <c r="N33" s="205">
        <v>0</v>
      </c>
      <c r="O33" s="206">
        <f>30.4*Data!N$5*Data!O$5/5.615</f>
        <v>47.102404274265361</v>
      </c>
      <c r="P33" s="206">
        <f t="shared" si="34"/>
        <v>47.102404274265361</v>
      </c>
      <c r="Q33" s="160"/>
      <c r="R33" s="163"/>
      <c r="S33" s="158"/>
      <c r="T33" s="162"/>
      <c r="U33" s="166"/>
      <c r="V33" s="199"/>
      <c r="W33" s="342">
        <f>Data!D$42/(141.2*C33*E33*LN(Data!D$47))</f>
        <v>0.11387576873857055</v>
      </c>
      <c r="X33" s="198">
        <f>W33*(B33-Data!D$43)</f>
        <v>227.75153747714111</v>
      </c>
      <c r="Y33" s="105">
        <f t="shared" si="35"/>
        <v>2.0557498108068383E-3</v>
      </c>
      <c r="Z33" s="105">
        <f t="shared" si="36"/>
        <v>2.334205785492639E-3</v>
      </c>
      <c r="AA33" s="201">
        <f t="shared" si="37"/>
        <v>2.0964260355920774</v>
      </c>
      <c r="AB33" s="201">
        <f t="shared" si="41"/>
        <v>2.7283825103776724E-2</v>
      </c>
      <c r="AC33" s="202">
        <f t="shared" si="38"/>
        <v>4.9454002110494431</v>
      </c>
      <c r="AD33" s="317">
        <f>1000000*(P33-AL32)*I33/Data!D$48</f>
        <v>4.5760260311357312E-2</v>
      </c>
      <c r="AE33" s="213">
        <f>1-AD33-Data!D$13</f>
        <v>0.45823973968864273</v>
      </c>
      <c r="AF33" s="215">
        <f>(AD33-Data!D$27)/(1-Data!D$27-Data!D$19-Data!D$13)</f>
        <v>0.15052717207683325</v>
      </c>
      <c r="AG33" s="33">
        <f>Data!D$29*AF33</f>
        <v>0.15052717207683325</v>
      </c>
      <c r="AH33" s="33">
        <f>Data!D$28*(1-AF33)</f>
        <v>0.8494728279231667</v>
      </c>
      <c r="AI33" s="246">
        <f t="shared" si="42"/>
        <v>2390.7536818061958</v>
      </c>
      <c r="AJ33" s="268">
        <f t="shared" si="39"/>
        <v>0.54449782676049696</v>
      </c>
      <c r="AK33" s="313">
        <f t="shared" si="43"/>
        <v>5.4224339682727694</v>
      </c>
      <c r="AL33" s="313">
        <f t="shared" si="44"/>
        <v>15.58217477881316</v>
      </c>
      <c r="AM33" s="313">
        <f t="shared" si="45"/>
        <v>528.37662183649365</v>
      </c>
    </row>
    <row r="34" spans="2:39" x14ac:dyDescent="0.25">
      <c r="B34" s="1">
        <f t="shared" si="40"/>
        <v>3900</v>
      </c>
      <c r="C34" s="170">
        <f t="shared" si="27"/>
        <v>1.4176268599999999</v>
      </c>
      <c r="D34" s="122">
        <v>119.56901157613535</v>
      </c>
      <c r="E34">
        <f t="shared" si="28"/>
        <v>0.68077423859999997</v>
      </c>
      <c r="F34">
        <f t="shared" si="29"/>
        <v>2.1614040000000001E-2</v>
      </c>
      <c r="G34" s="122">
        <f t="shared" si="30"/>
        <v>4.2711154145782622E-3</v>
      </c>
      <c r="H34" s="184">
        <f t="shared" si="31"/>
        <v>2.0908400000000001E-2</v>
      </c>
      <c r="I34" s="184">
        <f t="shared" si="32"/>
        <v>4.8496891402654329E-3</v>
      </c>
      <c r="J34" s="155">
        <f>Data!D$14</f>
        <v>1.49E-5</v>
      </c>
      <c r="K34" s="385">
        <f>L34/Data!D$21</f>
        <v>0.12832580724773793</v>
      </c>
      <c r="L34" s="201">
        <f t="shared" si="33"/>
        <v>0.16656689780756384</v>
      </c>
      <c r="M34" s="201">
        <f>Data!D$21-L34</f>
        <v>1.1314331021924362</v>
      </c>
      <c r="N34" s="205">
        <v>0</v>
      </c>
      <c r="O34" s="206">
        <f>30.4*Data!N$5*Data!O$5/5.615</f>
        <v>47.102404274265361</v>
      </c>
      <c r="P34" s="206">
        <f t="shared" si="34"/>
        <v>47.102404274265361</v>
      </c>
      <c r="Q34" s="160"/>
      <c r="R34" s="163"/>
      <c r="S34" s="158"/>
      <c r="T34" s="162"/>
      <c r="U34" s="166"/>
      <c r="V34" s="199"/>
      <c r="W34" s="342">
        <f>Data!D$42/(141.2*C34*E34*LN(Data!D$47))</f>
        <v>0.11467936132907959</v>
      </c>
      <c r="X34" s="198">
        <f>W34*(B34-Data!D$43)</f>
        <v>217.89078652525123</v>
      </c>
      <c r="Y34" s="105">
        <f t="shared" si="35"/>
        <v>3.5397049271730517E-3</v>
      </c>
      <c r="Z34" s="105">
        <f t="shared" si="36"/>
        <v>4.0191659882489886E-3</v>
      </c>
      <c r="AA34" s="201">
        <f t="shared" si="37"/>
        <v>2.1130413382792859</v>
      </c>
      <c r="AB34" s="201">
        <f t="shared" si="41"/>
        <v>4.8016027081519648E-2</v>
      </c>
      <c r="AC34" s="202">
        <f t="shared" si="38"/>
        <v>4.9661324130271858</v>
      </c>
      <c r="AD34" s="317">
        <f>1000000*(P34-AL33)*I34/Data!D$48</f>
        <v>4.5835231081493177E-2</v>
      </c>
      <c r="AE34" s="213">
        <f>1-AD34-Data!D$13</f>
        <v>0.45816476891850688</v>
      </c>
      <c r="AF34" s="215">
        <f>(AD34-Data!D$27)/(1-Data!D$27-Data!D$19-Data!D$13)</f>
        <v>0.15077378645228018</v>
      </c>
      <c r="AG34" s="33">
        <f>Data!D$29*AF34</f>
        <v>0.15077378645228018</v>
      </c>
      <c r="AH34" s="33">
        <f>Data!D$28*(1-AF34)</f>
        <v>0.84922621354771977</v>
      </c>
      <c r="AI34" s="246">
        <f t="shared" si="42"/>
        <v>2361.1702306381176</v>
      </c>
      <c r="AJ34" s="268">
        <f t="shared" si="39"/>
        <v>0.51447723867374828</v>
      </c>
      <c r="AK34" s="313">
        <f t="shared" si="43"/>
        <v>9.016650854119213</v>
      </c>
      <c r="AL34" s="313">
        <f t="shared" si="44"/>
        <v>16.2222846427217</v>
      </c>
      <c r="AM34" s="313">
        <f t="shared" si="45"/>
        <v>531.97083872234009</v>
      </c>
    </row>
    <row r="35" spans="2:39" x14ac:dyDescent="0.25">
      <c r="B35" s="1">
        <f t="shared" si="40"/>
        <v>3800</v>
      </c>
      <c r="C35" s="170">
        <f t="shared" si="27"/>
        <v>1.4191558599999998</v>
      </c>
      <c r="D35" s="122">
        <v>119.56901157613535</v>
      </c>
      <c r="E35">
        <f t="shared" si="28"/>
        <v>0.67522994859999996</v>
      </c>
      <c r="F35">
        <f t="shared" si="29"/>
        <v>2.1378040000000001E-2</v>
      </c>
      <c r="G35" s="122">
        <f t="shared" si="30"/>
        <v>4.3863082991995464E-3</v>
      </c>
      <c r="H35" s="184">
        <f t="shared" si="31"/>
        <v>2.0677600000000001E-2</v>
      </c>
      <c r="I35" s="184">
        <f t="shared" si="32"/>
        <v>4.9668512106970184E-3</v>
      </c>
      <c r="J35" s="155">
        <f>Data!D$14</f>
        <v>1.49E-5</v>
      </c>
      <c r="K35" s="385">
        <f>L35/Data!D$21</f>
        <v>0.12962113039643247</v>
      </c>
      <c r="L35" s="201">
        <f t="shared" si="33"/>
        <v>0.16824822725456934</v>
      </c>
      <c r="M35" s="201">
        <f>Data!D$21-L35</f>
        <v>1.1297517727454307</v>
      </c>
      <c r="N35" s="205">
        <v>0</v>
      </c>
      <c r="O35" s="206">
        <f>30.4*Data!N$5*Data!O$5/5.615</f>
        <v>47.102404274265361</v>
      </c>
      <c r="P35" s="206">
        <f t="shared" si="34"/>
        <v>47.102404274265361</v>
      </c>
      <c r="Q35" s="160"/>
      <c r="R35" s="163"/>
      <c r="S35" s="158"/>
      <c r="T35" s="162"/>
      <c r="U35" s="166"/>
      <c r="V35" s="199"/>
      <c r="W35" s="342">
        <f>Data!D$42/(141.2*C35*E35*LN(Data!D$47))</f>
        <v>0.11549641946582941</v>
      </c>
      <c r="X35" s="198">
        <f>W35*(B35-Data!D$43)</f>
        <v>207.89355503849293</v>
      </c>
      <c r="Y35" s="105">
        <f t="shared" si="35"/>
        <v>5.0204624139668181E-3</v>
      </c>
      <c r="Z35" s="105">
        <f t="shared" si="36"/>
        <v>5.7004954352545016E-3</v>
      </c>
      <c r="AA35" s="201">
        <f t="shared" si="37"/>
        <v>2.1299294963299866</v>
      </c>
      <c r="AB35" s="201">
        <f t="shared" si="41"/>
        <v>6.9686632494847717E-2</v>
      </c>
      <c r="AC35" s="202">
        <f t="shared" si="38"/>
        <v>4.9878030184405135</v>
      </c>
      <c r="AD35" s="317">
        <f>1000000*(P35-AL34)*I35/Data!D$48</f>
        <v>4.5989244701661047E-2</v>
      </c>
      <c r="AE35" s="213">
        <f>1-AD35-Data!D$13</f>
        <v>0.45801075529833901</v>
      </c>
      <c r="AF35" s="215">
        <f>(AD35-Data!D$27)/(1-Data!D$27-Data!D$19-Data!D$13)</f>
        <v>0.15128041020283237</v>
      </c>
      <c r="AG35" s="33">
        <f>Data!D$29*AF35</f>
        <v>0.15128041020283237</v>
      </c>
      <c r="AH35" s="33">
        <f>Data!D$28*(1-AF35)</f>
        <v>0.84871958979716766</v>
      </c>
      <c r="AI35" s="246">
        <f t="shared" si="42"/>
        <v>2334.4823533286853</v>
      </c>
      <c r="AJ35" s="268">
        <f t="shared" si="39"/>
        <v>0.48532383560812759</v>
      </c>
      <c r="AK35" s="313">
        <f t="shared" si="43"/>
        <v>12.344513077149918</v>
      </c>
      <c r="AL35" s="313">
        <f t="shared" si="44"/>
        <v>16.814958235425298</v>
      </c>
      <c r="AM35" s="313">
        <f t="shared" si="45"/>
        <v>535.2987009453708</v>
      </c>
    </row>
    <row r="36" spans="2:39" x14ac:dyDescent="0.25">
      <c r="B36" s="1">
        <f t="shared" si="40"/>
        <v>3700</v>
      </c>
      <c r="C36" s="170">
        <f t="shared" si="27"/>
        <v>1.4206848599999999</v>
      </c>
      <c r="D36" s="122">
        <v>119.56901157613535</v>
      </c>
      <c r="E36">
        <f t="shared" si="28"/>
        <v>0.66968565859999996</v>
      </c>
      <c r="F36">
        <f t="shared" si="29"/>
        <v>2.1142040000000001E-2</v>
      </c>
      <c r="G36" s="122">
        <f t="shared" si="30"/>
        <v>4.5078062903013945E-3</v>
      </c>
      <c r="H36" s="184">
        <f t="shared" si="31"/>
        <v>2.04476E-2</v>
      </c>
      <c r="I36" s="184">
        <f t="shared" si="32"/>
        <v>5.0900833169336204E-3</v>
      </c>
      <c r="J36" s="155">
        <f>Data!D$14</f>
        <v>1.49E-5</v>
      </c>
      <c r="K36" s="387">
        <f>L36/Data!D$21</f>
        <v>0.13091366538407861</v>
      </c>
      <c r="L36" s="252">
        <f t="shared" si="33"/>
        <v>0.16992593766853403</v>
      </c>
      <c r="M36" s="252">
        <f>Data!D$21-L36</f>
        <v>1.128074062331466</v>
      </c>
      <c r="N36" s="299">
        <v>0</v>
      </c>
      <c r="O36" s="300">
        <f>30.4*Data!N$5*Data!O$5/5.615</f>
        <v>47.102404274265361</v>
      </c>
      <c r="P36" s="300">
        <f t="shared" si="34"/>
        <v>47.102404274265361</v>
      </c>
      <c r="Q36" s="301"/>
      <c r="R36" s="302"/>
      <c r="S36" s="303"/>
      <c r="T36" s="304"/>
      <c r="U36" s="305"/>
      <c r="V36" s="298"/>
      <c r="W36" s="377">
        <f>Data!D$42/(141.2*C36*E36*LN(Data!D$47))</f>
        <v>0.11632727671459628</v>
      </c>
      <c r="X36" s="378">
        <f>W36*(B36-Data!D$43)</f>
        <v>197.75637041481366</v>
      </c>
      <c r="Y36" s="379">
        <f t="shared" si="35"/>
        <v>6.4980325954530479E-3</v>
      </c>
      <c r="Z36" s="379">
        <f t="shared" si="36"/>
        <v>7.3782058492191877E-3</v>
      </c>
      <c r="AA36" s="252">
        <f t="shared" si="37"/>
        <v>2.1470972866069364</v>
      </c>
      <c r="AB36" s="252">
        <f t="shared" si="41"/>
        <v>9.241220170135267E-2</v>
      </c>
      <c r="AC36" s="248">
        <f t="shared" si="38"/>
        <v>5.0105285876470189</v>
      </c>
      <c r="AD36" s="380">
        <f>1000000*(P36-AL35)*I36/Data!D$48</f>
        <v>4.6225721365016098E-2</v>
      </c>
      <c r="AE36" s="381">
        <f>1-AD36-Data!D$13</f>
        <v>0.45777427863498388</v>
      </c>
      <c r="AF36" s="215">
        <f>(AD36-Data!D$27)/(1-Data!D$27-Data!D$19-Data!D$13)</f>
        <v>0.15205829396386872</v>
      </c>
      <c r="AG36" s="33">
        <f>Data!D$29*AF36</f>
        <v>0.15205829396386872</v>
      </c>
      <c r="AH36" s="33">
        <f>Data!D$28*(1-AF36)</f>
        <v>0.84794170603613128</v>
      </c>
      <c r="AI36" s="246">
        <f t="shared" si="42"/>
        <v>2310.6316741887972</v>
      </c>
      <c r="AJ36" s="268">
        <f t="shared" si="39"/>
        <v>0.45694213325308081</v>
      </c>
      <c r="AK36" s="313">
        <f t="shared" si="43"/>
        <v>15.412865433170976</v>
      </c>
      <c r="AL36" s="313">
        <f t="shared" si="44"/>
        <v>17.3614145766579</v>
      </c>
      <c r="AM36" s="313">
        <f t="shared" si="45"/>
        <v>538.36705330139182</v>
      </c>
    </row>
    <row r="37" spans="2:39" x14ac:dyDescent="0.25">
      <c r="B37" s="1">
        <f t="shared" si="40"/>
        <v>3600</v>
      </c>
      <c r="C37" s="170">
        <f t="shared" si="27"/>
        <v>1.4222138599999998</v>
      </c>
      <c r="D37" s="122">
        <v>120.569011576135</v>
      </c>
      <c r="E37">
        <f t="shared" si="28"/>
        <v>0.66414136859999995</v>
      </c>
      <c r="F37">
        <f t="shared" si="29"/>
        <v>2.0906040000000001E-2</v>
      </c>
      <c r="G37" s="122">
        <f t="shared" si="30"/>
        <v>4.6361392887804258E-3</v>
      </c>
      <c r="H37" s="184">
        <f t="shared" si="31"/>
        <v>2.0218400000000001E-2</v>
      </c>
      <c r="I37" s="184">
        <f t="shared" si="32"/>
        <v>5.2198770942607498E-3</v>
      </c>
      <c r="J37" s="155">
        <f>Data!D$14</f>
        <v>1.49E-5</v>
      </c>
      <c r="K37" s="387">
        <f>L37/Data!D$21</f>
        <v>0.13220342120320205</v>
      </c>
      <c r="L37" s="252">
        <f t="shared" si="33"/>
        <v>0.17160004072175628</v>
      </c>
      <c r="M37" s="252">
        <f>Data!D$21-L37</f>
        <v>1.1263999592782437</v>
      </c>
      <c r="N37" s="299">
        <v>1</v>
      </c>
      <c r="O37" s="300">
        <f>30.4*Data!N$5*Data!O$5/5.615</f>
        <v>47.102404274265361</v>
      </c>
      <c r="P37" s="300">
        <f t="shared" si="34"/>
        <v>48.102404274265361</v>
      </c>
      <c r="Q37" s="372"/>
      <c r="R37" s="373"/>
      <c r="S37" s="374"/>
      <c r="T37" s="375"/>
      <c r="U37" s="376"/>
      <c r="V37" s="298"/>
      <c r="W37" s="377">
        <f>Data!D$42/(141.2*C37*E37*LN(Data!D$47))</f>
        <v>0.11717227778345843</v>
      </c>
      <c r="X37" s="378">
        <f>W37*(B37-Data!D$43)</f>
        <v>187.47564445353348</v>
      </c>
      <c r="Y37" s="379">
        <f t="shared" si="35"/>
        <v>7.972425751498825E-3</v>
      </c>
      <c r="Z37" s="379">
        <f t="shared" si="36"/>
        <v>9.0523089024414447E-3</v>
      </c>
      <c r="AA37" s="252">
        <f t="shared" si="37"/>
        <v>2.1645517122674169</v>
      </c>
      <c r="AB37" s="252">
        <f t="shared" si="41"/>
        <v>0.11633118579972179</v>
      </c>
      <c r="AC37" s="248">
        <f t="shared" si="38"/>
        <v>5.034447571745388</v>
      </c>
      <c r="AD37" s="380">
        <f>1000000*(P37-AL36)*I37/Data!D$48</f>
        <v>4.8114311478288971E-2</v>
      </c>
      <c r="AE37" s="381">
        <f>1-AD37-Data!D$13</f>
        <v>0.45588568852171107</v>
      </c>
      <c r="AF37" s="215">
        <f>(AD37-Data!D$27)/(1-Data!D$27-Data!D$19-Data!D$13)</f>
        <v>0.15827076144174002</v>
      </c>
      <c r="AG37" s="33">
        <f>Data!D$29*AF37</f>
        <v>0.15827076144174002</v>
      </c>
      <c r="AH37" s="33">
        <f>Data!D$28*(1-AF37)</f>
        <v>0.84172923855825998</v>
      </c>
      <c r="AI37" s="246">
        <f t="shared" si="42"/>
        <v>2359.8498406274816</v>
      </c>
      <c r="AJ37" s="268">
        <f t="shared" si="39"/>
        <v>0.44241436968520542</v>
      </c>
      <c r="AK37" s="313">
        <f t="shared" si="43"/>
        <v>18.785304707715497</v>
      </c>
      <c r="AL37" s="313">
        <f t="shared" si="44"/>
        <v>17.962027092160039</v>
      </c>
      <c r="AM37" s="313">
        <f t="shared" si="45"/>
        <v>541.73949257593631</v>
      </c>
    </row>
    <row r="38" spans="2:39" x14ac:dyDescent="0.25">
      <c r="B38" s="1">
        <f t="shared" si="40"/>
        <v>3500</v>
      </c>
      <c r="C38" s="170">
        <f t="shared" si="27"/>
        <v>1.4237428599999999</v>
      </c>
      <c r="D38" s="122">
        <v>121.569011576135</v>
      </c>
      <c r="E38">
        <f t="shared" si="28"/>
        <v>0.65859707859999994</v>
      </c>
      <c r="F38">
        <f t="shared" si="29"/>
        <v>2.0670040000000001E-2</v>
      </c>
      <c r="G38" s="122">
        <f t="shared" si="30"/>
        <v>4.7718981480560693E-3</v>
      </c>
      <c r="H38" s="184">
        <f t="shared" si="31"/>
        <v>1.9990000000000001E-2</v>
      </c>
      <c r="I38" s="184">
        <f t="shared" si="32"/>
        <v>5.35677916485268E-3</v>
      </c>
      <c r="J38" s="155">
        <f>Data!D$14</f>
        <v>1.49E-5</v>
      </c>
      <c r="K38" s="387">
        <f>L38/Data!D$21</f>
        <v>0.13349040680769922</v>
      </c>
      <c r="L38" s="252">
        <f t="shared" si="33"/>
        <v>0.17327054803639358</v>
      </c>
      <c r="M38" s="252">
        <f>Data!D$21-L38</f>
        <v>1.1247294519636064</v>
      </c>
      <c r="N38" s="299">
        <v>2</v>
      </c>
      <c r="O38" s="300">
        <f>30.4*Data!N$5*Data!O$5/5.615</f>
        <v>47.102404274265361</v>
      </c>
      <c r="P38" s="300">
        <f t="shared" si="34"/>
        <v>49.102404274265361</v>
      </c>
      <c r="Q38" s="301"/>
      <c r="R38" s="302"/>
      <c r="S38" s="303"/>
      <c r="T38" s="304"/>
      <c r="U38" s="305"/>
      <c r="V38" s="298"/>
      <c r="W38" s="377">
        <f>Data!D$42/(141.2*C38*E38*LN(Data!D$47))</f>
        <v>0.11803177899177331</v>
      </c>
      <c r="X38" s="378">
        <f>W38*(B38-Data!D$43)</f>
        <v>177.04766848765996</v>
      </c>
      <c r="Y38" s="379">
        <f t="shared" si="35"/>
        <v>9.4436521178118057E-3</v>
      </c>
      <c r="Z38" s="379">
        <f t="shared" si="36"/>
        <v>1.0722816217078745E-2</v>
      </c>
      <c r="AA38" s="252">
        <f t="shared" si="37"/>
        <v>2.1823000122883855</v>
      </c>
      <c r="AB38" s="252">
        <f t="shared" si="41"/>
        <v>0.14160967630163729</v>
      </c>
      <c r="AC38" s="248">
        <f t="shared" si="38"/>
        <v>5.0597260622473037</v>
      </c>
      <c r="AD38" s="380">
        <f>1000000*(P38-AL37)*I38/Data!D$48</f>
        <v>5.0017705370933654E-2</v>
      </c>
      <c r="AE38" s="381">
        <f>1-AD38-Data!D$13</f>
        <v>0.45398229462906636</v>
      </c>
      <c r="AF38" s="215">
        <f>(AD38-Data!D$27)/(1-Data!D$27-Data!D$19-Data!D$13)</f>
        <v>0.16453192556228174</v>
      </c>
      <c r="AG38" s="33">
        <f>Data!D$29*AF38</f>
        <v>0.16453192556228174</v>
      </c>
      <c r="AH38" s="33">
        <f>Data!D$28*(1-AF38)</f>
        <v>0.83546807443771831</v>
      </c>
      <c r="AI38" s="246">
        <f t="shared" si="42"/>
        <v>2407.078015074675</v>
      </c>
      <c r="AJ38" s="268">
        <f t="shared" si="39"/>
        <v>0.4261675504368756</v>
      </c>
      <c r="AK38" s="313">
        <f t="shared" si="43"/>
        <v>22.027548836684087</v>
      </c>
      <c r="AL38" s="313">
        <f t="shared" si="44"/>
        <v>18.539452582626396</v>
      </c>
      <c r="AM38" s="313">
        <f t="shared" si="45"/>
        <v>544.98173670490496</v>
      </c>
    </row>
    <row r="39" spans="2:39" x14ac:dyDescent="0.25">
      <c r="B39" s="1">
        <f t="shared" si="40"/>
        <v>3400</v>
      </c>
      <c r="C39" s="170">
        <f t="shared" si="27"/>
        <v>1.4252718599999998</v>
      </c>
      <c r="D39" s="122">
        <v>122.569011576135</v>
      </c>
      <c r="E39">
        <f t="shared" si="28"/>
        <v>0.65305278860000004</v>
      </c>
      <c r="F39">
        <f t="shared" si="29"/>
        <v>2.0434040000000001E-2</v>
      </c>
      <c r="G39" s="122">
        <f t="shared" si="30"/>
        <v>4.9157436848325277E-3</v>
      </c>
      <c r="H39" s="184">
        <f t="shared" si="31"/>
        <v>1.9762399999999999E-2</v>
      </c>
      <c r="I39" s="184">
        <f t="shared" si="32"/>
        <v>5.5013990838723974E-3</v>
      </c>
      <c r="J39" s="155">
        <f>Data!D$14</f>
        <v>1.49E-5</v>
      </c>
      <c r="K39" s="387">
        <f>L39/Data!D$21</f>
        <v>0.13477463111304425</v>
      </c>
      <c r="L39" s="252">
        <f t="shared" si="33"/>
        <v>0.17493747118473144</v>
      </c>
      <c r="M39" s="252">
        <f>Data!D$21-L39</f>
        <v>1.1230625288152687</v>
      </c>
      <c r="N39" s="299">
        <v>3</v>
      </c>
      <c r="O39" s="300">
        <f>30.4*Data!N$5*Data!O$5/5.615</f>
        <v>47.102404274265361</v>
      </c>
      <c r="P39" s="300">
        <f t="shared" si="34"/>
        <v>50.102404274265361</v>
      </c>
      <c r="Q39" s="301"/>
      <c r="R39" s="302"/>
      <c r="S39" s="303"/>
      <c r="T39" s="304"/>
      <c r="U39" s="305"/>
      <c r="V39" s="298"/>
      <c r="W39" s="377">
        <f>Data!D$42/(141.2*C39*E39*LN(Data!D$47))</f>
        <v>0.11890614876304469</v>
      </c>
      <c r="X39" s="378">
        <f>W39*(B39-Data!D$43)</f>
        <v>166.46860826826256</v>
      </c>
      <c r="Y39" s="379">
        <f t="shared" si="35"/>
        <v>1.0911721886177093E-2</v>
      </c>
      <c r="Z39" s="379">
        <f t="shared" si="36"/>
        <v>1.2389739365416604E-2</v>
      </c>
      <c r="AA39" s="252">
        <f t="shared" si="37"/>
        <v>2.2003496714767592</v>
      </c>
      <c r="AB39" s="252">
        <f t="shared" si="41"/>
        <v>0.16844916070729682</v>
      </c>
      <c r="AC39" s="248">
        <f t="shared" si="38"/>
        <v>5.0865655466529631</v>
      </c>
      <c r="AD39" s="380">
        <f>1000000*(P39-AL38)*I39/Data!D$48</f>
        <v>5.2065124837957263E-2</v>
      </c>
      <c r="AE39" s="381">
        <f>1-AD39-Data!D$13</f>
        <v>0.45193487516204278</v>
      </c>
      <c r="AF39" s="215">
        <f>(AD39-Data!D$27)/(1-Data!D$27-Data!D$19-Data!D$13)</f>
        <v>0.17126685801959624</v>
      </c>
      <c r="AG39" s="33">
        <f>Data!D$29*AF39</f>
        <v>0.17126685801959624</v>
      </c>
      <c r="AH39" s="33">
        <f>Data!D$28*(1-AF39)</f>
        <v>0.82873314198040382</v>
      </c>
      <c r="AI39" s="246">
        <f t="shared" si="42"/>
        <v>2457.4855180744935</v>
      </c>
      <c r="AJ39" s="268">
        <f t="shared" si="39"/>
        <v>0.40909419403327113</v>
      </c>
      <c r="AK39" s="313">
        <f t="shared" si="43"/>
        <v>25.152724376823382</v>
      </c>
      <c r="AL39" s="313">
        <f t="shared" si="44"/>
        <v>19.096028814173913</v>
      </c>
      <c r="AM39" s="313">
        <f t="shared" si="45"/>
        <v>548.10691224504421</v>
      </c>
    </row>
    <row r="40" spans="2:39" x14ac:dyDescent="0.25">
      <c r="B40" s="1">
        <f t="shared" si="40"/>
        <v>3300</v>
      </c>
      <c r="C40" s="170">
        <f t="shared" si="27"/>
        <v>1.4268008599999999</v>
      </c>
      <c r="D40" s="122">
        <v>123.569011576135</v>
      </c>
      <c r="E40">
        <f t="shared" si="28"/>
        <v>0.64750849860000004</v>
      </c>
      <c r="F40">
        <f t="shared" si="29"/>
        <v>2.019804E-2</v>
      </c>
      <c r="G40" s="122">
        <f t="shared" si="30"/>
        <v>5.0684173354736293E-3</v>
      </c>
      <c r="H40" s="184">
        <f t="shared" si="31"/>
        <v>1.95356E-2</v>
      </c>
      <c r="I40" s="184">
        <f t="shared" si="32"/>
        <v>5.6544187091220003E-3</v>
      </c>
      <c r="J40" s="155">
        <f>Data!D$14</f>
        <v>1.49E-5</v>
      </c>
      <c r="K40" s="387">
        <f>L40/Data!D$21</f>
        <v>0.13605610299649507</v>
      </c>
      <c r="L40" s="252">
        <f t="shared" si="33"/>
        <v>0.1766008216894506</v>
      </c>
      <c r="M40" s="252">
        <f>Data!D$21-L40</f>
        <v>1.1213991783105495</v>
      </c>
      <c r="N40" s="299">
        <v>4</v>
      </c>
      <c r="O40" s="300">
        <f>30.4*Data!N$5*Data!O$5/5.615</f>
        <v>47.102404274265361</v>
      </c>
      <c r="P40" s="300">
        <f t="shared" si="34"/>
        <v>51.102404274265361</v>
      </c>
      <c r="Q40" s="301"/>
      <c r="R40" s="302"/>
      <c r="S40" s="303"/>
      <c r="T40" s="304"/>
      <c r="U40" s="305"/>
      <c r="V40" s="298"/>
      <c r="W40" s="377">
        <f>Data!D$42/(141.2*C40*E40*LN(Data!D$47))</f>
        <v>0.11979576814311024</v>
      </c>
      <c r="X40" s="378">
        <f>W40*(B40-Data!D$43)</f>
        <v>155.73449858604332</v>
      </c>
      <c r="Y40" s="379">
        <f t="shared" si="35"/>
        <v>1.2376645204692564E-2</v>
      </c>
      <c r="Z40" s="379">
        <f t="shared" si="36"/>
        <v>1.4053089870135772E-2</v>
      </c>
      <c r="AA40" s="252">
        <f t="shared" si="37"/>
        <v>2.2187084309940359</v>
      </c>
      <c r="AB40" s="252">
        <f t="shared" si="41"/>
        <v>0.1970971835922736</v>
      </c>
      <c r="AC40" s="248">
        <f t="shared" si="38"/>
        <v>5.1152135695379393</v>
      </c>
      <c r="AD40" s="380">
        <f>1000000*(P40-AL39)*I40/Data!D$48</f>
        <v>5.4265100665805741E-2</v>
      </c>
      <c r="AE40" s="381">
        <f>1-AD40-Data!D$13</f>
        <v>0.4497348993341943</v>
      </c>
      <c r="AF40" s="215">
        <f>(AD40-Data!D$27)/(1-Data!D$27-Data!D$19-Data!D$13)</f>
        <v>0.17850362061120306</v>
      </c>
      <c r="AG40" s="33">
        <f>Data!D$29*AF40</f>
        <v>0.17850362061120306</v>
      </c>
      <c r="AH40" s="33">
        <f>Data!D$28*(1-AF40)</f>
        <v>0.82149637938879694</v>
      </c>
      <c r="AI40" s="246">
        <f t="shared" si="42"/>
        <v>2511.1770973503062</v>
      </c>
      <c r="AJ40" s="268">
        <f t="shared" si="39"/>
        <v>0.39107690611660562</v>
      </c>
      <c r="AK40" s="313">
        <f t="shared" si="43"/>
        <v>28.134257218700483</v>
      </c>
      <c r="AL40" s="313">
        <f t="shared" si="44"/>
        <v>19.627023086992629</v>
      </c>
      <c r="AM40" s="313">
        <f t="shared" si="45"/>
        <v>551.0884450869213</v>
      </c>
    </row>
    <row r="41" spans="2:39" x14ac:dyDescent="0.25">
      <c r="B41" s="1">
        <f t="shared" si="40"/>
        <v>3200</v>
      </c>
      <c r="C41" s="170">
        <f t="shared" si="27"/>
        <v>1.4283298599999998</v>
      </c>
      <c r="D41" s="122">
        <v>124.569011576135</v>
      </c>
      <c r="E41">
        <f t="shared" si="28"/>
        <v>0.64196420860000003</v>
      </c>
      <c r="F41">
        <f t="shared" si="29"/>
        <v>1.996204E-2</v>
      </c>
      <c r="G41" s="122">
        <f t="shared" si="30"/>
        <v>5.2307538193639164E-3</v>
      </c>
      <c r="H41" s="184">
        <f t="shared" si="31"/>
        <v>1.93096E-2</v>
      </c>
      <c r="I41" s="184">
        <f t="shared" si="32"/>
        <v>5.816603301667134E-3</v>
      </c>
      <c r="J41" s="155">
        <f>Data!D$14</f>
        <v>1.49E-5</v>
      </c>
      <c r="K41" s="387">
        <f>L41/Data!D$21</f>
        <v>0.13733483129729784</v>
      </c>
      <c r="L41" s="252">
        <f t="shared" si="33"/>
        <v>0.1782606110238926</v>
      </c>
      <c r="M41" s="252">
        <f>Data!D$21-L41</f>
        <v>1.1197393889761074</v>
      </c>
      <c r="N41" s="299">
        <v>5</v>
      </c>
      <c r="O41" s="300">
        <f>30.4*Data!N$5*Data!O$5/5.615</f>
        <v>47.102404274265361</v>
      </c>
      <c r="P41" s="300">
        <f t="shared" si="34"/>
        <v>52.102404274265361</v>
      </c>
      <c r="Q41" s="301"/>
      <c r="R41" s="302"/>
      <c r="S41" s="303"/>
      <c r="T41" s="304"/>
      <c r="U41" s="305"/>
      <c r="V41" s="298"/>
      <c r="W41" s="377">
        <f>Data!D$42/(141.2*C41*E41*LN(Data!D$47))</f>
        <v>0.12070103134518191</v>
      </c>
      <c r="X41" s="378">
        <f>W41*(B41-Data!D$43)</f>
        <v>144.8412376142183</v>
      </c>
      <c r="Y41" s="379">
        <f t="shared" si="35"/>
        <v>1.3838432178002721E-2</v>
      </c>
      <c r="Z41" s="379">
        <f t="shared" si="36"/>
        <v>1.5712879204577767E-2</v>
      </c>
      <c r="AA41" s="252">
        <f t="shared" si="37"/>
        <v>2.2373842994262327</v>
      </c>
      <c r="AB41" s="252">
        <f t="shared" si="41"/>
        <v>0.22786232061652675</v>
      </c>
      <c r="AC41" s="248">
        <f t="shared" si="38"/>
        <v>5.1459787065621931</v>
      </c>
      <c r="AD41" s="380">
        <f>1000000*(P41-AL40)*I41/Data!D$48</f>
        <v>5.6639557993148494E-2</v>
      </c>
      <c r="AE41" s="381">
        <f>1-AD41-Data!D$13</f>
        <v>0.44736044200685154</v>
      </c>
      <c r="AF41" s="215">
        <f>(AD41-Data!D$27)/(1-Data!D$27-Data!D$19-Data!D$13)</f>
        <v>0.18631433550377791</v>
      </c>
      <c r="AG41" s="33">
        <f>Data!D$29*AF41</f>
        <v>0.18631433550377791</v>
      </c>
      <c r="AH41" s="33">
        <f>Data!D$28*(1-AF41)</f>
        <v>0.81368566449622204</v>
      </c>
      <c r="AI41" s="246">
        <f t="shared" si="42"/>
        <v>2568.7860309511011</v>
      </c>
      <c r="AJ41" s="268">
        <f t="shared" si="39"/>
        <v>0.37206614788907316</v>
      </c>
      <c r="AK41" s="313">
        <f t="shared" si="43"/>
        <v>30.944647396512458</v>
      </c>
      <c r="AL41" s="313">
        <f t="shared" si="44"/>
        <v>20.12753781144712</v>
      </c>
      <c r="AM41" s="313">
        <f t="shared" si="45"/>
        <v>553.89883526473329</v>
      </c>
    </row>
    <row r="42" spans="2:39" x14ac:dyDescent="0.25">
      <c r="B42" s="1">
        <f t="shared" si="40"/>
        <v>3100</v>
      </c>
      <c r="C42" s="170">
        <f t="shared" si="27"/>
        <v>1.42985886</v>
      </c>
      <c r="D42" s="122">
        <v>125.569011576135</v>
      </c>
      <c r="E42">
        <f t="shared" si="28"/>
        <v>0.63641991860000002</v>
      </c>
      <c r="F42">
        <f t="shared" si="29"/>
        <v>1.972604E-2</v>
      </c>
      <c r="G42" s="122">
        <f t="shared" si="30"/>
        <v>5.4036962642082043E-3</v>
      </c>
      <c r="H42" s="184">
        <f t="shared" si="31"/>
        <v>1.9084400000000001E-2</v>
      </c>
      <c r="I42" s="184">
        <f t="shared" si="32"/>
        <v>5.988814743293107E-3</v>
      </c>
      <c r="J42" s="155">
        <f>Data!D$14</f>
        <v>1.49E-5</v>
      </c>
      <c r="K42" s="387">
        <f>L42/Data!D$21</f>
        <v>0.13861082481689019</v>
      </c>
      <c r="L42" s="252">
        <f t="shared" si="33"/>
        <v>0.17991685061232349</v>
      </c>
      <c r="M42" s="252">
        <f>Data!D$21-L42</f>
        <v>1.1180831493876766</v>
      </c>
      <c r="N42" s="299">
        <v>6</v>
      </c>
      <c r="O42" s="300">
        <f>30.4*Data!N$5*Data!O$5/5.615</f>
        <v>47.102404274265361</v>
      </c>
      <c r="P42" s="300">
        <f t="shared" si="34"/>
        <v>53.102404274265361</v>
      </c>
      <c r="Q42" s="301"/>
      <c r="R42" s="302"/>
      <c r="S42" s="303"/>
      <c r="T42" s="304"/>
      <c r="U42" s="305"/>
      <c r="V42" s="298"/>
      <c r="W42" s="377">
        <f>Data!D$42/(141.2*C42*E42*LN(Data!D$47))</f>
        <v>0.12162234632337481</v>
      </c>
      <c r="X42" s="378">
        <f>W42*(B42-Data!D$43)</f>
        <v>133.78458095571227</v>
      </c>
      <c r="Y42" s="379">
        <f t="shared" si="35"/>
        <v>1.5297092867531005E-2</v>
      </c>
      <c r="Z42" s="379">
        <f t="shared" si="36"/>
        <v>1.7369118793008662E-2</v>
      </c>
      <c r="AA42" s="252">
        <f t="shared" si="37"/>
        <v>2.2563855644324979</v>
      </c>
      <c r="AB42" s="252">
        <f t="shared" si="41"/>
        <v>0.2611357366695703</v>
      </c>
      <c r="AC42" s="248">
        <f t="shared" si="38"/>
        <v>5.1792521226152362</v>
      </c>
      <c r="AD42" s="380">
        <f>1000000*(P42-AL41)*I42/Data!D$48</f>
        <v>5.9213410674699908E-2</v>
      </c>
      <c r="AE42" s="381">
        <f>1-AD42-Data!D$13</f>
        <v>0.44478658932530013</v>
      </c>
      <c r="AF42" s="215">
        <f>(AD42-Data!D$27)/(1-Data!D$27-Data!D$19-Data!D$13)</f>
        <v>0.19478095616677599</v>
      </c>
      <c r="AG42" s="33">
        <f>Data!D$29*AF42</f>
        <v>0.19478095616677599</v>
      </c>
      <c r="AH42" s="33">
        <f>Data!D$28*(1-AF42)</f>
        <v>0.80521904383322407</v>
      </c>
      <c r="AI42" s="246">
        <f t="shared" si="42"/>
        <v>2631.0421408485295</v>
      </c>
      <c r="AJ42" s="268">
        <f t="shared" si="39"/>
        <v>0.35199287029024062</v>
      </c>
      <c r="AK42" s="313">
        <f t="shared" si="43"/>
        <v>33.55003988227265</v>
      </c>
      <c r="AL42" s="313">
        <f t="shared" si="44"/>
        <v>20.591543596978767</v>
      </c>
      <c r="AM42" s="313">
        <f t="shared" si="45"/>
        <v>556.50422775049356</v>
      </c>
    </row>
    <row r="43" spans="2:39" x14ac:dyDescent="0.25">
      <c r="B43" s="1">
        <f t="shared" si="40"/>
        <v>3000</v>
      </c>
      <c r="C43" s="170">
        <f t="shared" si="27"/>
        <v>1.4313878599999998</v>
      </c>
      <c r="D43" s="122">
        <v>126.569011576135</v>
      </c>
      <c r="E43">
        <f t="shared" si="28"/>
        <v>0.63087562860000002</v>
      </c>
      <c r="F43">
        <f t="shared" si="29"/>
        <v>1.949004E-2</v>
      </c>
      <c r="G43" s="122">
        <f t="shared" si="30"/>
        <v>5.5883143699619071E-3</v>
      </c>
      <c r="H43" s="184">
        <f t="shared" si="31"/>
        <v>1.8860000000000002E-2</v>
      </c>
      <c r="I43" s="184">
        <f t="shared" si="32"/>
        <v>6.1720273583721775E-3</v>
      </c>
      <c r="J43" s="155">
        <f>Data!D$14</f>
        <v>1.49E-5</v>
      </c>
      <c r="K43" s="387">
        <f>L43/Data!D$21</f>
        <v>0.13988409231910326</v>
      </c>
      <c r="L43" s="252">
        <f t="shared" si="33"/>
        <v>0.18156955183019602</v>
      </c>
      <c r="M43" s="252">
        <f>Data!D$21-L43</f>
        <v>1.116430448169804</v>
      </c>
      <c r="N43" s="299">
        <v>7</v>
      </c>
      <c r="O43" s="300">
        <f>30.4*Data!N$5*Data!O$5/5.615</f>
        <v>47.102404274265361</v>
      </c>
      <c r="P43" s="300">
        <f t="shared" si="34"/>
        <v>54.102404274265361</v>
      </c>
      <c r="Q43" s="301"/>
      <c r="R43" s="302"/>
      <c r="S43" s="303"/>
      <c r="T43" s="304"/>
      <c r="U43" s="305"/>
      <c r="V43" s="298"/>
      <c r="W43" s="377">
        <f>Data!D$42/(141.2*C43*E43*LN(Data!D$47))</f>
        <v>0.12256013537647904</v>
      </c>
      <c r="X43" s="378">
        <f>W43*(B43-Data!D$43)</f>
        <v>122.56013537647904</v>
      </c>
      <c r="Y43" s="379">
        <f t="shared" si="35"/>
        <v>1.6752637291710653E-2</v>
      </c>
      <c r="Z43" s="379">
        <f t="shared" si="36"/>
        <v>1.902182001088119E-2</v>
      </c>
      <c r="AA43" s="252">
        <f t="shared" si="37"/>
        <v>2.2757208050079085</v>
      </c>
      <c r="AB43" s="252">
        <f t="shared" si="41"/>
        <v>0.29742312681065469</v>
      </c>
      <c r="AC43" s="248">
        <f t="shared" si="38"/>
        <v>5.2155395127563207</v>
      </c>
      <c r="AD43" s="380">
        <f>1000000*(P43-AL42)*I43/Data!D$48</f>
        <v>6.2016831979650973E-2</v>
      </c>
      <c r="AE43" s="381">
        <f>1-AD43-Data!D$13</f>
        <v>0.44198316802034898</v>
      </c>
      <c r="AF43" s="215">
        <f>(AD43-Data!D$27)/(1-Data!D$27-Data!D$19-Data!D$13)</f>
        <v>0.20400273677516764</v>
      </c>
      <c r="AG43" s="33">
        <f>Data!D$29*AF43</f>
        <v>0.20400273677516764</v>
      </c>
      <c r="AH43" s="33">
        <f>Data!D$28*(1-AF43)</f>
        <v>0.79599726322483233</v>
      </c>
      <c r="AI43" s="246">
        <f t="shared" si="42"/>
        <v>2698.8662247637735</v>
      </c>
      <c r="AJ43" s="268">
        <f t="shared" si="39"/>
        <v>0.33077340987005499</v>
      </c>
      <c r="AK43" s="313">
        <f t="shared" si="43"/>
        <v>35.908576567721525</v>
      </c>
      <c r="AL43" s="313">
        <f t="shared" si="44"/>
        <v>21.011585749329413</v>
      </c>
      <c r="AM43" s="313">
        <f t="shared" si="45"/>
        <v>558.86276443594238</v>
      </c>
    </row>
    <row r="44" spans="2:39" s="18" customFormat="1" x14ac:dyDescent="0.25">
      <c r="B44" s="361">
        <f t="shared" si="40"/>
        <v>2900</v>
      </c>
      <c r="C44" s="362">
        <f t="shared" si="27"/>
        <v>1.43291686</v>
      </c>
      <c r="D44" s="228">
        <v>127.569011576135</v>
      </c>
      <c r="E44" s="18">
        <f t="shared" si="28"/>
        <v>0.62533133860000001</v>
      </c>
      <c r="F44" s="18">
        <f t="shared" si="29"/>
        <v>1.925404E-2</v>
      </c>
      <c r="G44" s="228">
        <f t="shared" si="30"/>
        <v>5.7858263477252618E-3</v>
      </c>
      <c r="H44" s="229">
        <f t="shared" si="31"/>
        <v>1.8636400000000001E-2</v>
      </c>
      <c r="I44" s="229">
        <f t="shared" si="32"/>
        <v>6.3673469606875827E-3</v>
      </c>
      <c r="J44" s="230">
        <f>Data!D$14</f>
        <v>1.49E-5</v>
      </c>
      <c r="K44" s="366">
        <f>L44/Data!D$21</f>
        <v>0.14115464253036211</v>
      </c>
      <c r="L44" s="231">
        <f t="shared" si="33"/>
        <v>0.18321872600441003</v>
      </c>
      <c r="M44" s="231">
        <f>Data!D$21-L44</f>
        <v>1.11478127399559</v>
      </c>
      <c r="N44" s="232">
        <v>8</v>
      </c>
      <c r="O44" s="233">
        <f>30.4*Data!N$5*Data!O$5/5.615</f>
        <v>47.102404274265361</v>
      </c>
      <c r="P44" s="233">
        <f t="shared" si="34"/>
        <v>55.102404274265361</v>
      </c>
      <c r="Q44" s="234"/>
      <c r="R44" s="235"/>
      <c r="S44" s="236"/>
      <c r="T44" s="237"/>
      <c r="U44" s="238"/>
      <c r="V44" s="239"/>
      <c r="W44" s="382">
        <f>Data!D$42/(141.2*C44*E44*LN(Data!D$47))</f>
        <v>0.12351483578384959</v>
      </c>
      <c r="X44" s="354">
        <f>W44*(B44-Data!D$43)</f>
        <v>111.16335220546463</v>
      </c>
      <c r="Y44" s="355">
        <f t="shared" si="35"/>
        <v>1.8205075426214051E-2</v>
      </c>
      <c r="Z44" s="355">
        <f t="shared" si="36"/>
        <v>2.0670994185095198E-2</v>
      </c>
      <c r="AA44" s="231">
        <f t="shared" si="37"/>
        <v>2.295398904398648</v>
      </c>
      <c r="AB44" s="231">
        <f t="shared" si="41"/>
        <v>0.33739366419244943</v>
      </c>
      <c r="AC44" s="200">
        <f t="shared" si="38"/>
        <v>5.2555100501381151</v>
      </c>
      <c r="AD44" s="368">
        <f>1000000*(P44-AL43)*I44/Data!D$48</f>
        <v>6.5086676661262943E-2</v>
      </c>
      <c r="AE44" s="357">
        <f>1-AD44-Data!D$13</f>
        <v>0.438913323338737</v>
      </c>
      <c r="AF44" s="225">
        <f>(AD44-Data!D$27)/(1-Data!D$27-Data!D$19-Data!D$13)</f>
        <v>0.21410091006994386</v>
      </c>
      <c r="AG44" s="358">
        <f>Data!D$29*AF44</f>
        <v>0.21410091006994386</v>
      </c>
      <c r="AH44" s="358">
        <f>Data!D$28*(1-AF44)</f>
        <v>0.78589908993005619</v>
      </c>
      <c r="AI44" s="369">
        <f t="shared" si="42"/>
        <v>2773.4330203306763</v>
      </c>
      <c r="AJ44" s="370">
        <f t="shared" si="39"/>
        <v>0.30830411165728455</v>
      </c>
      <c r="AK44" s="371">
        <f t="shared" si="43"/>
        <v>37.967246679941994</v>
      </c>
      <c r="AL44" s="371">
        <f t="shared" si="44"/>
        <v>21.378223347231543</v>
      </c>
      <c r="AM44" s="371">
        <f t="shared" si="45"/>
        <v>560.92143454816278</v>
      </c>
    </row>
    <row r="45" spans="2:39" x14ac:dyDescent="0.25">
      <c r="B45" s="1">
        <f t="shared" si="40"/>
        <v>2800</v>
      </c>
      <c r="C45" s="170">
        <f t="shared" si="27"/>
        <v>1.4344458599999999</v>
      </c>
      <c r="D45" s="122">
        <v>128.56901157613501</v>
      </c>
      <c r="E45">
        <f t="shared" si="28"/>
        <v>0.6197870486</v>
      </c>
      <c r="F45">
        <f t="shared" si="29"/>
        <v>1.901804E-2</v>
      </c>
      <c r="G45" s="122">
        <f t="shared" si="30"/>
        <v>5.9976255810478751E-3</v>
      </c>
      <c r="H45" s="184">
        <f t="shared" si="31"/>
        <v>1.8413600000000002E-2</v>
      </c>
      <c r="I45" s="184">
        <f t="shared" si="32"/>
        <v>6.5760339210212916E-3</v>
      </c>
      <c r="J45" s="155">
        <f>Data!D$14</f>
        <v>1.49E-5</v>
      </c>
      <c r="K45" s="387">
        <f>L45/Data!D$21</f>
        <v>0.14242248413988537</v>
      </c>
      <c r="L45" s="252">
        <f t="shared" si="33"/>
        <v>0.18486438441357123</v>
      </c>
      <c r="M45" s="252">
        <f>Data!D$21-L45</f>
        <v>1.1131356155864287</v>
      </c>
      <c r="N45" s="299">
        <v>9</v>
      </c>
      <c r="O45" s="300">
        <f>30.4*Data!N$5*Data!O$5/5.615</f>
        <v>47.102404274265361</v>
      </c>
      <c r="P45" s="300">
        <f t="shared" si="34"/>
        <v>56.102404274265361</v>
      </c>
      <c r="Q45" s="301"/>
      <c r="R45" s="302"/>
      <c r="S45" s="303"/>
      <c r="T45" s="304"/>
      <c r="U45" s="305"/>
      <c r="V45" s="298"/>
      <c r="W45" s="377">
        <f>Data!D$42/(141.2*C45*E45*LN(Data!D$47))</f>
        <v>0.12448690047542728</v>
      </c>
      <c r="X45" s="378">
        <f>W45*(B45-Data!D$43)</f>
        <v>99.589520380341824</v>
      </c>
      <c r="Y45" s="379">
        <f t="shared" si="35"/>
        <v>1.9654417204180642E-2</v>
      </c>
      <c r="Z45" s="379">
        <f t="shared" si="36"/>
        <v>2.231665259425639E-2</v>
      </c>
      <c r="AA45" s="252">
        <f t="shared" si="37"/>
        <v>2.3154290637103472</v>
      </c>
      <c r="AB45" s="252">
        <f t="shared" si="41"/>
        <v>0.38195809148697379</v>
      </c>
      <c r="AC45" s="248">
        <f t="shared" si="38"/>
        <v>5.3000744774326396</v>
      </c>
      <c r="AD45" s="380">
        <f>1000000*(P45-AL44)*I45/Data!D$48</f>
        <v>6.8468719817588397E-2</v>
      </c>
      <c r="AE45" s="381">
        <f>1-AD45-Data!D$13</f>
        <v>0.43553128018241161</v>
      </c>
      <c r="AF45" s="215">
        <f>(AD45-Data!D$27)/(1-Data!D$27-Data!D$19-Data!D$13)</f>
        <v>0.22522605203154075</v>
      </c>
      <c r="AG45" s="33">
        <f>Data!D$29*AF45</f>
        <v>0.22522605203154075</v>
      </c>
      <c r="AH45" s="33">
        <f>Data!D$28*(1-AF45)</f>
        <v>0.77477394796845922</v>
      </c>
      <c r="AI45" s="246">
        <f t="shared" si="42"/>
        <v>2856.2742661456109</v>
      </c>
      <c r="AJ45" s="268">
        <f t="shared" si="39"/>
        <v>0.2844549842401542</v>
      </c>
      <c r="AK45" s="313">
        <f t="shared" si="43"/>
        <v>39.657207256429174</v>
      </c>
      <c r="AL45" s="313">
        <f t="shared" si="44"/>
        <v>21.679195845270222</v>
      </c>
      <c r="AM45" s="313">
        <f t="shared" si="45"/>
        <v>562.61139512465002</v>
      </c>
    </row>
    <row r="46" spans="2:39" x14ac:dyDescent="0.25">
      <c r="B46" s="1">
        <f t="shared" si="40"/>
        <v>2700</v>
      </c>
      <c r="C46" s="170">
        <f t="shared" si="27"/>
        <v>1.43597486</v>
      </c>
      <c r="D46" s="122">
        <v>129.56901157613501</v>
      </c>
      <c r="E46">
        <f t="shared" si="28"/>
        <v>0.61424275859999999</v>
      </c>
      <c r="F46">
        <f t="shared" si="29"/>
        <v>1.878204E-2</v>
      </c>
      <c r="G46" s="122">
        <f t="shared" si="30"/>
        <v>6.2253132387986359E-3</v>
      </c>
      <c r="H46" s="184">
        <f t="shared" si="31"/>
        <v>1.8191600000000002E-2</v>
      </c>
      <c r="I46" s="184">
        <f t="shared" si="32"/>
        <v>6.7995312843871338E-3</v>
      </c>
      <c r="J46" s="155">
        <f>Data!D$14</f>
        <v>1.49E-5</v>
      </c>
      <c r="K46" s="387">
        <f>L46/Data!D$21</f>
        <v>0.14368762579988312</v>
      </c>
      <c r="L46" s="252">
        <f t="shared" si="33"/>
        <v>0.18650653828824829</v>
      </c>
      <c r="M46" s="252">
        <f>Data!D$21-L46</f>
        <v>1.1114934617117518</v>
      </c>
      <c r="N46" s="299">
        <v>10</v>
      </c>
      <c r="O46" s="300">
        <f>30.4*Data!N$5*Data!O$5/5.615</f>
        <v>47.102404274265361</v>
      </c>
      <c r="P46" s="300">
        <f t="shared" si="34"/>
        <v>57.102404274265361</v>
      </c>
      <c r="Q46" s="301"/>
      <c r="R46" s="302"/>
      <c r="S46" s="303"/>
      <c r="T46" s="304"/>
      <c r="U46" s="305"/>
      <c r="V46" s="298"/>
      <c r="W46" s="377">
        <f>Data!D$42/(141.2*C46*E46*LN(Data!D$47))</f>
        <v>0.12547679873804563</v>
      </c>
      <c r="X46" s="378">
        <f>W46*(B46-Data!D$43)</f>
        <v>87.833759116631938</v>
      </c>
      <c r="Y46" s="379">
        <f t="shared" si="35"/>
        <v>2.1100672516443351E-2</v>
      </c>
      <c r="Z46" s="379">
        <f t="shared" si="36"/>
        <v>2.3958806468933447E-2</v>
      </c>
      <c r="AA46" s="252">
        <f t="shared" si="37"/>
        <v>2.3358208162534382</v>
      </c>
      <c r="AB46" s="252">
        <f t="shared" si="41"/>
        <v>0.43239955487212783</v>
      </c>
      <c r="AC46" s="248">
        <f t="shared" si="38"/>
        <v>5.350515940817794</v>
      </c>
      <c r="AD46" s="380">
        <f>1000000*(P46-AL45)*I46/Data!D$48</f>
        <v>7.2220921160029802E-2</v>
      </c>
      <c r="AE46" s="381">
        <f>1-AD46-Data!D$13</f>
        <v>0.43177907883997024</v>
      </c>
      <c r="AF46" s="215">
        <f>(AD46-Data!D$27)/(1-Data!D$27-Data!D$19-Data!D$13)</f>
        <v>0.23756881960536116</v>
      </c>
      <c r="AG46" s="33">
        <f>Data!D$29*AF46</f>
        <v>0.23756881960536116</v>
      </c>
      <c r="AH46" s="33">
        <f>Data!D$28*(1-AF46)</f>
        <v>0.76243118039463886</v>
      </c>
      <c r="AI46" s="246">
        <f t="shared" si="42"/>
        <v>2949.4365970039521</v>
      </c>
      <c r="AJ46" s="268">
        <f t="shared" si="39"/>
        <v>0.25906010359102377</v>
      </c>
      <c r="AK46" s="313">
        <f t="shared" si="43"/>
        <v>40.886377819428397</v>
      </c>
      <c r="AL46" s="313">
        <f t="shared" si="44"/>
        <v>21.898104226926364</v>
      </c>
      <c r="AM46" s="313">
        <f t="shared" si="45"/>
        <v>563.84056568764925</v>
      </c>
    </row>
    <row r="47" spans="2:39" x14ac:dyDescent="0.25">
      <c r="B47" s="1">
        <f t="shared" si="40"/>
        <v>2600</v>
      </c>
      <c r="C47" s="170">
        <f t="shared" si="27"/>
        <v>1.4375038599999999</v>
      </c>
      <c r="D47" s="122">
        <v>130.56901157613501</v>
      </c>
      <c r="E47">
        <f t="shared" si="28"/>
        <v>0.60869846859999999</v>
      </c>
      <c r="F47">
        <f t="shared" si="29"/>
        <v>1.854604E-2</v>
      </c>
      <c r="G47" s="122">
        <f t="shared" si="30"/>
        <v>6.4707384482873432E-3</v>
      </c>
      <c r="H47" s="184">
        <f t="shared" si="31"/>
        <v>1.7970400000000001E-2</v>
      </c>
      <c r="I47" s="184">
        <f t="shared" si="32"/>
        <v>7.0394992787015933E-3</v>
      </c>
      <c r="J47" s="155">
        <f>Data!D$14</f>
        <v>1.49E-5</v>
      </c>
      <c r="K47" s="387">
        <f>L47/Data!D$21</f>
        <v>0.14495007612575372</v>
      </c>
      <c r="L47" s="252">
        <f t="shared" si="33"/>
        <v>0.18814519881122835</v>
      </c>
      <c r="M47" s="252">
        <f>Data!D$21-L47</f>
        <v>1.1098548011887717</v>
      </c>
      <c r="N47" s="299">
        <v>11</v>
      </c>
      <c r="O47" s="300">
        <f>30.4*Data!N$5*Data!O$5/5.615</f>
        <v>47.102404274265361</v>
      </c>
      <c r="P47" s="300">
        <f t="shared" si="34"/>
        <v>58.102404274265361</v>
      </c>
      <c r="Q47" s="301"/>
      <c r="R47" s="302"/>
      <c r="S47" s="303"/>
      <c r="T47" s="304"/>
      <c r="U47" s="305"/>
      <c r="V47" s="298"/>
      <c r="W47" s="377">
        <f>Data!D$42/(141.2*C47*E47*LN(Data!D$47))</f>
        <v>0.12648501696033851</v>
      </c>
      <c r="X47" s="378">
        <f>W47*(B47-Data!D$43)</f>
        <v>75.89101017620311</v>
      </c>
      <c r="Y47" s="379">
        <f t="shared" si="35"/>
        <v>2.2543851211753604E-2</v>
      </c>
      <c r="Z47" s="379">
        <f t="shared" si="36"/>
        <v>2.5597466991913516E-2</v>
      </c>
      <c r="AA47" s="252">
        <f t="shared" si="37"/>
        <v>2.3565840426724751</v>
      </c>
      <c r="AB47" s="252">
        <f t="shared" si="41"/>
        <v>0.49060655288226745</v>
      </c>
      <c r="AC47" s="248">
        <f t="shared" si="38"/>
        <v>5.4087229388279336</v>
      </c>
      <c r="AD47" s="380">
        <f>1000000*(P47-AL46)*I47/Data!D$48</f>
        <v>7.6418424009147917E-2</v>
      </c>
      <c r="AE47" s="381">
        <f>1-AD47-Data!D$13</f>
        <v>0.42758157599085211</v>
      </c>
      <c r="AF47" s="215">
        <f>(AD47-Data!D$27)/(1-Data!D$27-Data!D$19-Data!D$13)</f>
        <v>0.25137639476693391</v>
      </c>
      <c r="AG47" s="33">
        <f>Data!D$29*AF47</f>
        <v>0.25137639476693391</v>
      </c>
      <c r="AH47" s="33">
        <f>Data!D$28*(1-AF47)</f>
        <v>0.74862360523306615</v>
      </c>
      <c r="AI47" s="246">
        <f t="shared" si="42"/>
        <v>3055.7357503620242</v>
      </c>
      <c r="AJ47" s="268">
        <f t="shared" si="39"/>
        <v>0.23190287292651204</v>
      </c>
      <c r="AK47" s="313">
        <f t="shared" si="43"/>
        <v>41.527170217839263</v>
      </c>
      <c r="AL47" s="313">
        <f t="shared" si="44"/>
        <v>22.012225758255099</v>
      </c>
      <c r="AM47" s="313">
        <f t="shared" si="45"/>
        <v>564.48135808606014</v>
      </c>
    </row>
    <row r="48" spans="2:39" x14ac:dyDescent="0.25">
      <c r="B48" s="1">
        <f t="shared" si="40"/>
        <v>2500</v>
      </c>
      <c r="C48" s="170">
        <f t="shared" si="27"/>
        <v>1.43903286</v>
      </c>
      <c r="D48" s="122">
        <v>131.56901157613501</v>
      </c>
      <c r="E48">
        <f t="shared" si="28"/>
        <v>0.60315417859999998</v>
      </c>
      <c r="F48">
        <f t="shared" si="29"/>
        <v>1.831004E-2</v>
      </c>
      <c r="G48" s="122">
        <f t="shared" si="30"/>
        <v>6.736048153923738E-3</v>
      </c>
      <c r="H48" s="184">
        <f t="shared" si="31"/>
        <v>1.7750000000000002E-2</v>
      </c>
      <c r="I48" s="184">
        <f t="shared" si="32"/>
        <v>7.2978579810583713E-3</v>
      </c>
      <c r="J48" s="155">
        <f>Data!D$14</f>
        <v>1.49E-5</v>
      </c>
      <c r="K48" s="387">
        <f>L48/Data!D$21</f>
        <v>0.14620984369627957</v>
      </c>
      <c r="L48" s="252">
        <f t="shared" si="33"/>
        <v>0.18978037711777088</v>
      </c>
      <c r="M48" s="252">
        <f>Data!D$21-L48</f>
        <v>1.1082196228822292</v>
      </c>
      <c r="N48" s="299">
        <v>12</v>
      </c>
      <c r="O48" s="300">
        <f>30.4*Data!N$5*Data!O$5/5.615</f>
        <v>47.102404274265361</v>
      </c>
      <c r="P48" s="300">
        <f t="shared" si="34"/>
        <v>59.102404274265361</v>
      </c>
      <c r="Q48" s="301"/>
      <c r="R48" s="302"/>
      <c r="S48" s="303"/>
      <c r="T48" s="304"/>
      <c r="U48" s="305"/>
      <c r="V48" s="298"/>
      <c r="W48" s="377">
        <f>Data!D$42/(141.2*C48*E48*LN(Data!D$47))</f>
        <v>0.1275120594187312</v>
      </c>
      <c r="X48" s="378">
        <f>W48*(B48-Data!D$43)</f>
        <v>63.756029709365599</v>
      </c>
      <c r="Y48" s="379">
        <f t="shared" si="35"/>
        <v>2.3983963097004873E-2</v>
      </c>
      <c r="Z48" s="379">
        <f t="shared" si="36"/>
        <v>2.7232645298456034E-2</v>
      </c>
      <c r="AA48" s="252">
        <f t="shared" si="37"/>
        <v>2.3777289869098985</v>
      </c>
      <c r="AB48" s="252">
        <f t="shared" si="41"/>
        <v>0.55952131307662423</v>
      </c>
      <c r="AC48" s="248">
        <f t="shared" si="38"/>
        <v>5.4776376990222904</v>
      </c>
      <c r="AD48" s="380">
        <f>1000000*(P48-AL47)*I48/Data!D$48</f>
        <v>8.1161578285710384E-2</v>
      </c>
      <c r="AE48" s="381">
        <f>1-AD48-Data!D$13</f>
        <v>0.42283842171428965</v>
      </c>
      <c r="AF48" s="215">
        <f>(AD48-Data!D$27)/(1-Data!D$27-Data!D$19-Data!D$13)</f>
        <v>0.26697887593983677</v>
      </c>
      <c r="AG48" s="33">
        <f>Data!D$29*AF48</f>
        <v>0.26697887593983677</v>
      </c>
      <c r="AH48" s="33">
        <f>Data!D$28*(1-AF48)</f>
        <v>0.73302112406016318</v>
      </c>
      <c r="AI48" s="246">
        <f t="shared" si="42"/>
        <v>3179.1863019619855</v>
      </c>
      <c r="AJ48" s="268">
        <f t="shared" si="39"/>
        <v>0.20269229631949651</v>
      </c>
      <c r="AK48" s="313">
        <f t="shared" si="43"/>
        <v>41.394890822328321</v>
      </c>
      <c r="AL48" s="313">
        <f t="shared" si="44"/>
        <v>21.988667539998477</v>
      </c>
      <c r="AM48" s="313">
        <f t="shared" si="45"/>
        <v>564.34907869054916</v>
      </c>
    </row>
    <row r="50" spans="2:39" ht="15.75" x14ac:dyDescent="0.25">
      <c r="B50" s="157"/>
      <c r="C50" s="186"/>
      <c r="D50" s="7"/>
      <c r="E50" s="7"/>
      <c r="F50" s="7"/>
      <c r="G50" s="7"/>
      <c r="H50" s="7"/>
      <c r="I50" s="2"/>
    </row>
    <row r="51" spans="2:39" ht="18.75" x14ac:dyDescent="0.3">
      <c r="B51" s="99"/>
      <c r="C51" s="185"/>
      <c r="D51" s="7"/>
      <c r="E51" s="7"/>
      <c r="F51" s="7"/>
      <c r="G51" s="7"/>
      <c r="H51" s="63"/>
      <c r="I51" s="63"/>
      <c r="J51" s="99"/>
      <c r="K51" s="24"/>
      <c r="L51" s="24"/>
      <c r="M51" s="24"/>
      <c r="N51" s="21"/>
      <c r="O51" s="21"/>
      <c r="P51" s="21"/>
      <c r="Q51" s="24"/>
      <c r="R51" s="24"/>
      <c r="S51" s="21"/>
      <c r="T51" s="21"/>
      <c r="U51" s="99"/>
      <c r="V51" s="167"/>
      <c r="W51" s="185"/>
      <c r="X51" s="185"/>
      <c r="Y51" s="5"/>
      <c r="Z51" s="5"/>
      <c r="AA51" s="5"/>
      <c r="AB51" s="5"/>
      <c r="AC51" s="24"/>
      <c r="AD51" s="21"/>
      <c r="AE51" s="209"/>
      <c r="AF51" s="99"/>
      <c r="AG51" s="99"/>
      <c r="AH51" s="99"/>
      <c r="AI51" s="21"/>
      <c r="AJ51" s="21"/>
      <c r="AK51" s="21"/>
      <c r="AL51" s="21"/>
      <c r="AM51" s="21"/>
    </row>
    <row r="52" spans="2:39" x14ac:dyDescent="0.25">
      <c r="B52" s="7"/>
      <c r="C52" s="186"/>
      <c r="D52" s="7"/>
      <c r="E52" s="7"/>
      <c r="F52" s="7"/>
      <c r="G52" s="7"/>
      <c r="H52" s="2"/>
      <c r="I52" s="2"/>
      <c r="J52" s="7"/>
      <c r="K52" s="7"/>
      <c r="L52" s="7"/>
      <c r="M52" s="7"/>
      <c r="N52" s="161"/>
      <c r="O52" s="161"/>
      <c r="P52" s="161"/>
      <c r="Q52" s="20"/>
      <c r="R52" s="20"/>
      <c r="S52" s="161"/>
      <c r="T52" s="2"/>
      <c r="U52" s="164"/>
      <c r="V52" s="164"/>
      <c r="W52" s="186"/>
      <c r="X52" s="186"/>
      <c r="Y52" s="7"/>
      <c r="Z52" s="7"/>
      <c r="AA52" s="7"/>
      <c r="AB52" s="7"/>
      <c r="AC52" s="7"/>
      <c r="AD52" s="161"/>
      <c r="AE52" s="210"/>
      <c r="AI52" s="161"/>
      <c r="AJ52" s="161"/>
      <c r="AK52" s="161"/>
      <c r="AL52" s="161"/>
      <c r="AM52" s="161"/>
    </row>
    <row r="53" spans="2:39" ht="15.75" x14ac:dyDescent="0.25">
      <c r="B53" s="157"/>
      <c r="C53" s="186"/>
      <c r="D53" s="7"/>
      <c r="E53" s="7"/>
      <c r="F53" s="7"/>
      <c r="G53" s="7"/>
      <c r="H53" s="7"/>
      <c r="I53" s="2"/>
      <c r="J53" s="7"/>
      <c r="K53" s="7"/>
      <c r="L53" s="7"/>
      <c r="M53" s="7"/>
      <c r="N53" s="161"/>
      <c r="O53" s="7"/>
      <c r="P53" s="7"/>
      <c r="Q53" s="20"/>
      <c r="R53" s="20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2:39" x14ac:dyDescent="0.25">
      <c r="B54" s="169"/>
      <c r="C54" s="186"/>
      <c r="D54" s="122"/>
      <c r="E54"/>
      <c r="F54"/>
      <c r="G54" s="122"/>
      <c r="H54" s="184"/>
      <c r="I54" s="184"/>
      <c r="J54" s="20"/>
      <c r="K54" s="103"/>
      <c r="L54" s="7"/>
      <c r="M54" s="134"/>
      <c r="N54" s="204"/>
      <c r="O54" s="204"/>
      <c r="P54" s="204"/>
      <c r="Q54" s="159"/>
      <c r="R54" s="159"/>
      <c r="S54" s="134"/>
      <c r="T54" s="134"/>
      <c r="U54" s="165"/>
      <c r="W54" s="188"/>
      <c r="X54" s="188"/>
      <c r="Y54" s="134"/>
      <c r="Z54" s="134"/>
      <c r="AA54" s="134"/>
      <c r="AB54" s="134"/>
      <c r="AC54" s="134"/>
      <c r="AD54" s="204"/>
      <c r="AE54" s="211"/>
      <c r="AF54" s="7"/>
      <c r="AG54" s="7"/>
      <c r="AH54" s="7"/>
      <c r="AI54" s="161"/>
      <c r="AJ54" s="161"/>
      <c r="AK54" s="161"/>
      <c r="AL54" s="161"/>
      <c r="AM54" s="161"/>
    </row>
    <row r="55" spans="2:39" x14ac:dyDescent="0.25">
      <c r="B55" s="168"/>
      <c r="C55" s="186"/>
      <c r="D55" s="122"/>
      <c r="E55"/>
      <c r="F55"/>
      <c r="G55" s="122"/>
      <c r="H55" s="184"/>
      <c r="I55" s="184"/>
      <c r="J55" s="155"/>
      <c r="K55" s="251"/>
      <c r="L55" s="252"/>
      <c r="M55" s="252"/>
      <c r="N55" s="296"/>
      <c r="O55" s="297"/>
      <c r="P55" s="297"/>
      <c r="Q55" s="301"/>
      <c r="R55" s="302"/>
      <c r="S55" s="303"/>
      <c r="T55" s="304"/>
      <c r="U55" s="305"/>
      <c r="V55" s="298"/>
      <c r="W55" s="306"/>
      <c r="X55" s="307"/>
      <c r="Y55" s="253"/>
      <c r="Z55" s="253"/>
      <c r="AA55" s="253"/>
      <c r="AB55" s="254"/>
      <c r="AC55" s="248"/>
      <c r="AD55" s="247"/>
      <c r="AE55" s="308"/>
      <c r="AF55" s="7"/>
      <c r="AG55" s="7"/>
      <c r="AH55" s="7"/>
      <c r="AI55" s="161"/>
      <c r="AJ55" s="161"/>
      <c r="AK55" s="161"/>
      <c r="AL55" s="161"/>
      <c r="AM55" s="161"/>
    </row>
    <row r="56" spans="2:39" x14ac:dyDescent="0.25">
      <c r="B56" s="169"/>
      <c r="C56" s="170"/>
      <c r="D56" s="122"/>
      <c r="E56"/>
      <c r="F56"/>
      <c r="G56" s="122"/>
      <c r="H56" s="184"/>
      <c r="I56" s="184"/>
      <c r="J56" s="155"/>
      <c r="K56" s="102"/>
      <c r="L56" s="133"/>
      <c r="M56" s="133"/>
      <c r="N56" s="205"/>
      <c r="O56" s="206"/>
      <c r="P56" s="206"/>
      <c r="Q56" s="160"/>
      <c r="R56" s="163"/>
      <c r="S56" s="158"/>
      <c r="T56" s="162"/>
      <c r="U56" s="166"/>
      <c r="V56" s="199"/>
      <c r="W56" s="188"/>
      <c r="X56" s="188"/>
      <c r="Y56" s="134"/>
      <c r="Z56" s="134"/>
      <c r="AA56" s="134"/>
      <c r="AB56" s="142"/>
      <c r="AC56" s="143"/>
      <c r="AD56" s="207"/>
      <c r="AE56" s="212"/>
      <c r="AF56" s="120"/>
      <c r="AG56" s="10"/>
      <c r="AH56" s="10"/>
      <c r="AI56" s="217"/>
      <c r="AJ56" s="217"/>
      <c r="AK56" s="217"/>
      <c r="AL56" s="217"/>
      <c r="AM56" s="217"/>
    </row>
    <row r="57" spans="2:39" x14ac:dyDescent="0.25">
      <c r="B57" s="168"/>
      <c r="C57" s="170"/>
      <c r="D57" s="122"/>
      <c r="E57"/>
      <c r="F57"/>
      <c r="G57" s="122"/>
      <c r="H57" s="184"/>
      <c r="I57" s="184"/>
      <c r="J57" s="155"/>
      <c r="K57" s="102"/>
      <c r="L57" s="133"/>
      <c r="M57" s="252"/>
      <c r="N57" s="299"/>
      <c r="O57" s="300"/>
      <c r="P57" s="206"/>
      <c r="Q57" s="160"/>
      <c r="R57" s="163"/>
      <c r="S57" s="158"/>
      <c r="T57" s="162"/>
      <c r="U57" s="305"/>
      <c r="V57" s="298"/>
      <c r="W57" s="188"/>
      <c r="X57" s="188"/>
      <c r="Y57" s="241"/>
      <c r="Z57" s="134"/>
      <c r="AA57" s="134"/>
      <c r="AB57" s="142"/>
      <c r="AC57" s="143"/>
      <c r="AD57" s="207"/>
      <c r="AE57" s="212"/>
      <c r="AF57" s="120"/>
      <c r="AG57" s="10"/>
      <c r="AH57" s="10"/>
      <c r="AI57" s="217"/>
      <c r="AJ57" s="217"/>
      <c r="AK57" s="217"/>
      <c r="AL57" s="217"/>
      <c r="AM57" s="217"/>
    </row>
    <row r="58" spans="2:39" x14ac:dyDescent="0.25">
      <c r="B58" s="169"/>
      <c r="C58" s="170"/>
      <c r="D58" s="122"/>
      <c r="E58"/>
      <c r="F58"/>
      <c r="G58" s="122"/>
      <c r="H58" s="184"/>
      <c r="I58" s="184"/>
      <c r="J58" s="155"/>
      <c r="K58" s="102"/>
      <c r="L58" s="133"/>
      <c r="M58" s="133"/>
      <c r="N58" s="205"/>
      <c r="O58" s="206"/>
      <c r="P58" s="206"/>
      <c r="Q58" s="160"/>
      <c r="R58" s="163"/>
      <c r="S58" s="158"/>
      <c r="T58" s="162"/>
      <c r="U58" s="166"/>
      <c r="V58" s="199"/>
      <c r="W58" s="188"/>
      <c r="X58" s="188"/>
      <c r="Y58" s="134"/>
      <c r="Z58" s="134"/>
      <c r="AA58" s="134"/>
      <c r="AB58" s="142"/>
      <c r="AC58" s="143"/>
      <c r="AD58" s="207"/>
      <c r="AE58" s="212"/>
      <c r="AF58" s="120"/>
      <c r="AG58" s="10"/>
      <c r="AH58" s="10"/>
      <c r="AI58" s="217"/>
      <c r="AJ58" s="217"/>
      <c r="AK58" s="217"/>
      <c r="AL58" s="217"/>
      <c r="AM58" s="217"/>
    </row>
    <row r="59" spans="2:39" x14ac:dyDescent="0.25">
      <c r="B59" s="168"/>
      <c r="C59" s="170"/>
      <c r="D59" s="122"/>
      <c r="E59"/>
      <c r="F59"/>
      <c r="G59" s="122"/>
      <c r="H59" s="184"/>
      <c r="I59" s="184"/>
      <c r="J59" s="155"/>
      <c r="K59" s="102"/>
      <c r="L59" s="133"/>
      <c r="M59" s="252"/>
      <c r="N59" s="299"/>
      <c r="O59" s="300"/>
      <c r="P59" s="206"/>
      <c r="Q59" s="160"/>
      <c r="R59" s="163"/>
      <c r="S59" s="158"/>
      <c r="T59" s="162"/>
      <c r="U59" s="305"/>
      <c r="V59" s="298"/>
      <c r="W59" s="188"/>
      <c r="X59" s="188"/>
      <c r="Y59" s="241"/>
      <c r="Z59" s="134"/>
      <c r="AA59" s="134"/>
      <c r="AB59" s="142"/>
      <c r="AC59" s="143"/>
      <c r="AD59" s="207"/>
      <c r="AE59" s="212"/>
      <c r="AF59" s="120"/>
      <c r="AG59" s="10"/>
      <c r="AH59" s="10"/>
      <c r="AI59" s="217"/>
      <c r="AJ59" s="217"/>
      <c r="AK59" s="217"/>
      <c r="AL59" s="217"/>
      <c r="AM59" s="217"/>
    </row>
    <row r="60" spans="2:39" x14ac:dyDescent="0.25">
      <c r="B60" s="169"/>
      <c r="C60" s="170"/>
      <c r="D60" s="122"/>
      <c r="E60"/>
      <c r="F60"/>
      <c r="G60" s="122"/>
      <c r="H60" s="184"/>
      <c r="I60" s="184"/>
      <c r="J60" s="155"/>
      <c r="K60" s="102"/>
      <c r="L60" s="133"/>
      <c r="M60" s="133"/>
      <c r="N60" s="205"/>
      <c r="O60" s="206"/>
      <c r="P60" s="206"/>
      <c r="Q60" s="160"/>
      <c r="R60" s="163"/>
      <c r="S60" s="158"/>
      <c r="T60" s="162"/>
      <c r="U60" s="166"/>
      <c r="V60" s="199"/>
      <c r="W60" s="188"/>
      <c r="X60" s="188"/>
      <c r="Y60" s="134"/>
      <c r="Z60" s="134"/>
      <c r="AA60" s="134"/>
      <c r="AB60" s="142"/>
      <c r="AC60" s="143"/>
      <c r="AD60" s="207"/>
      <c r="AE60" s="212"/>
      <c r="AF60" s="120"/>
      <c r="AG60" s="10"/>
      <c r="AH60" s="10"/>
      <c r="AI60" s="217"/>
      <c r="AJ60" s="217"/>
      <c r="AK60" s="217"/>
      <c r="AL60" s="217"/>
      <c r="AM60" s="217"/>
    </row>
    <row r="61" spans="2:39" x14ac:dyDescent="0.25">
      <c r="B61" s="168"/>
      <c r="C61" s="187"/>
      <c r="D61" s="122"/>
      <c r="E61"/>
      <c r="F61"/>
      <c r="G61" s="122"/>
      <c r="H61" s="184"/>
      <c r="I61" s="184"/>
      <c r="J61" s="155"/>
      <c r="K61" s="102"/>
      <c r="L61" s="133"/>
      <c r="M61" s="252"/>
      <c r="N61" s="299"/>
      <c r="O61" s="300"/>
      <c r="P61" s="206"/>
      <c r="Q61" s="160"/>
      <c r="R61" s="163"/>
      <c r="S61" s="158"/>
      <c r="T61" s="162"/>
      <c r="U61" s="305"/>
      <c r="V61" s="298"/>
      <c r="W61" s="188"/>
      <c r="X61" s="188"/>
      <c r="Y61" s="241"/>
      <c r="Z61" s="134"/>
      <c r="AA61" s="134"/>
      <c r="AB61" s="142"/>
      <c r="AC61" s="143"/>
      <c r="AD61" s="207"/>
      <c r="AE61" s="212"/>
      <c r="AF61" s="120"/>
      <c r="AG61" s="10"/>
      <c r="AH61" s="10"/>
      <c r="AI61" s="217"/>
      <c r="AJ61" s="217"/>
      <c r="AK61" s="217"/>
      <c r="AL61" s="217"/>
      <c r="AM61" s="217"/>
    </row>
    <row r="62" spans="2:39" x14ac:dyDescent="0.25">
      <c r="B62" s="169"/>
      <c r="C62" s="170"/>
      <c r="D62" s="122"/>
      <c r="E62"/>
      <c r="F62"/>
      <c r="G62" s="122"/>
      <c r="H62" s="184"/>
      <c r="I62" s="184"/>
      <c r="J62" s="155"/>
      <c r="K62" s="102"/>
      <c r="L62" s="133"/>
      <c r="M62" s="133"/>
      <c r="N62" s="205"/>
      <c r="O62" s="206"/>
      <c r="P62" s="206"/>
      <c r="Q62" s="160"/>
      <c r="R62" s="163"/>
      <c r="S62" s="158"/>
      <c r="T62" s="162"/>
      <c r="U62" s="166"/>
      <c r="V62" s="199"/>
      <c r="W62" s="188"/>
      <c r="X62" s="188"/>
      <c r="Y62" s="134"/>
      <c r="Z62" s="134"/>
      <c r="AA62" s="134"/>
      <c r="AB62" s="142"/>
      <c r="AC62" s="143"/>
      <c r="AD62" s="207"/>
      <c r="AE62" s="212"/>
      <c r="AF62" s="120"/>
      <c r="AG62" s="10"/>
      <c r="AH62" s="10"/>
      <c r="AI62" s="217"/>
      <c r="AJ62" s="217"/>
      <c r="AK62" s="217"/>
      <c r="AL62" s="217"/>
      <c r="AM62" s="217"/>
    </row>
    <row r="63" spans="2:39" x14ac:dyDescent="0.25">
      <c r="B63" s="168"/>
      <c r="C63" s="170"/>
      <c r="D63" s="122"/>
      <c r="E63"/>
      <c r="F63"/>
      <c r="G63" s="122"/>
      <c r="H63" s="184"/>
      <c r="I63" s="184"/>
      <c r="J63" s="155"/>
      <c r="K63" s="102"/>
      <c r="L63" s="133"/>
      <c r="M63" s="252"/>
      <c r="N63" s="299"/>
      <c r="O63" s="300"/>
      <c r="P63" s="206"/>
      <c r="Q63" s="160"/>
      <c r="R63" s="163"/>
      <c r="S63" s="158"/>
      <c r="T63" s="162"/>
      <c r="U63" s="305"/>
      <c r="V63" s="298"/>
      <c r="W63" s="188"/>
      <c r="X63" s="188"/>
      <c r="Y63" s="241"/>
      <c r="Z63" s="134"/>
      <c r="AA63" s="134"/>
      <c r="AB63" s="142"/>
      <c r="AC63" s="143"/>
      <c r="AD63" s="207"/>
      <c r="AE63" s="212"/>
      <c r="AF63" s="120"/>
      <c r="AG63" s="10"/>
      <c r="AH63" s="10"/>
      <c r="AI63" s="217"/>
      <c r="AJ63" s="217"/>
      <c r="AK63" s="217"/>
      <c r="AL63" s="217"/>
      <c r="AM63" s="217"/>
    </row>
    <row r="64" spans="2:39" x14ac:dyDescent="0.25">
      <c r="B64" s="169"/>
      <c r="C64" s="170"/>
      <c r="D64" s="122"/>
      <c r="E64"/>
      <c r="F64"/>
      <c r="G64" s="122"/>
      <c r="H64" s="184"/>
      <c r="I64" s="184"/>
      <c r="J64" s="155"/>
      <c r="K64" s="102"/>
      <c r="L64" s="133"/>
      <c r="M64" s="133"/>
      <c r="N64" s="205"/>
      <c r="O64" s="206"/>
      <c r="P64" s="206"/>
      <c r="Q64" s="160"/>
      <c r="R64" s="163"/>
      <c r="S64" s="158"/>
      <c r="T64" s="162"/>
      <c r="U64" s="166"/>
      <c r="V64" s="199"/>
      <c r="W64" s="188"/>
      <c r="X64" s="188"/>
      <c r="Y64" s="134"/>
      <c r="Z64" s="134"/>
      <c r="AA64" s="134"/>
      <c r="AB64" s="142"/>
      <c r="AC64" s="143"/>
      <c r="AD64" s="207"/>
      <c r="AE64" s="212"/>
      <c r="AF64" s="120"/>
      <c r="AG64" s="10"/>
      <c r="AH64" s="10"/>
      <c r="AI64" s="217"/>
      <c r="AJ64" s="217"/>
      <c r="AK64" s="217"/>
      <c r="AL64" s="217"/>
      <c r="AM64" s="217"/>
    </row>
    <row r="65" spans="2:39" x14ac:dyDescent="0.25">
      <c r="B65" s="168"/>
      <c r="C65" s="170"/>
      <c r="D65" s="122"/>
      <c r="E65"/>
      <c r="F65"/>
      <c r="G65" s="122"/>
      <c r="H65" s="184"/>
      <c r="I65" s="295"/>
      <c r="J65" s="155"/>
      <c r="K65" s="102"/>
      <c r="L65" s="133"/>
      <c r="M65" s="252"/>
      <c r="N65" s="296"/>
      <c r="O65" s="297"/>
      <c r="P65" s="319"/>
      <c r="Q65" s="160"/>
      <c r="R65" s="163"/>
      <c r="S65" s="158"/>
      <c r="T65" s="162"/>
      <c r="U65" s="305"/>
      <c r="V65" s="298"/>
      <c r="W65" s="195"/>
      <c r="X65" s="198"/>
      <c r="Y65" s="241"/>
      <c r="Z65" s="134"/>
      <c r="AA65" s="134"/>
      <c r="AB65" s="142"/>
      <c r="AC65" s="143"/>
      <c r="AD65" s="208"/>
      <c r="AE65" s="320"/>
      <c r="AF65" s="215"/>
      <c r="AG65" s="216"/>
      <c r="AH65" s="216"/>
      <c r="AI65" s="193"/>
      <c r="AJ65" s="218"/>
      <c r="AK65" s="193"/>
      <c r="AL65" s="193"/>
      <c r="AM65" s="193"/>
    </row>
    <row r="66" spans="2:39" x14ac:dyDescent="0.25">
      <c r="B66" s="169"/>
      <c r="C66" s="170"/>
      <c r="D66" s="122"/>
      <c r="E66"/>
      <c r="F66"/>
      <c r="G66" s="122"/>
      <c r="H66" s="184"/>
      <c r="I66" s="184"/>
      <c r="J66" s="155"/>
      <c r="K66" s="102"/>
      <c r="L66" s="133"/>
      <c r="M66" s="133"/>
      <c r="N66" s="205"/>
      <c r="O66" s="206"/>
      <c r="P66" s="206"/>
      <c r="Q66" s="160"/>
      <c r="R66" s="163"/>
      <c r="S66" s="158"/>
      <c r="T66" s="162"/>
      <c r="U66" s="166"/>
      <c r="V66" s="199"/>
      <c r="W66" s="188"/>
      <c r="X66" s="188"/>
      <c r="Y66" s="134"/>
      <c r="Z66" s="134"/>
      <c r="AA66" s="134"/>
      <c r="AB66" s="142"/>
      <c r="AC66" s="143"/>
      <c r="AD66" s="207"/>
      <c r="AE66" s="212"/>
      <c r="AF66" s="120"/>
      <c r="AG66" s="10"/>
      <c r="AH66" s="10"/>
      <c r="AI66" s="217"/>
      <c r="AJ66" s="217"/>
      <c r="AK66" s="217"/>
      <c r="AL66" s="217"/>
      <c r="AM66" s="217"/>
    </row>
    <row r="67" spans="2:39" x14ac:dyDescent="0.25">
      <c r="N67" s="191"/>
      <c r="O67" s="191"/>
      <c r="P67" s="191"/>
      <c r="AD67" s="191"/>
      <c r="AE67" s="214"/>
      <c r="AF67" s="120"/>
      <c r="AG67" s="10"/>
      <c r="AH67" s="10"/>
      <c r="AI67" s="217"/>
      <c r="AJ67" s="217"/>
      <c r="AK67" s="219"/>
      <c r="AL67" s="219"/>
      <c r="AM67" s="219"/>
    </row>
    <row r="68" spans="2:39" ht="15.75" x14ac:dyDescent="0.25">
      <c r="B68" s="74"/>
      <c r="N68" s="191"/>
      <c r="O68" s="191"/>
      <c r="P68" s="191"/>
      <c r="AD68" s="191"/>
      <c r="AE68" s="214"/>
      <c r="AF68" s="120"/>
      <c r="AG68" s="10"/>
      <c r="AH68" s="10"/>
      <c r="AI68" s="217"/>
      <c r="AJ68" s="217"/>
      <c r="AK68" s="217"/>
      <c r="AL68" s="217"/>
      <c r="AM68" s="217"/>
    </row>
    <row r="69" spans="2:39" x14ac:dyDescent="0.25">
      <c r="N69" s="191"/>
      <c r="O69" s="191"/>
      <c r="P69" s="191"/>
      <c r="AD69" s="191"/>
      <c r="AE69" s="214"/>
      <c r="AF69" s="120"/>
      <c r="AG69" s="10"/>
      <c r="AH69" s="10"/>
      <c r="AI69" s="217"/>
      <c r="AJ69" s="217"/>
      <c r="AK69" s="217"/>
      <c r="AL69" s="217"/>
      <c r="AM69" s="217"/>
    </row>
    <row r="70" spans="2:39" ht="18.75" x14ac:dyDescent="0.3">
      <c r="B70" s="5"/>
      <c r="C70" s="185"/>
      <c r="D70" s="7"/>
      <c r="E70" s="7"/>
      <c r="F70" s="7"/>
      <c r="G70" s="7"/>
      <c r="H70" s="63"/>
      <c r="I70" s="63"/>
      <c r="J70" s="99"/>
      <c r="K70" s="24"/>
      <c r="L70" s="24"/>
      <c r="M70" s="24"/>
      <c r="N70" s="21"/>
      <c r="O70" s="21"/>
      <c r="P70" s="21"/>
      <c r="Q70" s="24"/>
      <c r="R70" s="24"/>
      <c r="S70" s="21"/>
      <c r="T70" s="21"/>
      <c r="U70" s="99"/>
      <c r="V70" s="167"/>
      <c r="W70" s="185"/>
      <c r="X70" s="185"/>
      <c r="Y70" s="5"/>
      <c r="Z70" s="5"/>
      <c r="AA70" s="5"/>
      <c r="AB70" s="5"/>
      <c r="AC70" s="5"/>
      <c r="AD70" s="21"/>
      <c r="AE70" s="185"/>
      <c r="AF70" s="99"/>
      <c r="AG70" s="99"/>
      <c r="AH70" s="99"/>
      <c r="AI70" s="21"/>
      <c r="AJ70" s="21"/>
      <c r="AK70" s="21"/>
      <c r="AL70" s="21"/>
      <c r="AM70" s="21"/>
    </row>
    <row r="71" spans="2:39" x14ac:dyDescent="0.25">
      <c r="C71" s="186"/>
      <c r="D71" s="7"/>
      <c r="E71" s="7"/>
      <c r="F71" s="7"/>
      <c r="G71" s="7"/>
      <c r="H71" s="2"/>
      <c r="I71" s="2"/>
      <c r="J71" s="7"/>
      <c r="K71" s="7"/>
      <c r="L71" s="7"/>
      <c r="M71" s="7"/>
      <c r="N71" s="161"/>
      <c r="O71" s="161"/>
      <c r="P71" s="161"/>
      <c r="Q71" s="20"/>
      <c r="R71" s="20"/>
      <c r="S71" s="161"/>
      <c r="T71" s="2"/>
      <c r="U71" s="164"/>
      <c r="V71" s="164"/>
      <c r="W71" s="186"/>
      <c r="X71" s="186"/>
      <c r="Y71" s="7"/>
      <c r="Z71" s="7"/>
      <c r="AA71" s="7"/>
      <c r="AB71" s="7"/>
      <c r="AD71" s="191"/>
      <c r="AE71" s="214"/>
      <c r="AF71" s="120"/>
      <c r="AG71" s="10"/>
      <c r="AH71" s="10"/>
      <c r="AI71" s="191"/>
      <c r="AJ71" s="161"/>
      <c r="AK71" s="161"/>
      <c r="AL71" s="161"/>
      <c r="AM71" s="161"/>
    </row>
    <row r="72" spans="2:39" x14ac:dyDescent="0.25">
      <c r="K72" s="7"/>
      <c r="L72" s="7"/>
      <c r="M72" s="47"/>
      <c r="O72" s="7"/>
      <c r="P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2:39" x14ac:dyDescent="0.25">
      <c r="C73" s="170"/>
      <c r="D73" s="122"/>
      <c r="E73"/>
      <c r="F73"/>
      <c r="G73" s="122"/>
      <c r="H73" s="184"/>
      <c r="I73" s="184"/>
      <c r="J73" s="155"/>
      <c r="K73" s="203"/>
      <c r="L73" s="201"/>
      <c r="M73" s="201"/>
      <c r="N73" s="205"/>
      <c r="O73" s="206"/>
      <c r="P73" s="206"/>
      <c r="Q73" s="160"/>
      <c r="R73" s="163"/>
      <c r="S73" s="158"/>
      <c r="T73" s="162"/>
      <c r="U73" s="166"/>
      <c r="V73" s="199"/>
      <c r="W73" s="195"/>
      <c r="X73" s="198"/>
      <c r="Y73" s="105"/>
      <c r="Z73" s="105"/>
      <c r="AA73" s="201"/>
      <c r="AB73" s="202"/>
      <c r="AC73" s="202"/>
      <c r="AD73" s="317"/>
      <c r="AE73" s="327"/>
      <c r="AF73" s="120"/>
      <c r="AG73" s="8"/>
      <c r="AH73" s="8"/>
      <c r="AI73" s="246"/>
      <c r="AJ73" s="268"/>
      <c r="AK73" s="313"/>
      <c r="AL73" s="313"/>
      <c r="AM73" s="313"/>
    </row>
    <row r="74" spans="2:39" x14ac:dyDescent="0.25">
      <c r="C74" s="170"/>
      <c r="D74" s="122"/>
      <c r="E74"/>
      <c r="F74"/>
      <c r="G74" s="122"/>
      <c r="H74" s="184"/>
      <c r="I74" s="184"/>
      <c r="J74" s="155"/>
      <c r="K74" s="203"/>
      <c r="L74" s="201"/>
      <c r="M74" s="201"/>
      <c r="N74" s="205"/>
      <c r="O74" s="206"/>
      <c r="P74" s="206"/>
      <c r="Q74" s="160"/>
      <c r="R74" s="163"/>
      <c r="S74" s="158"/>
      <c r="T74" s="162"/>
      <c r="U74" s="166"/>
      <c r="V74" s="199"/>
      <c r="W74" s="195"/>
      <c r="X74" s="198"/>
      <c r="Y74" s="105"/>
      <c r="Z74" s="105"/>
      <c r="AA74" s="201"/>
      <c r="AB74" s="202"/>
      <c r="AC74" s="202"/>
      <c r="AD74" s="317"/>
      <c r="AE74" s="327"/>
      <c r="AF74" s="120"/>
      <c r="AG74" s="8"/>
      <c r="AH74" s="8"/>
      <c r="AI74" s="246"/>
      <c r="AJ74" s="268"/>
      <c r="AK74" s="313"/>
      <c r="AL74" s="313"/>
      <c r="AM74" s="313"/>
    </row>
    <row r="75" spans="2:39" x14ac:dyDescent="0.25">
      <c r="C75" s="170"/>
      <c r="D75" s="122"/>
      <c r="E75"/>
      <c r="F75"/>
      <c r="G75" s="122"/>
      <c r="H75" s="184"/>
      <c r="I75" s="184"/>
      <c r="J75" s="155"/>
      <c r="K75" s="203"/>
      <c r="L75" s="201"/>
      <c r="M75" s="201"/>
      <c r="N75" s="205"/>
      <c r="O75" s="206"/>
      <c r="P75" s="206"/>
      <c r="Q75" s="160"/>
      <c r="R75" s="163"/>
      <c r="S75" s="158"/>
      <c r="T75" s="162"/>
      <c r="U75" s="166"/>
      <c r="V75" s="199"/>
      <c r="W75" s="195"/>
      <c r="X75" s="198"/>
      <c r="Y75" s="105"/>
      <c r="Z75" s="105"/>
      <c r="AA75" s="201"/>
      <c r="AB75" s="202"/>
      <c r="AC75" s="202"/>
      <c r="AD75" s="317"/>
      <c r="AE75" s="327"/>
      <c r="AF75" s="120"/>
      <c r="AG75" s="8"/>
      <c r="AH75" s="8"/>
      <c r="AI75" s="246"/>
      <c r="AJ75" s="268"/>
      <c r="AK75" s="313"/>
      <c r="AL75" s="313"/>
      <c r="AM75" s="313"/>
    </row>
    <row r="76" spans="2:39" x14ac:dyDescent="0.25">
      <c r="C76" s="170"/>
      <c r="D76" s="122"/>
      <c r="E76"/>
      <c r="F76"/>
      <c r="G76" s="122"/>
      <c r="H76" s="184"/>
      <c r="I76" s="184"/>
      <c r="J76" s="155"/>
      <c r="K76" s="203"/>
      <c r="L76" s="201"/>
      <c r="M76" s="201"/>
      <c r="N76" s="205"/>
      <c r="O76" s="206"/>
      <c r="P76" s="206"/>
      <c r="Q76" s="160"/>
      <c r="R76" s="163"/>
      <c r="S76" s="158"/>
      <c r="T76" s="162"/>
      <c r="U76" s="166"/>
      <c r="V76" s="199"/>
      <c r="W76" s="195"/>
      <c r="X76" s="198"/>
      <c r="Y76" s="105"/>
      <c r="Z76" s="105"/>
      <c r="AA76" s="201"/>
      <c r="AB76" s="202"/>
      <c r="AC76" s="202"/>
      <c r="AD76" s="317"/>
      <c r="AE76" s="327"/>
      <c r="AF76" s="120"/>
      <c r="AG76" s="8"/>
      <c r="AH76" s="8"/>
      <c r="AI76" s="246"/>
      <c r="AJ76" s="268"/>
      <c r="AK76" s="313"/>
      <c r="AL76" s="313"/>
      <c r="AM76" s="313"/>
    </row>
    <row r="77" spans="2:39" x14ac:dyDescent="0.25">
      <c r="C77" s="170"/>
      <c r="D77" s="122"/>
      <c r="E77"/>
      <c r="F77"/>
      <c r="G77" s="122"/>
      <c r="H77" s="184"/>
      <c r="I77" s="184"/>
      <c r="J77" s="155"/>
      <c r="K77" s="203"/>
      <c r="L77" s="201"/>
      <c r="M77" s="201"/>
      <c r="N77" s="205"/>
      <c r="O77" s="206"/>
      <c r="P77" s="206"/>
      <c r="Q77" s="160"/>
      <c r="R77" s="163"/>
      <c r="S77" s="158"/>
      <c r="T77" s="162"/>
      <c r="U77" s="166"/>
      <c r="V77" s="199"/>
      <c r="W77" s="195"/>
      <c r="X77" s="198"/>
      <c r="Y77" s="105"/>
      <c r="Z77" s="105"/>
      <c r="AA77" s="201"/>
      <c r="AB77" s="202"/>
      <c r="AC77" s="202"/>
      <c r="AD77" s="317"/>
      <c r="AE77" s="327"/>
      <c r="AF77" s="120"/>
      <c r="AG77" s="8"/>
      <c r="AH77" s="8"/>
      <c r="AI77" s="246"/>
      <c r="AJ77" s="268"/>
      <c r="AK77" s="313"/>
      <c r="AL77" s="313"/>
      <c r="AM77" s="313"/>
    </row>
    <row r="78" spans="2:39" x14ac:dyDescent="0.25">
      <c r="C78" s="170"/>
      <c r="D78" s="122"/>
      <c r="E78"/>
      <c r="F78"/>
      <c r="G78" s="122"/>
      <c r="H78" s="184"/>
      <c r="I78" s="184"/>
      <c r="J78" s="155"/>
      <c r="K78" s="203"/>
      <c r="L78" s="201"/>
      <c r="M78" s="201"/>
      <c r="N78" s="205"/>
      <c r="O78" s="206"/>
      <c r="P78" s="206"/>
      <c r="Q78" s="160"/>
      <c r="R78" s="163"/>
      <c r="S78" s="158"/>
      <c r="T78" s="162"/>
      <c r="U78" s="166"/>
      <c r="V78" s="199"/>
      <c r="W78" s="195"/>
      <c r="X78" s="198"/>
      <c r="Y78" s="105"/>
      <c r="Z78" s="105"/>
      <c r="AA78" s="201"/>
      <c r="AB78" s="202"/>
      <c r="AC78" s="202"/>
      <c r="AD78" s="317"/>
      <c r="AE78" s="327"/>
      <c r="AF78" s="120"/>
      <c r="AG78" s="8"/>
      <c r="AH78" s="8"/>
      <c r="AI78" s="246"/>
      <c r="AJ78" s="268"/>
      <c r="AK78" s="313"/>
      <c r="AL78" s="313"/>
      <c r="AM78" s="313"/>
    </row>
    <row r="79" spans="2:39" x14ac:dyDescent="0.25">
      <c r="C79" s="170"/>
      <c r="D79" s="122"/>
      <c r="E79"/>
      <c r="F79"/>
      <c r="G79" s="122"/>
      <c r="H79" s="184"/>
      <c r="I79" s="184"/>
      <c r="J79" s="155"/>
      <c r="K79" s="203"/>
      <c r="L79" s="201"/>
      <c r="M79" s="201"/>
      <c r="N79" s="205"/>
      <c r="O79" s="206"/>
      <c r="P79" s="206"/>
      <c r="Q79" s="160"/>
      <c r="R79" s="163"/>
      <c r="S79" s="158"/>
      <c r="T79" s="162"/>
      <c r="U79" s="166"/>
      <c r="V79" s="199"/>
      <c r="W79" s="195"/>
      <c r="X79" s="198"/>
      <c r="Y79" s="105"/>
      <c r="Z79" s="105"/>
      <c r="AA79" s="201"/>
      <c r="AB79" s="202"/>
      <c r="AC79" s="202"/>
      <c r="AD79" s="317"/>
      <c r="AE79" s="327"/>
      <c r="AF79" s="120"/>
      <c r="AG79" s="8"/>
      <c r="AH79" s="8"/>
      <c r="AI79" s="246"/>
      <c r="AJ79" s="268"/>
      <c r="AK79" s="313"/>
      <c r="AL79" s="313"/>
      <c r="AM79" s="313"/>
    </row>
    <row r="80" spans="2:39" x14ac:dyDescent="0.25">
      <c r="C80" s="170"/>
      <c r="D80" s="122"/>
      <c r="E80"/>
      <c r="F80"/>
      <c r="G80" s="122"/>
      <c r="H80" s="184"/>
      <c r="I80" s="184"/>
      <c r="J80" s="155"/>
      <c r="K80" s="203"/>
      <c r="L80" s="201"/>
      <c r="M80" s="201"/>
      <c r="N80" s="205"/>
      <c r="O80" s="206"/>
      <c r="P80" s="206"/>
      <c r="Q80" s="160"/>
      <c r="R80" s="163"/>
      <c r="S80" s="158"/>
      <c r="T80" s="162"/>
      <c r="U80" s="166"/>
      <c r="V80" s="199"/>
      <c r="W80" s="195"/>
      <c r="X80" s="198"/>
      <c r="Y80" s="105"/>
      <c r="Z80" s="105"/>
      <c r="AA80" s="201"/>
      <c r="AB80" s="202"/>
      <c r="AC80" s="202"/>
      <c r="AD80" s="317"/>
      <c r="AE80" s="327"/>
      <c r="AF80" s="120"/>
      <c r="AG80" s="8"/>
      <c r="AH80" s="8"/>
      <c r="AI80" s="246"/>
      <c r="AJ80" s="268"/>
      <c r="AK80" s="313"/>
      <c r="AL80" s="313"/>
      <c r="AM80" s="313"/>
    </row>
    <row r="81" spans="2:39" x14ac:dyDescent="0.25">
      <c r="C81" s="170"/>
      <c r="D81" s="122"/>
      <c r="E81"/>
      <c r="F81"/>
      <c r="G81" s="122"/>
      <c r="H81" s="184"/>
      <c r="I81" s="184"/>
      <c r="J81" s="155"/>
      <c r="K81" s="203"/>
      <c r="L81" s="201"/>
      <c r="M81" s="201"/>
      <c r="N81" s="205"/>
      <c r="O81" s="206"/>
      <c r="P81" s="206"/>
      <c r="Q81" s="160"/>
      <c r="R81" s="163"/>
      <c r="S81" s="158"/>
      <c r="T81" s="162"/>
      <c r="U81" s="166"/>
      <c r="V81" s="199"/>
      <c r="W81" s="195"/>
      <c r="X81" s="198"/>
      <c r="Y81" s="105"/>
      <c r="Z81" s="105"/>
      <c r="AA81" s="201"/>
      <c r="AB81" s="202"/>
      <c r="AC81" s="202"/>
      <c r="AD81" s="317"/>
      <c r="AE81" s="327"/>
      <c r="AF81" s="120"/>
      <c r="AG81" s="8"/>
      <c r="AH81" s="8"/>
      <c r="AI81" s="246"/>
      <c r="AJ81" s="268"/>
      <c r="AK81" s="313"/>
      <c r="AL81" s="313"/>
      <c r="AM81" s="313"/>
    </row>
    <row r="82" spans="2:39" x14ac:dyDescent="0.25">
      <c r="B82" s="5"/>
      <c r="C82" s="294"/>
      <c r="D82" s="122"/>
      <c r="E82" s="4"/>
      <c r="F82" s="4"/>
      <c r="G82" s="121"/>
      <c r="H82" s="295"/>
      <c r="I82" s="295"/>
      <c r="J82" s="155"/>
      <c r="K82" s="203"/>
      <c r="L82" s="201"/>
      <c r="M82" s="201"/>
      <c r="N82" s="321"/>
      <c r="O82" s="319"/>
      <c r="P82" s="319"/>
      <c r="Q82" s="322"/>
      <c r="R82" s="323"/>
      <c r="S82" s="324"/>
      <c r="T82" s="325"/>
      <c r="U82" s="326"/>
      <c r="V82" s="199"/>
      <c r="W82" s="195"/>
      <c r="X82" s="198"/>
      <c r="Y82" s="105"/>
      <c r="Z82" s="105"/>
      <c r="AA82" s="201"/>
      <c r="AB82" s="202"/>
      <c r="AC82" s="202"/>
      <c r="AD82" s="221"/>
      <c r="AE82" s="213"/>
      <c r="AF82" s="215"/>
      <c r="AG82" s="33"/>
      <c r="AH82" s="33"/>
      <c r="AI82" s="245"/>
      <c r="AJ82" s="218"/>
      <c r="AK82" s="220"/>
      <c r="AL82" s="220"/>
      <c r="AM82" s="220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494AE-85E6-44D9-A5CC-E26EF58A4308}">
  <dimension ref="A2:W67"/>
  <sheetViews>
    <sheetView topLeftCell="E29" workbookViewId="0">
      <selection activeCell="T54" sqref="T54"/>
    </sheetView>
  </sheetViews>
  <sheetFormatPr defaultRowHeight="15" x14ac:dyDescent="0.25"/>
  <cols>
    <col min="17" max="17" width="9.140625" style="1"/>
    <col min="18" max="18" width="10" style="1" customWidth="1"/>
  </cols>
  <sheetData>
    <row r="2" spans="2:23" x14ac:dyDescent="0.25">
      <c r="B2" s="417" t="s">
        <v>340</v>
      </c>
      <c r="C2" s="417" t="s">
        <v>0</v>
      </c>
      <c r="D2" s="417" t="s">
        <v>341</v>
      </c>
      <c r="E2" s="417" t="s">
        <v>342</v>
      </c>
      <c r="F2" s="417" t="s">
        <v>130</v>
      </c>
      <c r="G2" s="417" t="s">
        <v>54</v>
      </c>
      <c r="H2" s="417" t="s">
        <v>76</v>
      </c>
      <c r="I2" s="417" t="s">
        <v>131</v>
      </c>
      <c r="J2" s="417" t="s">
        <v>304</v>
      </c>
      <c r="K2" s="417" t="s">
        <v>343</v>
      </c>
      <c r="L2" s="417" t="s">
        <v>344</v>
      </c>
      <c r="M2" s="417" t="s">
        <v>345</v>
      </c>
      <c r="O2" s="5" t="s">
        <v>349</v>
      </c>
      <c r="P2" s="5" t="s">
        <v>0</v>
      </c>
      <c r="Q2" s="5" t="s">
        <v>130</v>
      </c>
      <c r="R2" s="5" t="s">
        <v>342</v>
      </c>
      <c r="S2" s="5" t="s">
        <v>345</v>
      </c>
      <c r="T2" s="5" t="s">
        <v>346</v>
      </c>
      <c r="U2" s="5" t="s">
        <v>344</v>
      </c>
      <c r="V2" s="5" t="s">
        <v>304</v>
      </c>
      <c r="W2" s="5" t="s">
        <v>131</v>
      </c>
    </row>
    <row r="3" spans="2:23" x14ac:dyDescent="0.25">
      <c r="B3" s="449">
        <v>1</v>
      </c>
      <c r="C3" s="420">
        <f>'Huff&amp;Puff_1st Cycle'!B20</f>
        <v>4746.8893226857899</v>
      </c>
      <c r="D3" s="418">
        <f>'Huff&amp;Puff_1st Cycle'!AE20</f>
        <v>0.44682297752686906</v>
      </c>
      <c r="E3" s="419">
        <f>'Huff&amp;Puff_1st Cycle'!AD20</f>
        <v>5.7177022473130952E-2</v>
      </c>
      <c r="F3" s="420">
        <f>'Huff&amp;Puff_1st Cycle'!AI20</f>
        <v>3231.7963553262794</v>
      </c>
      <c r="G3" s="421">
        <f>'Huff&amp;Puff_1st Cycle'!K20</f>
        <v>6.8911466348013262E-2</v>
      </c>
      <c r="H3" s="422">
        <f>'Huff&amp;Puff_1st Cycle'!L20</f>
        <v>8.9447083319721218E-2</v>
      </c>
      <c r="I3" s="418">
        <f>'Huff&amp;Puff_1st Cycle'!W20</f>
        <v>0.10826905045243319</v>
      </c>
      <c r="J3" s="423">
        <f>'Huff&amp;Puff_1st Cycle'!X20</f>
        <v>297.40309866511785</v>
      </c>
      <c r="K3" s="424">
        <f>'Huff&amp;Puff_1st Cycle'!AC20*12</f>
        <v>37.722260370084435</v>
      </c>
      <c r="L3" s="418">
        <f>'Huff&amp;Puff_1st Cycle'!AJ20</f>
        <v>0.96114625032866963</v>
      </c>
      <c r="M3" s="424">
        <f>'Huff&amp;Puff_1st Cycle'!AM20</f>
        <v>81.092614462831179</v>
      </c>
      <c r="O3" s="1">
        <v>0</v>
      </c>
      <c r="P3" s="1">
        <v>6000</v>
      </c>
      <c r="Q3" s="425">
        <v>665.53042957850005</v>
      </c>
      <c r="R3" s="1">
        <v>0</v>
      </c>
      <c r="S3" s="3">
        <v>0</v>
      </c>
      <c r="T3" s="19">
        <v>0</v>
      </c>
      <c r="U3" s="10">
        <v>0.26318095999999996</v>
      </c>
      <c r="V3" s="19">
        <v>391.99999999999994</v>
      </c>
      <c r="W3" s="10">
        <v>9.799999999999999E-2</v>
      </c>
    </row>
    <row r="4" spans="2:23" x14ac:dyDescent="0.25">
      <c r="B4" s="449"/>
      <c r="C4" s="420">
        <f>'Huff&amp;Puff_1st Cycle'!B41</f>
        <v>3500</v>
      </c>
      <c r="D4" s="418">
        <f>'Huff&amp;Puff_1st Cycle'!AE41</f>
        <v>0.4418338278044498</v>
      </c>
      <c r="E4" s="419">
        <f>'Huff&amp;Puff_1st Cycle'!AD41</f>
        <v>6.2166172195550221E-2</v>
      </c>
      <c r="F4" s="420">
        <f>'Huff&amp;Puff_1st Cycle'!AI41</f>
        <v>2927.9763624023467</v>
      </c>
      <c r="G4" s="421">
        <f>'Huff&amp;Puff_1st Cycle'!K41</f>
        <v>8.5978197617310459E-2</v>
      </c>
      <c r="H4" s="422">
        <f>'Huff&amp;Puff_1st Cycle'!L41</f>
        <v>0.11159970050726899</v>
      </c>
      <c r="I4" s="418">
        <f>'Huff&amp;Puff_1st Cycle'!W41</f>
        <v>0.11803177899177331</v>
      </c>
      <c r="J4" s="423">
        <f>'Huff&amp;Puff_1st Cycle'!X41</f>
        <v>177.04766848765996</v>
      </c>
      <c r="K4" s="424">
        <f>'Huff&amp;Puff_1st Cycle'!AC41*12</f>
        <v>40.860877911811642</v>
      </c>
      <c r="L4" s="418">
        <f>'Huff&amp;Puff_1st Cycle'!AJ41</f>
        <v>0.51839138835031517</v>
      </c>
      <c r="M4" s="424">
        <f>'Huff&amp;Puff_1st Cycle'!AM41</f>
        <v>130.58151373859505</v>
      </c>
      <c r="O4" s="1">
        <v>1</v>
      </c>
      <c r="P4" s="1">
        <v>5900</v>
      </c>
      <c r="Q4" s="425">
        <v>665.53042957850005</v>
      </c>
      <c r="R4" s="1">
        <v>0</v>
      </c>
      <c r="S4" s="3">
        <v>1.2856475371594682</v>
      </c>
      <c r="T4" s="19">
        <v>0.16375678430827301</v>
      </c>
      <c r="U4" s="10">
        <v>0.25811366786374051</v>
      </c>
      <c r="V4" s="19">
        <v>384.45242316384241</v>
      </c>
      <c r="W4" s="10">
        <v>9.8577544400985234E-2</v>
      </c>
    </row>
    <row r="5" spans="2:23" x14ac:dyDescent="0.25">
      <c r="B5" s="449">
        <v>2</v>
      </c>
      <c r="C5" s="420">
        <f>'Huff&amp;Puff_2nd Cycle'!B20</f>
        <v>4604.2146638657014</v>
      </c>
      <c r="D5" s="418">
        <f>'Huff&amp;Puff_2nd Cycle'!AE20</f>
        <v>0.43674797450850444</v>
      </c>
      <c r="E5" s="419">
        <f>'Huff&amp;Puff_2nd Cycle'!AD20</f>
        <v>6.7252025491495532E-2</v>
      </c>
      <c r="F5" s="420">
        <f>'Huff&amp;Puff_2nd Cycle'!AI20</f>
        <v>3740.0918705355593</v>
      </c>
      <c r="G5" s="421">
        <f>'Huff&amp;Puff_2nd Cycle'!K20</f>
        <v>8.5978197617310459E-2</v>
      </c>
      <c r="H5" s="422">
        <f>'Huff&amp;Puff_2nd Cycle'!L20</f>
        <v>0.11159970050726897</v>
      </c>
      <c r="I5" s="418">
        <f>'Huff&amp;Puff_2nd Cycle'!W20</f>
        <v>0.109289123360558</v>
      </c>
      <c r="J5" s="423">
        <f>'Huff&amp;Puff_2nd Cycle'!X20</f>
        <v>284.61233765659273</v>
      </c>
      <c r="K5" s="424">
        <f>'Huff&amp;Puff_2nd Cycle'!AC20*12</f>
        <v>43.360877911811649</v>
      </c>
      <c r="L5" s="418">
        <f>'Huff&amp;Puff_2nd Cycle'!AJ20</f>
        <v>1.0644762903235441</v>
      </c>
      <c r="M5" s="424">
        <f>'Huff&amp;Puff_2nd Cycle'!AM20</f>
        <v>130.58151373859505</v>
      </c>
      <c r="O5" s="1">
        <v>2</v>
      </c>
      <c r="P5" s="1">
        <v>5800</v>
      </c>
      <c r="Q5" s="425">
        <v>665.53042957850005</v>
      </c>
      <c r="R5" s="1">
        <v>0</v>
      </c>
      <c r="S5" s="3">
        <v>2.5680729254838957</v>
      </c>
      <c r="T5" s="19">
        <v>0.33041117030366957</v>
      </c>
      <c r="U5" s="10">
        <v>0.25299022478900912</v>
      </c>
      <c r="V5" s="19">
        <v>376.82121122018697</v>
      </c>
      <c r="W5" s="10">
        <v>9.9163476636891304E-2</v>
      </c>
    </row>
    <row r="6" spans="2:23" s="1" customFormat="1" x14ac:dyDescent="0.25">
      <c r="B6" s="449"/>
      <c r="C6" s="420">
        <f>'Huff&amp;Puff_2nd Cycle'!B36</f>
        <v>3700</v>
      </c>
      <c r="D6" s="418">
        <f>'Huff&amp;Puff_2nd Cycle'!AE36</f>
        <v>0.45371433746352086</v>
      </c>
      <c r="E6" s="419">
        <f>'Huff&amp;Puff_2nd Cycle'!AD36</f>
        <v>5.0285662536479092E-2</v>
      </c>
      <c r="F6" s="420">
        <f>'Huff&amp;Puff_2nd Cycle'!AI36</f>
        <v>2483.1400765202347</v>
      </c>
      <c r="G6" s="421">
        <f>'Huff&amp;Puff_2nd Cycle'!K36</f>
        <v>9.8172790875322075E-2</v>
      </c>
      <c r="H6" s="422">
        <f>'Huff&amp;Puff_2nd Cycle'!L36</f>
        <v>0.12742828255616806</v>
      </c>
      <c r="I6" s="418">
        <f>'Huff&amp;Puff_2nd Cycle'!W36</f>
        <v>0.11632727671459628</v>
      </c>
      <c r="J6" s="423">
        <f>'Huff&amp;Puff_2nd Cycle'!X36</f>
        <v>197.75637041481366</v>
      </c>
      <c r="K6" s="424">
        <f>'Huff&amp;Puff_2nd Cycle'!AC36*12</f>
        <v>45.542312150262859</v>
      </c>
      <c r="L6" s="418">
        <f>'Huff&amp;Puff_2nd Cycle'!AJ36</f>
        <v>0.49105676876420429</v>
      </c>
      <c r="M6" s="424">
        <f>'Huff&amp;Puff_2nd Cycle'!AM36</f>
        <v>212.65299115335819</v>
      </c>
      <c r="O6" s="1">
        <v>3</v>
      </c>
      <c r="P6" s="1">
        <v>5700</v>
      </c>
      <c r="Q6" s="425">
        <v>665.53042957850005</v>
      </c>
      <c r="R6" s="1">
        <v>0</v>
      </c>
      <c r="S6" s="3">
        <v>3.8472652345211427</v>
      </c>
      <c r="T6" s="19">
        <v>0.50012079545660748</v>
      </c>
      <c r="U6" s="10">
        <v>0.24780938334811295</v>
      </c>
      <c r="V6" s="19">
        <v>369.10450616359282</v>
      </c>
      <c r="W6" s="10">
        <v>9.9757974638808866E-2</v>
      </c>
    </row>
    <row r="7" spans="2:23" s="1" customFormat="1" x14ac:dyDescent="0.25">
      <c r="B7" s="449">
        <v>3</v>
      </c>
      <c r="C7" s="420">
        <f>'Huff&amp;Puff_3rd Cycle'!B20</f>
        <v>4666.5467006080735</v>
      </c>
      <c r="D7" s="418">
        <f>'Huff&amp;Puff_3rd Cycle'!AE20</f>
        <v>0.42422199256383586</v>
      </c>
      <c r="E7" s="419">
        <f>'Huff&amp;Puff_3rd Cycle'!AD20</f>
        <v>7.9778007436164131E-2</v>
      </c>
      <c r="F7" s="420">
        <f>'Huff&amp;Puff_3rd Cycle'!AI20</f>
        <v>4551.9206648858453</v>
      </c>
      <c r="G7" s="421">
        <f>'Huff&amp;Puff_3rd Cycle'!K20</f>
        <v>9.8172790875322075E-2</v>
      </c>
      <c r="H7" s="422">
        <f>'Huff&amp;Puff_3rd Cycle'!L20</f>
        <v>0.12742828255616806</v>
      </c>
      <c r="I7" s="418">
        <f>'Huff&amp;Puff_3rd Cycle'!W20</f>
        <v>0.10884066241775406</v>
      </c>
      <c r="J7" s="423">
        <f>'Huff&amp;Puff_3rd Cycle'!X20</f>
        <v>290.22870926205923</v>
      </c>
      <c r="K7" s="424">
        <f>'Huff&amp;Puff_3rd Cycle'!AC20*12</f>
        <v>48.042312150262859</v>
      </c>
      <c r="L7" s="418">
        <f>'Huff&amp;Puff_3rd Cycle'!AJ20</f>
        <v>1.3210980592331134</v>
      </c>
      <c r="M7" s="424">
        <f>'Huff&amp;Puff_3rd Cycle'!AM20</f>
        <v>212.65299115335819</v>
      </c>
      <c r="O7" s="1">
        <v>4</v>
      </c>
      <c r="P7" s="1">
        <v>5600</v>
      </c>
      <c r="Q7" s="425">
        <v>665.53042957850005</v>
      </c>
      <c r="R7" s="1">
        <v>0</v>
      </c>
      <c r="S7" s="3">
        <v>5.1232118064069176</v>
      </c>
      <c r="T7" s="19">
        <v>0.67305624703904188</v>
      </c>
      <c r="U7" s="10">
        <v>0.24256986064403993</v>
      </c>
      <c r="V7" s="19">
        <v>361.30039715815178</v>
      </c>
      <c r="W7" s="10">
        <v>0.10036122143281993</v>
      </c>
    </row>
    <row r="8" spans="2:23" s="1" customFormat="1" x14ac:dyDescent="0.25">
      <c r="B8" s="449"/>
      <c r="C8" s="420">
        <f>'Huff&amp;Puff_3rd Cycle'!B38</f>
        <v>3550</v>
      </c>
      <c r="D8" s="418">
        <f>'Huff&amp;Puff_3rd Cycle'!AE38</f>
        <v>0.45843757250855344</v>
      </c>
      <c r="E8" s="419">
        <f>'Huff&amp;Puff_3rd Cycle'!AD38</f>
        <v>4.5562427491446525E-2</v>
      </c>
      <c r="F8" s="420">
        <f>'Huff&amp;Puff_3rd Cycle'!AI38</f>
        <v>2243.478885865055</v>
      </c>
      <c r="G8" s="421">
        <f>'Huff&amp;Puff_3rd Cycle'!K38</f>
        <v>0.11299608054875901</v>
      </c>
      <c r="H8" s="422">
        <f>'Huff&amp;Puff_3rd Cycle'!L38</f>
        <v>0.1466689125522892</v>
      </c>
      <c r="I8" s="418">
        <f>'Huff&amp;Puff_3rd Cycle'!W38</f>
        <v>0.11760019313335145</v>
      </c>
      <c r="J8" s="423">
        <f>'Huff&amp;Puff_3rd Cycle'!X38</f>
        <v>182.28029935669474</v>
      </c>
      <c r="K8" s="424">
        <f>'Huff&amp;Puff_3rd Cycle'!AC38*12</f>
        <v>50.767897890020734</v>
      </c>
      <c r="L8" s="418">
        <f>'Huff&amp;Puff_3rd Cycle'!AJ38</f>
        <v>0.40894200291590621</v>
      </c>
      <c r="M8" s="424">
        <f>'Huff&amp;Puff_3rd Cycle'!AM38</f>
        <v>328.62708268566303</v>
      </c>
      <c r="O8" s="1">
        <v>5</v>
      </c>
      <c r="P8" s="1">
        <v>5500</v>
      </c>
      <c r="Q8" s="425">
        <v>665.53042957850005</v>
      </c>
      <c r="R8" s="1">
        <v>0</v>
      </c>
      <c r="S8" s="3">
        <v>6.3958980663595177</v>
      </c>
      <c r="T8" s="19">
        <v>0.8494025218272816</v>
      </c>
      <c r="U8" s="10">
        <v>0.23727033703139247</v>
      </c>
      <c r="V8" s="19">
        <v>353.40691863235793</v>
      </c>
      <c r="W8" s="10">
        <v>0.10097340532353084</v>
      </c>
    </row>
    <row r="9" spans="2:23" s="1" customFormat="1" x14ac:dyDescent="0.25">
      <c r="B9" s="449">
        <v>4</v>
      </c>
      <c r="C9" s="420">
        <f>'Huff&amp;Puff_4th Cycle'!B20</f>
        <v>4334.9962334889406</v>
      </c>
      <c r="D9" s="418">
        <f>'Huff&amp;Puff_4th Cycle'!AE20</f>
        <v>0.40834444619552535</v>
      </c>
      <c r="E9" s="419">
        <f>'Huff&amp;Puff_4th Cycle'!AD20</f>
        <v>9.565555380447463E-2</v>
      </c>
      <c r="F9" s="420">
        <f>'Huff&amp;Puff_4th Cycle'!AI20</f>
        <v>5410.5424418878438</v>
      </c>
      <c r="G9" s="421">
        <f>'Huff&amp;Puff_4th Cycle'!K20</f>
        <v>0.11299608054875901</v>
      </c>
      <c r="H9" s="422">
        <f>'Huff&amp;Puff_4th Cycle'!L20</f>
        <v>0.1466689125522892</v>
      </c>
      <c r="I9" s="418">
        <f>'Huff&amp;Puff_4th Cycle'!W20</f>
        <v>0.11127775758310954</v>
      </c>
      <c r="J9" s="423">
        <f>'Huff&amp;Puff_4th Cycle'!X20</f>
        <v>259.83314482765616</v>
      </c>
      <c r="K9" s="424">
        <f>'Huff&amp;Puff_4th Cycle'!AC20*12</f>
        <v>53.647897890020744</v>
      </c>
      <c r="L9" s="418">
        <f>'Huff&amp;Puff_4th Cycle'!AJ20</f>
        <v>1.4058382578992246</v>
      </c>
      <c r="M9" s="424">
        <f>'Huff&amp;Puff_4th Cycle'!AM20</f>
        <v>328.62708268566303</v>
      </c>
      <c r="O9" s="1">
        <v>6</v>
      </c>
      <c r="P9" s="1">
        <v>5400</v>
      </c>
      <c r="Q9" s="425">
        <v>665.53042957850005</v>
      </c>
      <c r="R9" s="1">
        <v>0</v>
      </c>
      <c r="S9" s="3">
        <v>7.6653073057775716</v>
      </c>
      <c r="T9" s="19">
        <v>1.0293606974485539</v>
      </c>
      <c r="U9" s="10">
        <v>0.23190945478163197</v>
      </c>
      <c r="V9" s="19">
        <v>345.42204829103036</v>
      </c>
      <c r="W9" s="10">
        <v>0.10159472008559717</v>
      </c>
    </row>
    <row r="10" spans="2:23" s="1" customFormat="1" x14ac:dyDescent="0.25">
      <c r="B10" s="449"/>
      <c r="C10" s="420">
        <f>'Huff&amp;Puff_4th Cycle'!B39</f>
        <v>3400</v>
      </c>
      <c r="D10" s="418">
        <f>'Huff&amp;Puff_4th Cycle'!AE39</f>
        <v>0.45347924544280316</v>
      </c>
      <c r="E10" s="419">
        <f>'Huff&amp;Puff_4th Cycle'!AD39</f>
        <v>5.052075455719679E-2</v>
      </c>
      <c r="F10" s="420">
        <f>'Huff&amp;Puff_4th Cycle'!AI39</f>
        <v>2394.5454098007745</v>
      </c>
      <c r="G10" s="421">
        <f>'Huff&amp;Puff_4th Cycle'!K39</f>
        <v>0.12522937736464934</v>
      </c>
      <c r="H10" s="422">
        <f>'Huff&amp;Puff_4th Cycle'!L39</f>
        <v>0.16254773181931487</v>
      </c>
      <c r="I10" s="418">
        <f>'Huff&amp;Puff_4th Cycle'!W39</f>
        <v>0.11890614876304469</v>
      </c>
      <c r="J10" s="423">
        <f>'Huff&amp;Puff_4th Cycle'!X39</f>
        <v>166.46860826826256</v>
      </c>
      <c r="K10" s="424">
        <f>'Huff&amp;Puff_4th Cycle'!AC39*12</f>
        <v>56.13739663134799</v>
      </c>
      <c r="L10" s="418">
        <f>'Huff&amp;Puff_4th Cycle'!AJ39</f>
        <v>0.39861664180469136</v>
      </c>
      <c r="M10" s="424">
        <f>'Huff&amp;Puff_4th Cycle'!AM39</f>
        <v>440.88271045345772</v>
      </c>
      <c r="O10" s="1">
        <v>7</v>
      </c>
      <c r="P10" s="1">
        <v>5300</v>
      </c>
      <c r="Q10" s="425">
        <v>665.53042957850005</v>
      </c>
      <c r="R10" s="1">
        <v>0</v>
      </c>
      <c r="S10" s="3">
        <v>8.9314204330558979</v>
      </c>
      <c r="T10" s="19">
        <v>1.2131498532976346</v>
      </c>
      <c r="U10" s="10">
        <v>0.22648581668978526</v>
      </c>
      <c r="V10" s="19">
        <v>337.34370504004477</v>
      </c>
      <c r="W10" s="10">
        <v>0.10222536516364993</v>
      </c>
    </row>
    <row r="11" spans="2:23" s="1" customFormat="1" x14ac:dyDescent="0.25">
      <c r="B11" s="449">
        <v>5</v>
      </c>
      <c r="C11" s="420">
        <f>'Huff&amp;Puff_5th Cycle'!B20</f>
        <v>4138.1759339176751</v>
      </c>
      <c r="D11" s="418">
        <f>'Huff&amp;Puff_5th Cycle'!AE20</f>
        <v>0.40081634306693281</v>
      </c>
      <c r="E11" s="419">
        <f>'Huff&amp;Puff_5th Cycle'!AD20</f>
        <v>0.10318365693306719</v>
      </c>
      <c r="F11" s="420">
        <f>'Huff&amp;Puff_5th Cycle'!AI20</f>
        <v>5792.53836618073</v>
      </c>
      <c r="G11" s="421">
        <f>'Huff&amp;Puff_5th Cycle'!K20</f>
        <v>0.12522937736464934</v>
      </c>
      <c r="H11" s="422">
        <f>'Huff&amp;Puff_5th Cycle'!L20</f>
        <v>0.16254773181931484</v>
      </c>
      <c r="I11" s="418">
        <f>'Huff&amp;Puff_5th Cycle'!W20</f>
        <v>0.11278695778483505</v>
      </c>
      <c r="J11" s="423">
        <f>'Huff&amp;Puff_5th Cycle'!X20</f>
        <v>241.1583587953231</v>
      </c>
      <c r="K11" s="424">
        <f>'Huff&amp;Puff_5th Cycle'!AC20*12</f>
        <v>59.017396631347992</v>
      </c>
      <c r="L11" s="418">
        <f>'Huff&amp;Puff_5th Cycle'!AJ20</f>
        <v>1.396919045647087</v>
      </c>
      <c r="M11" s="424">
        <f>'Huff&amp;Puff_5th Cycle'!AM20</f>
        <v>440.88271045345772</v>
      </c>
      <c r="O11" s="1">
        <v>8</v>
      </c>
      <c r="P11" s="1">
        <v>5200</v>
      </c>
      <c r="Q11" s="425">
        <v>665.53042957850005</v>
      </c>
      <c r="R11" s="1">
        <v>0</v>
      </c>
      <c r="S11" s="3">
        <v>10.194215686187185</v>
      </c>
      <c r="T11" s="19">
        <v>1.4010092871236615</v>
      </c>
      <c r="U11" s="10">
        <v>0.22099798461959425</v>
      </c>
      <c r="V11" s="19">
        <v>329.16974681937836</v>
      </c>
      <c r="W11" s="10">
        <v>0.10286554588105574</v>
      </c>
    </row>
    <row r="12" spans="2:23" s="1" customFormat="1" x14ac:dyDescent="0.25">
      <c r="B12" s="449"/>
      <c r="C12" s="420">
        <f>'Huff&amp;Puff_5th Cycle'!B44</f>
        <v>2900</v>
      </c>
      <c r="D12" s="418">
        <f>'Huff&amp;Puff_5th Cycle'!AE38</f>
        <v>0.45398229462906636</v>
      </c>
      <c r="E12" s="419">
        <f>'Huff&amp;Puff_5th Cycle'!AD38</f>
        <v>5.0017705370933654E-2</v>
      </c>
      <c r="F12" s="420">
        <f>'Huff&amp;Puff_5th Cycle'!AI38</f>
        <v>2407.078015074675</v>
      </c>
      <c r="G12" s="421">
        <f>'Huff&amp;Puff_5th Cycle'!K38</f>
        <v>0.13349040680769922</v>
      </c>
      <c r="H12" s="422">
        <f>'Huff&amp;Puff_5th Cycle'!L38</f>
        <v>0.17327054803639358</v>
      </c>
      <c r="I12" s="418">
        <f>'Huff&amp;Puff_5th Cycle'!W38</f>
        <v>0.11803177899177331</v>
      </c>
      <c r="J12" s="423">
        <f>'Huff&amp;Puff_5th Cycle'!X38</f>
        <v>177.04766848765996</v>
      </c>
      <c r="K12" s="424">
        <f>'Huff&amp;Puff_5th Cycle'!AC38*12</f>
        <v>60.716712746967644</v>
      </c>
      <c r="L12" s="418">
        <f>'Huff&amp;Puff_5th Cycle'!AJ38</f>
        <v>0.4261675504368756</v>
      </c>
      <c r="M12" s="424">
        <f>'Huff&amp;Puff_5th Cycle'!AM38</f>
        <v>544.98173670490496</v>
      </c>
      <c r="O12" s="1">
        <v>9</v>
      </c>
      <c r="P12" s="1">
        <v>5100</v>
      </c>
      <c r="Q12" s="425">
        <v>665.53042957850005</v>
      </c>
      <c r="R12" s="1">
        <v>0</v>
      </c>
      <c r="S12" s="3">
        <v>11.453668299905182</v>
      </c>
      <c r="T12" s="19">
        <v>1.5932010836384567</v>
      </c>
      <c r="U12" s="10">
        <v>0.21544447798391256</v>
      </c>
      <c r="V12" s="19">
        <v>320.89796833970712</v>
      </c>
      <c r="W12" s="10">
        <v>0.10351547365797004</v>
      </c>
    </row>
    <row r="13" spans="2:23" s="1" customFormat="1" x14ac:dyDescent="0.25">
      <c r="O13" s="1">
        <v>10</v>
      </c>
      <c r="P13" s="1">
        <v>5000</v>
      </c>
      <c r="Q13" s="425">
        <v>665.53042957850005</v>
      </c>
      <c r="R13" s="1">
        <v>0</v>
      </c>
      <c r="S13" s="3">
        <v>12.709750118470792</v>
      </c>
      <c r="T13" s="19">
        <v>1.79001310443982</v>
      </c>
      <c r="U13" s="10">
        <v>0.20982377215696035</v>
      </c>
      <c r="V13" s="19">
        <v>312.52609871750775</v>
      </c>
      <c r="W13" s="10">
        <v>0.10417536623916925</v>
      </c>
    </row>
    <row r="14" spans="2:23" s="1" customFormat="1" x14ac:dyDescent="0.25">
      <c r="O14" s="1">
        <v>11</v>
      </c>
      <c r="P14" s="1">
        <v>4900</v>
      </c>
      <c r="Q14" s="425">
        <v>665.53042957850005</v>
      </c>
      <c r="R14" s="1">
        <v>0</v>
      </c>
      <c r="S14" s="3">
        <v>13.962429143101762</v>
      </c>
      <c r="T14" s="19">
        <v>1.9917624849979907</v>
      </c>
      <c r="U14" s="10">
        <v>0.20413429681484638</v>
      </c>
      <c r="V14" s="19">
        <v>304.05179900331609</v>
      </c>
      <c r="W14" s="10">
        <v>0.10484544793217797</v>
      </c>
    </row>
    <row r="15" spans="2:23" s="1" customFormat="1" x14ac:dyDescent="0.25">
      <c r="B15" s="425"/>
      <c r="C15" s="425"/>
      <c r="G15" s="448"/>
      <c r="H15" s="448"/>
      <c r="K15" s="448"/>
      <c r="L15" s="448"/>
      <c r="O15" s="1">
        <v>12</v>
      </c>
      <c r="P15" s="1">
        <v>4800</v>
      </c>
      <c r="Q15" s="425">
        <v>665.53042957850005</v>
      </c>
      <c r="R15" s="1">
        <v>0</v>
      </c>
      <c r="S15" s="3">
        <v>15.211669000359</v>
      </c>
      <c r="T15" s="19">
        <v>2.1987997455310486</v>
      </c>
      <c r="U15" s="10">
        <v>0.19837443420054554</v>
      </c>
      <c r="V15" s="19">
        <v>295.47265959746426</v>
      </c>
      <c r="W15" s="10">
        <v>0.10552594985623724</v>
      </c>
    </row>
    <row r="16" spans="2:23" s="1" customFormat="1" x14ac:dyDescent="0.25">
      <c r="O16" s="1">
        <v>13</v>
      </c>
      <c r="P16" s="1">
        <v>4700</v>
      </c>
      <c r="Q16" s="425">
        <v>665.53042957850005</v>
      </c>
      <c r="R16" s="1">
        <v>0</v>
      </c>
      <c r="S16" s="3">
        <v>16.457428314338117</v>
      </c>
      <c r="T16" s="19">
        <v>2.4115136498100878</v>
      </c>
      <c r="U16" s="10">
        <v>0.19254251730929026</v>
      </c>
      <c r="V16" s="19">
        <v>286.78619754727617</v>
      </c>
      <c r="W16" s="10">
        <v>0.10621711020269488</v>
      </c>
    </row>
    <row r="17" spans="1:23" s="1" customFormat="1" x14ac:dyDescent="0.25">
      <c r="G17" s="425"/>
      <c r="K17" s="425"/>
      <c r="O17" s="1">
        <v>14</v>
      </c>
      <c r="P17" s="1">
        <v>4600</v>
      </c>
      <c r="Q17" s="425">
        <v>665.53042957850005</v>
      </c>
      <c r="R17" s="1">
        <v>0</v>
      </c>
      <c r="S17" s="3">
        <v>17.699659961009132</v>
      </c>
      <c r="T17" s="19">
        <v>2.6303369813739104</v>
      </c>
      <c r="U17" s="10">
        <v>0.18663682799008105</v>
      </c>
      <c r="V17" s="19">
        <v>277.98985371932594</v>
      </c>
      <c r="W17" s="10">
        <v>0.10691917450743306</v>
      </c>
    </row>
    <row r="18" spans="1:23" s="1" customFormat="1" x14ac:dyDescent="0.25">
      <c r="G18" s="425"/>
      <c r="K18" s="425"/>
      <c r="O18" s="1">
        <v>15</v>
      </c>
      <c r="P18" s="1">
        <v>4500</v>
      </c>
      <c r="Q18" s="425">
        <v>665.53042957850005</v>
      </c>
      <c r="R18" s="1">
        <v>0</v>
      </c>
      <c r="S18" s="3">
        <v>18.938310177137648</v>
      </c>
      <c r="T18" s="19">
        <v>2.8557534532020794</v>
      </c>
      <c r="U18" s="10">
        <v>0.18065559495876005</v>
      </c>
      <c r="V18" s="19">
        <v>269.08098983997149</v>
      </c>
      <c r="W18" s="10">
        <v>0.1076323959359886</v>
      </c>
    </row>
    <row r="19" spans="1:23" s="1" customFormat="1" x14ac:dyDescent="0.25">
      <c r="G19" s="425"/>
      <c r="K19" s="425"/>
      <c r="O19" s="1">
        <v>16</v>
      </c>
      <c r="P19" s="1">
        <v>4400</v>
      </c>
      <c r="Q19" s="425">
        <v>665.53042957850005</v>
      </c>
      <c r="R19" s="1">
        <v>0</v>
      </c>
      <c r="S19" s="3">
        <v>20.173317488391788</v>
      </c>
      <c r="T19" s="19">
        <v>3.0883060286877608</v>
      </c>
      <c r="U19" s="10">
        <v>0.17459699171779997</v>
      </c>
      <c r="V19" s="19">
        <v>260.05688539694358</v>
      </c>
      <c r="W19" s="10">
        <v>0.10835703558205984</v>
      </c>
    </row>
    <row r="20" spans="1:23" s="1" customFormat="1" x14ac:dyDescent="0.25">
      <c r="G20" s="425"/>
      <c r="K20" s="425"/>
      <c r="O20" s="1">
        <v>17</v>
      </c>
      <c r="P20" s="1">
        <v>4300</v>
      </c>
      <c r="Q20" s="425">
        <v>665.53042957850005</v>
      </c>
      <c r="R20" s="1">
        <v>0</v>
      </c>
      <c r="S20" s="3">
        <v>21.404611410762545</v>
      </c>
      <c r="T20" s="19">
        <v>3.3286070146063427</v>
      </c>
      <c r="U20" s="10">
        <v>0.16845913437766039</v>
      </c>
      <c r="V20" s="19">
        <v>250.91473439432272</v>
      </c>
      <c r="W20" s="10">
        <v>0.10909336278014031</v>
      </c>
    </row>
    <row r="21" spans="1:23" s="1" customFormat="1" x14ac:dyDescent="0.25">
      <c r="G21" s="425"/>
      <c r="K21" s="425"/>
      <c r="O21" s="1">
        <v>18</v>
      </c>
      <c r="P21" s="425">
        <v>4200</v>
      </c>
      <c r="Q21" s="425">
        <v>665.53042957850005</v>
      </c>
      <c r="R21" s="1">
        <v>0</v>
      </c>
      <c r="S21" s="3">
        <v>22.632110865247054</v>
      </c>
      <c r="T21" s="19">
        <v>3.5773503991292137</v>
      </c>
      <c r="U21" s="10">
        <v>0.16224007937423232</v>
      </c>
      <c r="V21" s="19">
        <v>241.65164195274261</v>
      </c>
      <c r="W21" s="10">
        <v>0.10984165543306482</v>
      </c>
    </row>
    <row r="22" spans="1:23" s="1" customFormat="1" x14ac:dyDescent="0.25">
      <c r="O22" s="1">
        <v>19</v>
      </c>
      <c r="P22" s="1">
        <v>4100</v>
      </c>
      <c r="Q22" s="425">
        <v>665.53042957850005</v>
      </c>
      <c r="R22" s="1">
        <v>0</v>
      </c>
      <c r="S22" s="3">
        <v>23.855722226326375</v>
      </c>
      <c r="T22" s="19">
        <v>3.8353270621522899</v>
      </c>
      <c r="U22" s="10">
        <v>0.15593782107654292</v>
      </c>
      <c r="V22" s="19">
        <v>232.26462074613917</v>
      </c>
      <c r="W22" s="10">
        <v>0.11060220035530437</v>
      </c>
    </row>
    <row r="23" spans="1:23" s="1" customFormat="1" x14ac:dyDescent="0.25">
      <c r="O23" s="1">
        <v>20</v>
      </c>
      <c r="P23" s="1">
        <v>4000</v>
      </c>
      <c r="Q23" s="425">
        <v>665.53042957850005</v>
      </c>
      <c r="R23" s="1">
        <v>0</v>
      </c>
      <c r="S23" s="3">
        <v>25.075336897826919</v>
      </c>
      <c r="T23" s="19">
        <v>4.1034436997081887</v>
      </c>
      <c r="U23" s="10">
        <v>0.14955028927851383</v>
      </c>
      <c r="V23" s="19">
        <v>222.75058726580153</v>
      </c>
      <c r="W23" s="10">
        <v>0.11137529363290076</v>
      </c>
    </row>
    <row r="24" spans="1:23" s="1" customFormat="1" x14ac:dyDescent="0.25">
      <c r="O24" s="1">
        <v>21</v>
      </c>
      <c r="P24" s="1">
        <v>3900</v>
      </c>
      <c r="Q24" s="425">
        <v>665.53042957850005</v>
      </c>
      <c r="R24" s="1">
        <v>0</v>
      </c>
      <c r="S24" s="3">
        <v>26.290828271839814</v>
      </c>
      <c r="T24" s="19">
        <v>4.3827466068829164</v>
      </c>
      <c r="U24" s="10">
        <v>0.14307534656816429</v>
      </c>
      <c r="V24" s="19">
        <v>213.10635790188016</v>
      </c>
      <c r="W24" s="10">
        <v>0.11216124100098956</v>
      </c>
    </row>
    <row r="25" spans="1:23" x14ac:dyDescent="0.25">
      <c r="A25" s="1"/>
      <c r="B25" s="1"/>
      <c r="C25" s="1"/>
      <c r="D25" s="1"/>
      <c r="O25" s="1">
        <v>22</v>
      </c>
      <c r="P25" s="1">
        <v>3800</v>
      </c>
      <c r="Q25" s="425">
        <v>665.53042957850005</v>
      </c>
      <c r="R25" s="1">
        <v>0</v>
      </c>
      <c r="S25" s="3">
        <v>27.502047872187841</v>
      </c>
      <c r="T25" s="19">
        <v>4.6744518974366782</v>
      </c>
      <c r="U25" s="10">
        <v>0.13651078556721374</v>
      </c>
      <c r="V25" s="19">
        <v>203.32864483185938</v>
      </c>
      <c r="W25" s="10">
        <v>0.11296035823992187</v>
      </c>
    </row>
    <row r="26" spans="1:23" x14ac:dyDescent="0.25">
      <c r="B26" s="1"/>
      <c r="C26" s="1"/>
      <c r="D26" s="1"/>
      <c r="O26" s="1">
        <v>23</v>
      </c>
      <c r="P26" s="1">
        <v>3700</v>
      </c>
      <c r="Q26" s="425">
        <v>665.53042957850005</v>
      </c>
      <c r="R26" s="1">
        <v>0</v>
      </c>
      <c r="S26" s="3">
        <v>28.708820405174194</v>
      </c>
      <c r="T26" s="19">
        <v>4.9799843708252975</v>
      </c>
      <c r="U26" s="10">
        <v>0.12985432603357355</v>
      </c>
      <c r="V26" s="19">
        <v>193.41405170480732</v>
      </c>
      <c r="W26" s="10">
        <v>0.11377297159106313</v>
      </c>
    </row>
    <row r="27" spans="1:23" x14ac:dyDescent="0.25">
      <c r="O27" s="1">
        <v>24</v>
      </c>
      <c r="P27" s="1">
        <v>3600</v>
      </c>
      <c r="Q27" s="425">
        <v>665.53042957850005</v>
      </c>
      <c r="R27" s="1">
        <v>0</v>
      </c>
      <c r="S27" s="3">
        <v>29.910937323730074</v>
      </c>
      <c r="T27" s="19">
        <v>5.3010281772012293</v>
      </c>
      <c r="U27" s="10">
        <v>0.12310361181871605</v>
      </c>
      <c r="V27" s="19">
        <v>183.35906910947014</v>
      </c>
      <c r="W27" s="10">
        <v>0.11459941819341883</v>
      </c>
    </row>
    <row r="28" spans="1:23" x14ac:dyDescent="0.25">
      <c r="O28" s="1">
        <v>25</v>
      </c>
      <c r="P28" s="1">
        <v>3500</v>
      </c>
      <c r="Q28" s="425">
        <v>665.53042957850005</v>
      </c>
      <c r="R28" s="1">
        <v>0</v>
      </c>
      <c r="S28" s="3">
        <v>31.108148334807233</v>
      </c>
      <c r="T28" s="19">
        <v>5.6395938572316631</v>
      </c>
      <c r="U28" s="10">
        <v>0.11625620767136843</v>
      </c>
      <c r="V28" s="19">
        <v>173.16006981347141</v>
      </c>
      <c r="W28" s="10">
        <v>0.11544004654231428</v>
      </c>
    </row>
    <row r="29" spans="1:23" x14ac:dyDescent="0.25">
      <c r="O29" s="1">
        <v>26</v>
      </c>
      <c r="P29" s="1">
        <v>3400</v>
      </c>
      <c r="Q29" s="425">
        <v>665.53042957850005</v>
      </c>
      <c r="R29" s="1">
        <v>0</v>
      </c>
      <c r="S29" s="3">
        <v>32.300150007253215</v>
      </c>
      <c r="T29" s="19">
        <v>5.9981085490617545</v>
      </c>
      <c r="U29" s="10">
        <v>0.10930959587839868</v>
      </c>
      <c r="V29" s="19">
        <v>162.81330376001472</v>
      </c>
      <c r="W29" s="10">
        <v>0.11629521697143909</v>
      </c>
    </row>
    <row r="30" spans="1:23" x14ac:dyDescent="0.25">
      <c r="O30" s="1">
        <v>27</v>
      </c>
      <c r="P30" s="1">
        <v>3300</v>
      </c>
      <c r="Q30" s="425">
        <v>665.53042957850005</v>
      </c>
      <c r="R30" s="1">
        <v>0</v>
      </c>
      <c r="S30" s="3">
        <v>33.486570204863547</v>
      </c>
      <c r="T30" s="19">
        <v>6.3795396875415005</v>
      </c>
      <c r="U30" s="10">
        <v>0.1022611727331354</v>
      </c>
      <c r="V30" s="19">
        <v>152.31489280755369</v>
      </c>
      <c r="W30" s="10">
        <v>0.11716530215965668</v>
      </c>
    </row>
    <row r="31" spans="1:23" x14ac:dyDescent="0.25">
      <c r="O31" s="1">
        <v>28</v>
      </c>
      <c r="P31" s="1">
        <v>3200</v>
      </c>
      <c r="Q31" s="425">
        <v>665.53042957850005</v>
      </c>
      <c r="R31" s="1">
        <v>0</v>
      </c>
      <c r="S31" s="3">
        <v>34.666946362871144</v>
      </c>
      <c r="T31" s="19">
        <v>6.7875683233313335</v>
      </c>
      <c r="U31" s="10">
        <v>9.5108244820689206E-2</v>
      </c>
      <c r="V31" s="19">
        <v>141.66082519689178</v>
      </c>
      <c r="W31" s="10">
        <v>0.11805068766407648</v>
      </c>
    </row>
    <row r="32" spans="1:23" x14ac:dyDescent="0.25">
      <c r="O32" s="1">
        <v>29</v>
      </c>
      <c r="P32" s="1">
        <v>3100</v>
      </c>
      <c r="Q32" s="425">
        <v>665.53042957850005</v>
      </c>
      <c r="R32" s="1">
        <v>0</v>
      </c>
      <c r="S32" s="3">
        <v>35.840694433833384</v>
      </c>
      <c r="T32" s="19">
        <v>7.2268380465555033</v>
      </c>
      <c r="U32" s="10">
        <v>8.7848025109115394E-2</v>
      </c>
      <c r="V32" s="19">
        <v>130.84694972908844</v>
      </c>
      <c r="W32" s="10">
        <v>0.11895177248098948</v>
      </c>
    </row>
    <row r="33" spans="15:23" x14ac:dyDescent="0.25">
      <c r="O33" s="1">
        <v>30</v>
      </c>
      <c r="P33" s="1">
        <v>3000</v>
      </c>
      <c r="Q33" s="425">
        <v>665.53042957850005</v>
      </c>
      <c r="R33" s="1">
        <v>0</v>
      </c>
      <c r="S33" s="3">
        <v>37.007063239199134</v>
      </c>
      <c r="T33" s="19">
        <v>7.703322906243999</v>
      </c>
      <c r="U33" s="10">
        <v>8.0477628834474443E-2</v>
      </c>
      <c r="V33" s="19">
        <v>119.86896963638245</v>
      </c>
      <c r="W33" s="10">
        <v>0.11986896963638244</v>
      </c>
    </row>
    <row r="34" spans="15:23" x14ac:dyDescent="0.25">
      <c r="O34" s="1">
        <v>31</v>
      </c>
      <c r="P34" s="1">
        <v>2900</v>
      </c>
      <c r="Q34" s="425">
        <v>665.53042957850005</v>
      </c>
      <c r="R34" s="1">
        <v>0</v>
      </c>
      <c r="S34" s="3">
        <v>38.16506513648784</v>
      </c>
      <c r="T34" s="19">
        <v>8.2248898730920406</v>
      </c>
      <c r="U34" s="10">
        <v>7.299406916699791E-2</v>
      </c>
      <c r="V34" s="19">
        <v>108.72243612707842</v>
      </c>
      <c r="W34" s="10">
        <v>0.12080270680786491</v>
      </c>
    </row>
    <row r="35" spans="15:23" x14ac:dyDescent="0.25">
      <c r="O35" s="1">
        <v>32</v>
      </c>
      <c r="P35" s="1">
        <v>2700</v>
      </c>
      <c r="Q35" s="425">
        <v>665.53042957850005</v>
      </c>
      <c r="R35" s="1">
        <v>0</v>
      </c>
      <c r="S35" s="3">
        <v>40.315678053526952</v>
      </c>
      <c r="T35" s="19">
        <v>9.4508129530644673</v>
      </c>
      <c r="U35" s="10">
        <v>5.7674974359415654E-2</v>
      </c>
      <c r="V35" s="19">
        <v>85.90511239449441</v>
      </c>
      <c r="W35" s="10">
        <v>0.12272158913499202</v>
      </c>
    </row>
    <row r="36" spans="15:23" x14ac:dyDescent="0.25">
      <c r="O36" s="1">
        <v>33</v>
      </c>
      <c r="P36" s="1">
        <v>2500</v>
      </c>
      <c r="Q36" s="425">
        <v>665.53042957850005</v>
      </c>
      <c r="R36" s="1">
        <v>0</v>
      </c>
      <c r="S36" s="3">
        <v>42.364198339890734</v>
      </c>
      <c r="T36" s="19">
        <v>11.059536602672969</v>
      </c>
      <c r="U36" s="10">
        <v>4.1864624897393406E-2</v>
      </c>
      <c r="V36" s="19">
        <v>62.356079861469517</v>
      </c>
      <c r="W36" s="10">
        <v>0.12471215972293903</v>
      </c>
    </row>
    <row r="37" spans="15:23" x14ac:dyDescent="0.25">
      <c r="O37" s="1">
        <v>34</v>
      </c>
      <c r="P37" s="1">
        <v>2400</v>
      </c>
      <c r="Q37" s="425">
        <f>'SAT RES'!AH7</f>
        <v>665.53042957850005</v>
      </c>
      <c r="R37" s="1">
        <v>0</v>
      </c>
      <c r="S37" s="3">
        <v>43.44298331229691</v>
      </c>
      <c r="T37" s="19">
        <v>12.109893069726656</v>
      </c>
      <c r="U37" s="10">
        <v>3.3766539565259664E-2</v>
      </c>
      <c r="V37" s="19">
        <v>50.294229147814448</v>
      </c>
      <c r="W37" s="10">
        <v>0.12573557286953613</v>
      </c>
    </row>
    <row r="38" spans="15:23" x14ac:dyDescent="0.25">
      <c r="O38" s="1">
        <v>35</v>
      </c>
      <c r="P38" s="1">
        <v>2300</v>
      </c>
      <c r="Q38" s="425">
        <f>'SAT RES'!AH66</f>
        <v>1829.0450717290064</v>
      </c>
      <c r="R38" s="10">
        <f>'SAT RES'!M66</f>
        <v>9.5468715165146767E-3</v>
      </c>
      <c r="S38" s="3">
        <f>'SAT RES'!AK66</f>
        <v>61.277368193384149</v>
      </c>
      <c r="T38" s="19">
        <f>('SAT RES'!AG66)*12</f>
        <v>22.386982370470744</v>
      </c>
      <c r="U38" s="10">
        <f>'SAT RES'!AI66</f>
        <v>6.7464253476158045E-2</v>
      </c>
      <c r="V38" s="19">
        <f>'SAT RES'!AB66</f>
        <v>36.884959544700401</v>
      </c>
      <c r="W38" s="10">
        <f>'SAT RES'!AA66</f>
        <v>0.12294986514900133</v>
      </c>
    </row>
    <row r="39" spans="15:23" x14ac:dyDescent="0.25">
      <c r="O39" s="1">
        <v>36</v>
      </c>
      <c r="P39" s="1">
        <v>2200</v>
      </c>
      <c r="Q39" s="425">
        <f>'SAT RES'!AH101</f>
        <v>2694.1948117192896</v>
      </c>
      <c r="R39" s="10">
        <f>'SAT RES'!M101</f>
        <v>1.7053943069010535E-2</v>
      </c>
      <c r="S39" s="3">
        <f>'SAT RES'!AK101</f>
        <v>81.092614462831179</v>
      </c>
      <c r="T39" s="19">
        <f>('SAT RES'!AG101)*12</f>
        <v>31.922260370084437</v>
      </c>
      <c r="U39" s="10">
        <f>'SAT RES'!AI101</f>
        <v>6.5527762131883105E-2</v>
      </c>
      <c r="V39" s="19">
        <f>'SAT RES'!AB101</f>
        <v>24.321835171995904</v>
      </c>
      <c r="W39" s="10">
        <f>'SAT RES'!AA101</f>
        <v>0.12160917585997952</v>
      </c>
    </row>
    <row r="40" spans="15:23" x14ac:dyDescent="0.25">
      <c r="O40" s="425">
        <v>37</v>
      </c>
      <c r="P40" s="425">
        <f>C3</f>
        <v>4746.8893226857899</v>
      </c>
      <c r="Q40" s="425">
        <f>F3</f>
        <v>3231.7963553262794</v>
      </c>
      <c r="R40" s="10">
        <f>E3</f>
        <v>5.7177022473130952E-2</v>
      </c>
      <c r="S40" s="3">
        <f>M3</f>
        <v>81.092614462831179</v>
      </c>
      <c r="T40" s="19">
        <f>K3</f>
        <v>37.722260370084435</v>
      </c>
      <c r="U40" s="10">
        <f>L3</f>
        <v>0.96114625032866963</v>
      </c>
      <c r="V40" s="19">
        <f>J3</f>
        <v>297.40309866511785</v>
      </c>
      <c r="W40" s="10">
        <f>I3</f>
        <v>0.10826905045243319</v>
      </c>
    </row>
    <row r="41" spans="15:23" x14ac:dyDescent="0.25">
      <c r="O41" s="425">
        <v>38</v>
      </c>
      <c r="P41" s="425">
        <f t="shared" ref="P41:P49" si="0">C4</f>
        <v>3500</v>
      </c>
      <c r="Q41" s="425">
        <f t="shared" ref="Q41:Q49" si="1">F4</f>
        <v>2927.9763624023467</v>
      </c>
      <c r="R41" s="10">
        <f t="shared" ref="R41:R49" si="2">E4</f>
        <v>6.2166172195550221E-2</v>
      </c>
      <c r="S41" s="3">
        <f t="shared" ref="S41:S49" si="3">M4</f>
        <v>130.58151373859505</v>
      </c>
      <c r="T41" s="19">
        <f t="shared" ref="T41:T49" si="4">K4</f>
        <v>40.860877911811642</v>
      </c>
      <c r="U41" s="10">
        <f t="shared" ref="U41:U49" si="5">L4</f>
        <v>0.51839138835031517</v>
      </c>
      <c r="V41" s="19">
        <f t="shared" ref="V41:V49" si="6">J4</f>
        <v>177.04766848765996</v>
      </c>
      <c r="W41" s="10">
        <f t="shared" ref="W41:W49" si="7">I4</f>
        <v>0.11803177899177331</v>
      </c>
    </row>
    <row r="42" spans="15:23" x14ac:dyDescent="0.25">
      <c r="O42" s="425">
        <v>39</v>
      </c>
      <c r="P42" s="425">
        <f t="shared" si="0"/>
        <v>4604.2146638657014</v>
      </c>
      <c r="Q42" s="425">
        <f t="shared" si="1"/>
        <v>3740.0918705355593</v>
      </c>
      <c r="R42" s="10">
        <f t="shared" si="2"/>
        <v>6.7252025491495532E-2</v>
      </c>
      <c r="S42" s="3">
        <f t="shared" si="3"/>
        <v>130.58151373859505</v>
      </c>
      <c r="T42" s="19">
        <f t="shared" si="4"/>
        <v>43.360877911811649</v>
      </c>
      <c r="U42" s="10">
        <f t="shared" si="5"/>
        <v>1.0644762903235441</v>
      </c>
      <c r="V42" s="19">
        <f t="shared" si="6"/>
        <v>284.61233765659273</v>
      </c>
      <c r="W42" s="10">
        <f t="shared" si="7"/>
        <v>0.109289123360558</v>
      </c>
    </row>
    <row r="43" spans="15:23" x14ac:dyDescent="0.25">
      <c r="O43" s="425">
        <v>40</v>
      </c>
      <c r="P43" s="425">
        <f t="shared" si="0"/>
        <v>3700</v>
      </c>
      <c r="Q43" s="425">
        <f t="shared" si="1"/>
        <v>2483.1400765202347</v>
      </c>
      <c r="R43" s="10">
        <f t="shared" si="2"/>
        <v>5.0285662536479092E-2</v>
      </c>
      <c r="S43" s="3">
        <f t="shared" si="3"/>
        <v>212.65299115335819</v>
      </c>
      <c r="T43" s="19">
        <f t="shared" si="4"/>
        <v>45.542312150262859</v>
      </c>
      <c r="U43" s="10">
        <f t="shared" si="5"/>
        <v>0.49105676876420429</v>
      </c>
      <c r="V43" s="19">
        <f t="shared" si="6"/>
        <v>197.75637041481366</v>
      </c>
      <c r="W43" s="10">
        <f t="shared" si="7"/>
        <v>0.11632727671459628</v>
      </c>
    </row>
    <row r="44" spans="15:23" x14ac:dyDescent="0.25">
      <c r="O44" s="425">
        <v>41</v>
      </c>
      <c r="P44" s="425">
        <f t="shared" si="0"/>
        <v>4666.5467006080735</v>
      </c>
      <c r="Q44" s="425">
        <f t="shared" si="1"/>
        <v>4551.9206648858453</v>
      </c>
      <c r="R44" s="10">
        <f t="shared" si="2"/>
        <v>7.9778007436164131E-2</v>
      </c>
      <c r="S44" s="3">
        <f t="shared" si="3"/>
        <v>212.65299115335819</v>
      </c>
      <c r="T44" s="19">
        <f t="shared" si="4"/>
        <v>48.042312150262859</v>
      </c>
      <c r="U44" s="10">
        <f t="shared" si="5"/>
        <v>1.3210980592331134</v>
      </c>
      <c r="V44" s="19">
        <f t="shared" si="6"/>
        <v>290.22870926205923</v>
      </c>
      <c r="W44" s="10">
        <f t="shared" si="7"/>
        <v>0.10884066241775406</v>
      </c>
    </row>
    <row r="45" spans="15:23" x14ac:dyDescent="0.25">
      <c r="O45" s="425">
        <v>42</v>
      </c>
      <c r="P45" s="425">
        <f t="shared" si="0"/>
        <v>3550</v>
      </c>
      <c r="Q45" s="425">
        <f t="shared" si="1"/>
        <v>2243.478885865055</v>
      </c>
      <c r="R45" s="10">
        <f t="shared" si="2"/>
        <v>4.5562427491446525E-2</v>
      </c>
      <c r="S45" s="3">
        <f t="shared" si="3"/>
        <v>328.62708268566303</v>
      </c>
      <c r="T45" s="19">
        <f t="shared" si="4"/>
        <v>50.767897890020734</v>
      </c>
      <c r="U45" s="10">
        <f t="shared" si="5"/>
        <v>0.40894200291590621</v>
      </c>
      <c r="V45" s="19">
        <f t="shared" si="6"/>
        <v>182.28029935669474</v>
      </c>
      <c r="W45" s="10">
        <f t="shared" si="7"/>
        <v>0.11760019313335145</v>
      </c>
    </row>
    <row r="46" spans="15:23" x14ac:dyDescent="0.25">
      <c r="O46" s="425">
        <v>43</v>
      </c>
      <c r="P46" s="425">
        <f t="shared" si="0"/>
        <v>4334.9962334889406</v>
      </c>
      <c r="Q46" s="425">
        <f t="shared" si="1"/>
        <v>5410.5424418878438</v>
      </c>
      <c r="R46" s="10">
        <f t="shared" si="2"/>
        <v>9.565555380447463E-2</v>
      </c>
      <c r="S46" s="3">
        <f t="shared" si="3"/>
        <v>328.62708268566303</v>
      </c>
      <c r="T46" s="19">
        <f t="shared" si="4"/>
        <v>53.647897890020744</v>
      </c>
      <c r="U46" s="10">
        <f t="shared" si="5"/>
        <v>1.4058382578992246</v>
      </c>
      <c r="V46" s="19">
        <f t="shared" si="6"/>
        <v>259.83314482765616</v>
      </c>
      <c r="W46" s="10">
        <f t="shared" si="7"/>
        <v>0.11127775758310954</v>
      </c>
    </row>
    <row r="47" spans="15:23" x14ac:dyDescent="0.25">
      <c r="O47" s="425">
        <v>44</v>
      </c>
      <c r="P47" s="425">
        <f t="shared" si="0"/>
        <v>3400</v>
      </c>
      <c r="Q47" s="425">
        <f t="shared" si="1"/>
        <v>2394.5454098007745</v>
      </c>
      <c r="R47" s="10">
        <f t="shared" si="2"/>
        <v>5.052075455719679E-2</v>
      </c>
      <c r="S47" s="3">
        <f t="shared" si="3"/>
        <v>440.88271045345772</v>
      </c>
      <c r="T47" s="19">
        <f t="shared" si="4"/>
        <v>56.13739663134799</v>
      </c>
      <c r="U47" s="10">
        <f t="shared" si="5"/>
        <v>0.39861664180469136</v>
      </c>
      <c r="V47" s="19">
        <f t="shared" si="6"/>
        <v>166.46860826826256</v>
      </c>
      <c r="W47" s="10">
        <f t="shared" si="7"/>
        <v>0.11890614876304469</v>
      </c>
    </row>
    <row r="48" spans="15:23" x14ac:dyDescent="0.25">
      <c r="O48" s="425">
        <v>45</v>
      </c>
      <c r="P48" s="425">
        <f t="shared" si="0"/>
        <v>4138.1759339176751</v>
      </c>
      <c r="Q48" s="425">
        <f t="shared" si="1"/>
        <v>5792.53836618073</v>
      </c>
      <c r="R48" s="10">
        <f t="shared" si="2"/>
        <v>0.10318365693306719</v>
      </c>
      <c r="S48" s="3">
        <f t="shared" si="3"/>
        <v>440.88271045345772</v>
      </c>
      <c r="T48" s="19">
        <f t="shared" si="4"/>
        <v>59.017396631347992</v>
      </c>
      <c r="U48" s="10">
        <f t="shared" si="5"/>
        <v>1.396919045647087</v>
      </c>
      <c r="V48" s="19">
        <f t="shared" si="6"/>
        <v>241.1583587953231</v>
      </c>
      <c r="W48" s="10">
        <f t="shared" si="7"/>
        <v>0.11278695778483505</v>
      </c>
    </row>
    <row r="49" spans="15:23" x14ac:dyDescent="0.25">
      <c r="O49" s="425">
        <v>46</v>
      </c>
      <c r="P49" s="425">
        <f t="shared" si="0"/>
        <v>2900</v>
      </c>
      <c r="Q49" s="425">
        <f t="shared" si="1"/>
        <v>2407.078015074675</v>
      </c>
      <c r="R49" s="10">
        <f t="shared" si="2"/>
        <v>5.0017705370933654E-2</v>
      </c>
      <c r="S49" s="3">
        <f t="shared" si="3"/>
        <v>544.98173670490496</v>
      </c>
      <c r="T49" s="19">
        <f t="shared" si="4"/>
        <v>60.716712746967644</v>
      </c>
      <c r="U49" s="10">
        <f t="shared" si="5"/>
        <v>0.4261675504368756</v>
      </c>
      <c r="V49" s="19">
        <f t="shared" si="6"/>
        <v>177.04766848765996</v>
      </c>
      <c r="W49" s="10">
        <f t="shared" si="7"/>
        <v>0.11803177899177331</v>
      </c>
    </row>
    <row r="50" spans="15:23" x14ac:dyDescent="0.25">
      <c r="P50" s="1"/>
    </row>
    <row r="51" spans="15:23" x14ac:dyDescent="0.25">
      <c r="P51" s="1"/>
    </row>
    <row r="52" spans="15:23" x14ac:dyDescent="0.25">
      <c r="P52" s="1"/>
    </row>
    <row r="53" spans="15:23" x14ac:dyDescent="0.25">
      <c r="P53" s="1"/>
    </row>
    <row r="54" spans="15:23" x14ac:dyDescent="0.25">
      <c r="P54" s="1"/>
    </row>
    <row r="55" spans="15:23" x14ac:dyDescent="0.25">
      <c r="P55" s="1"/>
    </row>
    <row r="56" spans="15:23" x14ac:dyDescent="0.25">
      <c r="P56" s="1"/>
    </row>
    <row r="57" spans="15:23" x14ac:dyDescent="0.25">
      <c r="P57" s="1"/>
    </row>
    <row r="58" spans="15:23" x14ac:dyDescent="0.25">
      <c r="P58" s="1"/>
    </row>
    <row r="59" spans="15:23" x14ac:dyDescent="0.25">
      <c r="P59" s="1"/>
    </row>
    <row r="60" spans="15:23" x14ac:dyDescent="0.25">
      <c r="P60" s="1"/>
    </row>
    <row r="61" spans="15:23" x14ac:dyDescent="0.25">
      <c r="P61" s="1"/>
    </row>
    <row r="62" spans="15:23" x14ac:dyDescent="0.25">
      <c r="P62" s="1"/>
    </row>
    <row r="63" spans="15:23" x14ac:dyDescent="0.25">
      <c r="P63" s="1"/>
    </row>
    <row r="64" spans="15:23" x14ac:dyDescent="0.25">
      <c r="P64" s="1"/>
    </row>
    <row r="65" spans="16:16" x14ac:dyDescent="0.25">
      <c r="P65" s="1"/>
    </row>
    <row r="66" spans="16:16" x14ac:dyDescent="0.25">
      <c r="P66" s="1"/>
    </row>
    <row r="67" spans="16:16" x14ac:dyDescent="0.25">
      <c r="P67" s="1"/>
    </row>
  </sheetData>
  <mergeCells count="7">
    <mergeCell ref="G15:H15"/>
    <mergeCell ref="K15:L15"/>
    <mergeCell ref="B9:B10"/>
    <mergeCell ref="B11:B12"/>
    <mergeCell ref="B3:B4"/>
    <mergeCell ref="B5:B6"/>
    <mergeCell ref="B7:B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DF4F6-B479-4F0D-AC73-C7291C63D448}">
  <dimension ref="B3:R68"/>
  <sheetViews>
    <sheetView tabSelected="1" workbookViewId="0">
      <selection activeCell="L53" sqref="L53"/>
    </sheetView>
  </sheetViews>
  <sheetFormatPr defaultRowHeight="15" x14ac:dyDescent="0.25"/>
  <cols>
    <col min="3" max="13" width="9.140625" style="1"/>
    <col min="17" max="18" width="9.140625" style="1"/>
  </cols>
  <sheetData>
    <row r="3" spans="2:18" x14ac:dyDescent="0.25">
      <c r="B3" t="s">
        <v>349</v>
      </c>
      <c r="C3" s="5" t="s">
        <v>0</v>
      </c>
      <c r="D3" s="5" t="s">
        <v>341</v>
      </c>
      <c r="E3" s="5" t="s">
        <v>342</v>
      </c>
      <c r="F3" s="5" t="s">
        <v>130</v>
      </c>
      <c r="G3" s="5" t="s">
        <v>54</v>
      </c>
      <c r="H3" s="5" t="s">
        <v>76</v>
      </c>
      <c r="I3" s="5" t="s">
        <v>131</v>
      </c>
      <c r="J3" s="5" t="s">
        <v>304</v>
      </c>
      <c r="K3" s="5" t="s">
        <v>348</v>
      </c>
      <c r="L3" s="5" t="s">
        <v>344</v>
      </c>
      <c r="M3" s="5" t="s">
        <v>345</v>
      </c>
      <c r="P3" s="5"/>
      <c r="Q3" s="5"/>
    </row>
    <row r="4" spans="2:18" x14ac:dyDescent="0.25">
      <c r="B4">
        <v>0</v>
      </c>
      <c r="C4" s="1">
        <v>6000</v>
      </c>
      <c r="D4" s="1">
        <v>0.504</v>
      </c>
      <c r="E4" s="1">
        <v>0</v>
      </c>
      <c r="F4" s="1">
        <v>671.4</v>
      </c>
      <c r="G4" s="426">
        <v>0</v>
      </c>
      <c r="H4" s="1">
        <v>0</v>
      </c>
      <c r="I4" s="1">
        <v>9.8000000000000004E-2</v>
      </c>
      <c r="J4" s="1">
        <v>391.3</v>
      </c>
      <c r="K4" s="19">
        <v>0</v>
      </c>
      <c r="L4" s="1">
        <v>0.26300000000000001</v>
      </c>
      <c r="M4" s="17">
        <v>0</v>
      </c>
      <c r="O4" s="19"/>
      <c r="P4" s="1"/>
      <c r="Q4" s="3"/>
      <c r="R4" s="3"/>
    </row>
    <row r="5" spans="2:18" x14ac:dyDescent="0.25">
      <c r="B5">
        <v>1</v>
      </c>
      <c r="C5" s="1">
        <v>5900</v>
      </c>
      <c r="D5" s="1">
        <v>0.504</v>
      </c>
      <c r="E5" s="1">
        <v>0</v>
      </c>
      <c r="F5" s="1">
        <v>671.4</v>
      </c>
      <c r="G5" s="426">
        <v>1.49E-3</v>
      </c>
      <c r="H5" s="1">
        <v>1.9400000000000001E-3</v>
      </c>
      <c r="I5" s="1">
        <v>9.8000000000000004E-2</v>
      </c>
      <c r="J5" s="1">
        <v>383.8</v>
      </c>
      <c r="K5" s="19">
        <v>0.12</v>
      </c>
      <c r="L5" s="1">
        <v>0.25800000000000001</v>
      </c>
      <c r="M5" s="17">
        <v>1.2989999999999999</v>
      </c>
      <c r="O5" s="19"/>
      <c r="P5" s="1"/>
      <c r="Q5" s="3"/>
      <c r="R5" s="3"/>
    </row>
    <row r="6" spans="2:18" x14ac:dyDescent="0.25">
      <c r="B6">
        <v>2</v>
      </c>
      <c r="C6" s="1">
        <v>5800</v>
      </c>
      <c r="D6" s="1">
        <v>0.504</v>
      </c>
      <c r="E6" s="1">
        <v>0</v>
      </c>
      <c r="F6" s="1">
        <v>671.4</v>
      </c>
      <c r="G6" s="426">
        <v>2.98E-3</v>
      </c>
      <c r="H6" s="1">
        <v>3.8700000000000002E-3</v>
      </c>
      <c r="I6" s="1">
        <v>9.9000000000000005E-2</v>
      </c>
      <c r="J6" s="1">
        <v>376.1</v>
      </c>
      <c r="K6" s="19">
        <v>0.36</v>
      </c>
      <c r="L6" s="1">
        <v>0.253</v>
      </c>
      <c r="M6" s="17">
        <v>2.5950000000000002</v>
      </c>
      <c r="O6" s="19"/>
      <c r="P6" s="1"/>
      <c r="Q6" s="3"/>
      <c r="R6" s="3"/>
    </row>
    <row r="7" spans="2:18" x14ac:dyDescent="0.25">
      <c r="B7">
        <v>3</v>
      </c>
      <c r="C7" s="1">
        <v>5700</v>
      </c>
      <c r="D7" s="1">
        <v>0.504</v>
      </c>
      <c r="E7" s="1">
        <v>0</v>
      </c>
      <c r="F7" s="1">
        <v>671.4</v>
      </c>
      <c r="G7" s="427">
        <v>4.47E-3</v>
      </c>
      <c r="H7" s="1">
        <v>5.7999999999999996E-3</v>
      </c>
      <c r="I7" s="10">
        <v>0.1</v>
      </c>
      <c r="J7" s="1">
        <v>368.4</v>
      </c>
      <c r="K7" s="19">
        <v>0.48</v>
      </c>
      <c r="L7" s="1">
        <v>0.247</v>
      </c>
      <c r="M7" s="17">
        <v>3.8879999999999999</v>
      </c>
      <c r="O7" s="19"/>
      <c r="P7" s="1"/>
      <c r="Q7" s="3"/>
      <c r="R7" s="3"/>
    </row>
    <row r="8" spans="2:18" x14ac:dyDescent="0.25">
      <c r="B8">
        <v>4</v>
      </c>
      <c r="C8" s="1">
        <v>5600</v>
      </c>
      <c r="D8" s="1">
        <v>0.504</v>
      </c>
      <c r="E8" s="1">
        <v>0</v>
      </c>
      <c r="F8" s="1">
        <v>671.4</v>
      </c>
      <c r="G8" s="427">
        <v>5.9500000000000004E-3</v>
      </c>
      <c r="H8" s="1">
        <v>7.7200000000000003E-3</v>
      </c>
      <c r="I8" s="10">
        <v>0.1</v>
      </c>
      <c r="J8" s="1">
        <v>360.6</v>
      </c>
      <c r="K8" s="19">
        <v>0.72</v>
      </c>
      <c r="L8" s="1">
        <v>0.24199999999999999</v>
      </c>
      <c r="M8" s="17">
        <v>5.1779999999999999</v>
      </c>
      <c r="O8" s="19"/>
      <c r="P8" s="1"/>
      <c r="Q8" s="3"/>
      <c r="R8" s="3"/>
    </row>
    <row r="9" spans="2:18" x14ac:dyDescent="0.25">
      <c r="B9">
        <v>5</v>
      </c>
      <c r="C9" s="1">
        <v>5500</v>
      </c>
      <c r="D9" s="1">
        <v>0.504</v>
      </c>
      <c r="E9" s="1">
        <v>0</v>
      </c>
      <c r="F9" s="1">
        <v>671.4</v>
      </c>
      <c r="G9" s="427">
        <v>7.43E-3</v>
      </c>
      <c r="H9" s="1">
        <v>9.6399999999999993E-3</v>
      </c>
      <c r="I9" s="1">
        <v>0.10100000000000001</v>
      </c>
      <c r="J9" s="1">
        <v>352.7</v>
      </c>
      <c r="K9" s="19">
        <v>0.84000000000000008</v>
      </c>
      <c r="L9" s="1">
        <v>0.23699999999999999</v>
      </c>
      <c r="M9" s="17">
        <v>6.4649999999999999</v>
      </c>
      <c r="O9" s="19"/>
      <c r="P9" s="1"/>
      <c r="Q9" s="3"/>
      <c r="R9" s="3"/>
    </row>
    <row r="10" spans="2:18" x14ac:dyDescent="0.25">
      <c r="B10">
        <v>6</v>
      </c>
      <c r="C10" s="1">
        <v>5400</v>
      </c>
      <c r="D10" s="1">
        <v>0.504</v>
      </c>
      <c r="E10" s="1">
        <v>0</v>
      </c>
      <c r="F10" s="1">
        <v>671.4</v>
      </c>
      <c r="G10" s="427">
        <v>8.8999999999999999E-3</v>
      </c>
      <c r="H10" s="1">
        <v>1.155E-2</v>
      </c>
      <c r="I10" s="1">
        <v>0.10100000000000001</v>
      </c>
      <c r="J10" s="1">
        <v>344.7</v>
      </c>
      <c r="K10" s="19">
        <v>1.08</v>
      </c>
      <c r="L10" s="1">
        <v>0.23100000000000001</v>
      </c>
      <c r="M10" s="17">
        <v>7.7480000000000002</v>
      </c>
      <c r="O10" s="19"/>
      <c r="P10" s="1"/>
      <c r="Q10" s="3"/>
      <c r="R10" s="3"/>
    </row>
    <row r="11" spans="2:18" x14ac:dyDescent="0.25">
      <c r="B11">
        <v>7</v>
      </c>
      <c r="C11" s="1">
        <v>5300</v>
      </c>
      <c r="D11" s="1">
        <v>0.504</v>
      </c>
      <c r="E11" s="1">
        <v>0</v>
      </c>
      <c r="F11" s="1">
        <v>671.4</v>
      </c>
      <c r="G11" s="427">
        <v>1.0369999999999999E-2</v>
      </c>
      <c r="H11" s="1">
        <v>1.346E-2</v>
      </c>
      <c r="I11" s="1">
        <v>0.10199999999999999</v>
      </c>
      <c r="J11" s="1">
        <v>336.6</v>
      </c>
      <c r="K11" s="19">
        <v>1.2000000000000002</v>
      </c>
      <c r="L11" s="1">
        <v>0.22600000000000001</v>
      </c>
      <c r="M11" s="17">
        <v>9.0289999999999999</v>
      </c>
      <c r="O11" s="19"/>
      <c r="P11" s="1"/>
      <c r="Q11" s="3"/>
      <c r="R11" s="3"/>
    </row>
    <row r="12" spans="2:18" x14ac:dyDescent="0.25">
      <c r="B12">
        <v>8</v>
      </c>
      <c r="C12" s="1">
        <v>5200</v>
      </c>
      <c r="D12" s="1">
        <v>0.504</v>
      </c>
      <c r="E12" s="1">
        <v>0</v>
      </c>
      <c r="F12" s="1">
        <v>671.4</v>
      </c>
      <c r="G12" s="427">
        <v>1.184E-2</v>
      </c>
      <c r="H12" s="1">
        <v>1.537E-2</v>
      </c>
      <c r="I12" s="1">
        <v>0.10299999999999999</v>
      </c>
      <c r="J12" s="1">
        <v>328.4</v>
      </c>
      <c r="K12" s="19">
        <v>1.44</v>
      </c>
      <c r="L12" s="1">
        <v>0.221</v>
      </c>
      <c r="M12" s="17">
        <v>10.307</v>
      </c>
      <c r="O12" s="19"/>
      <c r="P12" s="1"/>
      <c r="Q12" s="3"/>
      <c r="R12" s="3"/>
    </row>
    <row r="13" spans="2:18" x14ac:dyDescent="0.25">
      <c r="B13">
        <v>9</v>
      </c>
      <c r="C13" s="1">
        <v>5100</v>
      </c>
      <c r="D13" s="1">
        <v>0.504</v>
      </c>
      <c r="E13" s="1">
        <v>0</v>
      </c>
      <c r="F13" s="1">
        <v>671.4</v>
      </c>
      <c r="G13" s="427">
        <v>1.3310000000000001E-2</v>
      </c>
      <c r="H13" s="1">
        <v>1.7270000000000001E-2</v>
      </c>
      <c r="I13" s="1">
        <v>0.10299999999999999</v>
      </c>
      <c r="J13" s="1">
        <v>320.2</v>
      </c>
      <c r="K13" s="19">
        <v>1.56</v>
      </c>
      <c r="L13" s="1">
        <v>0.215</v>
      </c>
      <c r="M13" s="17">
        <v>11.581</v>
      </c>
      <c r="O13" s="19"/>
      <c r="P13" s="1"/>
      <c r="Q13" s="3"/>
      <c r="R13" s="3"/>
    </row>
    <row r="14" spans="2:18" x14ac:dyDescent="0.25">
      <c r="B14">
        <v>10</v>
      </c>
      <c r="C14" s="1">
        <v>5000</v>
      </c>
      <c r="D14" s="1">
        <v>0.504</v>
      </c>
      <c r="E14" s="1">
        <v>0</v>
      </c>
      <c r="F14" s="1">
        <v>671.4</v>
      </c>
      <c r="G14" s="427">
        <v>1.477E-2</v>
      </c>
      <c r="H14" s="1">
        <v>1.917E-2</v>
      </c>
      <c r="I14" s="1">
        <v>0.104</v>
      </c>
      <c r="J14" s="1">
        <v>311.8</v>
      </c>
      <c r="K14" s="19">
        <v>1.7999999999999998</v>
      </c>
      <c r="L14" s="1">
        <v>0.20899999999999999</v>
      </c>
      <c r="M14" s="17">
        <v>12.853</v>
      </c>
      <c r="O14" s="19"/>
      <c r="P14" s="1"/>
      <c r="Q14" s="3"/>
      <c r="R14" s="3"/>
    </row>
    <row r="15" spans="2:18" x14ac:dyDescent="0.25">
      <c r="B15">
        <v>11</v>
      </c>
      <c r="C15" s="1">
        <v>4900</v>
      </c>
      <c r="D15" s="1">
        <v>0.504</v>
      </c>
      <c r="E15" s="1">
        <v>0</v>
      </c>
      <c r="F15" s="1">
        <v>671.4</v>
      </c>
      <c r="G15" s="427">
        <v>1.6230000000000001E-2</v>
      </c>
      <c r="H15" s="1">
        <v>2.1059999999999999E-2</v>
      </c>
      <c r="I15" s="1">
        <v>0.105</v>
      </c>
      <c r="J15" s="1">
        <v>303.3</v>
      </c>
      <c r="K15" s="19">
        <v>2.04</v>
      </c>
      <c r="L15" s="1">
        <v>0.20399999999999999</v>
      </c>
      <c r="M15" s="17">
        <v>14.122</v>
      </c>
      <c r="O15" s="19"/>
      <c r="P15" s="1"/>
      <c r="Q15" s="3"/>
      <c r="R15" s="3"/>
    </row>
    <row r="16" spans="2:18" x14ac:dyDescent="0.25">
      <c r="B16">
        <v>12</v>
      </c>
      <c r="C16" s="1">
        <v>4800</v>
      </c>
      <c r="D16" s="1">
        <v>0.504</v>
      </c>
      <c r="E16" s="1">
        <v>0</v>
      </c>
      <c r="F16" s="1">
        <v>671.4</v>
      </c>
      <c r="G16" s="427">
        <v>1.7680000000000001E-2</v>
      </c>
      <c r="H16" s="1">
        <v>2.2950000000000002E-2</v>
      </c>
      <c r="I16" s="1">
        <v>0.105</v>
      </c>
      <c r="J16" s="1">
        <v>294.7</v>
      </c>
      <c r="K16" s="19">
        <v>2.16</v>
      </c>
      <c r="L16" s="1">
        <v>0.19800000000000001</v>
      </c>
      <c r="M16" s="17">
        <v>15.387</v>
      </c>
      <c r="O16" s="19"/>
      <c r="P16" s="1"/>
      <c r="Q16" s="3"/>
      <c r="R16" s="3"/>
    </row>
    <row r="17" spans="2:18" x14ac:dyDescent="0.25">
      <c r="B17">
        <v>13</v>
      </c>
      <c r="C17" s="1">
        <v>4700</v>
      </c>
      <c r="D17" s="1">
        <v>0.504</v>
      </c>
      <c r="E17" s="1">
        <v>0</v>
      </c>
      <c r="F17" s="1">
        <v>671.4</v>
      </c>
      <c r="G17" s="427">
        <v>1.9129999999999998E-2</v>
      </c>
      <c r="H17" s="1">
        <v>2.4830000000000001E-2</v>
      </c>
      <c r="I17" s="1">
        <v>0.106</v>
      </c>
      <c r="J17" s="1">
        <v>286.10000000000002</v>
      </c>
      <c r="K17" s="19">
        <v>2.4000000000000004</v>
      </c>
      <c r="L17" s="1">
        <v>0.192</v>
      </c>
      <c r="M17" s="17">
        <v>16.649999999999999</v>
      </c>
      <c r="O17" s="19"/>
      <c r="P17" s="1"/>
      <c r="Q17" s="3"/>
      <c r="R17" s="3"/>
    </row>
    <row r="18" spans="2:18" x14ac:dyDescent="0.25">
      <c r="B18">
        <v>14</v>
      </c>
      <c r="C18" s="1">
        <v>4600</v>
      </c>
      <c r="D18" s="1">
        <v>0.504</v>
      </c>
      <c r="E18" s="1">
        <v>0</v>
      </c>
      <c r="F18" s="1">
        <v>671.4</v>
      </c>
      <c r="G18" s="427">
        <v>2.0579999999999998E-2</v>
      </c>
      <c r="H18" s="1">
        <v>2.6710000000000001E-2</v>
      </c>
      <c r="I18" s="1">
        <v>0.107</v>
      </c>
      <c r="J18" s="1">
        <v>277.3</v>
      </c>
      <c r="K18" s="19">
        <v>2.64</v>
      </c>
      <c r="L18" s="1">
        <v>0.186</v>
      </c>
      <c r="M18" s="17">
        <v>17.91</v>
      </c>
      <c r="O18" s="19"/>
      <c r="P18" s="1"/>
      <c r="Q18" s="3"/>
      <c r="R18" s="3"/>
    </row>
    <row r="19" spans="2:18" x14ac:dyDescent="0.25">
      <c r="B19">
        <v>15</v>
      </c>
      <c r="C19" s="1">
        <v>4500</v>
      </c>
      <c r="D19" s="1">
        <v>0.504</v>
      </c>
      <c r="E19" s="1">
        <v>0</v>
      </c>
      <c r="F19" s="1">
        <v>671.4</v>
      </c>
      <c r="G19" s="427">
        <v>2.2030000000000001E-2</v>
      </c>
      <c r="H19" s="1">
        <v>2.8580000000000001E-2</v>
      </c>
      <c r="I19" s="1">
        <v>0.107</v>
      </c>
      <c r="J19" s="1">
        <v>268.39999999999998</v>
      </c>
      <c r="K19" s="19">
        <v>2.88</v>
      </c>
      <c r="L19" s="1">
        <v>0.18</v>
      </c>
      <c r="M19" s="17">
        <v>19.166</v>
      </c>
      <c r="O19" s="19"/>
      <c r="P19" s="1"/>
      <c r="Q19" s="3"/>
      <c r="R19" s="3"/>
    </row>
    <row r="20" spans="2:18" x14ac:dyDescent="0.25">
      <c r="B20">
        <v>16</v>
      </c>
      <c r="C20" s="1">
        <v>4400</v>
      </c>
      <c r="D20" s="1">
        <v>0.504</v>
      </c>
      <c r="E20" s="1">
        <v>0</v>
      </c>
      <c r="F20" s="1">
        <v>671.4</v>
      </c>
      <c r="G20" s="427">
        <v>2.3469999999999998E-2</v>
      </c>
      <c r="H20" s="1">
        <v>3.0450000000000001E-2</v>
      </c>
      <c r="I20" s="1">
        <v>0.108</v>
      </c>
      <c r="J20" s="1">
        <v>259.3</v>
      </c>
      <c r="K20" s="19">
        <v>3.12</v>
      </c>
      <c r="L20" s="1">
        <v>0.17399999999999999</v>
      </c>
      <c r="M20" s="17">
        <v>20.420000000000002</v>
      </c>
      <c r="O20" s="19"/>
      <c r="P20" s="1"/>
      <c r="Q20" s="3"/>
      <c r="R20" s="3"/>
    </row>
    <row r="21" spans="2:18" x14ac:dyDescent="0.25">
      <c r="B21">
        <v>17</v>
      </c>
      <c r="C21" s="1">
        <v>4300</v>
      </c>
      <c r="D21" s="1">
        <v>0.504</v>
      </c>
      <c r="E21" s="1">
        <v>0</v>
      </c>
      <c r="F21" s="1">
        <v>671.4</v>
      </c>
      <c r="G21" s="427">
        <v>2.4910000000000002E-2</v>
      </c>
      <c r="H21" s="1">
        <v>3.2320000000000002E-2</v>
      </c>
      <c r="I21" s="1">
        <v>0.109</v>
      </c>
      <c r="J21" s="1">
        <v>250.2</v>
      </c>
      <c r="K21" s="19">
        <v>3.3600000000000003</v>
      </c>
      <c r="L21" s="1">
        <v>0.16800000000000001</v>
      </c>
      <c r="M21" s="17">
        <v>21.670999999999999</v>
      </c>
      <c r="O21" s="19"/>
      <c r="P21" s="1"/>
      <c r="Q21" s="3"/>
      <c r="R21" s="3"/>
    </row>
    <row r="22" spans="2:18" x14ac:dyDescent="0.25">
      <c r="B22">
        <v>18</v>
      </c>
      <c r="C22" s="1">
        <v>4200</v>
      </c>
      <c r="D22" s="1">
        <v>0.504</v>
      </c>
      <c r="E22" s="1">
        <v>0</v>
      </c>
      <c r="F22" s="1">
        <v>671.4</v>
      </c>
      <c r="G22" s="427">
        <v>2.6339999999999999E-2</v>
      </c>
      <c r="H22" s="1">
        <v>3.4180000000000002E-2</v>
      </c>
      <c r="I22" s="10">
        <v>0.11</v>
      </c>
      <c r="J22" s="1">
        <v>241</v>
      </c>
      <c r="K22" s="19">
        <v>3.5999999999999996</v>
      </c>
      <c r="L22" s="1">
        <v>0.16200000000000001</v>
      </c>
      <c r="M22" s="17">
        <v>22.919</v>
      </c>
      <c r="O22" s="19"/>
      <c r="P22" s="1"/>
      <c r="Q22" s="3"/>
      <c r="R22" s="3"/>
    </row>
    <row r="23" spans="2:18" x14ac:dyDescent="0.25">
      <c r="B23">
        <v>19</v>
      </c>
      <c r="C23" s="1">
        <v>4100</v>
      </c>
      <c r="D23" s="1">
        <v>0.504</v>
      </c>
      <c r="E23" s="1">
        <v>0</v>
      </c>
      <c r="F23" s="1">
        <v>671.4</v>
      </c>
      <c r="G23" s="427">
        <v>2.777E-2</v>
      </c>
      <c r="H23" s="1">
        <v>3.6040000000000003E-2</v>
      </c>
      <c r="I23" s="10">
        <v>0.11</v>
      </c>
      <c r="J23" s="1">
        <v>231.6</v>
      </c>
      <c r="K23" s="19">
        <v>3.84</v>
      </c>
      <c r="L23" s="1">
        <v>0.155</v>
      </c>
      <c r="M23" s="17">
        <v>24.163</v>
      </c>
      <c r="O23" s="19"/>
      <c r="P23" s="1"/>
      <c r="Q23" s="3"/>
      <c r="R23" s="3"/>
    </row>
    <row r="24" spans="2:18" x14ac:dyDescent="0.25">
      <c r="B24">
        <v>20</v>
      </c>
      <c r="C24" s="1">
        <v>4000</v>
      </c>
      <c r="D24" s="1">
        <v>0.504</v>
      </c>
      <c r="E24" s="1">
        <v>0</v>
      </c>
      <c r="F24" s="1">
        <v>671.4</v>
      </c>
      <c r="G24" s="427">
        <v>2.92E-2</v>
      </c>
      <c r="H24" s="1">
        <v>3.789E-2</v>
      </c>
      <c r="I24" s="1">
        <v>0.111</v>
      </c>
      <c r="J24" s="1">
        <v>222.1</v>
      </c>
      <c r="K24" s="19">
        <v>4.08</v>
      </c>
      <c r="L24" s="1">
        <v>0.14899999999999999</v>
      </c>
      <c r="M24" s="17">
        <v>25.405000000000001</v>
      </c>
      <c r="O24" s="19"/>
      <c r="P24" s="1"/>
      <c r="Q24" s="3"/>
      <c r="R24" s="3"/>
    </row>
    <row r="25" spans="2:18" x14ac:dyDescent="0.25">
      <c r="B25">
        <v>21</v>
      </c>
      <c r="C25" s="1">
        <v>3900</v>
      </c>
      <c r="D25" s="1">
        <v>0.504</v>
      </c>
      <c r="E25" s="1">
        <v>0</v>
      </c>
      <c r="F25" s="1">
        <v>671.4</v>
      </c>
      <c r="G25" s="427">
        <v>3.0629999999999998E-2</v>
      </c>
      <c r="H25" s="1">
        <v>3.9739999999999998E-2</v>
      </c>
      <c r="I25" s="1">
        <v>0.112</v>
      </c>
      <c r="J25" s="1">
        <v>212.5</v>
      </c>
      <c r="K25" s="19">
        <v>4.4399999999999995</v>
      </c>
      <c r="L25" s="1">
        <v>0.14299999999999999</v>
      </c>
      <c r="M25" s="17">
        <v>26.643999999999998</v>
      </c>
      <c r="O25" s="19"/>
      <c r="P25" s="1"/>
      <c r="Q25" s="3"/>
      <c r="R25" s="3"/>
    </row>
    <row r="26" spans="2:18" x14ac:dyDescent="0.25">
      <c r="B26">
        <v>22</v>
      </c>
      <c r="C26" s="1">
        <v>3800</v>
      </c>
      <c r="D26" s="1">
        <v>0.504</v>
      </c>
      <c r="E26" s="1">
        <v>0</v>
      </c>
      <c r="F26" s="1">
        <v>671.4</v>
      </c>
      <c r="G26" s="427">
        <v>3.2049999999999995E-2</v>
      </c>
      <c r="H26" s="1">
        <v>4.1590000000000002E-2</v>
      </c>
      <c r="I26" s="1">
        <v>0.113</v>
      </c>
      <c r="J26" s="1">
        <v>202.7</v>
      </c>
      <c r="K26" s="19">
        <v>4.68</v>
      </c>
      <c r="L26" s="1">
        <v>0.13600000000000001</v>
      </c>
      <c r="M26" s="17">
        <v>27.88</v>
      </c>
      <c r="O26" s="19"/>
      <c r="P26" s="1"/>
      <c r="Q26" s="3"/>
      <c r="R26" s="3"/>
    </row>
    <row r="27" spans="2:18" x14ac:dyDescent="0.25">
      <c r="B27">
        <v>23</v>
      </c>
      <c r="C27" s="1">
        <v>3700</v>
      </c>
      <c r="D27" s="1">
        <v>0.504</v>
      </c>
      <c r="E27" s="1">
        <v>0</v>
      </c>
      <c r="F27" s="1">
        <v>671.4</v>
      </c>
      <c r="G27" s="427">
        <v>3.347E-2</v>
      </c>
      <c r="H27" s="1">
        <v>4.3430000000000003E-2</v>
      </c>
      <c r="I27" s="1">
        <v>0.113</v>
      </c>
      <c r="J27" s="1">
        <v>192.8</v>
      </c>
      <c r="K27" s="19">
        <v>5.04</v>
      </c>
      <c r="L27" s="1">
        <v>0.129</v>
      </c>
      <c r="M27" s="17">
        <v>29.113</v>
      </c>
      <c r="O27" s="19"/>
      <c r="P27" s="1"/>
      <c r="Q27" s="3"/>
      <c r="R27" s="3"/>
    </row>
    <row r="28" spans="2:18" x14ac:dyDescent="0.25">
      <c r="B28">
        <v>24</v>
      </c>
      <c r="C28" s="1">
        <v>3600</v>
      </c>
      <c r="D28" s="1">
        <v>0.504</v>
      </c>
      <c r="E28" s="1">
        <v>0</v>
      </c>
      <c r="F28" s="1">
        <v>671.4</v>
      </c>
      <c r="G28" s="427">
        <v>3.4880000000000001E-2</v>
      </c>
      <c r="H28" s="1">
        <v>4.5269999999999998E-2</v>
      </c>
      <c r="I28" s="1">
        <v>0.114</v>
      </c>
      <c r="J28" s="1">
        <v>182.8</v>
      </c>
      <c r="K28" s="19">
        <v>5.28</v>
      </c>
      <c r="L28" s="1">
        <v>0.123</v>
      </c>
      <c r="M28" s="17">
        <v>30.341999999999999</v>
      </c>
      <c r="O28" s="19"/>
      <c r="P28" s="1"/>
      <c r="Q28" s="3"/>
      <c r="R28" s="3"/>
    </row>
    <row r="29" spans="2:18" x14ac:dyDescent="0.25">
      <c r="B29">
        <v>25</v>
      </c>
      <c r="C29" s="1">
        <v>3500</v>
      </c>
      <c r="D29" s="1">
        <v>0.504</v>
      </c>
      <c r="E29" s="1">
        <v>0</v>
      </c>
      <c r="F29" s="1">
        <v>671.4</v>
      </c>
      <c r="G29" s="427">
        <v>3.6289999999999996E-2</v>
      </c>
      <c r="H29" s="1">
        <v>4.7100000000000003E-2</v>
      </c>
      <c r="I29" s="1">
        <v>0.115</v>
      </c>
      <c r="J29" s="1">
        <v>172.6</v>
      </c>
      <c r="K29" s="19">
        <v>5.64</v>
      </c>
      <c r="L29" s="1">
        <v>0.11600000000000001</v>
      </c>
      <c r="M29" s="17">
        <v>31.568999999999999</v>
      </c>
      <c r="O29" s="19"/>
      <c r="P29" s="1"/>
      <c r="Q29" s="3"/>
      <c r="R29" s="3"/>
    </row>
    <row r="30" spans="2:18" x14ac:dyDescent="0.25">
      <c r="B30">
        <v>26</v>
      </c>
      <c r="C30" s="1">
        <v>3400</v>
      </c>
      <c r="D30" s="1">
        <v>0.504</v>
      </c>
      <c r="E30" s="1">
        <v>0</v>
      </c>
      <c r="F30" s="1">
        <v>671.4</v>
      </c>
      <c r="G30" s="427">
        <v>3.7699999999999997E-2</v>
      </c>
      <c r="H30" s="1">
        <v>4.8930000000000001E-2</v>
      </c>
      <c r="I30" s="1">
        <v>0.11600000000000001</v>
      </c>
      <c r="J30" s="1">
        <v>162.30000000000001</v>
      </c>
      <c r="K30" s="19">
        <v>6</v>
      </c>
      <c r="L30" s="1">
        <v>0.109</v>
      </c>
      <c r="M30" s="17">
        <v>32.792999999999999</v>
      </c>
      <c r="O30" s="19"/>
      <c r="P30" s="1"/>
      <c r="Q30" s="3"/>
      <c r="R30" s="3"/>
    </row>
    <row r="31" spans="2:18" x14ac:dyDescent="0.25">
      <c r="B31">
        <v>27</v>
      </c>
      <c r="C31" s="1">
        <v>3300</v>
      </c>
      <c r="D31" s="1">
        <v>0.504</v>
      </c>
      <c r="E31" s="1">
        <v>0</v>
      </c>
      <c r="F31" s="1">
        <v>671.4</v>
      </c>
      <c r="G31" s="427">
        <v>3.9109999999999999E-2</v>
      </c>
      <c r="H31" s="1">
        <v>5.0750000000000003E-2</v>
      </c>
      <c r="I31" s="1">
        <v>0.11700000000000001</v>
      </c>
      <c r="J31" s="1">
        <v>151.80000000000001</v>
      </c>
      <c r="K31" s="19">
        <v>6.36</v>
      </c>
      <c r="L31" s="1">
        <v>0.10199999999999999</v>
      </c>
      <c r="M31" s="17">
        <v>34.012999999999998</v>
      </c>
      <c r="O31" s="19"/>
      <c r="P31" s="1"/>
      <c r="Q31" s="3"/>
      <c r="R31" s="3"/>
    </row>
    <row r="32" spans="2:18" x14ac:dyDescent="0.25">
      <c r="B32">
        <v>28</v>
      </c>
      <c r="C32" s="1">
        <v>3200</v>
      </c>
      <c r="D32" s="1">
        <v>0.504</v>
      </c>
      <c r="E32" s="1">
        <v>0</v>
      </c>
      <c r="F32" s="1">
        <v>671.4</v>
      </c>
      <c r="G32" s="427">
        <v>4.0509999999999997E-2</v>
      </c>
      <c r="H32" s="1">
        <v>5.2569999999999999E-2</v>
      </c>
      <c r="I32" s="1">
        <v>0.11799999999999999</v>
      </c>
      <c r="J32" s="1">
        <v>141.19999999999999</v>
      </c>
      <c r="K32" s="19">
        <v>6.84</v>
      </c>
      <c r="L32" s="1">
        <v>9.5000000000000001E-2</v>
      </c>
      <c r="M32" s="17">
        <v>35.231000000000002</v>
      </c>
      <c r="O32" s="19"/>
      <c r="P32" s="1"/>
      <c r="Q32" s="3"/>
      <c r="R32" s="3"/>
    </row>
    <row r="33" spans="2:18" x14ac:dyDescent="0.25">
      <c r="B33">
        <v>29</v>
      </c>
      <c r="C33" s="1">
        <v>3100</v>
      </c>
      <c r="D33" s="1">
        <v>0.504</v>
      </c>
      <c r="E33" s="1">
        <v>0</v>
      </c>
      <c r="F33" s="1">
        <v>671.4</v>
      </c>
      <c r="G33" s="427">
        <v>4.1909999999999996E-2</v>
      </c>
      <c r="H33" s="1">
        <v>5.4390000000000001E-2</v>
      </c>
      <c r="I33" s="1">
        <v>0.11899999999999999</v>
      </c>
      <c r="J33" s="1">
        <v>130.4</v>
      </c>
      <c r="K33" s="19">
        <v>7.1999999999999993</v>
      </c>
      <c r="L33" s="1">
        <v>8.7999999999999995E-2</v>
      </c>
      <c r="M33" s="17">
        <v>36.445</v>
      </c>
      <c r="O33" s="19"/>
      <c r="P33" s="1"/>
      <c r="Q33" s="3"/>
      <c r="R33" s="3"/>
    </row>
    <row r="34" spans="2:18" x14ac:dyDescent="0.25">
      <c r="B34">
        <v>30</v>
      </c>
      <c r="C34" s="1">
        <v>3000</v>
      </c>
      <c r="D34" s="1">
        <v>0.504</v>
      </c>
      <c r="E34" s="1">
        <v>0</v>
      </c>
      <c r="F34" s="1">
        <v>671.4</v>
      </c>
      <c r="G34" s="427">
        <v>4.3310000000000001E-2</v>
      </c>
      <c r="H34" s="1">
        <v>5.62E-2</v>
      </c>
      <c r="I34" s="1">
        <v>0.11899999999999999</v>
      </c>
      <c r="J34" s="1">
        <v>119.4</v>
      </c>
      <c r="K34" s="19">
        <v>7.68</v>
      </c>
      <c r="L34" s="1">
        <v>0.08</v>
      </c>
      <c r="M34" s="17">
        <v>37.655999999999999</v>
      </c>
      <c r="O34" s="19"/>
      <c r="P34" s="1"/>
      <c r="Q34" s="3"/>
      <c r="R34" s="3"/>
    </row>
    <row r="35" spans="2:18" x14ac:dyDescent="0.25">
      <c r="B35">
        <v>31</v>
      </c>
      <c r="C35" s="1">
        <v>2900</v>
      </c>
      <c r="D35" s="1">
        <v>0.504</v>
      </c>
      <c r="E35" s="1">
        <v>0</v>
      </c>
      <c r="F35" s="1">
        <v>671.4</v>
      </c>
      <c r="G35" s="427">
        <v>4.4699999999999997E-2</v>
      </c>
      <c r="H35" s="1">
        <v>5.8009999999999999E-2</v>
      </c>
      <c r="I35" s="10">
        <v>0.12</v>
      </c>
      <c r="J35" s="1">
        <v>108.3</v>
      </c>
      <c r="K35" s="19">
        <v>8.2799999999999994</v>
      </c>
      <c r="L35" s="1">
        <v>7.2999999999999995E-2</v>
      </c>
      <c r="M35" s="17">
        <v>38.863999999999997</v>
      </c>
      <c r="O35" s="19"/>
      <c r="P35" s="1"/>
      <c r="Q35" s="3"/>
      <c r="R35" s="3"/>
    </row>
    <row r="36" spans="2:18" x14ac:dyDescent="0.25">
      <c r="B36">
        <v>32</v>
      </c>
      <c r="C36" s="1">
        <v>2700</v>
      </c>
      <c r="D36" s="1">
        <v>0.504</v>
      </c>
      <c r="E36" s="1">
        <v>0</v>
      </c>
      <c r="F36" s="1">
        <v>671.4</v>
      </c>
      <c r="G36" s="427">
        <v>4.7479999999999994E-2</v>
      </c>
      <c r="H36" s="1">
        <v>6.1609999999999998E-2</v>
      </c>
      <c r="I36" s="1">
        <v>0.122</v>
      </c>
      <c r="J36" s="1">
        <v>85.6</v>
      </c>
      <c r="K36" s="19">
        <v>9.48</v>
      </c>
      <c r="L36" s="1">
        <v>5.7000000000000002E-2</v>
      </c>
      <c r="M36" s="17">
        <v>41.268999999999998</v>
      </c>
      <c r="O36" s="19"/>
      <c r="P36" s="1"/>
      <c r="Q36" s="3"/>
      <c r="R36" s="3"/>
    </row>
    <row r="37" spans="2:18" x14ac:dyDescent="0.25">
      <c r="B37">
        <v>33</v>
      </c>
      <c r="C37" s="1">
        <v>2500</v>
      </c>
      <c r="D37" s="1">
        <v>0.504</v>
      </c>
      <c r="E37" s="1">
        <v>0</v>
      </c>
      <c r="F37" s="1">
        <v>671.4</v>
      </c>
      <c r="G37" s="427">
        <v>5.024E-2</v>
      </c>
      <c r="H37" s="1">
        <v>6.5199999999999994E-2</v>
      </c>
      <c r="I37" s="1">
        <v>0.124</v>
      </c>
      <c r="J37" s="1">
        <v>62.1</v>
      </c>
      <c r="K37" s="19">
        <v>11.040000000000001</v>
      </c>
      <c r="L37" s="1">
        <v>4.2000000000000003E-2</v>
      </c>
      <c r="M37" s="17">
        <v>43.658000000000001</v>
      </c>
      <c r="O37" s="19"/>
      <c r="P37" s="1"/>
      <c r="Q37" s="3"/>
      <c r="R37" s="3"/>
    </row>
    <row r="38" spans="2:18" x14ac:dyDescent="0.25">
      <c r="B38">
        <v>34</v>
      </c>
      <c r="C38" s="1">
        <v>2400</v>
      </c>
      <c r="D38" s="1">
        <v>0.504</v>
      </c>
      <c r="E38" s="1">
        <v>0</v>
      </c>
      <c r="F38" s="1">
        <v>671.4</v>
      </c>
      <c r="G38" s="427">
        <v>5.1619999999999999E-2</v>
      </c>
      <c r="H38" s="1">
        <v>6.6979999999999998E-2</v>
      </c>
      <c r="I38" s="1">
        <v>0.125</v>
      </c>
      <c r="J38" s="1">
        <v>50.1</v>
      </c>
      <c r="K38" s="19">
        <v>12.120000000000001</v>
      </c>
      <c r="L38" s="1">
        <v>3.4000000000000002E-2</v>
      </c>
      <c r="M38" s="17">
        <v>44.844999999999999</v>
      </c>
      <c r="O38" s="19"/>
      <c r="P38" s="1"/>
      <c r="Q38" s="3"/>
      <c r="R38" s="3"/>
    </row>
    <row r="39" spans="2:18" x14ac:dyDescent="0.25">
      <c r="B39">
        <v>35</v>
      </c>
      <c r="C39" s="1">
        <v>2300</v>
      </c>
      <c r="D39" s="1">
        <v>0.495</v>
      </c>
      <c r="E39" s="1">
        <v>8.9999999999999993E-3</v>
      </c>
      <c r="F39" s="425">
        <v>1808.55</v>
      </c>
      <c r="G39" s="427">
        <v>6.0499999999999998E-2</v>
      </c>
      <c r="H39" s="1">
        <v>7.85E-2</v>
      </c>
      <c r="I39" s="10">
        <v>0.12</v>
      </c>
      <c r="J39" s="1">
        <v>35.9</v>
      </c>
      <c r="K39" s="19">
        <v>21</v>
      </c>
      <c r="L39" s="1">
        <v>6.5000000000000002E-2</v>
      </c>
      <c r="M39" s="17">
        <v>59.320999999999998</v>
      </c>
      <c r="O39" s="19"/>
      <c r="P39" s="1"/>
      <c r="Q39" s="3"/>
      <c r="R39" s="3"/>
    </row>
    <row r="40" spans="2:18" x14ac:dyDescent="0.25">
      <c r="B40">
        <v>36</v>
      </c>
      <c r="C40" s="1">
        <v>2200</v>
      </c>
      <c r="D40" s="1">
        <v>0.48699999999999999</v>
      </c>
      <c r="E40" s="1">
        <v>1.7000000000000001E-2</v>
      </c>
      <c r="F40" s="425">
        <v>2724.16</v>
      </c>
      <c r="G40" s="427">
        <v>6.6470000000000001E-2</v>
      </c>
      <c r="H40" s="1">
        <v>8.6249999999999993E-2</v>
      </c>
      <c r="I40" s="1">
        <v>0.11700000000000001</v>
      </c>
      <c r="J40" s="1">
        <v>23.4</v>
      </c>
      <c r="K40" s="19">
        <v>29.64</v>
      </c>
      <c r="L40" s="1">
        <v>6.4000000000000001E-2</v>
      </c>
      <c r="M40" s="17">
        <v>76.783000000000001</v>
      </c>
      <c r="O40" s="19"/>
      <c r="P40" s="1"/>
      <c r="Q40" s="3"/>
      <c r="R40" s="3"/>
    </row>
    <row r="41" spans="2:18" x14ac:dyDescent="0.25">
      <c r="B41">
        <v>37</v>
      </c>
      <c r="C41" s="1">
        <v>4924</v>
      </c>
      <c r="D41" s="1">
        <v>0.44600000000000001</v>
      </c>
      <c r="E41" s="1">
        <v>5.7000000000000002E-2</v>
      </c>
      <c r="F41" s="425">
        <v>3198.17</v>
      </c>
      <c r="G41" s="427">
        <v>6.6470000000000001E-2</v>
      </c>
      <c r="H41" s="1">
        <v>8.6249999999999993E-2</v>
      </c>
      <c r="I41" s="1">
        <v>0.104</v>
      </c>
      <c r="J41" s="1">
        <v>305.39999999999998</v>
      </c>
      <c r="K41" s="19">
        <v>35.400000000000006</v>
      </c>
      <c r="L41" s="1">
        <v>0.97699999999999998</v>
      </c>
      <c r="M41" s="17">
        <v>76.783000000000001</v>
      </c>
      <c r="O41" s="19"/>
      <c r="P41" s="1"/>
      <c r="Q41" s="3"/>
      <c r="R41" s="3"/>
    </row>
    <row r="42" spans="2:18" x14ac:dyDescent="0.25">
      <c r="B42">
        <v>38</v>
      </c>
      <c r="C42" s="1">
        <v>3500</v>
      </c>
      <c r="D42" s="1">
        <v>0.42399999999999999</v>
      </c>
      <c r="E42" s="1">
        <v>7.9000000000000001E-2</v>
      </c>
      <c r="F42" s="425">
        <v>3542.59</v>
      </c>
      <c r="G42" s="427">
        <v>8.6010000000000003E-2</v>
      </c>
      <c r="H42" s="1">
        <v>0.11161</v>
      </c>
      <c r="I42" s="1">
        <v>0.115</v>
      </c>
      <c r="J42" s="1">
        <v>172.6</v>
      </c>
      <c r="K42" s="19">
        <v>39</v>
      </c>
      <c r="L42" s="1">
        <v>0.29899999999999999</v>
      </c>
      <c r="M42" s="17">
        <v>143.41399999999999</v>
      </c>
      <c r="O42" s="19"/>
      <c r="P42" s="1"/>
      <c r="Q42" s="3"/>
      <c r="R42" s="3"/>
    </row>
    <row r="43" spans="2:18" x14ac:dyDescent="0.25">
      <c r="B43">
        <v>39</v>
      </c>
      <c r="C43" s="1">
        <v>4543</v>
      </c>
      <c r="D43" s="1">
        <v>0.44900000000000001</v>
      </c>
      <c r="E43" s="1">
        <v>5.5E-2</v>
      </c>
      <c r="F43" s="425">
        <v>2914.68</v>
      </c>
      <c r="G43" s="427">
        <v>8.6010000000000003E-2</v>
      </c>
      <c r="H43" s="1">
        <v>0.11161</v>
      </c>
      <c r="I43" s="1">
        <v>0.107</v>
      </c>
      <c r="J43" s="1">
        <v>272.2</v>
      </c>
      <c r="K43" s="19">
        <v>41.519999999999996</v>
      </c>
      <c r="L43" s="1">
        <v>0.79300000000000004</v>
      </c>
      <c r="M43" s="17">
        <v>143.41399999999999</v>
      </c>
      <c r="O43" s="19"/>
      <c r="P43" s="1"/>
      <c r="Q43" s="3"/>
      <c r="R43" s="3"/>
    </row>
    <row r="44" spans="2:18" x14ac:dyDescent="0.25">
      <c r="B44">
        <v>40</v>
      </c>
      <c r="C44" s="1">
        <v>3700</v>
      </c>
      <c r="D44" s="1">
        <v>0.437</v>
      </c>
      <c r="E44" s="1">
        <v>6.7000000000000004E-2</v>
      </c>
      <c r="F44" s="425">
        <v>3075.53</v>
      </c>
      <c r="G44" s="427">
        <v>9.74E-2</v>
      </c>
      <c r="H44" s="1">
        <v>0.12640000000000001</v>
      </c>
      <c r="I44" s="1">
        <v>0.113</v>
      </c>
      <c r="J44" s="1">
        <v>192.8</v>
      </c>
      <c r="K44" s="19">
        <v>43.68</v>
      </c>
      <c r="L44" s="1">
        <v>0.59299999999999997</v>
      </c>
      <c r="M44" s="17">
        <v>181.51</v>
      </c>
      <c r="O44" s="19"/>
      <c r="P44" s="1"/>
      <c r="Q44" s="3"/>
      <c r="R44" s="3"/>
    </row>
    <row r="45" spans="2:18" x14ac:dyDescent="0.25">
      <c r="B45">
        <v>41</v>
      </c>
      <c r="C45" s="1">
        <v>4572</v>
      </c>
      <c r="D45" s="1">
        <v>0.44400000000000001</v>
      </c>
      <c r="E45" s="1">
        <v>0.06</v>
      </c>
      <c r="F45" s="425">
        <v>3173.55</v>
      </c>
      <c r="G45" s="427">
        <v>9.74E-2</v>
      </c>
      <c r="H45" s="1">
        <v>0.12640000000000001</v>
      </c>
      <c r="I45" s="1">
        <v>0.107</v>
      </c>
      <c r="J45" s="1">
        <v>274.8</v>
      </c>
      <c r="K45" s="19">
        <v>46.08</v>
      </c>
      <c r="L45" s="1">
        <v>0.872</v>
      </c>
      <c r="M45" s="17">
        <v>181.51</v>
      </c>
      <c r="O45" s="19"/>
      <c r="P45" s="1"/>
      <c r="Q45" s="3"/>
      <c r="R45" s="3"/>
    </row>
    <row r="46" spans="2:18" x14ac:dyDescent="0.25">
      <c r="B46">
        <v>42</v>
      </c>
      <c r="C46" s="1">
        <v>3550</v>
      </c>
      <c r="D46" s="1">
        <v>0.42799999999999999</v>
      </c>
      <c r="E46" s="1">
        <v>7.5999999999999998E-2</v>
      </c>
      <c r="F46" s="425">
        <v>3419.97</v>
      </c>
      <c r="G46" s="427">
        <v>0.11101999999999999</v>
      </c>
      <c r="H46" s="1">
        <v>0.14407</v>
      </c>
      <c r="I46" s="1">
        <v>0.115</v>
      </c>
      <c r="J46" s="1">
        <v>177.7</v>
      </c>
      <c r="K46" s="19">
        <v>48.72</v>
      </c>
      <c r="L46" s="1">
        <v>0.60799999999999998</v>
      </c>
      <c r="M46" s="17">
        <v>229.733</v>
      </c>
      <c r="O46" s="19"/>
      <c r="P46" s="1"/>
      <c r="Q46" s="3"/>
      <c r="R46" s="3"/>
    </row>
    <row r="47" spans="2:18" x14ac:dyDescent="0.25">
      <c r="B47">
        <v>43</v>
      </c>
      <c r="C47" s="1">
        <v>4186</v>
      </c>
      <c r="D47" s="1">
        <v>0.438</v>
      </c>
      <c r="E47" s="1">
        <v>6.6000000000000003E-2</v>
      </c>
      <c r="F47" s="425">
        <v>3286.33</v>
      </c>
      <c r="G47" s="427">
        <v>0.11101999999999999</v>
      </c>
      <c r="H47" s="1">
        <v>0.14407</v>
      </c>
      <c r="I47" s="10">
        <v>0.11</v>
      </c>
      <c r="J47" s="1">
        <v>239.6</v>
      </c>
      <c r="K47" s="19">
        <v>51.480000000000004</v>
      </c>
      <c r="L47" s="1">
        <v>0.78800000000000003</v>
      </c>
      <c r="M47" s="17">
        <v>229.733</v>
      </c>
      <c r="O47" s="19"/>
      <c r="P47" s="1"/>
      <c r="Q47" s="3"/>
      <c r="R47" s="3"/>
    </row>
    <row r="48" spans="2:18" x14ac:dyDescent="0.25">
      <c r="B48">
        <v>44</v>
      </c>
      <c r="C48" s="1">
        <v>3400</v>
      </c>
      <c r="D48" s="1">
        <v>0.42399999999999999</v>
      </c>
      <c r="E48" s="1">
        <v>0.08</v>
      </c>
      <c r="F48" s="425">
        <v>3509.5</v>
      </c>
      <c r="G48" s="427">
        <v>0.12137000000000001</v>
      </c>
      <c r="H48" s="1">
        <v>0.1575</v>
      </c>
      <c r="I48" s="1">
        <v>0.11600000000000001</v>
      </c>
      <c r="J48" s="1">
        <v>162.30000000000001</v>
      </c>
      <c r="K48" s="19">
        <v>53.760000000000005</v>
      </c>
      <c r="L48" s="1">
        <v>0.56899999999999995</v>
      </c>
      <c r="M48" s="17">
        <v>268.262</v>
      </c>
      <c r="O48" s="19"/>
      <c r="P48" s="1"/>
      <c r="Q48" s="3"/>
      <c r="R48" s="3"/>
    </row>
    <row r="49" spans="2:18" x14ac:dyDescent="0.25">
      <c r="B49">
        <v>45</v>
      </c>
      <c r="C49" s="1">
        <v>3484</v>
      </c>
      <c r="D49" s="1">
        <v>0.436</v>
      </c>
      <c r="E49" s="1">
        <v>6.8000000000000005E-2</v>
      </c>
      <c r="F49" s="425">
        <v>3001.84</v>
      </c>
      <c r="G49" s="427">
        <v>0.12137000000000001</v>
      </c>
      <c r="H49" s="1">
        <v>0.1575</v>
      </c>
      <c r="I49" s="1">
        <v>0.115</v>
      </c>
      <c r="J49" s="1">
        <v>171</v>
      </c>
      <c r="K49" s="19">
        <v>54.599999999999994</v>
      </c>
      <c r="L49" s="1">
        <v>0.51300000000000001</v>
      </c>
      <c r="M49" s="17">
        <v>268.262</v>
      </c>
      <c r="O49" s="19"/>
      <c r="P49" s="1"/>
      <c r="Q49" s="3"/>
      <c r="R49" s="3"/>
    </row>
    <row r="50" spans="2:18" x14ac:dyDescent="0.25">
      <c r="B50">
        <v>46</v>
      </c>
      <c r="C50" s="1">
        <v>2950</v>
      </c>
      <c r="D50" s="1">
        <v>0.42399999999999999</v>
      </c>
      <c r="E50" s="1">
        <v>0.08</v>
      </c>
      <c r="F50" s="425">
        <v>3157.72</v>
      </c>
      <c r="G50" s="427">
        <v>0.12834000000000001</v>
      </c>
      <c r="H50" s="1">
        <v>0.16655</v>
      </c>
      <c r="I50" s="10">
        <v>0.12</v>
      </c>
      <c r="J50" s="1">
        <v>113.9</v>
      </c>
      <c r="K50" s="19">
        <v>56.760000000000005</v>
      </c>
      <c r="L50" s="1">
        <v>0.36</v>
      </c>
      <c r="M50" s="17">
        <v>291.428</v>
      </c>
      <c r="O50" s="19"/>
      <c r="P50" s="1"/>
      <c r="Q50" s="3"/>
      <c r="R50" s="3"/>
    </row>
    <row r="51" spans="2:18" x14ac:dyDescent="0.25">
      <c r="G51" s="427"/>
      <c r="M51" s="428"/>
    </row>
    <row r="52" spans="2:18" x14ac:dyDescent="0.25">
      <c r="G52" s="427"/>
      <c r="M52" s="428"/>
    </row>
    <row r="53" spans="2:18" x14ac:dyDescent="0.25">
      <c r="G53" s="427"/>
      <c r="M53" s="428"/>
    </row>
    <row r="54" spans="2:18" x14ac:dyDescent="0.25">
      <c r="G54" s="427"/>
      <c r="M54" s="428"/>
    </row>
    <row r="55" spans="2:18" x14ac:dyDescent="0.25">
      <c r="G55" s="427"/>
      <c r="M55" s="428"/>
    </row>
    <row r="56" spans="2:18" x14ac:dyDescent="0.25">
      <c r="G56" s="427"/>
      <c r="M56" s="428"/>
    </row>
    <row r="57" spans="2:18" x14ac:dyDescent="0.25">
      <c r="G57" s="427"/>
      <c r="M57" s="428"/>
    </row>
    <row r="58" spans="2:18" x14ac:dyDescent="0.25">
      <c r="G58" s="427"/>
      <c r="M58" s="428"/>
    </row>
    <row r="59" spans="2:18" x14ac:dyDescent="0.25">
      <c r="G59" s="427"/>
      <c r="M59" s="428"/>
    </row>
    <row r="60" spans="2:18" x14ac:dyDescent="0.25">
      <c r="G60" s="427"/>
      <c r="M60" s="428"/>
    </row>
    <row r="61" spans="2:18" x14ac:dyDescent="0.25">
      <c r="G61" s="427"/>
      <c r="M61" s="428"/>
    </row>
    <row r="62" spans="2:18" x14ac:dyDescent="0.25">
      <c r="G62" s="427"/>
      <c r="M62" s="428"/>
    </row>
    <row r="63" spans="2:18" x14ac:dyDescent="0.25">
      <c r="G63" s="427"/>
      <c r="M63" s="428"/>
    </row>
    <row r="64" spans="2:18" x14ac:dyDescent="0.25">
      <c r="G64" s="427"/>
      <c r="M64" s="428"/>
    </row>
    <row r="65" spans="7:13" x14ac:dyDescent="0.25">
      <c r="G65" s="427"/>
      <c r="M65" s="428"/>
    </row>
    <row r="66" spans="7:13" x14ac:dyDescent="0.25">
      <c r="G66" s="427"/>
      <c r="M66" s="428"/>
    </row>
    <row r="67" spans="7:13" x14ac:dyDescent="0.25">
      <c r="G67" s="427"/>
      <c r="M67" s="428"/>
    </row>
    <row r="68" spans="7:13" x14ac:dyDescent="0.25">
      <c r="G68" s="427"/>
      <c r="M68" s="42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16A5-C446-432F-B4AA-F5CAC9D80694}">
  <dimension ref="A1"/>
  <sheetViews>
    <sheetView topLeftCell="F56" zoomScale="110" zoomScaleNormal="110" workbookViewId="0">
      <selection activeCell="M86" sqref="M8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F71A6-E704-4832-A43E-1C7E937E91A8}">
  <dimension ref="B2:R9"/>
  <sheetViews>
    <sheetView zoomScale="90" zoomScaleNormal="90" workbookViewId="0">
      <selection activeCell="T17" sqref="T17"/>
    </sheetView>
  </sheetViews>
  <sheetFormatPr defaultRowHeight="15" x14ac:dyDescent="0.25"/>
  <sheetData>
    <row r="2" spans="2:18" x14ac:dyDescent="0.25">
      <c r="B2" s="5" t="s">
        <v>59</v>
      </c>
      <c r="J2" s="5" t="s">
        <v>347</v>
      </c>
    </row>
    <row r="3" spans="2:18" x14ac:dyDescent="0.25">
      <c r="B3" s="5" t="s">
        <v>0</v>
      </c>
      <c r="C3" s="5" t="s">
        <v>130</v>
      </c>
      <c r="D3" s="5" t="s">
        <v>342</v>
      </c>
      <c r="E3" s="5" t="s">
        <v>345</v>
      </c>
      <c r="F3" s="5" t="s">
        <v>346</v>
      </c>
      <c r="G3" s="5" t="s">
        <v>344</v>
      </c>
      <c r="H3" s="5" t="s">
        <v>304</v>
      </c>
      <c r="J3" s="5" t="s">
        <v>0</v>
      </c>
      <c r="K3" s="5" t="s">
        <v>130</v>
      </c>
      <c r="L3" s="5" t="s">
        <v>342</v>
      </c>
      <c r="M3" s="5" t="s">
        <v>345</v>
      </c>
      <c r="N3" s="5" t="s">
        <v>346</v>
      </c>
      <c r="O3" s="5" t="s">
        <v>344</v>
      </c>
      <c r="P3" s="5" t="s">
        <v>304</v>
      </c>
    </row>
    <row r="4" spans="2:18" x14ac:dyDescent="0.25">
      <c r="B4" s="425">
        <v>4822.2966475862013</v>
      </c>
      <c r="C4" s="425">
        <v>3215.9157036861629</v>
      </c>
      <c r="D4" s="3">
        <v>5.635483060947416E-2</v>
      </c>
      <c r="E4" s="425">
        <v>68.022905114767184</v>
      </c>
      <c r="F4" s="19">
        <v>33.334909768955271</v>
      </c>
      <c r="G4" s="3">
        <v>0.97786833186592725</v>
      </c>
      <c r="H4" s="425">
        <v>304.07150621052352</v>
      </c>
      <c r="J4" s="1">
        <v>4924</v>
      </c>
      <c r="K4" s="425">
        <v>3198.17</v>
      </c>
      <c r="L4" s="3">
        <v>5.7000000000000002E-2</v>
      </c>
      <c r="M4" s="425">
        <v>76.783000000000001</v>
      </c>
      <c r="N4" s="19">
        <v>35.400000000000006</v>
      </c>
      <c r="O4" s="3">
        <v>0.97699999999999998</v>
      </c>
      <c r="P4" s="425">
        <v>305.39999999999998</v>
      </c>
      <c r="R4" s="429">
        <f>B4-J4</f>
        <v>-101.70335241379871</v>
      </c>
    </row>
    <row r="5" spans="2:18" x14ac:dyDescent="0.25">
      <c r="B5" s="425">
        <v>4624.7342307279414</v>
      </c>
      <c r="C5" s="425">
        <v>3734.1108178518884</v>
      </c>
      <c r="D5" s="3">
        <v>6.6977754139112416E-2</v>
      </c>
      <c r="E5" s="425">
        <v>119.49138687857794</v>
      </c>
      <c r="F5" s="19">
        <v>39.129941160571704</v>
      </c>
      <c r="G5" s="3">
        <v>1.0696962841391517</v>
      </c>
      <c r="H5" s="425">
        <v>286.46613245252132</v>
      </c>
      <c r="J5" s="1">
        <v>4543</v>
      </c>
      <c r="K5" s="425">
        <v>2914.68</v>
      </c>
      <c r="L5" s="3">
        <v>5.5E-2</v>
      </c>
      <c r="M5" s="425">
        <v>143.41399999999999</v>
      </c>
      <c r="N5" s="19">
        <v>41.519999999999996</v>
      </c>
      <c r="O5" s="3">
        <v>0.79300000000000004</v>
      </c>
      <c r="P5" s="425">
        <v>272.2</v>
      </c>
      <c r="R5" s="429">
        <f t="shared" ref="R5:R8" si="0">B5-J5</f>
        <v>81.734230727941394</v>
      </c>
    </row>
    <row r="6" spans="2:18" x14ac:dyDescent="0.25">
      <c r="B6" s="425">
        <v>4675.0635087536302</v>
      </c>
      <c r="C6" s="425">
        <v>4548.3359261653441</v>
      </c>
      <c r="D6" s="3">
        <v>7.9644433996961861E-2</v>
      </c>
      <c r="E6" s="425">
        <v>203.84867865406574</v>
      </c>
      <c r="F6" s="19">
        <v>43.856459093029322</v>
      </c>
      <c r="G6" s="3">
        <v>1.3235324497732748</v>
      </c>
      <c r="H6" s="425">
        <v>290.99267759871282</v>
      </c>
      <c r="J6" s="1">
        <v>4572</v>
      </c>
      <c r="K6" s="425">
        <v>3173.55</v>
      </c>
      <c r="L6" s="3">
        <v>0.06</v>
      </c>
      <c r="M6" s="425">
        <v>181.51</v>
      </c>
      <c r="N6" s="19">
        <v>46.08</v>
      </c>
      <c r="O6" s="3">
        <v>0.872</v>
      </c>
      <c r="P6" s="425">
        <v>274.8</v>
      </c>
      <c r="R6" s="429">
        <f t="shared" si="0"/>
        <v>103.06350875363023</v>
      </c>
    </row>
    <row r="7" spans="2:18" x14ac:dyDescent="0.25">
      <c r="B7" s="425">
        <v>4339.3461474646047</v>
      </c>
      <c r="C7" s="425">
        <v>5407.7336941485646</v>
      </c>
      <c r="D7" s="3">
        <v>9.5567428686171838E-2</v>
      </c>
      <c r="E7" s="425">
        <v>321.98697257491256</v>
      </c>
      <c r="F7" s="19">
        <v>49.482482284415141</v>
      </c>
      <c r="G7" s="3">
        <v>1.4073109208256076</v>
      </c>
      <c r="H7" s="425">
        <v>260.24042610463374</v>
      </c>
      <c r="J7" s="1">
        <v>4186</v>
      </c>
      <c r="K7" s="425">
        <v>3286.33</v>
      </c>
      <c r="L7" s="3">
        <v>6.6000000000000003E-2</v>
      </c>
      <c r="M7" s="425">
        <v>229.733</v>
      </c>
      <c r="N7" s="19">
        <v>51.480000000000004</v>
      </c>
      <c r="O7" s="3">
        <v>0.78800000000000003</v>
      </c>
      <c r="P7" s="425">
        <v>239.6</v>
      </c>
      <c r="R7" s="429">
        <f t="shared" si="0"/>
        <v>153.34614746460466</v>
      </c>
    </row>
    <row r="8" spans="2:18" x14ac:dyDescent="0.25">
      <c r="B8" s="425">
        <v>4139.6798906282193</v>
      </c>
      <c r="C8" s="425">
        <v>5791.3567996348365</v>
      </c>
      <c r="D8" s="3">
        <v>0.10314920596785299</v>
      </c>
      <c r="E8" s="425">
        <v>436.35776635645669</v>
      </c>
      <c r="F8" s="19">
        <v>54.864479036847513</v>
      </c>
      <c r="G8" s="3">
        <v>1.3974712890212235</v>
      </c>
      <c r="H8" s="425">
        <v>241.3029169795476</v>
      </c>
      <c r="J8" s="1">
        <v>3484</v>
      </c>
      <c r="K8" s="425">
        <v>3001.84</v>
      </c>
      <c r="L8" s="3">
        <v>6.8000000000000005E-2</v>
      </c>
      <c r="M8" s="425">
        <v>268.262</v>
      </c>
      <c r="N8" s="19">
        <v>54.599999999999994</v>
      </c>
      <c r="O8" s="3">
        <v>0.51300000000000001</v>
      </c>
      <c r="P8" s="425">
        <v>171</v>
      </c>
      <c r="R8" s="429">
        <f t="shared" si="0"/>
        <v>655.67989062821925</v>
      </c>
    </row>
    <row r="9" spans="2:18" x14ac:dyDescent="0.25">
      <c r="B9" s="425"/>
      <c r="C9" s="425"/>
      <c r="D9" s="425"/>
      <c r="E9" s="425"/>
      <c r="F9" s="425"/>
      <c r="G9" s="425"/>
      <c r="H9" s="42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84180-3A94-40E8-86C7-5A8A682F63DD}">
  <dimension ref="A1:O47"/>
  <sheetViews>
    <sheetView topLeftCell="J19" zoomScale="90" zoomScaleNormal="90" workbookViewId="0">
      <selection activeCell="R42" sqref="R42"/>
    </sheetView>
  </sheetViews>
  <sheetFormatPr defaultColWidth="9.140625" defaultRowHeight="15" x14ac:dyDescent="0.25"/>
  <cols>
    <col min="1" max="1" width="10.7109375" bestFit="1" customWidth="1"/>
    <col min="3" max="3" width="9.85546875" bestFit="1" customWidth="1"/>
    <col min="4" max="4" width="9.7109375" bestFit="1" customWidth="1"/>
    <col min="5" max="5" width="12.5703125" bestFit="1" customWidth="1"/>
    <col min="7" max="7" width="9.42578125" bestFit="1" customWidth="1"/>
    <col min="8" max="8" width="9.85546875" bestFit="1" customWidth="1"/>
    <col min="9" max="9" width="9.7109375" bestFit="1" customWidth="1"/>
    <col min="10" max="10" width="12.5703125" bestFit="1" customWidth="1"/>
    <col min="12" max="12" width="9.42578125" bestFit="1" customWidth="1"/>
    <col min="13" max="13" width="9.85546875" bestFit="1" customWidth="1"/>
    <col min="14" max="14" width="9.7109375" bestFit="1" customWidth="1"/>
    <col min="15" max="15" width="12.5703125" bestFit="1" customWidth="1"/>
  </cols>
  <sheetData>
    <row r="1" spans="1:15" x14ac:dyDescent="0.25">
      <c r="A1" t="s">
        <v>181</v>
      </c>
      <c r="B1" t="s">
        <v>182</v>
      </c>
      <c r="C1" t="s">
        <v>183</v>
      </c>
    </row>
    <row r="2" spans="1:15" ht="18" x14ac:dyDescent="0.35">
      <c r="A2" t="s">
        <v>184</v>
      </c>
      <c r="B2" t="s">
        <v>185</v>
      </c>
      <c r="C2" s="172">
        <v>0.75</v>
      </c>
    </row>
    <row r="3" spans="1:15" ht="18" x14ac:dyDescent="0.35">
      <c r="A3" t="s">
        <v>186</v>
      </c>
      <c r="B3" t="s">
        <v>187</v>
      </c>
      <c r="C3" s="172">
        <v>0.15</v>
      </c>
    </row>
    <row r="4" spans="1:15" ht="18" x14ac:dyDescent="0.35">
      <c r="A4" t="s">
        <v>188</v>
      </c>
      <c r="B4" t="s">
        <v>189</v>
      </c>
      <c r="C4" s="172">
        <v>0.05</v>
      </c>
    </row>
    <row r="5" spans="1:15" ht="18" x14ac:dyDescent="0.35">
      <c r="A5" t="s">
        <v>190</v>
      </c>
      <c r="B5" t="s">
        <v>191</v>
      </c>
      <c r="C5" s="172">
        <v>0.05</v>
      </c>
    </row>
    <row r="7" spans="1:15" x14ac:dyDescent="0.25">
      <c r="B7" s="173" t="s">
        <v>192</v>
      </c>
      <c r="C7" s="173" t="s">
        <v>193</v>
      </c>
      <c r="D7" s="173">
        <v>194</v>
      </c>
      <c r="E7" s="173" t="s">
        <v>194</v>
      </c>
      <c r="G7" s="173" t="s">
        <v>192</v>
      </c>
      <c r="H7" s="173" t="s">
        <v>195</v>
      </c>
      <c r="I7" s="173">
        <v>212</v>
      </c>
      <c r="J7" s="173" t="s">
        <v>194</v>
      </c>
      <c r="L7" s="173" t="s">
        <v>192</v>
      </c>
      <c r="M7" s="173" t="s">
        <v>196</v>
      </c>
      <c r="N7" s="173">
        <v>248</v>
      </c>
      <c r="O7" s="173" t="s">
        <v>194</v>
      </c>
    </row>
    <row r="8" spans="1:15" ht="15.75" x14ac:dyDescent="0.25">
      <c r="B8" s="174" t="s">
        <v>197</v>
      </c>
      <c r="C8" s="175" t="s">
        <v>198</v>
      </c>
      <c r="D8" s="174" t="s">
        <v>199</v>
      </c>
      <c r="E8" s="175" t="s">
        <v>200</v>
      </c>
      <c r="G8" s="175" t="s">
        <v>197</v>
      </c>
      <c r="H8" s="175" t="s">
        <v>198</v>
      </c>
      <c r="I8" s="175" t="s">
        <v>201</v>
      </c>
      <c r="J8" s="175" t="s">
        <v>200</v>
      </c>
      <c r="L8" s="175" t="s">
        <v>197</v>
      </c>
      <c r="M8" s="175" t="s">
        <v>198</v>
      </c>
      <c r="N8" s="175" t="s">
        <v>201</v>
      </c>
      <c r="O8" s="175" t="s">
        <v>200</v>
      </c>
    </row>
    <row r="9" spans="1:15" x14ac:dyDescent="0.25">
      <c r="B9" s="176">
        <v>100</v>
      </c>
      <c r="C9" s="177">
        <v>0.99999199999999999</v>
      </c>
      <c r="D9" s="178">
        <f>+(0.02827*C9*($D$7+460))/B9</f>
        <v>0.18488432091359999</v>
      </c>
      <c r="E9" s="179">
        <v>1.31929E-2</v>
      </c>
      <c r="G9" s="180">
        <v>0.1</v>
      </c>
      <c r="H9" s="177">
        <v>0.99999300000000002</v>
      </c>
      <c r="I9" s="178">
        <f>+(0.02827*H9*($I$7+460))/G9</f>
        <v>189.97307017919999</v>
      </c>
      <c r="J9" s="179">
        <v>1.34885E-2</v>
      </c>
      <c r="L9" s="180">
        <v>0.1</v>
      </c>
      <c r="M9" s="177">
        <v>0.99999499999999997</v>
      </c>
      <c r="N9" s="178">
        <f>+(0.02827*M9*($N$7+460))/L9</f>
        <v>200.15059924199997</v>
      </c>
      <c r="O9" s="179">
        <v>1.4068799999999999E-2</v>
      </c>
    </row>
    <row r="10" spans="1:15" x14ac:dyDescent="0.25">
      <c r="B10" s="181">
        <v>500</v>
      </c>
      <c r="C10" s="177">
        <v>0.96580299999999997</v>
      </c>
      <c r="D10" s="182">
        <f t="shared" ref="D10:D23" si="0">+(0.02827*C10*($D$7+460))/B10</f>
        <v>3.5712652059480002E-2</v>
      </c>
      <c r="E10" s="183">
        <v>1.37039E-2</v>
      </c>
      <c r="G10" s="180">
        <v>500.1</v>
      </c>
      <c r="H10" s="177">
        <v>0.96952199999999999</v>
      </c>
      <c r="I10" s="178">
        <f t="shared" ref="I10:I23" si="1">+(0.02827*H10*($I$7+460))/G10</f>
        <v>3.6829506146130779E-2</v>
      </c>
      <c r="J10" s="179">
        <v>1.39819E-2</v>
      </c>
      <c r="L10" s="180">
        <v>500.1</v>
      </c>
      <c r="M10" s="177">
        <v>0.975885</v>
      </c>
      <c r="N10" s="178">
        <f t="shared" ref="N10:N23" si="2">+(0.02827*M10*($N$7+460))/L10</f>
        <v>3.9057177397720459E-2</v>
      </c>
      <c r="O10" s="179">
        <v>1.45305E-2</v>
      </c>
    </row>
    <row r="11" spans="1:15" x14ac:dyDescent="0.25">
      <c r="B11" s="181">
        <v>1000</v>
      </c>
      <c r="C11" s="177">
        <v>0.93990399999999996</v>
      </c>
      <c r="D11" s="182">
        <f t="shared" si="0"/>
        <v>1.7377490296320002E-2</v>
      </c>
      <c r="E11" s="179">
        <v>1.43762E-2</v>
      </c>
      <c r="G11" s="180">
        <v>1000.1</v>
      </c>
      <c r="H11" s="177">
        <v>0.94677999999999995</v>
      </c>
      <c r="I11" s="178">
        <f t="shared" si="1"/>
        <v>1.7984597783421655E-2</v>
      </c>
      <c r="J11" s="179">
        <v>1.46251E-2</v>
      </c>
      <c r="L11" s="180">
        <v>1000.1</v>
      </c>
      <c r="M11" s="177">
        <v>0.95849300000000004</v>
      </c>
      <c r="N11" s="178">
        <f t="shared" si="2"/>
        <v>1.9182472506629338E-2</v>
      </c>
      <c r="O11" s="179">
        <v>1.51228E-2</v>
      </c>
    </row>
    <row r="12" spans="1:15" x14ac:dyDescent="0.25">
      <c r="B12" s="181">
        <v>1500</v>
      </c>
      <c r="C12" s="177">
        <v>0.92276199999999997</v>
      </c>
      <c r="D12" s="182">
        <f t="shared" si="0"/>
        <v>1.137370603864E-2</v>
      </c>
      <c r="E12" s="179">
        <v>1.52006E-2</v>
      </c>
      <c r="G12" s="180">
        <v>1500.1</v>
      </c>
      <c r="H12" s="177">
        <v>0.93204399999999998</v>
      </c>
      <c r="I12" s="178">
        <f t="shared" si="1"/>
        <v>1.1803513077368178E-2</v>
      </c>
      <c r="J12" s="179">
        <v>1.5407300000000001E-2</v>
      </c>
      <c r="L12" s="180">
        <v>1500.1</v>
      </c>
      <c r="M12" s="177">
        <v>0.94784199999999996</v>
      </c>
      <c r="N12" s="178">
        <f t="shared" si="2"/>
        <v>1.2646629747830146E-2</v>
      </c>
      <c r="O12" s="179">
        <v>1.58329E-2</v>
      </c>
    </row>
    <row r="13" spans="1:15" x14ac:dyDescent="0.25">
      <c r="B13" s="181">
        <v>2000</v>
      </c>
      <c r="C13" s="177">
        <v>0.91424499999999997</v>
      </c>
      <c r="D13" s="182">
        <f t="shared" si="0"/>
        <v>8.4515459110499989E-3</v>
      </c>
      <c r="E13" s="179">
        <v>1.6160500000000001E-2</v>
      </c>
      <c r="G13" s="180">
        <v>2000.1</v>
      </c>
      <c r="H13" s="177">
        <v>0.92509699999999995</v>
      </c>
      <c r="I13" s="178">
        <f t="shared" si="1"/>
        <v>8.7867980359382022E-3</v>
      </c>
      <c r="J13" s="179">
        <v>1.6311699999999998E-2</v>
      </c>
      <c r="L13" s="180">
        <v>2000.1</v>
      </c>
      <c r="M13" s="177">
        <v>0.94362000000000001</v>
      </c>
      <c r="N13" s="178">
        <f t="shared" si="2"/>
        <v>9.4428804955752222E-3</v>
      </c>
      <c r="O13" s="179">
        <v>1.6644800000000001E-2</v>
      </c>
    </row>
    <row r="14" spans="1:15" x14ac:dyDescent="0.25">
      <c r="B14" s="176">
        <v>2500</v>
      </c>
      <c r="C14" s="177">
        <v>0.91365600000000002</v>
      </c>
      <c r="D14" s="178">
        <f t="shared" si="0"/>
        <v>6.7568808193920003E-3</v>
      </c>
      <c r="E14" s="179">
        <v>1.7232299999999999E-2</v>
      </c>
      <c r="G14" s="180">
        <v>2500.1</v>
      </c>
      <c r="H14" s="177">
        <v>0.92528200000000005</v>
      </c>
      <c r="I14" s="178">
        <f t="shared" si="1"/>
        <v>7.030914474653014E-3</v>
      </c>
      <c r="J14" s="179">
        <v>1.7317200000000001E-2</v>
      </c>
      <c r="L14" s="180">
        <v>2500.1</v>
      </c>
      <c r="M14" s="177">
        <v>0.94524900000000001</v>
      </c>
      <c r="N14" s="178">
        <f t="shared" si="2"/>
        <v>7.567421293084276E-3</v>
      </c>
      <c r="O14" s="179">
        <v>1.75406E-2</v>
      </c>
    </row>
    <row r="15" spans="1:15" x14ac:dyDescent="0.25">
      <c r="B15" s="176">
        <v>3000</v>
      </c>
      <c r="C15" s="177">
        <v>0.91993499999999995</v>
      </c>
      <c r="D15" s="178">
        <f t="shared" si="0"/>
        <v>5.6694306141000005E-3</v>
      </c>
      <c r="E15" s="179">
        <v>1.8386699999999999E-2</v>
      </c>
      <c r="G15" s="180">
        <v>3000.1</v>
      </c>
      <c r="H15" s="177">
        <v>0.93166899999999997</v>
      </c>
      <c r="I15" s="178">
        <f t="shared" si="1"/>
        <v>5.8995786564981162E-3</v>
      </c>
      <c r="J15" s="179">
        <v>1.8398600000000001E-2</v>
      </c>
      <c r="L15" s="180">
        <v>3000.1</v>
      </c>
      <c r="M15" s="177">
        <v>0.95199100000000003</v>
      </c>
      <c r="N15" s="178">
        <f t="shared" si="2"/>
        <v>6.351205687663744E-3</v>
      </c>
      <c r="O15" s="179">
        <v>1.8501E-2</v>
      </c>
    </row>
    <row r="16" spans="1:15" x14ac:dyDescent="0.25">
      <c r="B16" s="176">
        <v>3500</v>
      </c>
      <c r="C16" s="177">
        <v>0.93189999999999995</v>
      </c>
      <c r="D16" s="178">
        <f t="shared" si="0"/>
        <v>4.9227164862857137E-3</v>
      </c>
      <c r="E16" s="179">
        <v>1.95928E-2</v>
      </c>
      <c r="G16" s="180">
        <v>3500.1</v>
      </c>
      <c r="H16" s="177">
        <v>0.94323999999999997</v>
      </c>
      <c r="I16" s="178">
        <f t="shared" si="1"/>
        <v>5.1196095270420851E-3</v>
      </c>
      <c r="J16" s="179">
        <v>1.9529999999999999E-2</v>
      </c>
      <c r="L16" s="180">
        <v>3500.1</v>
      </c>
      <c r="M16" s="177">
        <v>0.96306700000000001</v>
      </c>
      <c r="N16" s="178">
        <f t="shared" si="2"/>
        <v>5.5072541058026909E-3</v>
      </c>
      <c r="O16" s="179">
        <v>1.9506800000000001E-2</v>
      </c>
    </row>
    <row r="17" spans="1:15" x14ac:dyDescent="0.25">
      <c r="B17" s="176">
        <v>4000</v>
      </c>
      <c r="C17" s="177">
        <v>0.94842599999999999</v>
      </c>
      <c r="D17" s="178">
        <f t="shared" si="0"/>
        <v>4.38376249377E-3</v>
      </c>
      <c r="E17" s="179">
        <v>2.0823000000000001E-2</v>
      </c>
      <c r="G17" s="180">
        <v>4000.1</v>
      </c>
      <c r="H17" s="177">
        <v>0.95901999999999998</v>
      </c>
      <c r="I17" s="178">
        <f t="shared" si="1"/>
        <v>4.5546173617659561E-3</v>
      </c>
      <c r="J17" s="179">
        <v>2.06876E-2</v>
      </c>
      <c r="L17" s="180">
        <v>4000.1</v>
      </c>
      <c r="M17" s="177">
        <v>0.97773399999999999</v>
      </c>
      <c r="N17" s="178">
        <f t="shared" si="2"/>
        <v>4.8922533055273613E-3</v>
      </c>
      <c r="O17" s="179">
        <v>2.0540200000000002E-2</v>
      </c>
    </row>
    <row r="18" spans="1:15" x14ac:dyDescent="0.25">
      <c r="B18" s="176">
        <v>4500</v>
      </c>
      <c r="C18" s="177">
        <v>0.96854200000000001</v>
      </c>
      <c r="D18" s="178">
        <f t="shared" si="0"/>
        <v>3.9793258334133337E-3</v>
      </c>
      <c r="E18" s="179">
        <v>2.2056200000000001E-2</v>
      </c>
      <c r="G18" s="180">
        <v>4500.1000000000004</v>
      </c>
      <c r="H18" s="177">
        <v>0.978163</v>
      </c>
      <c r="I18" s="178">
        <f t="shared" si="1"/>
        <v>4.1293733256416521E-3</v>
      </c>
      <c r="J18" s="179">
        <v>2.1852900000000001E-2</v>
      </c>
      <c r="L18" s="180">
        <v>4500.1000000000004</v>
      </c>
      <c r="M18" s="177">
        <v>0.99533400000000005</v>
      </c>
      <c r="N18" s="178">
        <f t="shared" si="2"/>
        <v>4.4269614593986798E-3</v>
      </c>
      <c r="O18" s="179">
        <v>2.1586899999999999E-2</v>
      </c>
    </row>
    <row r="19" spans="1:15" x14ac:dyDescent="0.25">
      <c r="B19" s="176">
        <v>5000</v>
      </c>
      <c r="C19" s="177">
        <v>0.99145799999999995</v>
      </c>
      <c r="D19" s="178">
        <f t="shared" si="0"/>
        <v>3.6661301099279995E-3</v>
      </c>
      <c r="E19" s="179">
        <v>2.3278400000000001E-2</v>
      </c>
      <c r="G19" s="180">
        <v>5000.1000000000004</v>
      </c>
      <c r="H19" s="177">
        <v>0.99996399999999996</v>
      </c>
      <c r="I19" s="178">
        <f t="shared" si="1"/>
        <v>3.7992752329273414E-3</v>
      </c>
      <c r="J19" s="179">
        <v>2.3012700000000001E-2</v>
      </c>
      <c r="L19" s="180">
        <v>5000.1000000000004</v>
      </c>
      <c r="M19" s="177">
        <v>1.0153099999999999</v>
      </c>
      <c r="N19" s="178">
        <f t="shared" si="2"/>
        <v>4.0642371351772965E-3</v>
      </c>
      <c r="O19" s="179">
        <v>2.2635599999999999E-2</v>
      </c>
    </row>
    <row r="20" spans="1:15" x14ac:dyDescent="0.25">
      <c r="B20" s="176">
        <v>5500</v>
      </c>
      <c r="C20" s="177">
        <v>1.0165500000000001</v>
      </c>
      <c r="D20" s="178">
        <f t="shared" si="0"/>
        <v>3.4171938180000004E-3</v>
      </c>
      <c r="E20" s="179">
        <v>2.44814E-2</v>
      </c>
      <c r="G20" s="180">
        <v>5500.1</v>
      </c>
      <c r="H20" s="177">
        <v>1.02386</v>
      </c>
      <c r="I20" s="178">
        <f t="shared" si="1"/>
        <v>3.5364300500718166E-3</v>
      </c>
      <c r="J20" s="179">
        <v>2.4158800000000001E-2</v>
      </c>
      <c r="L20" s="180">
        <v>5500.1</v>
      </c>
      <c r="M20" s="177">
        <v>1.0371900000000001</v>
      </c>
      <c r="N20" s="178">
        <f t="shared" si="2"/>
        <v>3.7743902475227721E-3</v>
      </c>
      <c r="O20" s="179">
        <v>2.36787E-2</v>
      </c>
    </row>
    <row r="21" spans="1:15" x14ac:dyDescent="0.25">
      <c r="B21" s="176">
        <v>6000</v>
      </c>
      <c r="C21" s="177">
        <v>1.0433300000000001</v>
      </c>
      <c r="D21" s="178">
        <f t="shared" si="0"/>
        <v>3.2149483619E-3</v>
      </c>
      <c r="E21" s="179">
        <v>2.56609E-2</v>
      </c>
      <c r="G21" s="180">
        <v>6000.1</v>
      </c>
      <c r="H21" s="177">
        <v>1.0494000000000001</v>
      </c>
      <c r="I21" s="178">
        <f t="shared" si="1"/>
        <v>3.3225968793853438E-3</v>
      </c>
      <c r="J21" s="179">
        <v>2.52865E-2</v>
      </c>
      <c r="L21" s="180">
        <v>6000.1</v>
      </c>
      <c r="M21" s="177">
        <v>1.0606199999999999</v>
      </c>
      <c r="N21" s="178">
        <f t="shared" si="2"/>
        <v>3.5380208661855627E-3</v>
      </c>
      <c r="O21" s="179">
        <v>2.4711400000000001E-2</v>
      </c>
    </row>
    <row r="22" spans="1:15" x14ac:dyDescent="0.25">
      <c r="B22" s="176">
        <v>6500</v>
      </c>
      <c r="C22" s="177">
        <v>1.0714300000000001</v>
      </c>
      <c r="D22" s="178">
        <f t="shared" si="0"/>
        <v>3.0475721952923081E-3</v>
      </c>
      <c r="E22" s="179">
        <v>2.6815100000000001E-2</v>
      </c>
      <c r="G22" s="180">
        <v>6500.1</v>
      </c>
      <c r="H22" s="177">
        <v>1.0762499999999999</v>
      </c>
      <c r="I22" s="178">
        <f t="shared" si="1"/>
        <v>3.145489269395855E-3</v>
      </c>
      <c r="J22" s="179">
        <v>2.6393400000000001E-2</v>
      </c>
      <c r="L22" s="180">
        <v>6500.1</v>
      </c>
      <c r="M22" s="177">
        <v>1.0852999999999999</v>
      </c>
      <c r="N22" s="178">
        <f t="shared" si="2"/>
        <v>3.3418644556237596E-3</v>
      </c>
      <c r="O22" s="179">
        <v>2.57304E-2</v>
      </c>
    </row>
    <row r="23" spans="1:15" x14ac:dyDescent="0.25">
      <c r="B23" s="176">
        <v>7000</v>
      </c>
      <c r="C23" s="177">
        <v>1.10056</v>
      </c>
      <c r="D23" s="178">
        <f t="shared" si="0"/>
        <v>2.9068273721142858E-3</v>
      </c>
      <c r="E23" s="179">
        <v>2.79434E-2</v>
      </c>
      <c r="G23" s="180">
        <v>7000.1</v>
      </c>
      <c r="H23" s="177">
        <v>1.1041300000000001</v>
      </c>
      <c r="I23" s="178">
        <f t="shared" si="1"/>
        <v>2.9964776827759603E-3</v>
      </c>
      <c r="J23" s="179">
        <v>2.74784E-2</v>
      </c>
      <c r="L23" s="180">
        <v>7000.1</v>
      </c>
      <c r="M23" s="177">
        <v>1.1109800000000001</v>
      </c>
      <c r="N23" s="178">
        <f t="shared" si="2"/>
        <v>3.1765892568391876E-3</v>
      </c>
      <c r="O23" s="179">
        <v>2.6734399999999998E-2</v>
      </c>
    </row>
    <row r="27" spans="1:15" x14ac:dyDescent="0.25">
      <c r="A27" t="s">
        <v>181</v>
      </c>
      <c r="B27" t="s">
        <v>182</v>
      </c>
      <c r="C27" t="s">
        <v>183</v>
      </c>
    </row>
    <row r="28" spans="1:15" ht="18" x14ac:dyDescent="0.35">
      <c r="A28" t="s">
        <v>184</v>
      </c>
      <c r="B28" t="s">
        <v>185</v>
      </c>
      <c r="C28" s="172">
        <v>1</v>
      </c>
    </row>
    <row r="29" spans="1:15" x14ac:dyDescent="0.25">
      <c r="C29" s="172"/>
    </row>
    <row r="30" spans="1:15" x14ac:dyDescent="0.25">
      <c r="C30" s="172"/>
    </row>
    <row r="31" spans="1:15" x14ac:dyDescent="0.25">
      <c r="B31" s="173" t="s">
        <v>192</v>
      </c>
      <c r="C31" s="173" t="s">
        <v>193</v>
      </c>
      <c r="D31" s="173">
        <v>194</v>
      </c>
      <c r="E31" s="173" t="s">
        <v>194</v>
      </c>
      <c r="G31" s="173" t="s">
        <v>192</v>
      </c>
      <c r="H31" s="173" t="s">
        <v>195</v>
      </c>
      <c r="I31" s="173">
        <v>212</v>
      </c>
      <c r="J31" s="173" t="s">
        <v>194</v>
      </c>
      <c r="L31" s="173" t="s">
        <v>192</v>
      </c>
      <c r="M31" s="173" t="s">
        <v>196</v>
      </c>
      <c r="N31" s="173">
        <v>248</v>
      </c>
      <c r="O31" s="173" t="s">
        <v>194</v>
      </c>
    </row>
    <row r="32" spans="1:15" ht="15.75" x14ac:dyDescent="0.25">
      <c r="B32" s="175" t="s">
        <v>197</v>
      </c>
      <c r="C32" s="175" t="s">
        <v>198</v>
      </c>
      <c r="D32" s="175" t="s">
        <v>201</v>
      </c>
      <c r="E32" s="175" t="s">
        <v>200</v>
      </c>
      <c r="G32" s="175" t="s">
        <v>197</v>
      </c>
      <c r="H32" s="175" t="s">
        <v>198</v>
      </c>
      <c r="I32" s="175" t="s">
        <v>201</v>
      </c>
      <c r="J32" s="175" t="s">
        <v>200</v>
      </c>
      <c r="L32" s="175" t="s">
        <v>197</v>
      </c>
      <c r="M32" s="175" t="s">
        <v>198</v>
      </c>
      <c r="N32" s="175" t="s">
        <v>201</v>
      </c>
      <c r="O32" s="175" t="s">
        <v>200</v>
      </c>
    </row>
    <row r="33" spans="2:15" x14ac:dyDescent="0.25">
      <c r="B33" s="176">
        <v>100</v>
      </c>
      <c r="C33" s="180">
        <v>0.99999199999999999</v>
      </c>
      <c r="D33" s="178">
        <f>+(0.02827*C33*($D$31+460))/B33</f>
        <v>0.18488432091359999</v>
      </c>
      <c r="E33" s="179">
        <v>1.31929E-2</v>
      </c>
      <c r="G33" s="180">
        <v>0.1</v>
      </c>
      <c r="H33" s="180">
        <v>0.99999300000000002</v>
      </c>
      <c r="I33" s="178">
        <f>+(0.02827*H33*($I$31+460))/G33</f>
        <v>189.97307017919999</v>
      </c>
      <c r="J33" s="179">
        <v>1.34885E-2</v>
      </c>
      <c r="L33" s="180">
        <v>0.1</v>
      </c>
      <c r="M33" s="180">
        <v>0.99999499999999997</v>
      </c>
      <c r="N33" s="178">
        <f>+(0.02827*M33*($N$31+460))/L33</f>
        <v>200.15059924199997</v>
      </c>
      <c r="O33" s="179">
        <v>1.4068799999999999E-2</v>
      </c>
    </row>
    <row r="34" spans="2:15" x14ac:dyDescent="0.25">
      <c r="B34" s="176">
        <v>500</v>
      </c>
      <c r="C34" s="180">
        <v>0.96580299999999997</v>
      </c>
      <c r="D34" s="178">
        <f t="shared" ref="D34:D47" si="3">+(0.02827*C34*($D$31+460))/B34</f>
        <v>3.5712652059480002E-2</v>
      </c>
      <c r="E34" s="179">
        <v>1.37039E-2</v>
      </c>
      <c r="G34" s="180">
        <v>500.1</v>
      </c>
      <c r="H34" s="180">
        <v>0.96952199999999999</v>
      </c>
      <c r="I34" s="178">
        <f t="shared" ref="I34:I47" si="4">+(0.02827*H34*($I$31+460))/G34</f>
        <v>3.6829506146130779E-2</v>
      </c>
      <c r="J34" s="179">
        <v>1.39819E-2</v>
      </c>
      <c r="L34" s="180">
        <v>500.1</v>
      </c>
      <c r="M34" s="180">
        <v>0.975885</v>
      </c>
      <c r="N34" s="178">
        <f t="shared" ref="N34:N47" si="5">+(0.02827*M34*($N$31+460))/L34</f>
        <v>3.9057177397720459E-2</v>
      </c>
      <c r="O34" s="179">
        <v>1.45305E-2</v>
      </c>
    </row>
    <row r="35" spans="2:15" x14ac:dyDescent="0.25">
      <c r="B35" s="176">
        <v>1000</v>
      </c>
      <c r="C35" s="180">
        <v>0.93990399999999996</v>
      </c>
      <c r="D35" s="178">
        <f t="shared" si="3"/>
        <v>1.7377490296320002E-2</v>
      </c>
      <c r="E35" s="179">
        <v>1.43762E-2</v>
      </c>
      <c r="G35" s="180">
        <v>1000.1</v>
      </c>
      <c r="H35" s="180">
        <v>0.94677999999999995</v>
      </c>
      <c r="I35" s="178">
        <f t="shared" si="4"/>
        <v>1.7984597783421655E-2</v>
      </c>
      <c r="J35" s="179">
        <v>1.46251E-2</v>
      </c>
      <c r="L35" s="180">
        <v>1000.1</v>
      </c>
      <c r="M35" s="180">
        <v>0.95849300000000004</v>
      </c>
      <c r="N35" s="178">
        <f t="shared" si="5"/>
        <v>1.9182472506629338E-2</v>
      </c>
      <c r="O35" s="179">
        <v>1.51228E-2</v>
      </c>
    </row>
    <row r="36" spans="2:15" x14ac:dyDescent="0.25">
      <c r="B36" s="176">
        <v>1500</v>
      </c>
      <c r="C36" s="180">
        <v>0.92276199999999997</v>
      </c>
      <c r="D36" s="178">
        <f t="shared" si="3"/>
        <v>1.137370603864E-2</v>
      </c>
      <c r="E36" s="179">
        <v>1.52006E-2</v>
      </c>
      <c r="G36" s="180">
        <v>1500.1</v>
      </c>
      <c r="H36" s="180">
        <v>0.93204399999999998</v>
      </c>
      <c r="I36" s="178">
        <f t="shared" si="4"/>
        <v>1.1803513077368178E-2</v>
      </c>
      <c r="J36" s="179">
        <v>1.5407300000000001E-2</v>
      </c>
      <c r="L36" s="180">
        <v>1500.1</v>
      </c>
      <c r="M36" s="180">
        <v>0.94784199999999996</v>
      </c>
      <c r="N36" s="178">
        <f t="shared" si="5"/>
        <v>1.2646629747830146E-2</v>
      </c>
      <c r="O36" s="179">
        <v>1.58329E-2</v>
      </c>
    </row>
    <row r="37" spans="2:15" x14ac:dyDescent="0.25">
      <c r="B37" s="176">
        <v>2000</v>
      </c>
      <c r="C37" s="180">
        <v>0.91424499999999997</v>
      </c>
      <c r="D37" s="178">
        <f t="shared" si="3"/>
        <v>8.4515459110499989E-3</v>
      </c>
      <c r="E37" s="179">
        <v>1.6160500000000001E-2</v>
      </c>
      <c r="G37" s="180">
        <v>2000.1</v>
      </c>
      <c r="H37" s="180">
        <v>0.92509699999999995</v>
      </c>
      <c r="I37" s="178">
        <f t="shared" si="4"/>
        <v>8.7867980359382022E-3</v>
      </c>
      <c r="J37" s="179">
        <v>1.6311699999999998E-2</v>
      </c>
      <c r="L37" s="180">
        <v>2000.1</v>
      </c>
      <c r="M37" s="180">
        <v>0.94362000000000001</v>
      </c>
      <c r="N37" s="178">
        <f t="shared" si="5"/>
        <v>9.4428804955752222E-3</v>
      </c>
      <c r="O37" s="179">
        <v>1.6644800000000001E-2</v>
      </c>
    </row>
    <row r="38" spans="2:15" x14ac:dyDescent="0.25">
      <c r="B38" s="176">
        <v>2500</v>
      </c>
      <c r="C38" s="180">
        <v>0.91365600000000002</v>
      </c>
      <c r="D38" s="178">
        <f t="shared" si="3"/>
        <v>6.7568808193920003E-3</v>
      </c>
      <c r="E38" s="179">
        <v>1.7232299999999999E-2</v>
      </c>
      <c r="G38" s="180">
        <v>2500.1</v>
      </c>
      <c r="H38" s="180">
        <v>0.92528200000000005</v>
      </c>
      <c r="I38" s="178">
        <f t="shared" si="4"/>
        <v>7.030914474653014E-3</v>
      </c>
      <c r="J38" s="179">
        <v>1.7317200000000001E-2</v>
      </c>
      <c r="L38" s="180">
        <v>2500.1</v>
      </c>
      <c r="M38" s="180">
        <v>0.94524900000000001</v>
      </c>
      <c r="N38" s="178">
        <f t="shared" si="5"/>
        <v>7.567421293084276E-3</v>
      </c>
      <c r="O38" s="179">
        <v>1.75406E-2</v>
      </c>
    </row>
    <row r="39" spans="2:15" x14ac:dyDescent="0.25">
      <c r="B39" s="176">
        <v>3000</v>
      </c>
      <c r="C39" s="180">
        <v>0.91993499999999995</v>
      </c>
      <c r="D39" s="178">
        <f t="shared" si="3"/>
        <v>5.6694306141000005E-3</v>
      </c>
      <c r="E39" s="179">
        <v>1.8386699999999999E-2</v>
      </c>
      <c r="G39" s="180">
        <v>3000.1</v>
      </c>
      <c r="H39" s="180">
        <v>0.93166899999999997</v>
      </c>
      <c r="I39" s="178">
        <f t="shared" si="4"/>
        <v>5.8995786564981162E-3</v>
      </c>
      <c r="J39" s="179">
        <v>1.8398600000000001E-2</v>
      </c>
      <c r="L39" s="180">
        <v>3000.1</v>
      </c>
      <c r="M39" s="180">
        <v>0.95199100000000003</v>
      </c>
      <c r="N39" s="178">
        <f t="shared" si="5"/>
        <v>6.351205687663744E-3</v>
      </c>
      <c r="O39" s="179">
        <v>1.8501E-2</v>
      </c>
    </row>
    <row r="40" spans="2:15" x14ac:dyDescent="0.25">
      <c r="B40" s="176">
        <v>3500</v>
      </c>
      <c r="C40" s="180">
        <v>0.93189999999999995</v>
      </c>
      <c r="D40" s="178">
        <f t="shared" si="3"/>
        <v>4.9227164862857137E-3</v>
      </c>
      <c r="E40" s="179">
        <v>1.95928E-2</v>
      </c>
      <c r="G40" s="180">
        <v>3500.1</v>
      </c>
      <c r="H40" s="180">
        <v>0.94323999999999997</v>
      </c>
      <c r="I40" s="178">
        <f t="shared" si="4"/>
        <v>5.1196095270420851E-3</v>
      </c>
      <c r="J40" s="179">
        <v>1.9529999999999999E-2</v>
      </c>
      <c r="L40" s="180">
        <v>3500.1</v>
      </c>
      <c r="M40" s="180">
        <v>0.96306700000000001</v>
      </c>
      <c r="N40" s="178">
        <f t="shared" si="5"/>
        <v>5.5072541058026909E-3</v>
      </c>
      <c r="O40" s="179">
        <v>1.9506800000000001E-2</v>
      </c>
    </row>
    <row r="41" spans="2:15" x14ac:dyDescent="0.25">
      <c r="B41" s="176">
        <v>4000</v>
      </c>
      <c r="C41" s="180">
        <v>0.94842599999999999</v>
      </c>
      <c r="D41" s="178">
        <f t="shared" si="3"/>
        <v>4.38376249377E-3</v>
      </c>
      <c r="E41" s="179">
        <v>2.0823000000000001E-2</v>
      </c>
      <c r="G41" s="180">
        <v>4000.1</v>
      </c>
      <c r="H41" s="180">
        <v>0.95901999999999998</v>
      </c>
      <c r="I41" s="178">
        <f t="shared" si="4"/>
        <v>4.5546173617659561E-3</v>
      </c>
      <c r="J41" s="179">
        <v>2.06876E-2</v>
      </c>
      <c r="L41" s="180">
        <v>4000.1</v>
      </c>
      <c r="M41" s="180">
        <v>0.97773399999999999</v>
      </c>
      <c r="N41" s="178">
        <f t="shared" si="5"/>
        <v>4.8922533055273613E-3</v>
      </c>
      <c r="O41" s="179">
        <v>2.0540200000000002E-2</v>
      </c>
    </row>
    <row r="42" spans="2:15" x14ac:dyDescent="0.25">
      <c r="B42" s="176">
        <v>4500</v>
      </c>
      <c r="C42" s="180">
        <v>0.96854200000000001</v>
      </c>
      <c r="D42" s="178">
        <f t="shared" si="3"/>
        <v>3.9793258334133337E-3</v>
      </c>
      <c r="E42" s="179">
        <v>2.2056200000000001E-2</v>
      </c>
      <c r="G42" s="180">
        <v>4500.1000000000004</v>
      </c>
      <c r="H42" s="180">
        <v>0.978163</v>
      </c>
      <c r="I42" s="178">
        <f t="shared" si="4"/>
        <v>4.1293733256416521E-3</v>
      </c>
      <c r="J42" s="179">
        <v>2.1852900000000001E-2</v>
      </c>
      <c r="L42" s="180">
        <v>4500.1000000000004</v>
      </c>
      <c r="M42" s="180">
        <v>0.99533400000000005</v>
      </c>
      <c r="N42" s="178">
        <f t="shared" si="5"/>
        <v>4.4269614593986798E-3</v>
      </c>
      <c r="O42" s="179">
        <v>2.1586899999999999E-2</v>
      </c>
    </row>
    <row r="43" spans="2:15" x14ac:dyDescent="0.25">
      <c r="B43" s="176">
        <v>5000</v>
      </c>
      <c r="C43" s="180">
        <v>0.99145799999999995</v>
      </c>
      <c r="D43" s="178">
        <f t="shared" si="3"/>
        <v>3.6661301099279995E-3</v>
      </c>
      <c r="E43" s="179">
        <v>2.3278400000000001E-2</v>
      </c>
      <c r="G43" s="180">
        <v>5000.1000000000004</v>
      </c>
      <c r="H43" s="180">
        <v>0.99996399999999996</v>
      </c>
      <c r="I43" s="178">
        <f t="shared" si="4"/>
        <v>3.7992752329273414E-3</v>
      </c>
      <c r="J43" s="179">
        <v>2.3012700000000001E-2</v>
      </c>
      <c r="L43" s="180">
        <v>5000.1000000000004</v>
      </c>
      <c r="M43" s="180">
        <v>1.0153099999999999</v>
      </c>
      <c r="N43" s="178">
        <f t="shared" si="5"/>
        <v>4.0642371351772965E-3</v>
      </c>
      <c r="O43" s="179">
        <v>2.2635599999999999E-2</v>
      </c>
    </row>
    <row r="44" spans="2:15" x14ac:dyDescent="0.25">
      <c r="B44" s="176">
        <v>5500</v>
      </c>
      <c r="C44" s="180">
        <v>1.0165500000000001</v>
      </c>
      <c r="D44" s="178">
        <f t="shared" si="3"/>
        <v>3.4171938180000004E-3</v>
      </c>
      <c r="E44" s="179">
        <v>2.44814E-2</v>
      </c>
      <c r="G44" s="180">
        <v>5500.1</v>
      </c>
      <c r="H44" s="180">
        <v>1.02386</v>
      </c>
      <c r="I44" s="178">
        <f t="shared" si="4"/>
        <v>3.5364300500718166E-3</v>
      </c>
      <c r="J44" s="179">
        <v>2.4158800000000001E-2</v>
      </c>
      <c r="L44" s="180">
        <v>5500.1</v>
      </c>
      <c r="M44" s="180">
        <v>1.0371900000000001</v>
      </c>
      <c r="N44" s="178">
        <f t="shared" si="5"/>
        <v>3.7743902475227721E-3</v>
      </c>
      <c r="O44" s="179">
        <v>2.36787E-2</v>
      </c>
    </row>
    <row r="45" spans="2:15" x14ac:dyDescent="0.25">
      <c r="B45" s="176">
        <v>6000</v>
      </c>
      <c r="C45" s="180">
        <v>1.0433300000000001</v>
      </c>
      <c r="D45" s="178">
        <f t="shared" si="3"/>
        <v>3.2149483619E-3</v>
      </c>
      <c r="E45" s="179">
        <v>2.56609E-2</v>
      </c>
      <c r="G45" s="180">
        <v>6000.1</v>
      </c>
      <c r="H45" s="180">
        <v>1.0494000000000001</v>
      </c>
      <c r="I45" s="178">
        <f t="shared" si="4"/>
        <v>3.3225968793853438E-3</v>
      </c>
      <c r="J45" s="179">
        <v>2.52865E-2</v>
      </c>
      <c r="L45" s="180">
        <v>6000.1</v>
      </c>
      <c r="M45" s="180">
        <v>1.0606199999999999</v>
      </c>
      <c r="N45" s="178">
        <f t="shared" si="5"/>
        <v>3.5380208661855627E-3</v>
      </c>
      <c r="O45" s="179">
        <v>2.4711400000000001E-2</v>
      </c>
    </row>
    <row r="46" spans="2:15" x14ac:dyDescent="0.25">
      <c r="B46" s="176">
        <v>6500</v>
      </c>
      <c r="C46" s="180">
        <v>1.0714300000000001</v>
      </c>
      <c r="D46" s="178">
        <f t="shared" si="3"/>
        <v>3.0475721952923081E-3</v>
      </c>
      <c r="E46" s="179">
        <v>2.6815100000000001E-2</v>
      </c>
      <c r="G46" s="180">
        <v>6500.1</v>
      </c>
      <c r="H46" s="180">
        <v>1.0762499999999999</v>
      </c>
      <c r="I46" s="178">
        <f t="shared" si="4"/>
        <v>3.145489269395855E-3</v>
      </c>
      <c r="J46" s="179">
        <v>2.6393400000000001E-2</v>
      </c>
      <c r="L46" s="180">
        <v>6500.1</v>
      </c>
      <c r="M46" s="180">
        <v>1.0852999999999999</v>
      </c>
      <c r="N46" s="178">
        <f t="shared" si="5"/>
        <v>3.3418644556237596E-3</v>
      </c>
      <c r="O46" s="179">
        <v>2.57304E-2</v>
      </c>
    </row>
    <row r="47" spans="2:15" x14ac:dyDescent="0.25">
      <c r="B47" s="176">
        <v>7000</v>
      </c>
      <c r="C47" s="180">
        <v>1.10056</v>
      </c>
      <c r="D47" s="178">
        <f t="shared" si="3"/>
        <v>2.9068273721142858E-3</v>
      </c>
      <c r="E47" s="179">
        <v>2.79434E-2</v>
      </c>
      <c r="G47" s="180">
        <v>7000.1</v>
      </c>
      <c r="H47" s="180">
        <v>1.1041300000000001</v>
      </c>
      <c r="I47" s="178">
        <f t="shared" si="4"/>
        <v>2.9964776827759603E-3</v>
      </c>
      <c r="J47" s="179">
        <v>2.74784E-2</v>
      </c>
      <c r="L47" s="180">
        <v>7000.1</v>
      </c>
      <c r="M47" s="180">
        <v>1.1109800000000001</v>
      </c>
      <c r="N47" s="178">
        <f t="shared" si="5"/>
        <v>3.1765892568391876E-3</v>
      </c>
      <c r="O47" s="179">
        <v>2.6734399999999998E-2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0E75-6C00-433E-8ECD-72B124313714}">
  <dimension ref="B2:I21"/>
  <sheetViews>
    <sheetView topLeftCell="F1" workbookViewId="0">
      <selection activeCell="D10" sqref="D10"/>
    </sheetView>
  </sheetViews>
  <sheetFormatPr defaultColWidth="8.85546875" defaultRowHeight="15" x14ac:dyDescent="0.25"/>
  <cols>
    <col min="2" max="2" width="8.85546875" style="1"/>
    <col min="3" max="3" width="10.85546875" style="1" customWidth="1"/>
    <col min="4" max="8" width="8.85546875" style="1"/>
  </cols>
  <sheetData>
    <row r="2" spans="2:9" x14ac:dyDescent="0.25">
      <c r="D2" s="1">
        <v>5.6150000000000002</v>
      </c>
    </row>
    <row r="3" spans="2:9" x14ac:dyDescent="0.25">
      <c r="B3" s="7" t="s">
        <v>0</v>
      </c>
      <c r="C3" s="7" t="s">
        <v>127</v>
      </c>
      <c r="D3" s="7" t="s">
        <v>128</v>
      </c>
      <c r="E3" s="99" t="s">
        <v>1</v>
      </c>
      <c r="F3" s="99" t="s">
        <v>3</v>
      </c>
      <c r="G3" s="7" t="s">
        <v>4</v>
      </c>
      <c r="H3" s="7" t="s">
        <v>5</v>
      </c>
      <c r="I3" s="122"/>
    </row>
    <row r="4" spans="2:9" x14ac:dyDescent="0.25">
      <c r="B4" s="7">
        <v>6015</v>
      </c>
      <c r="C4" s="7">
        <v>671.38</v>
      </c>
      <c r="D4" s="7">
        <f>C4/5.615</f>
        <v>119.56901157613535</v>
      </c>
      <c r="E4" s="7">
        <v>1.3866000000000001</v>
      </c>
      <c r="F4" s="7">
        <v>0.80320000000000003</v>
      </c>
      <c r="G4" s="7"/>
      <c r="H4" s="7"/>
      <c r="I4" s="122"/>
    </row>
    <row r="5" spans="2:9" x14ac:dyDescent="0.25">
      <c r="B5" s="7">
        <v>5515</v>
      </c>
      <c r="C5" s="7">
        <v>671.38</v>
      </c>
      <c r="D5" s="7">
        <f t="shared" ref="D5:D21" si="0">C5/5.615</f>
        <v>119.56901157613535</v>
      </c>
      <c r="E5" s="7">
        <v>1.3931</v>
      </c>
      <c r="F5" s="7">
        <v>0.76780000000000004</v>
      </c>
      <c r="G5" s="7"/>
      <c r="H5" s="7"/>
      <c r="I5" s="122"/>
    </row>
    <row r="6" spans="2:9" x14ac:dyDescent="0.25">
      <c r="B6" s="7">
        <v>5015</v>
      </c>
      <c r="C6" s="7">
        <v>671.38</v>
      </c>
      <c r="D6" s="7">
        <f t="shared" si="0"/>
        <v>119.56901157613535</v>
      </c>
      <c r="E6" s="7">
        <v>1.3998999999999999</v>
      </c>
      <c r="F6" s="7">
        <v>0.74109999999999998</v>
      </c>
      <c r="G6" s="7"/>
      <c r="H6" s="7"/>
      <c r="I6" s="122"/>
    </row>
    <row r="7" spans="2:9" x14ac:dyDescent="0.25">
      <c r="B7" s="7">
        <v>4515</v>
      </c>
      <c r="C7" s="7">
        <v>671.38</v>
      </c>
      <c r="D7" s="7">
        <f t="shared" si="0"/>
        <v>119.56901157613535</v>
      </c>
      <c r="E7" s="7">
        <v>1.4071</v>
      </c>
      <c r="F7" s="7">
        <v>0.71089999999999998</v>
      </c>
      <c r="G7" s="7"/>
      <c r="H7" s="7"/>
      <c r="I7" s="122"/>
    </row>
    <row r="8" spans="2:9" x14ac:dyDescent="0.25">
      <c r="B8" s="7">
        <v>4015</v>
      </c>
      <c r="C8" s="7">
        <v>671.38</v>
      </c>
      <c r="D8" s="7">
        <f t="shared" si="0"/>
        <v>119.56901157613535</v>
      </c>
      <c r="E8" s="7">
        <v>1.4149</v>
      </c>
      <c r="F8" s="7">
        <v>0.68510000000000004</v>
      </c>
      <c r="G8" s="7"/>
      <c r="H8" s="7"/>
      <c r="I8" s="122"/>
    </row>
    <row r="9" spans="2:9" x14ac:dyDescent="0.25">
      <c r="B9" s="7">
        <v>3515</v>
      </c>
      <c r="C9" s="7">
        <v>671.38</v>
      </c>
      <c r="D9" s="7">
        <f t="shared" si="0"/>
        <v>119.56901157613535</v>
      </c>
      <c r="E9" s="7">
        <v>1.4233</v>
      </c>
      <c r="F9" s="7">
        <v>0.66300000000000003</v>
      </c>
      <c r="G9" s="7"/>
      <c r="H9" s="7"/>
      <c r="I9" s="122"/>
    </row>
    <row r="10" spans="2:9" x14ac:dyDescent="0.25">
      <c r="B10" s="7">
        <v>3015</v>
      </c>
      <c r="C10" s="7">
        <v>671.38</v>
      </c>
      <c r="D10" s="7">
        <f t="shared" si="0"/>
        <v>119.56901157613535</v>
      </c>
      <c r="E10" s="7">
        <v>1.4328000000000001</v>
      </c>
      <c r="F10" s="7">
        <v>0.63300000000000001</v>
      </c>
      <c r="G10" s="7"/>
      <c r="H10" s="7"/>
      <c r="I10" s="122"/>
    </row>
    <row r="11" spans="2:9" x14ac:dyDescent="0.25">
      <c r="B11" s="99">
        <v>2400</v>
      </c>
      <c r="C11" s="99">
        <v>671.38</v>
      </c>
      <c r="D11" s="99">
        <f t="shared" si="0"/>
        <v>119.56901157613535</v>
      </c>
      <c r="E11" s="99">
        <v>1.4459</v>
      </c>
      <c r="F11" s="99">
        <v>0.5968</v>
      </c>
      <c r="G11" s="171">
        <f>20.405*B11^(-1.025)</f>
        <v>6.9987434870677784E-3</v>
      </c>
      <c r="H11" s="99">
        <f>-0.0000000006*B11^2 + 0.000004*B11 + 0.0114</f>
        <v>1.7544000000000001E-2</v>
      </c>
      <c r="I11" s="122"/>
    </row>
    <row r="12" spans="2:9" x14ac:dyDescent="0.25">
      <c r="B12" s="7">
        <v>2115</v>
      </c>
      <c r="C12" s="7">
        <v>596.53</v>
      </c>
      <c r="D12" s="7">
        <f t="shared" si="0"/>
        <v>106.23864648263579</v>
      </c>
      <c r="E12" s="7">
        <v>1.4063000000000001</v>
      </c>
      <c r="F12" s="7">
        <v>0.5978</v>
      </c>
      <c r="G12" s="7">
        <v>8.0000000000000002E-3</v>
      </c>
      <c r="H12" s="7">
        <v>1.7479999999999999E-2</v>
      </c>
      <c r="I12" s="122"/>
    </row>
    <row r="13" spans="2:9" x14ac:dyDescent="0.25">
      <c r="B13" s="7">
        <v>1815</v>
      </c>
      <c r="C13" s="7">
        <v>521.16999999999996</v>
      </c>
      <c r="D13" s="7">
        <f t="shared" si="0"/>
        <v>92.817453250222613</v>
      </c>
      <c r="E13" s="7">
        <v>1.3723000000000001</v>
      </c>
      <c r="F13" s="7">
        <v>0.59819999999999995</v>
      </c>
      <c r="G13" s="7">
        <v>9.2999999999999992E-3</v>
      </c>
      <c r="H13" s="7">
        <v>1.6660000000000001E-2</v>
      </c>
      <c r="I13" s="122"/>
    </row>
    <row r="14" spans="2:9" x14ac:dyDescent="0.25">
      <c r="B14" s="7">
        <v>1515</v>
      </c>
      <c r="C14" s="7">
        <v>448.88</v>
      </c>
      <c r="D14" s="7">
        <f t="shared" si="0"/>
        <v>79.943009795191443</v>
      </c>
      <c r="E14" s="7">
        <v>1.3371999999999999</v>
      </c>
      <c r="F14" s="7">
        <v>0.61099999999999999</v>
      </c>
      <c r="G14" s="7">
        <v>1.12E-2</v>
      </c>
      <c r="H14" s="7">
        <v>1.5910000000000001E-2</v>
      </c>
      <c r="I14" s="122"/>
    </row>
    <row r="15" spans="2:9" x14ac:dyDescent="0.25">
      <c r="B15" s="7">
        <v>1215</v>
      </c>
      <c r="C15" s="7">
        <v>376.74</v>
      </c>
      <c r="D15" s="7">
        <f t="shared" si="0"/>
        <v>67.095280498664295</v>
      </c>
      <c r="E15" s="7">
        <v>1.3038000000000001</v>
      </c>
      <c r="F15" s="7">
        <v>0.64380000000000004</v>
      </c>
      <c r="G15" s="7">
        <v>1.41E-2</v>
      </c>
      <c r="H15" s="7">
        <v>1.521E-2</v>
      </c>
      <c r="I15" s="122"/>
    </row>
    <row r="16" spans="2:9" x14ac:dyDescent="0.25">
      <c r="B16" s="7">
        <v>1015</v>
      </c>
      <c r="C16" s="7">
        <v>330.85</v>
      </c>
      <c r="D16" s="7">
        <f t="shared" si="0"/>
        <v>58.922528940338381</v>
      </c>
      <c r="E16" s="7">
        <v>1.2823</v>
      </c>
      <c r="F16" s="7">
        <v>0.67789999999999995</v>
      </c>
      <c r="G16" s="7">
        <v>1.7100000000000001E-2</v>
      </c>
      <c r="H16" s="7">
        <v>1.478E-2</v>
      </c>
      <c r="I16" s="122"/>
    </row>
    <row r="17" spans="2:9" x14ac:dyDescent="0.25">
      <c r="B17" s="7">
        <v>815</v>
      </c>
      <c r="C17" s="7">
        <v>286.94</v>
      </c>
      <c r="D17" s="7">
        <f t="shared" si="0"/>
        <v>51.102404274265361</v>
      </c>
      <c r="E17" s="7">
        <v>1.262</v>
      </c>
      <c r="F17" s="7">
        <v>0.72860000000000003</v>
      </c>
      <c r="G17" s="7">
        <v>2.1499999999999998E-2</v>
      </c>
      <c r="H17" s="7">
        <v>1.4370000000000001E-2</v>
      </c>
      <c r="I17" s="122"/>
    </row>
    <row r="18" spans="2:9" x14ac:dyDescent="0.25">
      <c r="B18" s="7">
        <v>615</v>
      </c>
      <c r="C18" s="7">
        <v>240.08</v>
      </c>
      <c r="D18" s="7">
        <f t="shared" si="0"/>
        <v>42.756901157613534</v>
      </c>
      <c r="E18" s="7">
        <v>1.2383</v>
      </c>
      <c r="F18" s="7">
        <v>0.7702</v>
      </c>
      <c r="G18" s="7">
        <v>2.86E-2</v>
      </c>
      <c r="H18" s="7">
        <v>1.391E-2</v>
      </c>
      <c r="I18" s="122"/>
    </row>
    <row r="19" spans="2:9" x14ac:dyDescent="0.25">
      <c r="B19" s="7">
        <v>415</v>
      </c>
      <c r="C19" s="139">
        <v>191</v>
      </c>
      <c r="D19" s="7">
        <f t="shared" si="0"/>
        <v>34.016028495102404</v>
      </c>
      <c r="E19" s="7">
        <v>1.2121999999999999</v>
      </c>
      <c r="F19" s="7">
        <v>0.84889999999999999</v>
      </c>
      <c r="G19" s="7">
        <v>4.2500000000000003E-2</v>
      </c>
      <c r="H19" s="7">
        <v>1.34E-2</v>
      </c>
      <c r="I19" s="122"/>
    </row>
    <row r="20" spans="2:9" x14ac:dyDescent="0.25">
      <c r="B20" s="7">
        <v>215</v>
      </c>
      <c r="C20" s="7">
        <v>132.63</v>
      </c>
      <c r="D20" s="7">
        <f t="shared" si="0"/>
        <v>23.620658949243097</v>
      </c>
      <c r="E20" s="7">
        <v>1.1769000000000001</v>
      </c>
      <c r="F20" s="7">
        <v>0.92620000000000002</v>
      </c>
      <c r="G20" s="7">
        <v>8.0799999999999997E-2</v>
      </c>
      <c r="H20" s="7">
        <v>1.26E-2</v>
      </c>
      <c r="I20" s="122"/>
    </row>
    <row r="21" spans="2:9" x14ac:dyDescent="0.25">
      <c r="B21" s="7">
        <v>15</v>
      </c>
      <c r="C21" s="7">
        <v>0</v>
      </c>
      <c r="D21" s="7">
        <f t="shared" si="0"/>
        <v>0</v>
      </c>
      <c r="E21" s="7">
        <v>1.0814999999999999</v>
      </c>
      <c r="F21" s="7">
        <v>1.175</v>
      </c>
      <c r="G21" s="7">
        <v>1.2823</v>
      </c>
      <c r="H21" s="7">
        <v>1.094E-2</v>
      </c>
      <c r="I21" s="1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87BA8-984D-41D7-B7DE-C32382017AD2}">
  <dimension ref="B2:H21"/>
  <sheetViews>
    <sheetView topLeftCell="K3" zoomScale="90" zoomScaleNormal="90" workbookViewId="0">
      <selection activeCell="Y13" sqref="Y13"/>
    </sheetView>
  </sheetViews>
  <sheetFormatPr defaultColWidth="8.85546875" defaultRowHeight="15" x14ac:dyDescent="0.25"/>
  <cols>
    <col min="2" max="2" width="9.140625" style="1"/>
    <col min="3" max="3" width="10.85546875" style="1" customWidth="1"/>
    <col min="4" max="4" width="8.85546875" style="1"/>
    <col min="5" max="8" width="9.140625" style="1"/>
  </cols>
  <sheetData>
    <row r="2" spans="2:8" x14ac:dyDescent="0.25">
      <c r="D2" s="1">
        <v>5.6150000000000002</v>
      </c>
    </row>
    <row r="3" spans="2:8" x14ac:dyDescent="0.25">
      <c r="B3" s="1" t="s">
        <v>0</v>
      </c>
      <c r="C3" s="1" t="s">
        <v>127</v>
      </c>
      <c r="D3" s="1" t="s">
        <v>128</v>
      </c>
      <c r="E3" s="1" t="s">
        <v>1</v>
      </c>
      <c r="F3" s="1" t="s">
        <v>3</v>
      </c>
      <c r="G3" s="1" t="s">
        <v>4</v>
      </c>
      <c r="H3" s="1" t="s">
        <v>5</v>
      </c>
    </row>
    <row r="4" spans="2:8" x14ac:dyDescent="0.25">
      <c r="B4" s="7">
        <v>6015</v>
      </c>
      <c r="C4" s="7">
        <v>671.38</v>
      </c>
      <c r="D4" s="7">
        <f>C4/5.615</f>
        <v>119.56901157613535</v>
      </c>
      <c r="E4" s="7">
        <v>1.3866000000000001</v>
      </c>
      <c r="F4" s="7">
        <v>0.80320000000000003</v>
      </c>
      <c r="G4" s="7"/>
      <c r="H4" s="7"/>
    </row>
    <row r="5" spans="2:8" x14ac:dyDescent="0.25">
      <c r="B5" s="7">
        <v>5515</v>
      </c>
      <c r="C5" s="7">
        <v>671.38</v>
      </c>
      <c r="D5" s="7">
        <f t="shared" ref="D5:D21" si="0">C5/5.615</f>
        <v>119.56901157613535</v>
      </c>
      <c r="E5" s="7">
        <v>1.3931</v>
      </c>
      <c r="F5" s="7">
        <v>0.76780000000000004</v>
      </c>
      <c r="G5" s="7"/>
      <c r="H5" s="7"/>
    </row>
    <row r="6" spans="2:8" x14ac:dyDescent="0.25">
      <c r="B6" s="7">
        <v>5015</v>
      </c>
      <c r="C6" s="7">
        <v>671.38</v>
      </c>
      <c r="D6" s="7">
        <f t="shared" si="0"/>
        <v>119.56901157613535</v>
      </c>
      <c r="E6" s="7">
        <v>1.3998999999999999</v>
      </c>
      <c r="F6" s="7">
        <v>0.74109999999999998</v>
      </c>
      <c r="G6" s="7"/>
      <c r="H6" s="7"/>
    </row>
    <row r="7" spans="2:8" x14ac:dyDescent="0.25">
      <c r="B7" s="7">
        <v>4515</v>
      </c>
      <c r="C7" s="7">
        <v>671.38</v>
      </c>
      <c r="D7" s="7">
        <f t="shared" si="0"/>
        <v>119.56901157613535</v>
      </c>
      <c r="E7" s="7">
        <v>1.4071</v>
      </c>
      <c r="F7" s="7">
        <v>0.71089999999999998</v>
      </c>
      <c r="G7" s="7"/>
      <c r="H7" s="7"/>
    </row>
    <row r="8" spans="2:8" x14ac:dyDescent="0.25">
      <c r="B8" s="7">
        <v>4015</v>
      </c>
      <c r="C8" s="7">
        <v>671.38</v>
      </c>
      <c r="D8" s="7">
        <f t="shared" si="0"/>
        <v>119.56901157613535</v>
      </c>
      <c r="E8" s="7">
        <v>1.4149</v>
      </c>
      <c r="F8" s="7">
        <v>0.68510000000000004</v>
      </c>
      <c r="G8" s="7"/>
      <c r="H8" s="7"/>
    </row>
    <row r="9" spans="2:8" x14ac:dyDescent="0.25">
      <c r="B9" s="7">
        <v>3515</v>
      </c>
      <c r="C9" s="7">
        <v>671.38</v>
      </c>
      <c r="D9" s="7">
        <f t="shared" si="0"/>
        <v>119.56901157613535</v>
      </c>
      <c r="E9" s="7">
        <v>1.4233</v>
      </c>
      <c r="F9" s="7">
        <v>0.66300000000000003</v>
      </c>
      <c r="G9" s="7"/>
      <c r="H9" s="7"/>
    </row>
    <row r="10" spans="2:8" x14ac:dyDescent="0.25">
      <c r="B10" s="7">
        <v>3015</v>
      </c>
      <c r="C10" s="7">
        <v>671.38</v>
      </c>
      <c r="D10" s="7">
        <f t="shared" si="0"/>
        <v>119.56901157613535</v>
      </c>
      <c r="E10" s="7">
        <v>1.4328000000000001</v>
      </c>
      <c r="F10" s="7">
        <v>0.63300000000000001</v>
      </c>
      <c r="G10" s="7"/>
      <c r="H10" s="7"/>
    </row>
    <row r="11" spans="2:8" x14ac:dyDescent="0.25">
      <c r="B11" s="7">
        <v>2400</v>
      </c>
      <c r="C11" s="7">
        <v>671.38</v>
      </c>
      <c r="D11" s="7">
        <f t="shared" si="0"/>
        <v>119.56901157613535</v>
      </c>
      <c r="E11" s="7">
        <v>1.4459</v>
      </c>
      <c r="F11" s="59">
        <v>0.5968</v>
      </c>
      <c r="G11" s="12">
        <f>20.405*B11^(-1.025)</f>
        <v>6.9987434870677784E-3</v>
      </c>
      <c r="H11" s="60">
        <f>-0.0000000006*B11^2 + 0.000004*B11 + 0.0114</f>
        <v>1.7544000000000001E-2</v>
      </c>
    </row>
    <row r="12" spans="2:8" x14ac:dyDescent="0.25">
      <c r="B12" s="2">
        <v>2115</v>
      </c>
      <c r="C12" s="2">
        <v>596.53</v>
      </c>
      <c r="D12" s="7">
        <f t="shared" si="0"/>
        <v>106.23864648263579</v>
      </c>
      <c r="E12" s="2">
        <v>1.4063000000000001</v>
      </c>
      <c r="F12" s="60">
        <v>0.5978</v>
      </c>
      <c r="G12" s="2">
        <v>8.0000000000000002E-3</v>
      </c>
      <c r="H12" s="2">
        <v>1.7479999999999999E-2</v>
      </c>
    </row>
    <row r="13" spans="2:8" x14ac:dyDescent="0.25">
      <c r="B13" s="2">
        <v>1815</v>
      </c>
      <c r="C13" s="2">
        <v>521.16999999999996</v>
      </c>
      <c r="D13" s="7">
        <f t="shared" si="0"/>
        <v>92.817453250222613</v>
      </c>
      <c r="E13" s="2">
        <v>1.3723000000000001</v>
      </c>
      <c r="F13" s="2">
        <v>0.59819999999999995</v>
      </c>
      <c r="G13" s="2">
        <v>9.2999999999999992E-3</v>
      </c>
      <c r="H13" s="2">
        <v>1.6660000000000001E-2</v>
      </c>
    </row>
    <row r="14" spans="2:8" x14ac:dyDescent="0.25">
      <c r="B14" s="2">
        <v>1515</v>
      </c>
      <c r="C14" s="2">
        <v>448.88</v>
      </c>
      <c r="D14" s="7">
        <f t="shared" si="0"/>
        <v>79.943009795191443</v>
      </c>
      <c r="E14" s="2">
        <v>1.3371999999999999</v>
      </c>
      <c r="F14" s="2">
        <v>0.61099999999999999</v>
      </c>
      <c r="G14" s="2">
        <v>1.12E-2</v>
      </c>
      <c r="H14" s="2">
        <v>1.5910000000000001E-2</v>
      </c>
    </row>
    <row r="15" spans="2:8" x14ac:dyDescent="0.25">
      <c r="B15" s="2">
        <v>1215</v>
      </c>
      <c r="C15" s="2">
        <v>376.74</v>
      </c>
      <c r="D15" s="7">
        <f t="shared" si="0"/>
        <v>67.095280498664295</v>
      </c>
      <c r="E15" s="2">
        <v>1.3038000000000001</v>
      </c>
      <c r="F15" s="2">
        <v>0.64380000000000004</v>
      </c>
      <c r="G15" s="2">
        <v>1.41E-2</v>
      </c>
      <c r="H15" s="2">
        <v>1.521E-2</v>
      </c>
    </row>
    <row r="16" spans="2:8" x14ac:dyDescent="0.25">
      <c r="B16" s="2">
        <v>1015</v>
      </c>
      <c r="C16" s="2">
        <v>330.85</v>
      </c>
      <c r="D16" s="7">
        <f t="shared" si="0"/>
        <v>58.922528940338381</v>
      </c>
      <c r="E16" s="2">
        <v>1.2823</v>
      </c>
      <c r="F16" s="2">
        <v>0.67789999999999995</v>
      </c>
      <c r="G16" s="2">
        <v>1.7100000000000001E-2</v>
      </c>
      <c r="H16" s="2">
        <v>1.478E-2</v>
      </c>
    </row>
    <row r="17" spans="2:8" x14ac:dyDescent="0.25">
      <c r="B17" s="2">
        <v>815</v>
      </c>
      <c r="C17" s="2">
        <v>286.94</v>
      </c>
      <c r="D17" s="7">
        <f t="shared" si="0"/>
        <v>51.102404274265361</v>
      </c>
      <c r="E17" s="2">
        <v>1.262</v>
      </c>
      <c r="F17" s="2">
        <v>0.72860000000000003</v>
      </c>
      <c r="G17" s="2">
        <v>2.1499999999999998E-2</v>
      </c>
      <c r="H17" s="2">
        <v>1.4370000000000001E-2</v>
      </c>
    </row>
    <row r="18" spans="2:8" x14ac:dyDescent="0.25">
      <c r="B18" s="2">
        <v>615</v>
      </c>
      <c r="C18" s="2">
        <v>240.08</v>
      </c>
      <c r="D18" s="7">
        <f t="shared" si="0"/>
        <v>42.756901157613534</v>
      </c>
      <c r="E18" s="2">
        <v>1.2383</v>
      </c>
      <c r="F18" s="2">
        <v>0.7702</v>
      </c>
      <c r="G18" s="2">
        <v>2.86E-2</v>
      </c>
      <c r="H18" s="2">
        <v>1.391E-2</v>
      </c>
    </row>
    <row r="19" spans="2:8" x14ac:dyDescent="0.25">
      <c r="B19" s="2">
        <v>415</v>
      </c>
      <c r="C19" s="15">
        <v>191</v>
      </c>
      <c r="D19" s="7">
        <f t="shared" si="0"/>
        <v>34.016028495102404</v>
      </c>
      <c r="E19" s="2">
        <v>1.2121999999999999</v>
      </c>
      <c r="F19" s="2">
        <v>0.84889999999999999</v>
      </c>
      <c r="G19" s="2">
        <v>4.2500000000000003E-2</v>
      </c>
      <c r="H19" s="2">
        <v>1.34E-2</v>
      </c>
    </row>
    <row r="20" spans="2:8" x14ac:dyDescent="0.25">
      <c r="B20" s="2">
        <v>215</v>
      </c>
      <c r="C20" s="2">
        <v>132.63</v>
      </c>
      <c r="D20" s="7">
        <f t="shared" si="0"/>
        <v>23.620658949243097</v>
      </c>
      <c r="E20" s="2">
        <v>1.1769000000000001</v>
      </c>
      <c r="F20" s="2">
        <v>0.92620000000000002</v>
      </c>
      <c r="G20" s="2">
        <v>8.0799999999999997E-2</v>
      </c>
      <c r="H20" s="2">
        <v>1.26E-2</v>
      </c>
    </row>
    <row r="21" spans="2:8" x14ac:dyDescent="0.25">
      <c r="B21" s="2">
        <v>15</v>
      </c>
      <c r="C21" s="2">
        <v>0</v>
      </c>
      <c r="D21" s="7">
        <f t="shared" si="0"/>
        <v>0</v>
      </c>
      <c r="E21" s="2">
        <v>1.0814999999999999</v>
      </c>
      <c r="F21" s="2">
        <v>1.175</v>
      </c>
      <c r="G21" s="2">
        <v>1.2823</v>
      </c>
      <c r="H21" s="2">
        <v>1.094E-2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7A42-3EDD-4FC5-8AB6-693B2DAF360B}">
  <dimension ref="B2:T39"/>
  <sheetViews>
    <sheetView topLeftCell="B20" workbookViewId="0">
      <selection activeCell="K39" sqref="K39"/>
    </sheetView>
  </sheetViews>
  <sheetFormatPr defaultColWidth="8.85546875" defaultRowHeight="15" x14ac:dyDescent="0.25"/>
  <cols>
    <col min="3" max="3" width="9.140625" style="1"/>
    <col min="4" max="4" width="12.140625" style="1" bestFit="1" customWidth="1"/>
    <col min="5" max="5" width="9.140625" style="1"/>
    <col min="6" max="6" width="9.5703125" style="1" bestFit="1" customWidth="1"/>
    <col min="7" max="7" width="12" bestFit="1" customWidth="1"/>
    <col min="8" max="8" width="12" style="1" bestFit="1" customWidth="1"/>
    <col min="12" max="12" width="11.5703125" bestFit="1" customWidth="1"/>
    <col min="13" max="14" width="8.85546875" style="1"/>
    <col min="15" max="15" width="9.5703125" bestFit="1" customWidth="1"/>
    <col min="16" max="17" width="12" style="1" bestFit="1" customWidth="1"/>
    <col min="18" max="18" width="9.5703125" style="1" customWidth="1"/>
    <col min="19" max="19" width="12" style="1" bestFit="1" customWidth="1"/>
    <col min="20" max="20" width="8.85546875" style="1"/>
  </cols>
  <sheetData>
    <row r="2" spans="2:20" x14ac:dyDescent="0.25">
      <c r="C2" s="1" t="s">
        <v>1</v>
      </c>
      <c r="D2" s="1">
        <v>6000</v>
      </c>
      <c r="E2" s="1">
        <v>1.386795</v>
      </c>
      <c r="I2" s="447" t="s">
        <v>140</v>
      </c>
      <c r="J2" s="447"/>
    </row>
    <row r="3" spans="2:20" x14ac:dyDescent="0.25">
      <c r="F3" s="1" t="s">
        <v>59</v>
      </c>
    </row>
    <row r="4" spans="2:20" x14ac:dyDescent="0.25">
      <c r="B4" t="s">
        <v>139</v>
      </c>
      <c r="C4" s="136">
        <v>10</v>
      </c>
      <c r="E4" s="1" t="s">
        <v>0</v>
      </c>
      <c r="F4" s="1" t="s">
        <v>54</v>
      </c>
      <c r="G4" s="1" t="s">
        <v>54</v>
      </c>
      <c r="H4" s="24" t="s">
        <v>76</v>
      </c>
      <c r="I4" s="99" t="s">
        <v>1</v>
      </c>
      <c r="J4" s="99" t="s">
        <v>3</v>
      </c>
      <c r="K4" s="24" t="s">
        <v>141</v>
      </c>
      <c r="L4" s="24" t="s">
        <v>142</v>
      </c>
      <c r="M4" s="1" t="s">
        <v>144</v>
      </c>
      <c r="O4" s="1" t="s">
        <v>143</v>
      </c>
      <c r="P4" s="1" t="s">
        <v>146</v>
      </c>
      <c r="Q4" s="24" t="s">
        <v>145</v>
      </c>
      <c r="R4" s="1" t="s">
        <v>302</v>
      </c>
      <c r="S4" s="7" t="s">
        <v>303</v>
      </c>
      <c r="T4" s="7" t="s">
        <v>298</v>
      </c>
    </row>
    <row r="5" spans="2:20" x14ac:dyDescent="0.25">
      <c r="B5" t="s">
        <v>132</v>
      </c>
      <c r="C5" s="136">
        <v>0.30769999999999997</v>
      </c>
      <c r="E5" s="1">
        <v>6000</v>
      </c>
      <c r="F5" s="11">
        <v>0</v>
      </c>
      <c r="G5" s="8">
        <f>F5</f>
        <v>0</v>
      </c>
      <c r="H5" s="8">
        <v>0</v>
      </c>
      <c r="I5" s="9">
        <f t="shared" ref="I5:I38" si="0">-0.00001529*E5 + 1.47725786</f>
        <v>1.38551786</v>
      </c>
      <c r="J5" s="9">
        <f t="shared" ref="J5:J38" si="1">0.0000554429*E5 + 0.4645469286</f>
        <v>0.79720432860000001</v>
      </c>
      <c r="K5" s="10">
        <f>($C$4+$C$5*$C$6)/(141.2*I5*J5*LN($C$10/$C$12-0.5+$C$7))</f>
        <v>9.799999999999999E-2</v>
      </c>
      <c r="L5" s="19">
        <f t="shared" ref="L5:L38" si="2">K5*(E5-2000)</f>
        <v>391.99999999999994</v>
      </c>
      <c r="M5" s="1">
        <v>0</v>
      </c>
      <c r="N5" s="1">
        <f>M5*1000000</f>
        <v>0</v>
      </c>
      <c r="O5" s="1">
        <v>0</v>
      </c>
      <c r="P5" s="3">
        <v>0</v>
      </c>
      <c r="Q5" s="3">
        <v>0</v>
      </c>
      <c r="R5" s="10">
        <f>L5*671.38/10^6</f>
        <v>0.26318095999999996</v>
      </c>
      <c r="S5" s="1">
        <v>0</v>
      </c>
      <c r="T5" s="1">
        <v>0</v>
      </c>
    </row>
    <row r="6" spans="2:20" x14ac:dyDescent="0.25">
      <c r="B6" t="s">
        <v>133</v>
      </c>
      <c r="C6" s="136">
        <v>97.5</v>
      </c>
      <c r="E6" s="1">
        <v>5900</v>
      </c>
      <c r="F6" s="11">
        <f>($E$2*Data!$D$14*($E$5-E6))/I6</f>
        <v>1.4897294457665261E-3</v>
      </c>
      <c r="G6" s="8">
        <f>F6</f>
        <v>1.4897294457665261E-3</v>
      </c>
      <c r="H6" s="8">
        <f>G6*Data!$D$21</f>
        <v>1.9336688206049509E-3</v>
      </c>
      <c r="I6" s="9">
        <f t="shared" si="0"/>
        <v>1.3870468599999999</v>
      </c>
      <c r="J6" s="9">
        <f t="shared" si="1"/>
        <v>0.7916600386</v>
      </c>
      <c r="K6" s="10">
        <f t="shared" ref="K6:K38" si="3">($C$4+$C$5*$C$6)/(141.2*I6*J6*LN($C$10/$C$12-0.5+$C$7))</f>
        <v>9.8577544400985234E-2</v>
      </c>
      <c r="L6" s="19">
        <f t="shared" si="2"/>
        <v>384.45242316384241</v>
      </c>
      <c r="M6" s="8">
        <f>H6-H5</f>
        <v>1.9336688206049509E-3</v>
      </c>
      <c r="N6" s="1">
        <f t="shared" ref="N6:N38" si="4">M6*1000000</f>
        <v>1933.668820604951</v>
      </c>
      <c r="O6" s="1">
        <f>365*(L5-L6)/N6</f>
        <v>1.4246832321243281</v>
      </c>
      <c r="P6" s="3">
        <f>LN(L5/L6)/O6</f>
        <v>1.3646398692356084E-2</v>
      </c>
      <c r="Q6" s="3">
        <f>P6+Q5</f>
        <v>1.3646398692356084E-2</v>
      </c>
      <c r="R6" s="10">
        <f t="shared" ref="R6:R38" si="5">L6*671.38/10^6</f>
        <v>0.25811366786374051</v>
      </c>
      <c r="S6" s="3">
        <f>365*R6*P6</f>
        <v>1.2856475371594682</v>
      </c>
      <c r="T6" s="10">
        <f>T5+S6</f>
        <v>1.2856475371594682</v>
      </c>
    </row>
    <row r="7" spans="2:20" x14ac:dyDescent="0.25">
      <c r="B7" t="s">
        <v>135</v>
      </c>
      <c r="C7" s="136">
        <v>0</v>
      </c>
      <c r="E7" s="1">
        <v>5800</v>
      </c>
      <c r="F7" s="11">
        <f>($E$2*Data!$D$14*($E$5-E7))/I7</f>
        <v>2.9761781254068467E-3</v>
      </c>
      <c r="G7" s="8">
        <f t="shared" ref="G7:G38" si="6">F7</f>
        <v>2.9761781254068467E-3</v>
      </c>
      <c r="H7" s="8">
        <f>G7*Data!$D$21</f>
        <v>3.863079206778087E-3</v>
      </c>
      <c r="I7" s="9">
        <f>-0.00001529*E7 + 1.47725786</f>
        <v>1.38857586</v>
      </c>
      <c r="J7" s="9">
        <f t="shared" si="1"/>
        <v>0.7861157486</v>
      </c>
      <c r="K7" s="10">
        <f>($C$4+$C$5*$C$6)/(141.2*I7*J7*LN($C$10/$C$12-0.5+$C$7))</f>
        <v>9.9163476636891304E-2</v>
      </c>
      <c r="L7" s="19">
        <f t="shared" si="2"/>
        <v>376.82121122018697</v>
      </c>
      <c r="M7" s="8">
        <f>H7-H6</f>
        <v>1.9294103861731361E-3</v>
      </c>
      <c r="N7" s="1">
        <f t="shared" si="4"/>
        <v>1929.4103861731362</v>
      </c>
      <c r="O7" s="1">
        <f t="shared" ref="O7:O37" si="7">365*(L6-L7)/N7</f>
        <v>1.4436495104387237</v>
      </c>
      <c r="P7" s="3">
        <f t="shared" ref="P7:P37" si="8">LN(L6/L7)/O7</f>
        <v>1.388786549961638E-2</v>
      </c>
      <c r="Q7" s="3">
        <f t="shared" ref="Q7:Q37" si="9">P7+Q6</f>
        <v>2.7534264191972465E-2</v>
      </c>
      <c r="R7" s="10">
        <f t="shared" si="5"/>
        <v>0.25299022478900912</v>
      </c>
      <c r="S7" s="3">
        <f t="shared" ref="S7:S38" si="10">365*R7*P7</f>
        <v>1.2824253883244277</v>
      </c>
      <c r="T7" s="10">
        <f>T6+S7</f>
        <v>2.5680729254838957</v>
      </c>
    </row>
    <row r="8" spans="2:20" x14ac:dyDescent="0.25">
      <c r="B8" t="s">
        <v>136</v>
      </c>
      <c r="C8" s="137"/>
      <c r="E8" s="1">
        <v>5700</v>
      </c>
      <c r="F8" s="11">
        <f>($E$2*Data!$D$14*($E$5-E8))/I8</f>
        <v>4.4593568646325004E-3</v>
      </c>
      <c r="G8" s="8">
        <f t="shared" si="6"/>
        <v>4.4593568646325004E-3</v>
      </c>
      <c r="H8" s="8">
        <f>G8*Data!$D$21</f>
        <v>5.7882452102929853E-3</v>
      </c>
      <c r="I8" s="9">
        <f t="shared" si="0"/>
        <v>1.3901048599999999</v>
      </c>
      <c r="J8" s="9">
        <f>0.0000554429*E8 + 0.4645469286</f>
        <v>0.78057145859999999</v>
      </c>
      <c r="K8" s="10">
        <f>($C$4+$C$5*$C$6)/(141.2*I8*J8*LN($C$10/$C$12-0.5+$C$7))</f>
        <v>9.9757974638808866E-2</v>
      </c>
      <c r="L8" s="19">
        <f t="shared" si="2"/>
        <v>369.10450616359282</v>
      </c>
      <c r="M8" s="8">
        <f t="shared" ref="M8:M38" si="11">H8-H7</f>
        <v>1.9251660035148983E-3</v>
      </c>
      <c r="N8" s="1">
        <f t="shared" si="4"/>
        <v>1925.1660035148982</v>
      </c>
      <c r="O8" s="1">
        <f t="shared" si="7"/>
        <v>1.4630412860576303</v>
      </c>
      <c r="P8" s="3">
        <f>LN(L7/L8)/O8</f>
        <v>1.4142468762744826E-2</v>
      </c>
      <c r="Q8" s="3">
        <f>P8+Q7</f>
        <v>4.1676732954717292E-2</v>
      </c>
      <c r="R8" s="10">
        <f t="shared" si="5"/>
        <v>0.24780938334811295</v>
      </c>
      <c r="S8" s="3">
        <f t="shared" si="10"/>
        <v>1.279192309037247</v>
      </c>
      <c r="T8" s="10">
        <f t="shared" ref="T8:T38" si="12">T7+S8</f>
        <v>3.8472652345211427</v>
      </c>
    </row>
    <row r="9" spans="2:20" x14ac:dyDescent="0.25">
      <c r="B9" t="s">
        <v>137</v>
      </c>
      <c r="C9" s="136">
        <v>3750</v>
      </c>
      <c r="E9" s="1">
        <v>5600</v>
      </c>
      <c r="F9" s="11">
        <f>($E$2*Data!$D$14*($E$5-E9))/I9</f>
        <v>5.9392764415778154E-3</v>
      </c>
      <c r="G9" s="8">
        <f t="shared" si="6"/>
        <v>5.9392764415778154E-3</v>
      </c>
      <c r="H9" s="8">
        <f>G9*Data!$D$21</f>
        <v>7.7091808211680046E-3</v>
      </c>
      <c r="I9" s="9">
        <f t="shared" si="0"/>
        <v>1.39163386</v>
      </c>
      <c r="J9" s="9">
        <f t="shared" si="1"/>
        <v>0.77502716859999998</v>
      </c>
      <c r="K9" s="10">
        <f t="shared" si="3"/>
        <v>0.10036122143281993</v>
      </c>
      <c r="L9" s="19">
        <f t="shared" si="2"/>
        <v>361.30039715815178</v>
      </c>
      <c r="M9" s="8">
        <f t="shared" si="11"/>
        <v>1.9209356108750193E-3</v>
      </c>
      <c r="N9" s="1">
        <f t="shared" si="4"/>
        <v>1920.9356108750194</v>
      </c>
      <c r="O9" s="1">
        <f t="shared" si="7"/>
        <v>1.4828710399555958</v>
      </c>
      <c r="P9" s="3">
        <f t="shared" si="8"/>
        <v>1.4411287631869532E-2</v>
      </c>
      <c r="Q9" s="3">
        <f t="shared" si="9"/>
        <v>5.6088020586586823E-2</v>
      </c>
      <c r="R9" s="10">
        <f t="shared" si="5"/>
        <v>0.24256986064403993</v>
      </c>
      <c r="S9" s="3">
        <f t="shared" si="10"/>
        <v>1.2759465718857754</v>
      </c>
      <c r="T9" s="10">
        <f t="shared" si="12"/>
        <v>5.1232118064069176</v>
      </c>
    </row>
    <row r="10" spans="2:20" x14ac:dyDescent="0.25">
      <c r="B10" t="s">
        <v>134</v>
      </c>
      <c r="C10" s="137">
        <f>C19</f>
        <v>1064.7286853842654</v>
      </c>
      <c r="E10" s="1">
        <v>5500</v>
      </c>
      <c r="F10" s="11">
        <f>($E$2*Data!$D$14*($E$5-E10))/I10</f>
        <v>7.4159475870609996E-3</v>
      </c>
      <c r="G10" s="8">
        <f t="shared" si="6"/>
        <v>7.4159475870609996E-3</v>
      </c>
      <c r="H10" s="8">
        <f>G10*Data!$D$21</f>
        <v>9.625899968005178E-3</v>
      </c>
      <c r="I10" s="9">
        <f t="shared" si="0"/>
        <v>1.3931628599999999</v>
      </c>
      <c r="J10" s="9">
        <f t="shared" si="1"/>
        <v>0.76948287860000009</v>
      </c>
      <c r="K10" s="10">
        <f t="shared" si="3"/>
        <v>0.10097340532353084</v>
      </c>
      <c r="L10" s="19">
        <f t="shared" si="2"/>
        <v>353.40691863235793</v>
      </c>
      <c r="M10" s="8">
        <f t="shared" si="11"/>
        <v>1.9167191468371734E-3</v>
      </c>
      <c r="N10" s="1">
        <f t="shared" si="4"/>
        <v>1916.7191468371734</v>
      </c>
      <c r="O10" s="1">
        <f t="shared" si="7"/>
        <v>1.5031517093513489</v>
      </c>
      <c r="P10" s="3">
        <f t="shared" si="8"/>
        <v>1.4695522899019976E-2</v>
      </c>
      <c r="Q10" s="3">
        <f t="shared" si="9"/>
        <v>7.0783543485606795E-2</v>
      </c>
      <c r="R10" s="10">
        <f t="shared" si="5"/>
        <v>0.23727033703139247</v>
      </c>
      <c r="S10" s="3">
        <f t="shared" si="10"/>
        <v>1.2726862599526005</v>
      </c>
      <c r="T10" s="10">
        <f t="shared" si="12"/>
        <v>6.3958980663595177</v>
      </c>
    </row>
    <row r="11" spans="2:20" x14ac:dyDescent="0.25">
      <c r="B11" t="s">
        <v>138</v>
      </c>
      <c r="C11" s="136">
        <v>150</v>
      </c>
      <c r="E11" s="1">
        <v>5400</v>
      </c>
      <c r="F11" s="11">
        <f>($E$2*Data!$D$14*($E$5-E11))/I11</f>
        <v>8.8893809848434903E-3</v>
      </c>
      <c r="G11" s="8">
        <f t="shared" si="6"/>
        <v>8.8893809848434903E-3</v>
      </c>
      <c r="H11" s="8">
        <f>G11*Data!$D$21</f>
        <v>1.1538416518326851E-2</v>
      </c>
      <c r="I11" s="9">
        <f t="shared" si="0"/>
        <v>1.39469186</v>
      </c>
      <c r="J11" s="9">
        <f t="shared" si="1"/>
        <v>0.76393858860000008</v>
      </c>
      <c r="K11" s="10">
        <f t="shared" si="3"/>
        <v>0.10159472008559717</v>
      </c>
      <c r="L11" s="19">
        <f t="shared" si="2"/>
        <v>345.42204829103036</v>
      </c>
      <c r="M11" s="8">
        <f t="shared" si="11"/>
        <v>1.9125165503216732E-3</v>
      </c>
      <c r="N11" s="1">
        <f t="shared" si="4"/>
        <v>1912.5165503216731</v>
      </c>
      <c r="O11" s="1">
        <f t="shared" si="7"/>
        <v>1.5238967077667194</v>
      </c>
      <c r="P11" s="3">
        <f t="shared" si="8"/>
        <v>1.4996514635106021E-2</v>
      </c>
      <c r="Q11" s="3">
        <f t="shared" si="9"/>
        <v>8.5780058120712821E-2</v>
      </c>
      <c r="R11" s="10">
        <f t="shared" si="5"/>
        <v>0.23190945478163197</v>
      </c>
      <c r="S11" s="3">
        <f t="shared" si="10"/>
        <v>1.2694092394180536</v>
      </c>
      <c r="T11" s="10">
        <f t="shared" si="12"/>
        <v>7.6653073057775716</v>
      </c>
    </row>
    <row r="12" spans="2:20" x14ac:dyDescent="0.25">
      <c r="B12" t="s">
        <v>228</v>
      </c>
      <c r="C12" s="136">
        <f>C11/2</f>
        <v>75</v>
      </c>
      <c r="E12" s="1">
        <v>5300</v>
      </c>
      <c r="F12" s="11">
        <f>($E$2*Data!$D$14*($E$5-E12))/I12</f>
        <v>1.035958727188763E-2</v>
      </c>
      <c r="G12" s="8">
        <f t="shared" si="6"/>
        <v>1.035958727188763E-2</v>
      </c>
      <c r="H12" s="8">
        <f>G12*Data!$D$21</f>
        <v>1.3446744278910145E-2</v>
      </c>
      <c r="I12" s="9">
        <f t="shared" si="0"/>
        <v>1.3962208599999999</v>
      </c>
      <c r="J12" s="9">
        <f t="shared" si="1"/>
        <v>0.75839429860000007</v>
      </c>
      <c r="K12" s="10">
        <f t="shared" si="3"/>
        <v>0.10222536516364993</v>
      </c>
      <c r="L12" s="19">
        <f t="shared" si="2"/>
        <v>337.34370504004477</v>
      </c>
      <c r="M12" s="8">
        <f t="shared" si="11"/>
        <v>1.9083277605832939E-3</v>
      </c>
      <c r="N12" s="1">
        <f t="shared" si="4"/>
        <v>1908.3277605832939</v>
      </c>
      <c r="O12" s="1">
        <f t="shared" si="7"/>
        <v>1.5451199461189433</v>
      </c>
      <c r="P12" s="3">
        <f t="shared" si="8"/>
        <v>1.5315762987423391E-2</v>
      </c>
      <c r="Q12" s="3">
        <f t="shared" si="9"/>
        <v>0.10109582110813621</v>
      </c>
      <c r="R12" s="10">
        <f t="shared" si="5"/>
        <v>0.22648581668978526</v>
      </c>
      <c r="S12" s="3">
        <f t="shared" si="10"/>
        <v>1.2661131272783268</v>
      </c>
      <c r="T12" s="10">
        <f t="shared" si="12"/>
        <v>8.9314204330558979</v>
      </c>
    </row>
    <row r="13" spans="2:20" x14ac:dyDescent="0.25">
      <c r="C13" s="136"/>
      <c r="E13" s="1">
        <v>5200</v>
      </c>
      <c r="F13" s="11">
        <f>($E$2*Data!$D$14*($E$5-E13))/I13</f>
        <v>1.1826577038612616E-2</v>
      </c>
      <c r="G13" s="8">
        <f t="shared" si="6"/>
        <v>1.1826577038612616E-2</v>
      </c>
      <c r="H13" s="8">
        <f>G13*Data!$D$21</f>
        <v>1.5350896996119176E-2</v>
      </c>
      <c r="I13" s="9">
        <f t="shared" si="0"/>
        <v>1.39774986</v>
      </c>
      <c r="J13" s="9">
        <f t="shared" si="1"/>
        <v>0.75285000860000006</v>
      </c>
      <c r="K13" s="10">
        <f t="shared" si="3"/>
        <v>0.10286554588105574</v>
      </c>
      <c r="L13" s="19">
        <f t="shared" si="2"/>
        <v>329.16974681937836</v>
      </c>
      <c r="M13" s="8">
        <f t="shared" si="11"/>
        <v>1.904152717209031E-3</v>
      </c>
      <c r="N13" s="1">
        <f t="shared" si="4"/>
        <v>1904.1527172090309</v>
      </c>
      <c r="O13" s="1">
        <f t="shared" si="7"/>
        <v>1.5668358549078083</v>
      </c>
      <c r="P13" s="3">
        <f t="shared" si="8"/>
        <v>1.5654952818835575E-2</v>
      </c>
      <c r="Q13" s="3">
        <f t="shared" si="9"/>
        <v>0.11675077392697178</v>
      </c>
      <c r="R13" s="10">
        <f t="shared" si="5"/>
        <v>0.22099798461959425</v>
      </c>
      <c r="S13" s="3">
        <f t="shared" si="10"/>
        <v>1.2627952531312867</v>
      </c>
      <c r="T13" s="10">
        <f t="shared" si="12"/>
        <v>10.194215686187185</v>
      </c>
    </row>
    <row r="14" spans="2:20" x14ac:dyDescent="0.25">
      <c r="B14" t="s">
        <v>55</v>
      </c>
      <c r="C14" s="137">
        <f>C4+C5*C6</f>
        <v>40.000749999999996</v>
      </c>
      <c r="E14" s="1">
        <v>5100</v>
      </c>
      <c r="F14" s="11">
        <f>($E$2*Data!$D$14*($E$5-E14))/I14</f>
        <v>1.3290360829148811E-2</v>
      </c>
      <c r="G14" s="8">
        <f t="shared" si="6"/>
        <v>1.3290360829148811E-2</v>
      </c>
      <c r="H14" s="8">
        <f>G14*Data!$D$21</f>
        <v>1.7250888356235158E-2</v>
      </c>
      <c r="I14" s="9">
        <f t="shared" si="0"/>
        <v>1.3992788599999999</v>
      </c>
      <c r="J14" s="9">
        <f t="shared" si="1"/>
        <v>0.74730571860000006</v>
      </c>
      <c r="K14" s="10">
        <f t="shared" si="3"/>
        <v>0.10351547365797004</v>
      </c>
      <c r="L14" s="19">
        <f t="shared" si="2"/>
        <v>320.89796833970712</v>
      </c>
      <c r="M14" s="8">
        <f t="shared" si="11"/>
        <v>1.8999913601159824E-3</v>
      </c>
      <c r="N14" s="1">
        <f t="shared" si="4"/>
        <v>1899.9913601159824</v>
      </c>
      <c r="O14" s="1">
        <f t="shared" si="7"/>
        <v>1.5890594075626217</v>
      </c>
      <c r="P14" s="3">
        <f t="shared" si="8"/>
        <v>1.6015983042899626E-2</v>
      </c>
      <c r="Q14" s="3">
        <f t="shared" si="9"/>
        <v>0.13276675696987139</v>
      </c>
      <c r="R14" s="10">
        <f t="shared" si="5"/>
        <v>0.21544447798391256</v>
      </c>
      <c r="S14" s="3">
        <f t="shared" si="10"/>
        <v>1.2594526137179975</v>
      </c>
      <c r="T14" s="10">
        <f t="shared" si="12"/>
        <v>11.453668299905182</v>
      </c>
    </row>
    <row r="15" spans="2:20" x14ac:dyDescent="0.25">
      <c r="B15" t="s">
        <v>56</v>
      </c>
      <c r="C15" s="137">
        <f>141.2*I5*J5</f>
        <v>155.96116595065874</v>
      </c>
      <c r="E15" s="1">
        <v>5000</v>
      </c>
      <c r="F15" s="11">
        <f>($E$2*Data!$D$14*($E$5-E15))/I15</f>
        <v>1.4750949141590339E-2</v>
      </c>
      <c r="G15" s="8">
        <f t="shared" si="6"/>
        <v>1.4750949141590339E-2</v>
      </c>
      <c r="H15" s="8">
        <f>G15*Data!$D$21</f>
        <v>1.914673198578426E-2</v>
      </c>
      <c r="I15" s="9">
        <f t="shared" si="0"/>
        <v>1.40080786</v>
      </c>
      <c r="J15" s="9">
        <f t="shared" si="1"/>
        <v>0.74176142860000005</v>
      </c>
      <c r="K15" s="10">
        <f t="shared" si="3"/>
        <v>0.10417536623916925</v>
      </c>
      <c r="L15" s="19">
        <f t="shared" si="2"/>
        <v>312.52609871750775</v>
      </c>
      <c r="M15" s="8">
        <f t="shared" si="11"/>
        <v>1.8958436295491016E-3</v>
      </c>
      <c r="N15" s="1">
        <f t="shared" si="4"/>
        <v>1895.8436295491015</v>
      </c>
      <c r="O15" s="1">
        <f t="shared" si="7"/>
        <v>1.6118061450192129</v>
      </c>
      <c r="P15" s="3">
        <f t="shared" si="8"/>
        <v>1.640100173344694E-2</v>
      </c>
      <c r="Q15" s="3">
        <f t="shared" si="9"/>
        <v>0.14916775870331833</v>
      </c>
      <c r="R15" s="10">
        <f t="shared" si="5"/>
        <v>0.20982377215696035</v>
      </c>
      <c r="S15" s="3">
        <f t="shared" si="10"/>
        <v>1.2560818185656093</v>
      </c>
      <c r="T15" s="10">
        <f t="shared" si="12"/>
        <v>12.709750118470792</v>
      </c>
    </row>
    <row r="16" spans="2:20" x14ac:dyDescent="0.25">
      <c r="B16" t="s">
        <v>131</v>
      </c>
      <c r="C16" s="136">
        <v>9.8000000000000004E-2</v>
      </c>
      <c r="E16" s="1">
        <v>4900</v>
      </c>
      <c r="F16" s="11">
        <f>($E$2*Data!$D$14*($E$5-E16))/I16</f>
        <v>1.6208352428246094E-2</v>
      </c>
      <c r="G16" s="8">
        <f t="shared" si="6"/>
        <v>1.6208352428246094E-2</v>
      </c>
      <c r="H16" s="8">
        <f>G16*Data!$D$21</f>
        <v>2.103844145186343E-2</v>
      </c>
      <c r="I16" s="9">
        <f t="shared" si="0"/>
        <v>1.4023368599999999</v>
      </c>
      <c r="J16" s="9">
        <f t="shared" si="1"/>
        <v>0.73621713860000004</v>
      </c>
      <c r="K16" s="10">
        <f t="shared" si="3"/>
        <v>0.10484544793217797</v>
      </c>
      <c r="L16" s="19">
        <f t="shared" si="2"/>
        <v>304.05179900331609</v>
      </c>
      <c r="M16" s="8">
        <f t="shared" si="11"/>
        <v>1.8917094660791701E-3</v>
      </c>
      <c r="N16" s="1">
        <f t="shared" si="4"/>
        <v>1891.7094660791702</v>
      </c>
      <c r="O16" s="1">
        <f t="shared" si="7"/>
        <v>1.6350922016005311</v>
      </c>
      <c r="P16" s="3">
        <f t="shared" si="8"/>
        <v>1.681244837984754E-2</v>
      </c>
      <c r="Q16" s="3">
        <f t="shared" si="9"/>
        <v>0.16598020708316588</v>
      </c>
      <c r="R16" s="10">
        <f t="shared" si="5"/>
        <v>0.20413429681484638</v>
      </c>
      <c r="S16" s="3">
        <f t="shared" si="10"/>
        <v>1.2526790246309694</v>
      </c>
      <c r="T16" s="10">
        <f t="shared" si="12"/>
        <v>13.962429143101762</v>
      </c>
    </row>
    <row r="17" spans="2:20" x14ac:dyDescent="0.25">
      <c r="B17" t="s">
        <v>57</v>
      </c>
      <c r="C17" s="138">
        <f>C14/(C15*C16)</f>
        <v>2.6171317448119074</v>
      </c>
      <c r="E17" s="1">
        <v>4800</v>
      </c>
      <c r="F17" s="11">
        <f>($E$2*Data!$D$14*($E$5-E17))/I17</f>
        <v>1.7662581095889033E-2</v>
      </c>
      <c r="G17" s="8">
        <f t="shared" si="6"/>
        <v>1.7662581095889033E-2</v>
      </c>
      <c r="H17" s="8">
        <f>G17*Data!$D$21</f>
        <v>2.2926030262463964E-2</v>
      </c>
      <c r="I17" s="9">
        <f t="shared" si="0"/>
        <v>1.40386586</v>
      </c>
      <c r="J17" s="9">
        <f t="shared" si="1"/>
        <v>0.73067284860000004</v>
      </c>
      <c r="K17" s="10">
        <f t="shared" si="3"/>
        <v>0.10552594985623724</v>
      </c>
      <c r="L17" s="19">
        <f t="shared" si="2"/>
        <v>295.47265959746426</v>
      </c>
      <c r="M17" s="8">
        <f t="shared" si="11"/>
        <v>1.8875888106005337E-3</v>
      </c>
      <c r="N17" s="1">
        <f t="shared" si="4"/>
        <v>1887.5888106005336</v>
      </c>
      <c r="O17" s="1">
        <f t="shared" si="7"/>
        <v>1.6589343322816548</v>
      </c>
      <c r="P17" s="3">
        <f t="shared" si="8"/>
        <v>1.7253105044421499E-2</v>
      </c>
      <c r="Q17" s="3">
        <f t="shared" si="9"/>
        <v>0.18323331212758737</v>
      </c>
      <c r="R17" s="10">
        <f t="shared" si="5"/>
        <v>0.19837443420054554</v>
      </c>
      <c r="S17" s="3">
        <f t="shared" si="10"/>
        <v>1.2492398572572381</v>
      </c>
      <c r="T17" s="10">
        <f t="shared" si="12"/>
        <v>15.211669000359</v>
      </c>
    </row>
    <row r="18" spans="2:20" x14ac:dyDescent="0.25">
      <c r="C18" s="136"/>
      <c r="E18" s="1">
        <v>4700</v>
      </c>
      <c r="F18" s="11">
        <f>($E$2*Data!$D$14*($E$5-E18))/I18</f>
        <v>1.9113645506003918E-2</v>
      </c>
      <c r="G18" s="8">
        <f t="shared" si="6"/>
        <v>1.9113645506003918E-2</v>
      </c>
      <c r="H18" s="8">
        <f>G18*Data!$D$21</f>
        <v>2.4809511866793085E-2</v>
      </c>
      <c r="I18" s="9">
        <f t="shared" si="0"/>
        <v>1.4053948599999999</v>
      </c>
      <c r="J18" s="9">
        <f t="shared" si="1"/>
        <v>0.72512855860000003</v>
      </c>
      <c r="K18" s="10">
        <f t="shared" si="3"/>
        <v>0.10621711020269488</v>
      </c>
      <c r="L18" s="19">
        <f t="shared" si="2"/>
        <v>286.78619754727617</v>
      </c>
      <c r="M18" s="8">
        <f t="shared" si="11"/>
        <v>1.8834816043291208E-3</v>
      </c>
      <c r="N18" s="1">
        <f t="shared" si="4"/>
        <v>1883.4816043291207</v>
      </c>
      <c r="O18" s="1">
        <f t="shared" si="7"/>
        <v>1.6833499414229613</v>
      </c>
      <c r="P18" s="3">
        <f t="shared" si="8"/>
        <v>1.7726158689919946E-2</v>
      </c>
      <c r="Q18" s="3">
        <f t="shared" si="9"/>
        <v>0.20095947081750731</v>
      </c>
      <c r="R18" s="10">
        <f t="shared" si="5"/>
        <v>0.19254251730929026</v>
      </c>
      <c r="S18" s="3">
        <f t="shared" si="10"/>
        <v>1.245759313979115</v>
      </c>
      <c r="T18" s="10">
        <f t="shared" si="12"/>
        <v>16.457428314338117</v>
      </c>
    </row>
    <row r="19" spans="2:20" x14ac:dyDescent="0.25">
      <c r="B19" t="s">
        <v>134</v>
      </c>
      <c r="C19" s="137">
        <f>(EXP(C17)+0.5-C7)*C12</f>
        <v>1064.7286853842654</v>
      </c>
      <c r="E19" s="1">
        <v>4600</v>
      </c>
      <c r="F19" s="11">
        <f>($E$2*Data!$D$14*($E$5-E19))/I19</f>
        <v>2.0561555975033362E-2</v>
      </c>
      <c r="G19" s="8">
        <f t="shared" si="6"/>
        <v>2.0561555975033362E-2</v>
      </c>
      <c r="H19" s="8">
        <f>G19*Data!$D$21</f>
        <v>2.6688899655593304E-2</v>
      </c>
      <c r="I19" s="9">
        <f t="shared" si="0"/>
        <v>1.40692386</v>
      </c>
      <c r="J19" s="9">
        <f t="shared" si="1"/>
        <v>0.71958426860000002</v>
      </c>
      <c r="K19" s="10">
        <f t="shared" si="3"/>
        <v>0.10691917450743306</v>
      </c>
      <c r="L19" s="19">
        <f t="shared" si="2"/>
        <v>277.98985371932594</v>
      </c>
      <c r="M19" s="8">
        <f t="shared" si="11"/>
        <v>1.8793877888002193E-3</v>
      </c>
      <c r="N19" s="1">
        <f t="shared" si="4"/>
        <v>1879.3877888002194</v>
      </c>
      <c r="O19" s="1">
        <f t="shared" si="7"/>
        <v>1.7083571130636592</v>
      </c>
      <c r="P19" s="3">
        <f t="shared" si="8"/>
        <v>1.8235277630318542E-2</v>
      </c>
      <c r="Q19" s="3">
        <f t="shared" si="9"/>
        <v>0.21919474844782585</v>
      </c>
      <c r="R19" s="10">
        <f t="shared" si="5"/>
        <v>0.18663682799008105</v>
      </c>
      <c r="S19" s="3">
        <f t="shared" si="10"/>
        <v>1.2422316466710139</v>
      </c>
      <c r="T19" s="10">
        <f t="shared" si="12"/>
        <v>17.699659961009132</v>
      </c>
    </row>
    <row r="20" spans="2:20" x14ac:dyDescent="0.25">
      <c r="E20" s="1">
        <v>4500</v>
      </c>
      <c r="F20" s="11">
        <f>($E$2*Data!$D$14*($E$5-E20))/I20</f>
        <v>2.2006322774622365E-2</v>
      </c>
      <c r="G20" s="8">
        <f t="shared" si="6"/>
        <v>2.2006322774622365E-2</v>
      </c>
      <c r="H20" s="8">
        <f>G20*Data!$D$21</f>
        <v>2.856420696145983E-2</v>
      </c>
      <c r="I20" s="9">
        <f t="shared" si="0"/>
        <v>1.4084528599999999</v>
      </c>
      <c r="J20" s="9">
        <f t="shared" si="1"/>
        <v>0.71403997860000001</v>
      </c>
      <c r="K20" s="10">
        <f t="shared" si="3"/>
        <v>0.1076323959359886</v>
      </c>
      <c r="L20" s="19">
        <f t="shared" si="2"/>
        <v>269.08098983997149</v>
      </c>
      <c r="M20" s="8">
        <f t="shared" si="11"/>
        <v>1.8753073058665262E-3</v>
      </c>
      <c r="N20" s="1">
        <f t="shared" si="4"/>
        <v>1875.3073058665261</v>
      </c>
      <c r="O20" s="1">
        <f t="shared" si="7"/>
        <v>1.7339746428715783</v>
      </c>
      <c r="P20" s="3">
        <f t="shared" si="8"/>
        <v>1.8784705985680761E-2</v>
      </c>
      <c r="Q20" s="3">
        <f t="shared" si="9"/>
        <v>0.23797945443350663</v>
      </c>
      <c r="R20" s="10">
        <f t="shared" si="5"/>
        <v>0.18065559495876005</v>
      </c>
      <c r="S20" s="3">
        <f t="shared" si="10"/>
        <v>1.2386502161285167</v>
      </c>
      <c r="T20" s="10">
        <f t="shared" si="12"/>
        <v>18.938310177137648</v>
      </c>
    </row>
    <row r="21" spans="2:20" x14ac:dyDescent="0.25">
      <c r="E21" s="1">
        <v>4400</v>
      </c>
      <c r="F21" s="11">
        <f>($E$2*Data!$D$14*($E$5-E21))/I21</f>
        <v>2.344795613186116E-2</v>
      </c>
      <c r="G21" s="8">
        <f t="shared" si="6"/>
        <v>2.344795613186116E-2</v>
      </c>
      <c r="H21" s="8">
        <f>G21*Data!$D$21</f>
        <v>3.0435447059155785E-2</v>
      </c>
      <c r="I21" s="9">
        <f t="shared" si="0"/>
        <v>1.4099818599999998</v>
      </c>
      <c r="J21" s="9">
        <f t="shared" si="1"/>
        <v>0.70849568860000001</v>
      </c>
      <c r="K21" s="10">
        <f t="shared" si="3"/>
        <v>0.10835703558205984</v>
      </c>
      <c r="L21" s="19">
        <f t="shared" si="2"/>
        <v>260.05688539694358</v>
      </c>
      <c r="M21" s="8">
        <f t="shared" si="11"/>
        <v>1.8712400976959552E-3</v>
      </c>
      <c r="N21" s="1">
        <f t="shared" si="4"/>
        <v>1871.2400976959552</v>
      </c>
      <c r="O21" s="1">
        <f t="shared" si="7"/>
        <v>1.7602220718553525</v>
      </c>
      <c r="P21" s="3">
        <f t="shared" si="8"/>
        <v>1.9379381290473448E-2</v>
      </c>
      <c r="Q21" s="3">
        <f t="shared" si="9"/>
        <v>0.25735883572398005</v>
      </c>
      <c r="R21" s="10">
        <f t="shared" si="5"/>
        <v>0.17459699171779997</v>
      </c>
      <c r="S21" s="3">
        <f t="shared" si="10"/>
        <v>1.2350073112541413</v>
      </c>
      <c r="T21" s="10">
        <f t="shared" si="12"/>
        <v>20.173317488391788</v>
      </c>
    </row>
    <row r="22" spans="2:20" x14ac:dyDescent="0.25">
      <c r="E22" s="1">
        <v>4300</v>
      </c>
      <c r="F22" s="11">
        <f>($E$2*Data!$D$14*($E$5-E22))/I22</f>
        <v>2.4886466229526567E-2</v>
      </c>
      <c r="G22" s="8">
        <f t="shared" si="6"/>
        <v>2.4886466229526567E-2</v>
      </c>
      <c r="H22" s="8">
        <f>G22*Data!$D$21</f>
        <v>3.2302633165925486E-2</v>
      </c>
      <c r="I22" s="9">
        <f t="shared" si="0"/>
        <v>1.4115108599999999</v>
      </c>
      <c r="J22" s="9">
        <f t="shared" si="1"/>
        <v>0.7029513986</v>
      </c>
      <c r="K22" s="10">
        <f t="shared" si="3"/>
        <v>0.10909336278014031</v>
      </c>
      <c r="L22" s="19">
        <f t="shared" si="2"/>
        <v>250.91473439432272</v>
      </c>
      <c r="M22" s="8">
        <f t="shared" si="11"/>
        <v>1.8671861067697006E-3</v>
      </c>
      <c r="N22" s="1">
        <f t="shared" si="4"/>
        <v>1867.1861067697005</v>
      </c>
      <c r="O22" s="1">
        <f t="shared" si="7"/>
        <v>1.7871197219486317</v>
      </c>
      <c r="P22" s="3">
        <f t="shared" si="8"/>
        <v>2.002508215988184E-2</v>
      </c>
      <c r="Q22" s="3">
        <f t="shared" si="9"/>
        <v>0.27738391788386191</v>
      </c>
      <c r="R22" s="10">
        <f t="shared" si="5"/>
        <v>0.16845913437766039</v>
      </c>
      <c r="S22" s="3">
        <f t="shared" si="10"/>
        <v>1.2312939223707571</v>
      </c>
      <c r="T22" s="10">
        <f t="shared" si="12"/>
        <v>21.404611410762545</v>
      </c>
    </row>
    <row r="23" spans="2:20" x14ac:dyDescent="0.25">
      <c r="E23" s="1">
        <v>4200</v>
      </c>
      <c r="F23" s="11">
        <f>($E$2*Data!$D$14*($E$5-E23))/I23</f>
        <v>2.6321863206321724E-2</v>
      </c>
      <c r="G23" s="8">
        <f t="shared" si="6"/>
        <v>2.6321863206321724E-2</v>
      </c>
      <c r="H23" s="8">
        <f>G23*Data!$D$21</f>
        <v>3.41657784418056E-2</v>
      </c>
      <c r="I23" s="9">
        <f t="shared" si="0"/>
        <v>1.41303986</v>
      </c>
      <c r="J23" s="9">
        <f t="shared" si="1"/>
        <v>0.69740710859999999</v>
      </c>
      <c r="K23" s="10">
        <f t="shared" si="3"/>
        <v>0.10984165543306482</v>
      </c>
      <c r="L23" s="19">
        <f t="shared" si="2"/>
        <v>241.65164195274261</v>
      </c>
      <c r="M23" s="8">
        <f t="shared" si="11"/>
        <v>1.863145275880114E-3</v>
      </c>
      <c r="N23" s="1">
        <f t="shared" si="4"/>
        <v>1863.145275880114</v>
      </c>
      <c r="O23" s="1">
        <f t="shared" si="7"/>
        <v>1.8146887335876738</v>
      </c>
      <c r="P23" s="3">
        <f t="shared" si="8"/>
        <v>2.0728615376905887E-2</v>
      </c>
      <c r="Q23" s="3">
        <f t="shared" si="9"/>
        <v>0.29811253326076781</v>
      </c>
      <c r="R23" s="10">
        <f t="shared" si="5"/>
        <v>0.16224007937423232</v>
      </c>
      <c r="S23" s="3">
        <f t="shared" si="10"/>
        <v>1.2274994544845075</v>
      </c>
      <c r="T23" s="10">
        <f t="shared" si="12"/>
        <v>22.632110865247054</v>
      </c>
    </row>
    <row r="24" spans="2:20" x14ac:dyDescent="0.25">
      <c r="E24" s="1">
        <v>4100</v>
      </c>
      <c r="F24" s="11">
        <f>($E$2*Data!$D$14*($E$5-E24))/I24</f>
        <v>2.7754157157114292E-2</v>
      </c>
      <c r="G24" s="8">
        <f t="shared" si="6"/>
        <v>2.7754157157114292E-2</v>
      </c>
      <c r="H24" s="8">
        <f>G24*Data!$D$21</f>
        <v>3.6024895989934351E-2</v>
      </c>
      <c r="I24" s="9">
        <f t="shared" si="0"/>
        <v>1.4145688599999999</v>
      </c>
      <c r="J24" s="9">
        <f t="shared" si="1"/>
        <v>0.69186281859999998</v>
      </c>
      <c r="K24" s="10">
        <f t="shared" si="3"/>
        <v>0.11060220035530437</v>
      </c>
      <c r="L24" s="19">
        <f t="shared" si="2"/>
        <v>232.26462074613917</v>
      </c>
      <c r="M24" s="8">
        <f t="shared" si="11"/>
        <v>1.8591175481287511E-3</v>
      </c>
      <c r="N24" s="1">
        <f t="shared" si="4"/>
        <v>1859.1175481287512</v>
      </c>
      <c r="O24" s="1">
        <f t="shared" si="7"/>
        <v>1.8429511054095928</v>
      </c>
      <c r="P24" s="3">
        <f t="shared" si="8"/>
        <v>2.1498055251922974E-2</v>
      </c>
      <c r="Q24" s="3">
        <f t="shared" si="9"/>
        <v>0.31961058851269081</v>
      </c>
      <c r="R24" s="10">
        <f t="shared" si="5"/>
        <v>0.15593782107654292</v>
      </c>
      <c r="S24" s="3">
        <f t="shared" si="10"/>
        <v>1.2236113610793196</v>
      </c>
      <c r="T24" s="10">
        <f t="shared" si="12"/>
        <v>23.855722226326375</v>
      </c>
    </row>
    <row r="25" spans="2:20" x14ac:dyDescent="0.25">
      <c r="E25" s="1">
        <v>4000</v>
      </c>
      <c r="F25" s="11">
        <f>($E$2*Data!$D$14*($E$5-E25))/I25</f>
        <v>2.9183358133173087E-2</v>
      </c>
      <c r="G25" s="8">
        <f t="shared" si="6"/>
        <v>2.9183358133173087E-2</v>
      </c>
      <c r="H25" s="8">
        <f>G25*Data!$D$21</f>
        <v>3.7879998856858665E-2</v>
      </c>
      <c r="I25" s="9">
        <f t="shared" si="0"/>
        <v>1.4160978599999998</v>
      </c>
      <c r="J25" s="9">
        <f t="shared" si="1"/>
        <v>0.68631852859999998</v>
      </c>
      <c r="K25" s="10">
        <f t="shared" si="3"/>
        <v>0.11137529363290076</v>
      </c>
      <c r="L25" s="19">
        <f t="shared" si="2"/>
        <v>222.75058726580153</v>
      </c>
      <c r="M25" s="8">
        <f t="shared" si="11"/>
        <v>1.8551028669243144E-3</v>
      </c>
      <c r="N25" s="1">
        <f t="shared" si="4"/>
        <v>1855.1028669243144</v>
      </c>
      <c r="O25" s="1">
        <f t="shared" si="7"/>
        <v>1.8719297362095655</v>
      </c>
      <c r="P25" s="3">
        <f t="shared" si="8"/>
        <v>2.2343053129658313E-2</v>
      </c>
      <c r="Q25" s="3">
        <f t="shared" si="9"/>
        <v>0.34195364164234909</v>
      </c>
      <c r="R25" s="10">
        <f t="shared" si="5"/>
        <v>0.14955028927851383</v>
      </c>
      <c r="S25" s="3">
        <f t="shared" si="10"/>
        <v>1.2196146715005456</v>
      </c>
      <c r="T25" s="10">
        <f t="shared" si="12"/>
        <v>25.075336897826919</v>
      </c>
    </row>
    <row r="26" spans="2:20" x14ac:dyDescent="0.25">
      <c r="E26" s="1">
        <v>3900</v>
      </c>
      <c r="F26" s="11">
        <f>($E$2*Data!$D$14*($E$5-E26))/I26</f>
        <v>3.0609476142403228E-2</v>
      </c>
      <c r="G26" s="8">
        <f t="shared" si="6"/>
        <v>3.0609476142403228E-2</v>
      </c>
      <c r="H26" s="8">
        <f>G26*Data!$D$21</f>
        <v>3.9731100032839389E-2</v>
      </c>
      <c r="I26" s="9">
        <f t="shared" si="0"/>
        <v>1.4176268599999999</v>
      </c>
      <c r="J26" s="9">
        <f t="shared" si="1"/>
        <v>0.68077423859999997</v>
      </c>
      <c r="K26" s="10">
        <f t="shared" si="3"/>
        <v>0.11216124100098956</v>
      </c>
      <c r="L26" s="19">
        <f t="shared" si="2"/>
        <v>213.10635790188016</v>
      </c>
      <c r="M26" s="8">
        <f t="shared" si="11"/>
        <v>1.8511011759807239E-3</v>
      </c>
      <c r="N26" s="1">
        <f t="shared" si="4"/>
        <v>1851.1011759807238</v>
      </c>
      <c r="O26" s="1">
        <f t="shared" si="7"/>
        <v>1.9016484693043898</v>
      </c>
      <c r="P26" s="3">
        <f t="shared" si="8"/>
        <v>2.3275242264560569E-2</v>
      </c>
      <c r="Q26" s="3">
        <f t="shared" si="9"/>
        <v>0.36522888390690966</v>
      </c>
      <c r="R26" s="10">
        <f t="shared" si="5"/>
        <v>0.14307534656816429</v>
      </c>
      <c r="S26" s="3">
        <f t="shared" si="10"/>
        <v>1.2154913740128959</v>
      </c>
      <c r="T26" s="10">
        <f t="shared" si="12"/>
        <v>26.290828271839814</v>
      </c>
    </row>
    <row r="27" spans="2:20" x14ac:dyDescent="0.25">
      <c r="E27" s="1">
        <v>3800</v>
      </c>
      <c r="F27" s="11">
        <f>($E$2*Data!$D$14*($E$5-E27))/I27</f>
        <v>3.2032521149579732E-2</v>
      </c>
      <c r="G27" s="8">
        <f t="shared" si="6"/>
        <v>3.2032521149579732E-2</v>
      </c>
      <c r="H27" s="8">
        <f>G27*Data!$D$21</f>
        <v>4.1578212452154491E-2</v>
      </c>
      <c r="I27" s="9">
        <f t="shared" si="0"/>
        <v>1.4191558599999998</v>
      </c>
      <c r="J27" s="9">
        <f t="shared" si="1"/>
        <v>0.67522994859999996</v>
      </c>
      <c r="K27" s="10">
        <f t="shared" si="3"/>
        <v>0.11296035823992187</v>
      </c>
      <c r="L27" s="19">
        <f t="shared" si="2"/>
        <v>203.32864483185938</v>
      </c>
      <c r="M27" s="8">
        <f t="shared" si="11"/>
        <v>1.8471124193151015E-3</v>
      </c>
      <c r="N27" s="1">
        <f t="shared" si="4"/>
        <v>1847.1124193151015</v>
      </c>
      <c r="O27" s="1">
        <f t="shared" si="7"/>
        <v>1.9321321394617115</v>
      </c>
      <c r="P27" s="3">
        <f t="shared" si="8"/>
        <v>2.4308774212813515E-2</v>
      </c>
      <c r="Q27" s="3">
        <f t="shared" si="9"/>
        <v>0.38953765811972318</v>
      </c>
      <c r="R27" s="10">
        <f t="shared" si="5"/>
        <v>0.13651078556721374</v>
      </c>
      <c r="S27" s="3">
        <f t="shared" si="10"/>
        <v>1.2112196003480282</v>
      </c>
      <c r="T27" s="10">
        <f t="shared" si="12"/>
        <v>27.502047872187841</v>
      </c>
    </row>
    <row r="28" spans="2:20" x14ac:dyDescent="0.25">
      <c r="E28" s="1">
        <v>3700</v>
      </c>
      <c r="F28" s="11">
        <f>($E$2*Data!$D$14*($E$5-E28))/I28</f>
        <v>3.3452503076579564E-2</v>
      </c>
      <c r="G28" s="8">
        <f t="shared" si="6"/>
        <v>3.3452503076579564E-2</v>
      </c>
      <c r="H28" s="8">
        <f>G28*Data!$D$21</f>
        <v>4.3421348993400277E-2</v>
      </c>
      <c r="I28" s="9">
        <f t="shared" si="0"/>
        <v>1.4206848599999999</v>
      </c>
      <c r="J28" s="9">
        <f t="shared" si="1"/>
        <v>0.66968565859999996</v>
      </c>
      <c r="K28" s="10">
        <f t="shared" si="3"/>
        <v>0.11377297159106313</v>
      </c>
      <c r="L28" s="19">
        <f t="shared" si="2"/>
        <v>193.41405170480732</v>
      </c>
      <c r="M28" s="8">
        <f t="shared" si="11"/>
        <v>1.8431365412457865E-3</v>
      </c>
      <c r="N28" s="1">
        <f t="shared" si="4"/>
        <v>1843.1365412457865</v>
      </c>
      <c r="O28" s="1">
        <f t="shared" si="7"/>
        <v>1.9634066225652582</v>
      </c>
      <c r="P28" s="3">
        <f t="shared" si="8"/>
        <v>2.5461039449051641E-2</v>
      </c>
      <c r="Q28" s="3">
        <f t="shared" si="9"/>
        <v>0.41499869756877483</v>
      </c>
      <c r="R28" s="10">
        <f t="shared" si="5"/>
        <v>0.12985432603357355</v>
      </c>
      <c r="S28" s="3">
        <f t="shared" si="10"/>
        <v>1.206772532986353</v>
      </c>
      <c r="T28" s="10">
        <f t="shared" si="12"/>
        <v>28.708820405174194</v>
      </c>
    </row>
    <row r="29" spans="2:20" x14ac:dyDescent="0.25">
      <c r="E29" s="1">
        <v>3600</v>
      </c>
      <c r="F29" s="11">
        <f>($E$2*Data!$D$14*($E$5-E29))/I29</f>
        <v>3.4869431802612309E-2</v>
      </c>
      <c r="G29" s="8">
        <f t="shared" si="6"/>
        <v>3.4869431802612309E-2</v>
      </c>
      <c r="H29" s="8">
        <f>G29*Data!$D$21</f>
        <v>4.5260522479790781E-2</v>
      </c>
      <c r="I29" s="9">
        <f t="shared" si="0"/>
        <v>1.4222138599999998</v>
      </c>
      <c r="J29" s="9">
        <f t="shared" si="1"/>
        <v>0.66414136859999995</v>
      </c>
      <c r="K29" s="10">
        <f t="shared" si="3"/>
        <v>0.11459941819341883</v>
      </c>
      <c r="L29" s="19">
        <f t="shared" si="2"/>
        <v>183.35906910947014</v>
      </c>
      <c r="M29" s="8">
        <f t="shared" si="11"/>
        <v>1.8391734863905038E-3</v>
      </c>
      <c r="N29" s="1">
        <f t="shared" si="4"/>
        <v>1839.1734863905037</v>
      </c>
      <c r="O29" s="1">
        <f t="shared" si="7"/>
        <v>1.9954988881994034</v>
      </c>
      <c r="P29" s="3">
        <f t="shared" si="8"/>
        <v>2.6753650531327621E-2</v>
      </c>
      <c r="Q29" s="3">
        <f t="shared" si="9"/>
        <v>0.44175234810010244</v>
      </c>
      <c r="R29" s="10">
        <f t="shared" si="5"/>
        <v>0.12310361181871605</v>
      </c>
      <c r="S29" s="3">
        <f t="shared" si="10"/>
        <v>1.202116918555882</v>
      </c>
      <c r="T29" s="10">
        <f t="shared" si="12"/>
        <v>29.910937323730074</v>
      </c>
    </row>
    <row r="30" spans="2:20" x14ac:dyDescent="0.25">
      <c r="E30" s="1">
        <v>3500</v>
      </c>
      <c r="F30" s="11">
        <f>($E$2*Data!$D$14*($E$5-E30))/I30</f>
        <v>3.6283317164449207E-2</v>
      </c>
      <c r="G30" s="8">
        <f t="shared" si="6"/>
        <v>3.6283317164449207E-2</v>
      </c>
      <c r="H30" s="8">
        <f>G30*Data!$D$21</f>
        <v>4.709574567945507E-2</v>
      </c>
      <c r="I30" s="9">
        <f t="shared" si="0"/>
        <v>1.4237428599999999</v>
      </c>
      <c r="J30" s="9">
        <f t="shared" si="1"/>
        <v>0.65859707859999994</v>
      </c>
      <c r="K30" s="10">
        <f t="shared" si="3"/>
        <v>0.11544004654231428</v>
      </c>
      <c r="L30" s="19">
        <f t="shared" si="2"/>
        <v>173.16006981347141</v>
      </c>
      <c r="M30" s="8">
        <f t="shared" si="11"/>
        <v>1.835223199664289E-3</v>
      </c>
      <c r="N30" s="1">
        <f t="shared" si="4"/>
        <v>1835.223199664289</v>
      </c>
      <c r="O30" s="1">
        <f t="shared" si="7"/>
        <v>2.0284370553513633</v>
      </c>
      <c r="P30" s="3">
        <f t="shared" si="8"/>
        <v>2.8213806669202833E-2</v>
      </c>
      <c r="Q30" s="3">
        <f t="shared" si="9"/>
        <v>0.46996615476930526</v>
      </c>
      <c r="R30" s="10">
        <f t="shared" si="5"/>
        <v>0.11625620767136843</v>
      </c>
      <c r="S30" s="3">
        <f t="shared" si="10"/>
        <v>1.1972110110771597</v>
      </c>
      <c r="T30" s="10">
        <f t="shared" si="12"/>
        <v>31.108148334807233</v>
      </c>
    </row>
    <row r="31" spans="2:20" x14ac:dyDescent="0.25">
      <c r="E31" s="1">
        <v>3400</v>
      </c>
      <c r="F31" s="11">
        <f>($E$2*Data!$D$14*($E$5-E31))/I31</f>
        <v>3.7694168956650842E-2</v>
      </c>
      <c r="G31" s="8">
        <f t="shared" si="6"/>
        <v>3.7694168956650842E-2</v>
      </c>
      <c r="H31" s="8">
        <f>G31*Data!$D$21</f>
        <v>4.8927031305732796E-2</v>
      </c>
      <c r="I31" s="9">
        <f t="shared" si="0"/>
        <v>1.4252718599999998</v>
      </c>
      <c r="J31" s="9">
        <f t="shared" si="1"/>
        <v>0.65305278860000004</v>
      </c>
      <c r="K31" s="10">
        <f t="shared" si="3"/>
        <v>0.11629521697143909</v>
      </c>
      <c r="L31" s="19">
        <f t="shared" si="2"/>
        <v>162.81330376001472</v>
      </c>
      <c r="M31" s="8">
        <f t="shared" si="11"/>
        <v>1.8312856262777261E-3</v>
      </c>
      <c r="N31" s="1">
        <f t="shared" si="4"/>
        <v>1831.2856262777261</v>
      </c>
      <c r="O31" s="1">
        <f t="shared" si="7"/>
        <v>2.0622504514426581</v>
      </c>
      <c r="P31" s="3">
        <f t="shared" si="8"/>
        <v>2.9876224319174246E-2</v>
      </c>
      <c r="Q31" s="3">
        <f t="shared" si="9"/>
        <v>0.4998423790884795</v>
      </c>
      <c r="R31" s="10">
        <f t="shared" si="5"/>
        <v>0.10930959587839868</v>
      </c>
      <c r="S31" s="3">
        <f t="shared" si="10"/>
        <v>1.1920016724459832</v>
      </c>
      <c r="T31" s="10">
        <f t="shared" si="12"/>
        <v>32.300150007253215</v>
      </c>
    </row>
    <row r="32" spans="2:20" x14ac:dyDescent="0.25">
      <c r="E32" s="1">
        <v>3300</v>
      </c>
      <c r="F32" s="11">
        <f>($E$2*Data!$D$14*($E$5-E32))/I32</f>
        <v>3.9101996931793274E-2</v>
      </c>
      <c r="G32" s="8">
        <f t="shared" si="6"/>
        <v>3.9101996931793274E-2</v>
      </c>
      <c r="H32" s="8">
        <f>G32*Data!$D$21</f>
        <v>5.0754392017467669E-2</v>
      </c>
      <c r="I32" s="9">
        <f t="shared" si="0"/>
        <v>1.4268008599999999</v>
      </c>
      <c r="J32" s="9">
        <f t="shared" si="1"/>
        <v>0.64750849860000004</v>
      </c>
      <c r="K32" s="10">
        <f t="shared" si="3"/>
        <v>0.11716530215965668</v>
      </c>
      <c r="L32" s="19">
        <f t="shared" si="2"/>
        <v>152.31489280755369</v>
      </c>
      <c r="M32" s="8">
        <f t="shared" si="11"/>
        <v>1.8273607117348725E-3</v>
      </c>
      <c r="N32" s="1">
        <f t="shared" si="4"/>
        <v>1827.3607117348724</v>
      </c>
      <c r="O32" s="1">
        <f t="shared" si="7"/>
        <v>2.0969696749200111</v>
      </c>
      <c r="P32" s="3">
        <f t="shared" si="8"/>
        <v>3.1785928206645518E-2</v>
      </c>
      <c r="Q32" s="3">
        <f t="shared" si="9"/>
        <v>0.531628307295125</v>
      </c>
      <c r="R32" s="10">
        <f t="shared" si="5"/>
        <v>0.1022611727331354</v>
      </c>
      <c r="S32" s="3">
        <f t="shared" si="10"/>
        <v>1.1864201976103286</v>
      </c>
      <c r="T32" s="10">
        <f t="shared" si="12"/>
        <v>33.486570204863547</v>
      </c>
    </row>
    <row r="33" spans="5:20" x14ac:dyDescent="0.25">
      <c r="E33" s="1">
        <v>3200</v>
      </c>
      <c r="F33" s="11">
        <f>($E$2*Data!$D$14*($E$5-E33))/I33</f>
        <v>4.050681080069278E-2</v>
      </c>
      <c r="G33" s="8">
        <f t="shared" si="6"/>
        <v>4.050681080069278E-2</v>
      </c>
      <c r="H33" s="8">
        <f>G33*Data!$D$21</f>
        <v>5.2577840419299228E-2</v>
      </c>
      <c r="I33" s="9">
        <f t="shared" si="0"/>
        <v>1.4283298599999998</v>
      </c>
      <c r="J33" s="9">
        <f t="shared" si="1"/>
        <v>0.64196420860000003</v>
      </c>
      <c r="K33" s="10">
        <f>($C$4+$C$5*$C$6)/(141.2*I33*J33*LN($C$10/$C$12-0.5+$C$7))</f>
        <v>0.11805068766407648</v>
      </c>
      <c r="L33" s="19">
        <f t="shared" si="2"/>
        <v>141.66082519689178</v>
      </c>
      <c r="M33" s="8">
        <f t="shared" si="11"/>
        <v>1.8234484018315594E-3</v>
      </c>
      <c r="N33" s="1">
        <f t="shared" si="4"/>
        <v>1823.4484018315595</v>
      </c>
      <c r="O33" s="1">
        <f t="shared" si="7"/>
        <v>2.132626661651388</v>
      </c>
      <c r="P33" s="3">
        <f t="shared" si="8"/>
        <v>3.4002386315819373E-2</v>
      </c>
      <c r="Q33" s="3">
        <f t="shared" si="9"/>
        <v>0.56563069361094442</v>
      </c>
      <c r="R33" s="10">
        <f t="shared" si="5"/>
        <v>9.5108244820689206E-2</v>
      </c>
      <c r="S33" s="3">
        <f t="shared" si="10"/>
        <v>1.1803761580075995</v>
      </c>
      <c r="T33" s="10">
        <f t="shared" si="12"/>
        <v>34.666946362871144</v>
      </c>
    </row>
    <row r="34" spans="5:20" x14ac:dyDescent="0.25">
      <c r="E34" s="1">
        <v>3100</v>
      </c>
      <c r="F34" s="11">
        <f>($E$2*Data!$D$14*($E$5-E34))/I34</f>
        <v>4.1908620232629111E-2</v>
      </c>
      <c r="G34" s="8">
        <f t="shared" si="6"/>
        <v>4.1908620232629111E-2</v>
      </c>
      <c r="H34" s="8">
        <f>G34*Data!$D$21</f>
        <v>5.4397389061952586E-2</v>
      </c>
      <c r="I34" s="9">
        <f t="shared" si="0"/>
        <v>1.42985886</v>
      </c>
      <c r="J34" s="9">
        <f t="shared" si="1"/>
        <v>0.63641991860000002</v>
      </c>
      <c r="K34" s="10">
        <f t="shared" si="3"/>
        <v>0.11895177248098948</v>
      </c>
      <c r="L34" s="19">
        <f t="shared" si="2"/>
        <v>130.84694972908844</v>
      </c>
      <c r="M34" s="8">
        <f t="shared" si="11"/>
        <v>1.8195486426533583E-3</v>
      </c>
      <c r="N34" s="1">
        <f t="shared" si="4"/>
        <v>1819.5486426533582</v>
      </c>
      <c r="O34" s="1">
        <f t="shared" si="7"/>
        <v>2.1692547553949479</v>
      </c>
      <c r="P34" s="3">
        <f t="shared" si="8"/>
        <v>3.6605810268680768E-2</v>
      </c>
      <c r="Q34" s="3">
        <f t="shared" si="9"/>
        <v>0.60223650387962524</v>
      </c>
      <c r="R34" s="10">
        <f t="shared" si="5"/>
        <v>8.7848025109115394E-2</v>
      </c>
      <c r="S34" s="3">
        <f t="shared" si="10"/>
        <v>1.1737480709622425</v>
      </c>
      <c r="T34" s="10">
        <f t="shared" si="12"/>
        <v>35.840694433833384</v>
      </c>
    </row>
    <row r="35" spans="5:20" x14ac:dyDescent="0.25">
      <c r="E35" s="1">
        <v>3000</v>
      </c>
      <c r="F35" s="11">
        <f>($E$2*Data!$D$14*($E$5-E35))/I35</f>
        <v>4.3307434855567387E-2</v>
      </c>
      <c r="G35" s="8">
        <f t="shared" si="6"/>
        <v>4.3307434855567387E-2</v>
      </c>
      <c r="H35" s="8">
        <f>G35*Data!$D$21</f>
        <v>5.6213050442526467E-2</v>
      </c>
      <c r="I35" s="9">
        <f t="shared" si="0"/>
        <v>1.4313878599999998</v>
      </c>
      <c r="J35" s="9">
        <f t="shared" si="1"/>
        <v>0.63087562860000002</v>
      </c>
      <c r="K35" s="10">
        <f t="shared" si="3"/>
        <v>0.11986896963638244</v>
      </c>
      <c r="L35" s="19">
        <f t="shared" si="2"/>
        <v>119.86896963638245</v>
      </c>
      <c r="M35" s="8">
        <f t="shared" si="11"/>
        <v>1.8156613805738811E-3</v>
      </c>
      <c r="N35" s="1">
        <f t="shared" si="4"/>
        <v>1815.6613805738812</v>
      </c>
      <c r="O35" s="1">
        <f t="shared" si="7"/>
        <v>2.2068887826270749</v>
      </c>
      <c r="P35" s="3">
        <f t="shared" si="8"/>
        <v>3.9707071640707997E-2</v>
      </c>
      <c r="Q35" s="3">
        <f t="shared" si="9"/>
        <v>0.64194357552033321</v>
      </c>
      <c r="R35" s="10">
        <f t="shared" si="5"/>
        <v>8.0477628834474443E-2</v>
      </c>
      <c r="S35" s="3">
        <f t="shared" si="10"/>
        <v>1.1663688053657464</v>
      </c>
      <c r="T35" s="10">
        <f t="shared" si="12"/>
        <v>37.007063239199134</v>
      </c>
    </row>
    <row r="36" spans="5:20" x14ac:dyDescent="0.25">
      <c r="E36" s="1">
        <v>2900</v>
      </c>
      <c r="F36" s="11">
        <f>($E$2*Data!$D$14*($E$5-E36))/I36</f>
        <v>4.4703264256378425E-2</v>
      </c>
      <c r="G36" s="8">
        <f t="shared" si="6"/>
        <v>4.4703264256378425E-2</v>
      </c>
      <c r="H36" s="8">
        <f>G36*Data!$D$21</f>
        <v>5.8024837004779201E-2</v>
      </c>
      <c r="I36" s="9">
        <f t="shared" si="0"/>
        <v>1.43291686</v>
      </c>
      <c r="J36" s="9">
        <f t="shared" si="1"/>
        <v>0.62533133860000001</v>
      </c>
      <c r="K36" s="10">
        <f t="shared" si="3"/>
        <v>0.12080270680786491</v>
      </c>
      <c r="L36" s="19">
        <f t="shared" si="2"/>
        <v>108.72243612707842</v>
      </c>
      <c r="M36" s="8">
        <f>H36-H35</f>
        <v>1.8117865622527332E-3</v>
      </c>
      <c r="N36" s="1">
        <f t="shared" si="4"/>
        <v>1811.7865622527331</v>
      </c>
      <c r="O36" s="1">
        <f t="shared" si="7"/>
        <v>2.2455651320414414</v>
      </c>
      <c r="P36" s="3">
        <f t="shared" si="8"/>
        <v>4.3463913904003545E-2</v>
      </c>
      <c r="Q36" s="3">
        <f t="shared" si="9"/>
        <v>0.68540748942433671</v>
      </c>
      <c r="R36" s="10">
        <f t="shared" si="5"/>
        <v>7.299406916699791E-2</v>
      </c>
      <c r="S36" s="3">
        <f t="shared" si="10"/>
        <v>1.1580018972887061</v>
      </c>
      <c r="T36" s="10">
        <f t="shared" si="12"/>
        <v>38.16506513648784</v>
      </c>
    </row>
    <row r="37" spans="5:20" x14ac:dyDescent="0.25">
      <c r="E37" s="1">
        <v>2700</v>
      </c>
      <c r="F37" s="11">
        <f>($E$2*Data!$D$14*($E$5-E37))/I37</f>
        <v>4.7486005534943698E-2</v>
      </c>
      <c r="G37" s="8">
        <f t="shared" si="6"/>
        <v>4.7486005534943698E-2</v>
      </c>
      <c r="H37" s="8">
        <f>G37*Data!$D$21</f>
        <v>6.163683518435692E-2</v>
      </c>
      <c r="I37" s="9">
        <f t="shared" si="0"/>
        <v>1.43597486</v>
      </c>
      <c r="J37" s="9">
        <f t="shared" si="1"/>
        <v>0.61424275859999999</v>
      </c>
      <c r="K37" s="10">
        <f t="shared" si="3"/>
        <v>0.12272158913499202</v>
      </c>
      <c r="L37" s="19">
        <f t="shared" si="2"/>
        <v>85.90511239449441</v>
      </c>
      <c r="M37" s="8">
        <f>H37-H36</f>
        <v>3.611998179577719E-3</v>
      </c>
      <c r="N37" s="1">
        <f>M37*1000000</f>
        <v>3611.9981795777189</v>
      </c>
      <c r="O37" s="1">
        <f t="shared" si="7"/>
        <v>2.3057384717084313</v>
      </c>
      <c r="P37" s="3">
        <f t="shared" si="8"/>
        <v>0.10216025666436895</v>
      </c>
      <c r="Q37" s="3">
        <f t="shared" si="9"/>
        <v>0.78756774608870561</v>
      </c>
      <c r="R37" s="10">
        <f t="shared" si="5"/>
        <v>5.7674974359415654E-2</v>
      </c>
      <c r="S37" s="3">
        <f t="shared" si="10"/>
        <v>2.1506129170391124</v>
      </c>
      <c r="T37" s="10">
        <f t="shared" si="12"/>
        <v>40.315678053526952</v>
      </c>
    </row>
    <row r="38" spans="5:20" x14ac:dyDescent="0.25">
      <c r="E38" s="1">
        <v>2500</v>
      </c>
      <c r="F38" s="11">
        <f>($E$2*Data!$D$14*($E$5-E38))/I38</f>
        <v>5.0256919949694542E-2</v>
      </c>
      <c r="G38" s="8">
        <f t="shared" si="6"/>
        <v>5.0256919949694542E-2</v>
      </c>
      <c r="H38" s="8">
        <f>G38*Data!$D$21</f>
        <v>6.5233482094703518E-2</v>
      </c>
      <c r="I38" s="9">
        <f t="shared" si="0"/>
        <v>1.43903286</v>
      </c>
      <c r="J38" s="9">
        <f t="shared" si="1"/>
        <v>0.60315417859999998</v>
      </c>
      <c r="K38" s="10">
        <f t="shared" si="3"/>
        <v>0.12471215972293903</v>
      </c>
      <c r="L38" s="19">
        <f t="shared" si="2"/>
        <v>62.356079861469517</v>
      </c>
      <c r="M38" s="8">
        <f t="shared" si="11"/>
        <v>3.5966469103465987E-3</v>
      </c>
      <c r="N38" s="1">
        <f t="shared" si="4"/>
        <v>3596.6469103465988</v>
      </c>
      <c r="O38" s="1">
        <f>365*(L37-L38)/N38</f>
        <v>2.3898361693018599</v>
      </c>
      <c r="P38" s="3">
        <f>LN(L37/L38)/O38</f>
        <v>0.13406030413404182</v>
      </c>
      <c r="Q38" s="3">
        <f>P38+Q37</f>
        <v>0.92162805022274741</v>
      </c>
      <c r="R38" s="10">
        <f t="shared" si="5"/>
        <v>4.1864624897393406E-2</v>
      </c>
      <c r="S38" s="3">
        <f t="shared" si="10"/>
        <v>2.0485202863637806</v>
      </c>
      <c r="T38" s="10">
        <f t="shared" si="12"/>
        <v>42.364198339890734</v>
      </c>
    </row>
    <row r="39" spans="5:20" x14ac:dyDescent="0.25">
      <c r="E39" s="1">
        <v>2400</v>
      </c>
      <c r="F39" s="11">
        <f>($E$2*Data!$D$14*($E$5-E39))/I39</f>
        <v>5.1637965619886685E-2</v>
      </c>
      <c r="G39" s="8">
        <f t="shared" ref="G39" si="13">F39</f>
        <v>5.1637965619886685E-2</v>
      </c>
      <c r="H39" s="8">
        <f>G39*Data!$D$21</f>
        <v>6.7026079374612912E-2</v>
      </c>
      <c r="I39" s="9">
        <f t="shared" ref="I39" si="14">-0.00001529*E39 + 1.47725786</f>
        <v>1.4405618599999999</v>
      </c>
      <c r="J39" s="9">
        <f t="shared" ref="J39" si="15">0.0000554429*E39 + 0.4645469286</f>
        <v>0.59760988859999997</v>
      </c>
      <c r="K39" s="10">
        <f t="shared" ref="K39" si="16">($C$4+$C$5*$C$6)/(141.2*I39*J39*LN($C$10/$C$12-0.5+$C$7))</f>
        <v>0.12573557286953613</v>
      </c>
      <c r="L39" s="19">
        <f t="shared" ref="L39" si="17">K39*(E39-2000)</f>
        <v>50.294229147814448</v>
      </c>
      <c r="M39" s="8">
        <f t="shared" ref="M39" si="18">H39-H38</f>
        <v>1.7925972799093942E-3</v>
      </c>
      <c r="N39" s="1">
        <f t="shared" ref="N39" si="19">M39*1000000</f>
        <v>1792.5972799093943</v>
      </c>
      <c r="O39" s="1">
        <f>365*(L38-L39)/N39</f>
        <v>2.4559757843137113</v>
      </c>
      <c r="P39" s="3">
        <f>LN(L38/L39)/O39</f>
        <v>8.752970558780733E-2</v>
      </c>
      <c r="Q39" s="3">
        <f>P39+Q38</f>
        <v>1.0091577558105547</v>
      </c>
      <c r="R39" s="10">
        <f t="shared" ref="R39" si="20">L39*671.38/10^6</f>
        <v>3.3766539565259664E-2</v>
      </c>
      <c r="S39" s="3">
        <f t="shared" ref="S39" si="21">365*R39*P39</f>
        <v>1.0787849724061724</v>
      </c>
      <c r="T39" s="10">
        <f t="shared" ref="T39" si="22">T38+S39</f>
        <v>43.44298331229691</v>
      </c>
    </row>
  </sheetData>
  <mergeCells count="1">
    <mergeCell ref="I2:J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97F76-B4B6-4F47-9B95-239E271E4134}">
  <dimension ref="A1:O60"/>
  <sheetViews>
    <sheetView workbookViewId="0">
      <selection activeCell="N4" sqref="N4"/>
    </sheetView>
  </sheetViews>
  <sheetFormatPr defaultColWidth="8.85546875" defaultRowHeight="15" x14ac:dyDescent="0.25"/>
  <cols>
    <col min="1" max="1" width="8.85546875" style="1"/>
    <col min="2" max="2" width="12.140625" style="1" bestFit="1" customWidth="1"/>
    <col min="3" max="4" width="8.85546875" style="1"/>
    <col min="5" max="6" width="12.7109375" style="1" bestFit="1" customWidth="1"/>
    <col min="7" max="7" width="13.85546875" style="1" customWidth="1"/>
    <col min="8" max="8" width="12.7109375" style="1" bestFit="1" customWidth="1"/>
    <col min="9" max="11" width="12.140625" style="1" customWidth="1"/>
    <col min="12" max="12" width="14.7109375" style="1" customWidth="1"/>
    <col min="13" max="13" width="12.140625" style="1" customWidth="1"/>
    <col min="14" max="14" width="8.85546875" style="1"/>
    <col min="15" max="15" width="11" customWidth="1"/>
  </cols>
  <sheetData>
    <row r="1" spans="2:15" ht="15.75" x14ac:dyDescent="0.25">
      <c r="B1" s="74" t="s">
        <v>113</v>
      </c>
    </row>
    <row r="3" spans="2:15" x14ac:dyDescent="0.25">
      <c r="I3" s="1" t="s">
        <v>59</v>
      </c>
      <c r="J3" s="45"/>
      <c r="K3" s="45"/>
      <c r="L3" s="87"/>
      <c r="M3" s="87"/>
      <c r="N3" s="66" t="s">
        <v>73</v>
      </c>
    </row>
    <row r="4" spans="2:15" x14ac:dyDescent="0.25">
      <c r="B4" s="1" t="s">
        <v>74</v>
      </c>
      <c r="C4" s="1" t="s">
        <v>75</v>
      </c>
      <c r="D4" s="1" t="s">
        <v>1</v>
      </c>
      <c r="E4" s="1" t="s">
        <v>10</v>
      </c>
      <c r="F4" s="68" t="s">
        <v>111</v>
      </c>
      <c r="G4" s="1" t="s">
        <v>32</v>
      </c>
      <c r="H4" s="70" t="s">
        <v>112</v>
      </c>
      <c r="I4" s="1" t="s">
        <v>54</v>
      </c>
      <c r="J4" s="95" t="s">
        <v>117</v>
      </c>
      <c r="K4" s="45" t="s">
        <v>116</v>
      </c>
      <c r="L4" s="87"/>
      <c r="M4" s="87"/>
      <c r="N4" s="66" t="s">
        <v>76</v>
      </c>
    </row>
    <row r="5" spans="2:15" x14ac:dyDescent="0.25">
      <c r="B5" s="4">
        <v>0</v>
      </c>
      <c r="C5" s="5">
        <v>6000</v>
      </c>
      <c r="D5" s="4">
        <f>-0.00001529*C5 + 1.47725786</f>
        <v>1.38551786</v>
      </c>
      <c r="E5" s="5"/>
      <c r="F5" s="68"/>
      <c r="G5" s="5"/>
      <c r="H5" s="71">
        <v>0</v>
      </c>
      <c r="I5" s="22">
        <v>0</v>
      </c>
      <c r="J5" s="96">
        <v>0</v>
      </c>
      <c r="K5" s="88">
        <v>0</v>
      </c>
      <c r="L5" s="89"/>
      <c r="M5" s="90"/>
      <c r="N5" s="66">
        <v>0</v>
      </c>
    </row>
    <row r="6" spans="2:15" x14ac:dyDescent="0.25">
      <c r="B6"/>
      <c r="C6" s="1">
        <f>C5-100</f>
        <v>5900</v>
      </c>
      <c r="D6">
        <f>-0.00001529*C6 + 1.47725786</f>
        <v>1.3870468599999999</v>
      </c>
      <c r="E6" s="6">
        <f>Data!D$3</f>
        <v>1.0000000000000001E-5</v>
      </c>
      <c r="F6" s="69">
        <f>(E7*(1-Data!D$8)+Data!D$5*Data!D$8+Data!D$24)/(1-Data!D$8)</f>
        <v>2.1000000000000002E-5</v>
      </c>
      <c r="G6" s="6">
        <f>Data!D$14</f>
        <v>1.49E-5</v>
      </c>
      <c r="H6" s="72">
        <f>(D$5*F6*($C$5-C6))/D6</f>
        <v>2.0976850818147561E-3</v>
      </c>
      <c r="I6" s="64">
        <f>(D$5*G6*($C$5-C6))/D6</f>
        <v>1.4883575104304696E-3</v>
      </c>
      <c r="J6" s="91">
        <f>H6*Data!D$22</f>
        <v>2.6787438494774432E-3</v>
      </c>
      <c r="K6" s="91">
        <f>I6*Data!D$21</f>
        <v>1.9318880485387497E-3</v>
      </c>
      <c r="L6" s="92"/>
      <c r="M6" s="93"/>
      <c r="N6" s="66">
        <v>8.0719999999999992</v>
      </c>
      <c r="O6" s="23"/>
    </row>
    <row r="7" spans="2:15" x14ac:dyDescent="0.25">
      <c r="B7"/>
      <c r="C7" s="1">
        <f t="shared" ref="C7:C41" si="0">C6-100</f>
        <v>5800</v>
      </c>
      <c r="D7">
        <f t="shared" ref="D7:D41" si="1">-0.00001529*C7 + 1.47725786</f>
        <v>1.38857586</v>
      </c>
      <c r="E7" s="6">
        <f>Data!D$3</f>
        <v>1.0000000000000001E-5</v>
      </c>
      <c r="F7" s="69">
        <f>(E8*(1-Data!D$8)+Data!D$5*Data!D$8+Data!D$24)/(1-Data!D$8)</f>
        <v>2.1000000000000002E-5</v>
      </c>
      <c r="G7" s="6">
        <f>Data!D$14</f>
        <v>1.49E-5</v>
      </c>
      <c r="H7" s="72">
        <f t="shared" ref="H7:H18" si="2">(D$5*F7*($C$5-C7))/D7</f>
        <v>4.1907505233455527E-3</v>
      </c>
      <c r="I7" s="64">
        <f t="shared" ref="I7:I18" si="3">(D$5*G7*($C$5-C7))/D7</f>
        <v>2.9734372760880346E-3</v>
      </c>
      <c r="J7" s="91">
        <f t="shared" ref="J7:J8" si="4">J$1*H7</f>
        <v>0</v>
      </c>
      <c r="K7" s="91">
        <f>I7*Data!D$21</f>
        <v>3.8595215843622689E-3</v>
      </c>
      <c r="L7" s="92"/>
      <c r="M7" s="93"/>
      <c r="N7" s="66">
        <v>22.548999999999999</v>
      </c>
      <c r="O7" s="23"/>
    </row>
    <row r="8" spans="2:15" x14ac:dyDescent="0.25">
      <c r="B8"/>
      <c r="C8" s="1">
        <f t="shared" si="0"/>
        <v>5700</v>
      </c>
      <c r="D8">
        <f t="shared" si="1"/>
        <v>1.3901048599999999</v>
      </c>
      <c r="E8" s="6">
        <f>Data!D$3</f>
        <v>1.0000000000000001E-5</v>
      </c>
      <c r="F8" s="69">
        <f>(E9*(1-Data!D$8)+Data!D$5*Data!D$8+Data!D$24)/(1-Data!D$8)</f>
        <v>2.1000000000000002E-5</v>
      </c>
      <c r="G8" s="6">
        <f>Data!D$14</f>
        <v>1.49E-5</v>
      </c>
      <c r="H8" s="72">
        <f t="shared" si="2"/>
        <v>6.2792115682553636E-3</v>
      </c>
      <c r="I8" s="64">
        <f t="shared" si="3"/>
        <v>4.4552501127145183E-3</v>
      </c>
      <c r="J8" s="91">
        <f t="shared" si="4"/>
        <v>0</v>
      </c>
      <c r="K8" s="91">
        <f>I8*Data!D$21</f>
        <v>5.7829146463034449E-3</v>
      </c>
      <c r="L8" s="92"/>
      <c r="M8" s="93"/>
      <c r="N8" s="66">
        <v>36.369</v>
      </c>
      <c r="O8" s="23"/>
    </row>
    <row r="9" spans="2:15" x14ac:dyDescent="0.25">
      <c r="B9" s="4"/>
      <c r="C9" s="1">
        <f t="shared" si="0"/>
        <v>5600</v>
      </c>
      <c r="D9">
        <f t="shared" si="1"/>
        <v>1.39163386</v>
      </c>
      <c r="E9" s="6">
        <f>Data!D$3</f>
        <v>1.0000000000000001E-5</v>
      </c>
      <c r="F9" s="69">
        <f>(E10*(1-Data!D$8)+Data!D$5*Data!D$8+Data!D$24)/(1-Data!D$8)</f>
        <v>2.1000000000000002E-5</v>
      </c>
      <c r="G9" s="6">
        <f>Data!D$14</f>
        <v>1.49E-5</v>
      </c>
      <c r="H9" s="72">
        <f t="shared" si="2"/>
        <v>8.3630833932137882E-3</v>
      </c>
      <c r="I9" s="64">
        <f t="shared" si="3"/>
        <v>5.9338067885183537E-3</v>
      </c>
      <c r="J9" s="91">
        <f>J$1*H9</f>
        <v>0</v>
      </c>
      <c r="K9" s="91">
        <f>I9*Data!D$21</f>
        <v>7.702081211496823E-3</v>
      </c>
      <c r="L9" s="89"/>
      <c r="M9" s="90"/>
      <c r="N9" s="67">
        <v>43.472999999999999</v>
      </c>
      <c r="O9" s="25"/>
    </row>
    <row r="10" spans="2:15" x14ac:dyDescent="0.25">
      <c r="B10"/>
      <c r="C10" s="1">
        <f t="shared" si="0"/>
        <v>5500</v>
      </c>
      <c r="D10">
        <f t="shared" si="1"/>
        <v>1.3931628599999999</v>
      </c>
      <c r="E10" s="6">
        <f>Data!D$3</f>
        <v>1.0000000000000001E-5</v>
      </c>
      <c r="F10" s="69">
        <f>(E11*(1-Data!D$8)+Data!D$5*Data!D$8+Data!D$24)/(1-Data!D$8)</f>
        <v>2.1000000000000002E-5</v>
      </c>
      <c r="G10" s="6">
        <f>Data!D$14</f>
        <v>1.49E-5</v>
      </c>
      <c r="H10" s="72">
        <f t="shared" si="2"/>
        <v>1.0442381108264689E-2</v>
      </c>
      <c r="I10" s="64">
        <f t="shared" si="3"/>
        <v>7.40911802443542E-3</v>
      </c>
      <c r="J10" s="94"/>
      <c r="K10" s="94"/>
      <c r="L10" s="92"/>
      <c r="M10" s="92"/>
      <c r="N10" s="66">
        <v>49.182000000000002</v>
      </c>
    </row>
    <row r="11" spans="2:15" x14ac:dyDescent="0.25">
      <c r="B11"/>
      <c r="C11" s="1">
        <f t="shared" si="0"/>
        <v>5400</v>
      </c>
      <c r="D11">
        <f t="shared" si="1"/>
        <v>1.39469186</v>
      </c>
      <c r="E11" s="6">
        <f>Data!D$3</f>
        <v>1.0000000000000001E-5</v>
      </c>
      <c r="F11" s="69">
        <f>(E12*(1-Data!D$8)+Data!D$5*Data!D$8+Data!D$24)/(1-Data!D$8)</f>
        <v>2.1000000000000002E-5</v>
      </c>
      <c r="G11" s="6">
        <f>Data!D$14</f>
        <v>1.49E-5</v>
      </c>
      <c r="H11" s="72">
        <f t="shared" si="2"/>
        <v>1.2517119757191386E-2</v>
      </c>
      <c r="I11" s="64">
        <f t="shared" si="3"/>
        <v>8.8811944943881713E-3</v>
      </c>
      <c r="J11" s="94"/>
      <c r="K11" s="94"/>
      <c r="L11" s="92"/>
      <c r="M11" s="92"/>
      <c r="N11" s="66">
        <v>58.383000000000003</v>
      </c>
    </row>
    <row r="12" spans="2:15" x14ac:dyDescent="0.25">
      <c r="B12"/>
      <c r="C12" s="1">
        <f t="shared" si="0"/>
        <v>5300</v>
      </c>
      <c r="D12">
        <f t="shared" si="1"/>
        <v>1.3962208599999999</v>
      </c>
      <c r="E12" s="6">
        <f>Data!D$3</f>
        <v>1.0000000000000001E-5</v>
      </c>
      <c r="F12" s="69">
        <f>(E13*(1-Data!D$8)+Data!D$5*Data!D$8+Data!D$24)/(1-Data!D$8)</f>
        <v>2.1000000000000002E-5</v>
      </c>
      <c r="G12" s="6">
        <f>Data!D$14</f>
        <v>1.49E-5</v>
      </c>
      <c r="H12" s="72">
        <f t="shared" si="2"/>
        <v>1.4587314317879484E-2</v>
      </c>
      <c r="I12" s="64">
        <f t="shared" si="3"/>
        <v>1.0350046825543059E-2</v>
      </c>
      <c r="J12" s="94"/>
      <c r="K12" s="94"/>
      <c r="L12" s="92"/>
      <c r="M12" s="92"/>
      <c r="N12" s="66">
        <v>64.811999999999998</v>
      </c>
    </row>
    <row r="13" spans="2:15" x14ac:dyDescent="0.25">
      <c r="B13"/>
      <c r="C13" s="1">
        <f t="shared" si="0"/>
        <v>5200</v>
      </c>
      <c r="D13">
        <f t="shared" si="1"/>
        <v>1.39774986</v>
      </c>
      <c r="E13" s="6">
        <f>Data!D$3</f>
        <v>1.0000000000000001E-5</v>
      </c>
      <c r="F13" s="69">
        <f>(E14*(1-Data!D$8)+Data!D$5*Data!D$8+Data!D$24)/(1-Data!D$8)</f>
        <v>2.1000000000000002E-5</v>
      </c>
      <c r="G13" s="6">
        <f>Data!D$14</f>
        <v>1.49E-5</v>
      </c>
      <c r="H13" s="72">
        <f t="shared" si="2"/>
        <v>1.6652979702677276E-2</v>
      </c>
      <c r="I13" s="64">
        <f t="shared" si="3"/>
        <v>1.1815685598566255E-2</v>
      </c>
      <c r="J13" s="94"/>
      <c r="K13" s="94"/>
      <c r="L13" s="92"/>
      <c r="M13" s="92"/>
      <c r="N13" s="66">
        <v>69.561999999999998</v>
      </c>
    </row>
    <row r="14" spans="2:15" x14ac:dyDescent="0.25">
      <c r="B14"/>
      <c r="C14" s="1">
        <f t="shared" si="0"/>
        <v>5100</v>
      </c>
      <c r="D14">
        <f t="shared" si="1"/>
        <v>1.3992788599999999</v>
      </c>
      <c r="E14" s="6">
        <f>Data!D$3</f>
        <v>1.0000000000000001E-5</v>
      </c>
      <c r="F14" s="69">
        <f>(E15*(1-Data!D$8)+Data!D$5*Data!D$8+Data!D$24)/(1-Data!D$8)</f>
        <v>2.1000000000000002E-5</v>
      </c>
      <c r="G14" s="6">
        <f>Data!D$14</f>
        <v>1.49E-5</v>
      </c>
      <c r="H14" s="72">
        <f t="shared" si="2"/>
        <v>1.871413075875384E-2</v>
      </c>
      <c r="I14" s="64">
        <f t="shared" si="3"/>
        <v>1.3278121347877718E-2</v>
      </c>
      <c r="J14" s="94"/>
      <c r="K14" s="94"/>
      <c r="L14" s="92"/>
      <c r="M14" s="92"/>
      <c r="N14" s="66">
        <v>74.572000000000003</v>
      </c>
    </row>
    <row r="15" spans="2:15" x14ac:dyDescent="0.25">
      <c r="B15"/>
      <c r="C15" s="1">
        <f t="shared" si="0"/>
        <v>5000</v>
      </c>
      <c r="D15">
        <f t="shared" si="1"/>
        <v>1.40080786</v>
      </c>
      <c r="E15" s="6">
        <f>Data!D$3</f>
        <v>1.0000000000000001E-5</v>
      </c>
      <c r="F15" s="69">
        <f>(E16*(1-Data!D$8)+Data!D$5*Data!D$8+Data!D$24)/(1-Data!D$8)</f>
        <v>2.1000000000000002E-5</v>
      </c>
      <c r="G15" s="6">
        <f>Data!D$14</f>
        <v>1.49E-5</v>
      </c>
      <c r="H15" s="72">
        <f t="shared" si="2"/>
        <v>2.0770782268454722E-2</v>
      </c>
      <c r="I15" s="64">
        <f t="shared" si="3"/>
        <v>1.4737364561903584E-2</v>
      </c>
      <c r="J15" s="94"/>
      <c r="K15" s="94"/>
      <c r="L15" s="92"/>
      <c r="M15" s="92"/>
      <c r="N15" s="66">
        <v>78.400000000000006</v>
      </c>
    </row>
    <row r="16" spans="2:15" x14ac:dyDescent="0.25">
      <c r="B16"/>
      <c r="C16" s="1">
        <f t="shared" si="0"/>
        <v>4900</v>
      </c>
      <c r="D16">
        <f t="shared" si="1"/>
        <v>1.4023368599999999</v>
      </c>
      <c r="E16" s="6">
        <f>Data!D$3</f>
        <v>1.0000000000000001E-5</v>
      </c>
      <c r="F16" s="69">
        <f>(E17*(1-Data!D$8)+Data!D$5*Data!D$8+Data!D$24)/(1-Data!D$8)</f>
        <v>2.1000000000000002E-5</v>
      </c>
      <c r="G16" s="6">
        <f>Data!D$14</f>
        <v>1.49E-5</v>
      </c>
      <c r="H16" s="72">
        <f t="shared" si="2"/>
        <v>2.2822948949655367E-2</v>
      </c>
      <c r="I16" s="64">
        <f t="shared" si="3"/>
        <v>1.6193425683326899E-2</v>
      </c>
      <c r="J16" s="94"/>
      <c r="K16" s="94"/>
      <c r="L16" s="92"/>
      <c r="M16" s="92"/>
      <c r="N16" s="66">
        <v>81.275000000000006</v>
      </c>
    </row>
    <row r="17" spans="2:14" x14ac:dyDescent="0.25">
      <c r="B17"/>
      <c r="C17" s="1">
        <f t="shared" si="0"/>
        <v>4800</v>
      </c>
      <c r="D17">
        <f t="shared" si="1"/>
        <v>1.40386586</v>
      </c>
      <c r="E17" s="6">
        <f>Data!D$3</f>
        <v>1.0000000000000001E-5</v>
      </c>
      <c r="F17" s="69">
        <f>(E18*(1-Data!D$8)+Data!D$5*Data!D$8+Data!D$24)/(1-Data!D$8)</f>
        <v>2.1000000000000002E-5</v>
      </c>
      <c r="G17" s="6">
        <f>Data!D$14</f>
        <v>1.49E-5</v>
      </c>
      <c r="H17" s="72">
        <f t="shared" si="2"/>
        <v>2.4870645456112173E-2</v>
      </c>
      <c r="I17" s="64">
        <f t="shared" si="3"/>
        <v>1.7646315109336726E-2</v>
      </c>
      <c r="J17" s="94"/>
      <c r="K17" s="94"/>
      <c r="L17" s="92"/>
      <c r="M17" s="92"/>
      <c r="N17" s="66">
        <v>83.879000000000005</v>
      </c>
    </row>
    <row r="18" spans="2:14" x14ac:dyDescent="0.25">
      <c r="B18"/>
      <c r="C18" s="1">
        <f t="shared" si="0"/>
        <v>4700</v>
      </c>
      <c r="D18">
        <f t="shared" si="1"/>
        <v>1.4053948599999999</v>
      </c>
      <c r="E18" s="6">
        <f>Data!D$3</f>
        <v>1.0000000000000001E-5</v>
      </c>
      <c r="F18" s="69">
        <f>(E19*(1-Data!D$8)+Data!D$5*Data!D$8+Data!D$24)/(1-Data!D$8)</f>
        <v>2.1000000000000002E-5</v>
      </c>
      <c r="G18" s="6">
        <f>Data!D$14</f>
        <v>1.49E-5</v>
      </c>
      <c r="H18" s="72">
        <f t="shared" si="2"/>
        <v>2.6913886377811291E-2</v>
      </c>
      <c r="I18" s="64">
        <f t="shared" si="3"/>
        <v>1.9096043191875627E-2</v>
      </c>
      <c r="J18" s="94"/>
      <c r="K18" s="94"/>
      <c r="L18" s="92"/>
      <c r="M18" s="92"/>
      <c r="N18" s="66">
        <v>86.400999999999996</v>
      </c>
    </row>
    <row r="19" spans="2:14" x14ac:dyDescent="0.25">
      <c r="C19" s="1">
        <f t="shared" si="0"/>
        <v>4600</v>
      </c>
      <c r="D19">
        <f t="shared" si="1"/>
        <v>1.40692386</v>
      </c>
      <c r="E19" s="6">
        <f>Data!D$3</f>
        <v>1.0000000000000001E-5</v>
      </c>
      <c r="F19" s="69">
        <f>(E20*(1-Data!D$8)+Data!D$5*Data!D$8+Data!D$24)/(1-Data!D$8)</f>
        <v>2.1000000000000002E-5</v>
      </c>
      <c r="G19" s="6">
        <f>Data!D$14</f>
        <v>1.49E-5</v>
      </c>
      <c r="H19" s="72">
        <f t="shared" ref="H19:H41" si="5">(D$5*F19*($C$5-C19))/D19</f>
        <v>2.8952686241315154E-2</v>
      </c>
      <c r="I19" s="64">
        <f t="shared" ref="I19:I40" si="6">(D$5*G19*($C$5-C19))/D19</f>
        <v>2.0542620237885507E-2</v>
      </c>
      <c r="J19" s="11"/>
      <c r="K19" s="11"/>
      <c r="L19" s="11"/>
      <c r="M19" s="11"/>
      <c r="N19" s="11"/>
    </row>
    <row r="20" spans="2:14" x14ac:dyDescent="0.25">
      <c r="C20" s="1">
        <f t="shared" si="0"/>
        <v>4500</v>
      </c>
      <c r="D20">
        <f t="shared" si="1"/>
        <v>1.4084528599999999</v>
      </c>
      <c r="E20" s="6">
        <f>Data!D$3</f>
        <v>1.0000000000000001E-5</v>
      </c>
      <c r="F20" s="69">
        <f>(E21*(1-Data!D$8)+Data!D$5*Data!D$8+Data!D$24)/(1-Data!D$8)</f>
        <v>2.1000000000000002E-5</v>
      </c>
      <c r="G20" s="6">
        <f>Data!D$14</f>
        <v>1.49E-5</v>
      </c>
      <c r="H20" s="72">
        <f t="shared" si="5"/>
        <v>3.0987059510106718E-2</v>
      </c>
      <c r="I20" s="64">
        <f t="shared" si="6"/>
        <v>2.1986056509551904E-2</v>
      </c>
      <c r="J20" s="11"/>
      <c r="K20" s="11"/>
      <c r="L20" s="11"/>
      <c r="M20" s="11"/>
      <c r="N20" s="11"/>
    </row>
    <row r="21" spans="2:14" x14ac:dyDescent="0.25">
      <c r="C21" s="1">
        <f t="shared" si="0"/>
        <v>4400</v>
      </c>
      <c r="D21">
        <f t="shared" si="1"/>
        <v>1.4099818599999998</v>
      </c>
      <c r="E21" s="6">
        <f>Data!D$3</f>
        <v>1.0000000000000001E-5</v>
      </c>
      <c r="F21" s="69">
        <f>(E22*(1-Data!D$8)+Data!D$5*Data!D$8+Data!D$24)/(1-Data!D$8)</f>
        <v>2.1000000000000002E-5</v>
      </c>
      <c r="G21" s="6">
        <f>Data!D$14</f>
        <v>1.49E-5</v>
      </c>
      <c r="H21" s="72">
        <f t="shared" si="5"/>
        <v>3.3017020584931507E-2</v>
      </c>
      <c r="I21" s="64">
        <f t="shared" si="6"/>
        <v>2.3426362224546637E-2</v>
      </c>
      <c r="J21" s="11"/>
      <c r="K21" s="11"/>
      <c r="L21" s="11"/>
      <c r="M21" s="11"/>
      <c r="N21" s="11"/>
    </row>
    <row r="22" spans="2:14" x14ac:dyDescent="0.25">
      <c r="C22" s="1">
        <f t="shared" si="0"/>
        <v>4300</v>
      </c>
      <c r="D22">
        <f t="shared" si="1"/>
        <v>1.4115108599999999</v>
      </c>
      <c r="E22" s="6">
        <f>Data!D$3</f>
        <v>1.0000000000000001E-5</v>
      </c>
      <c r="F22" s="69">
        <f>(E23*(1-Data!D$8)+Data!D$5*Data!D$8+Data!D$24)/(1-Data!D$8)</f>
        <v>2.1000000000000002E-5</v>
      </c>
      <c r="G22" s="6">
        <f>Data!D$14</f>
        <v>1.49E-5</v>
      </c>
      <c r="H22" s="72">
        <f t="shared" si="5"/>
        <v>3.504258380413737E-2</v>
      </c>
      <c r="I22" s="64">
        <f t="shared" si="6"/>
        <v>2.4863547556268888E-2</v>
      </c>
      <c r="J22" s="11"/>
      <c r="K22" s="11"/>
      <c r="L22" s="11"/>
      <c r="M22" s="11"/>
      <c r="N22" s="11"/>
    </row>
    <row r="23" spans="2:14" x14ac:dyDescent="0.25">
      <c r="C23" s="1">
        <f t="shared" si="0"/>
        <v>4200</v>
      </c>
      <c r="D23">
        <f t="shared" si="1"/>
        <v>1.41303986</v>
      </c>
      <c r="E23" s="6">
        <f>Data!D$3</f>
        <v>1.0000000000000001E-5</v>
      </c>
      <c r="F23" s="69">
        <f>(E24*(1-Data!D$8)+Data!D$5*Data!D$8+Data!D$24)/(1-Data!D$8)</f>
        <v>2.1000000000000002E-5</v>
      </c>
      <c r="G23" s="6">
        <f>Data!D$14</f>
        <v>1.49E-5</v>
      </c>
      <c r="H23" s="72">
        <f t="shared" si="5"/>
        <v>3.7063763444012125E-2</v>
      </c>
      <c r="I23" s="64">
        <f t="shared" si="6"/>
        <v>2.6297622634084781E-2</v>
      </c>
      <c r="J23" s="11"/>
      <c r="K23" s="11"/>
      <c r="L23" s="11"/>
      <c r="M23" s="11"/>
      <c r="N23" s="11"/>
    </row>
    <row r="24" spans="2:14" x14ac:dyDescent="0.25">
      <c r="C24" s="1">
        <f t="shared" si="0"/>
        <v>4100</v>
      </c>
      <c r="D24">
        <f t="shared" si="1"/>
        <v>1.4145688599999999</v>
      </c>
      <c r="E24" s="6">
        <f>Data!D$3</f>
        <v>1.0000000000000001E-5</v>
      </c>
      <c r="F24" s="69">
        <f>(E25*(1-Data!D$8)+Data!D$5*Data!D$8+Data!D$24)/(1-Data!D$8)</f>
        <v>2.1000000000000002E-5</v>
      </c>
      <c r="G24" s="6">
        <f>Data!D$14</f>
        <v>1.49E-5</v>
      </c>
      <c r="H24" s="72">
        <f t="shared" si="5"/>
        <v>3.9080573719118918E-2</v>
      </c>
      <c r="I24" s="64">
        <f t="shared" si="6"/>
        <v>2.7728597543565322E-2</v>
      </c>
      <c r="J24" s="11"/>
      <c r="K24" s="11"/>
      <c r="L24" s="11"/>
      <c r="M24" s="11"/>
      <c r="N24" s="11"/>
    </row>
    <row r="25" spans="2:14" x14ac:dyDescent="0.25">
      <c r="C25" s="1">
        <f t="shared" si="0"/>
        <v>4000</v>
      </c>
      <c r="D25">
        <f t="shared" si="1"/>
        <v>1.4160978599999998</v>
      </c>
      <c r="E25" s="6">
        <f>Data!D$3</f>
        <v>1.0000000000000001E-5</v>
      </c>
      <c r="F25" s="69">
        <f>(E26*(1-Data!D$8)+Data!D$5*Data!D$8+Data!D$24)/(1-Data!D$8)</f>
        <v>2.1000000000000002E-5</v>
      </c>
      <c r="G25" s="6">
        <f>Data!D$14</f>
        <v>1.49E-5</v>
      </c>
      <c r="H25" s="72">
        <f t="shared" si="5"/>
        <v>4.1093028782629486E-2</v>
      </c>
      <c r="I25" s="64">
        <f t="shared" si="6"/>
        <v>2.9156482326722816E-2</v>
      </c>
      <c r="J25" s="11"/>
      <c r="K25" s="11"/>
      <c r="L25" s="11"/>
      <c r="M25" s="11"/>
      <c r="N25" s="11"/>
    </row>
    <row r="26" spans="2:14" x14ac:dyDescent="0.25">
      <c r="C26" s="1">
        <f t="shared" si="0"/>
        <v>3900</v>
      </c>
      <c r="D26">
        <f t="shared" si="1"/>
        <v>1.4176268599999999</v>
      </c>
      <c r="E26" s="6">
        <f>Data!D$3</f>
        <v>1.0000000000000001E-5</v>
      </c>
      <c r="F26" s="69">
        <f>(E27*(1-Data!D$8)+Data!D$5*Data!D$8+Data!D$24)/(1-Data!D$8)</f>
        <v>2.1000000000000002E-5</v>
      </c>
      <c r="G26" s="6">
        <f>Data!D$14</f>
        <v>1.49E-5</v>
      </c>
      <c r="H26" s="72">
        <f t="shared" si="5"/>
        <v>4.3101142726655176E-2</v>
      </c>
      <c r="I26" s="64">
        <f t="shared" si="6"/>
        <v>3.0581286982245808E-2</v>
      </c>
      <c r="J26" s="11"/>
      <c r="K26" s="11"/>
      <c r="L26" s="11"/>
      <c r="M26" s="11"/>
      <c r="N26" s="11"/>
    </row>
    <row r="27" spans="2:14" x14ac:dyDescent="0.25">
      <c r="C27" s="1">
        <f t="shared" si="0"/>
        <v>3800</v>
      </c>
      <c r="D27">
        <f t="shared" si="1"/>
        <v>1.4191558599999998</v>
      </c>
      <c r="E27" s="6">
        <f>Data!D$3</f>
        <v>1.0000000000000001E-5</v>
      </c>
      <c r="F27" s="69">
        <f>(E28*(1-Data!D$8)+Data!D$5*Data!D$8+Data!D$24)/(1-Data!D$8)</f>
        <v>2.1000000000000002E-5</v>
      </c>
      <c r="G27" s="6">
        <f>Data!D$14</f>
        <v>1.49E-5</v>
      </c>
      <c r="H27" s="72">
        <f t="shared" si="5"/>
        <v>4.5104929582575948E-2</v>
      </c>
      <c r="I27" s="64">
        <f t="shared" si="6"/>
        <v>3.2003021465732452E-2</v>
      </c>
      <c r="J27" s="11"/>
      <c r="K27" s="11"/>
      <c r="L27" s="11"/>
      <c r="M27" s="11"/>
      <c r="N27" s="11"/>
    </row>
    <row r="28" spans="2:14" x14ac:dyDescent="0.25">
      <c r="C28" s="1">
        <f t="shared" si="0"/>
        <v>3700</v>
      </c>
      <c r="D28">
        <f t="shared" si="1"/>
        <v>1.4206848599999999</v>
      </c>
      <c r="E28" s="6">
        <f>Data!D$3</f>
        <v>1.0000000000000001E-5</v>
      </c>
      <c r="F28" s="69">
        <f>(E29*(1-Data!D$8)+Data!D$5*Data!D$8+Data!D$24)/(1-Data!D$8)</f>
        <v>2.1000000000000002E-5</v>
      </c>
      <c r="G28" s="6">
        <f>Data!D$14</f>
        <v>1.49E-5</v>
      </c>
      <c r="H28" s="72">
        <f t="shared" si="5"/>
        <v>4.7104403321367144E-2</v>
      </c>
      <c r="I28" s="64">
        <f t="shared" si="6"/>
        <v>3.3421695689922391E-2</v>
      </c>
      <c r="J28" s="11"/>
      <c r="K28" s="11"/>
      <c r="L28" s="11"/>
      <c r="M28" s="11"/>
      <c r="N28" s="11"/>
    </row>
    <row r="29" spans="2:14" x14ac:dyDescent="0.25">
      <c r="C29" s="1">
        <f t="shared" si="0"/>
        <v>3600</v>
      </c>
      <c r="D29">
        <f t="shared" si="1"/>
        <v>1.4222138599999998</v>
      </c>
      <c r="E29" s="6">
        <f>Data!D$3</f>
        <v>1.0000000000000001E-5</v>
      </c>
      <c r="F29" s="69">
        <f>(E30*(1-Data!D$8)+Data!D$5*Data!D$8+Data!D$24)/(1-Data!D$8)</f>
        <v>2.1000000000000002E-5</v>
      </c>
      <c r="G29" s="6">
        <f>Data!D$14</f>
        <v>1.49E-5</v>
      </c>
      <c r="H29" s="72">
        <f t="shared" si="5"/>
        <v>4.909957785392418E-2</v>
      </c>
      <c r="I29" s="64">
        <f t="shared" si="6"/>
        <v>3.4837319524927142E-2</v>
      </c>
      <c r="J29" s="11"/>
      <c r="K29" s="11"/>
      <c r="L29" s="11"/>
      <c r="M29" s="11"/>
      <c r="N29" s="11"/>
    </row>
    <row r="30" spans="2:14" x14ac:dyDescent="0.25">
      <c r="C30" s="1">
        <f t="shared" si="0"/>
        <v>3500</v>
      </c>
      <c r="D30">
        <f t="shared" si="1"/>
        <v>1.4237428599999999</v>
      </c>
      <c r="E30" s="6">
        <f>Data!D$3</f>
        <v>1.0000000000000001E-5</v>
      </c>
      <c r="F30" s="69">
        <f>(E31*(1-Data!D$8)+Data!D$5*Data!D$8+Data!D$24)/(1-Data!D$8)</f>
        <v>2.1000000000000002E-5</v>
      </c>
      <c r="G30" s="6">
        <f>Data!D$14</f>
        <v>1.49E-5</v>
      </c>
      <c r="H30" s="72">
        <f t="shared" si="5"/>
        <v>5.1090467031385159E-2</v>
      </c>
      <c r="I30" s="64">
        <f t="shared" si="6"/>
        <v>3.624990279845898E-2</v>
      </c>
      <c r="J30" s="11"/>
      <c r="K30" s="11"/>
      <c r="L30" s="11"/>
      <c r="M30" s="11"/>
      <c r="N30" s="11"/>
    </row>
    <row r="31" spans="2:14" x14ac:dyDescent="0.25">
      <c r="C31" s="1">
        <f t="shared" si="0"/>
        <v>3400</v>
      </c>
      <c r="D31">
        <f t="shared" si="1"/>
        <v>1.4252718599999998</v>
      </c>
      <c r="E31" s="6">
        <f>Data!D$3</f>
        <v>1.0000000000000001E-5</v>
      </c>
      <c r="F31" s="69">
        <f>(E32*(1-Data!D$8)+Data!D$5*Data!D$8+Data!D$24)/(1-Data!D$8)</f>
        <v>2.1000000000000002E-5</v>
      </c>
      <c r="G31" s="6">
        <f>Data!D$14</f>
        <v>1.49E-5</v>
      </c>
      <c r="H31" s="72">
        <f t="shared" si="5"/>
        <v>5.3077084645451439E-2</v>
      </c>
      <c r="I31" s="64">
        <f t="shared" si="6"/>
        <v>3.7659455296058394E-2</v>
      </c>
      <c r="J31" s="11"/>
      <c r="K31" s="11"/>
      <c r="L31" s="11"/>
      <c r="M31" s="11"/>
      <c r="N31" s="11"/>
    </row>
    <row r="32" spans="2:14" x14ac:dyDescent="0.25">
      <c r="C32" s="1">
        <f t="shared" si="0"/>
        <v>3300</v>
      </c>
      <c r="D32">
        <f t="shared" si="1"/>
        <v>1.4268008599999999</v>
      </c>
      <c r="E32" s="6">
        <f>Data!D$3</f>
        <v>1.0000000000000001E-5</v>
      </c>
      <c r="F32" s="69">
        <f>(E33*(1-Data!D$8)+Data!D$5*Data!D$8+Data!D$24)/(1-Data!D$8)</f>
        <v>2.1000000000000002E-5</v>
      </c>
      <c r="G32" s="6">
        <f>Data!D$14</f>
        <v>1.49E-5</v>
      </c>
      <c r="H32" s="72">
        <f t="shared" si="5"/>
        <v>5.5059444428706063E-2</v>
      </c>
      <c r="I32" s="64">
        <f t="shared" si="6"/>
        <v>3.9065986761320004E-2</v>
      </c>
      <c r="J32" s="11"/>
      <c r="K32" s="11"/>
      <c r="L32" s="11"/>
      <c r="M32" s="11"/>
      <c r="N32" s="11"/>
    </row>
    <row r="33" spans="3:14" x14ac:dyDescent="0.25">
      <c r="C33" s="1">
        <f t="shared" si="0"/>
        <v>3200</v>
      </c>
      <c r="D33">
        <f t="shared" si="1"/>
        <v>1.4283298599999998</v>
      </c>
      <c r="E33" s="6">
        <f>Data!D$3</f>
        <v>1.0000000000000001E-5</v>
      </c>
      <c r="F33" s="69">
        <f>(E34*(1-Data!D$8)+Data!D$5*Data!D$8+Data!D$24)/(1-Data!D$8)</f>
        <v>2.1000000000000002E-5</v>
      </c>
      <c r="G33" s="6">
        <f>Data!D$14</f>
        <v>1.49E-5</v>
      </c>
      <c r="H33" s="72">
        <f t="shared" si="5"/>
        <v>5.7037560054930186E-2</v>
      </c>
      <c r="I33" s="64">
        <f t="shared" si="6"/>
        <v>4.046950689611712E-2</v>
      </c>
      <c r="J33" s="11"/>
      <c r="K33" s="11"/>
      <c r="L33" s="11"/>
      <c r="M33" s="11"/>
      <c r="N33" s="11"/>
    </row>
    <row r="34" spans="3:14" x14ac:dyDescent="0.25">
      <c r="C34" s="1">
        <f t="shared" si="0"/>
        <v>3100</v>
      </c>
      <c r="D34">
        <f t="shared" si="1"/>
        <v>1.42985886</v>
      </c>
      <c r="E34" s="6">
        <f>Data!D$3</f>
        <v>1.0000000000000001E-5</v>
      </c>
      <c r="F34" s="69">
        <f>(E35*(1-Data!D$8)+Data!D$5*Data!D$8+Data!D$24)/(1-Data!D$8)</f>
        <v>2.1000000000000002E-5</v>
      </c>
      <c r="G34" s="6">
        <f>Data!D$14</f>
        <v>1.49E-5</v>
      </c>
      <c r="H34" s="72">
        <f t="shared" si="5"/>
        <v>5.9011445139417473E-2</v>
      </c>
      <c r="I34" s="64">
        <f t="shared" si="6"/>
        <v>4.1870025360824771E-2</v>
      </c>
      <c r="J34" s="11"/>
      <c r="K34" s="11"/>
      <c r="L34" s="11"/>
      <c r="M34" s="11"/>
      <c r="N34" s="11"/>
    </row>
    <row r="35" spans="3:14" x14ac:dyDescent="0.25">
      <c r="C35" s="1">
        <f t="shared" si="0"/>
        <v>3000</v>
      </c>
      <c r="D35">
        <f t="shared" si="1"/>
        <v>1.4313878599999998</v>
      </c>
      <c r="E35" s="6">
        <f>Data!D$3</f>
        <v>1.0000000000000001E-5</v>
      </c>
      <c r="F35" s="69">
        <f>(E36*(1-Data!D$8)+Data!D$5*Data!D$8+Data!D$24)/(1-Data!D$8)</f>
        <v>2.1000000000000002E-5</v>
      </c>
      <c r="G35" s="6">
        <f>Data!D$14</f>
        <v>1.49E-5</v>
      </c>
      <c r="H35" s="72">
        <f t="shared" si="5"/>
        <v>6.0981113239286532E-2</v>
      </c>
      <c r="I35" s="64">
        <f t="shared" si="6"/>
        <v>4.3267551774541384E-2</v>
      </c>
      <c r="J35" s="11"/>
      <c r="K35" s="11"/>
      <c r="L35" s="11"/>
      <c r="M35" s="11"/>
      <c r="N35" s="11"/>
    </row>
    <row r="36" spans="3:14" x14ac:dyDescent="0.25">
      <c r="C36" s="1">
        <f t="shared" si="0"/>
        <v>2900</v>
      </c>
      <c r="D36">
        <f t="shared" si="1"/>
        <v>1.43291686</v>
      </c>
      <c r="E36" s="6">
        <f>Data!D$3</f>
        <v>1.0000000000000001E-5</v>
      </c>
      <c r="F36" s="69">
        <f>(E37*(1-Data!D$8)+Data!D$5*Data!D$8+Data!D$24)/(1-Data!D$8)</f>
        <v>2.1000000000000002E-5</v>
      </c>
      <c r="G36" s="6">
        <f>Data!D$14</f>
        <v>1.49E-5</v>
      </c>
      <c r="H36" s="72">
        <f t="shared" si="5"/>
        <v>6.2946577853791194E-2</v>
      </c>
      <c r="I36" s="64">
        <f t="shared" si="6"/>
        <v>4.4662095715308978E-2</v>
      </c>
      <c r="J36" s="11"/>
      <c r="K36" s="11"/>
      <c r="L36" s="11"/>
      <c r="M36" s="11"/>
      <c r="N36" s="11"/>
    </row>
    <row r="37" spans="3:14" x14ac:dyDescent="0.25">
      <c r="C37" s="1">
        <f t="shared" si="0"/>
        <v>2800</v>
      </c>
      <c r="D37">
        <f t="shared" si="1"/>
        <v>1.4344458599999999</v>
      </c>
      <c r="E37" s="6">
        <f>Data!D$3</f>
        <v>1.0000000000000001E-5</v>
      </c>
      <c r="F37" s="69">
        <f>(E38*(1-Data!D$8)+Data!D$5*Data!D$8+Data!D$24)/(1-Data!D$8)</f>
        <v>2.1000000000000002E-5</v>
      </c>
      <c r="G37" s="6">
        <f>Data!D$14</f>
        <v>1.49E-5</v>
      </c>
      <c r="H37" s="72">
        <f t="shared" si="5"/>
        <v>6.4907852424629001E-2</v>
      </c>
      <c r="I37" s="64">
        <f t="shared" si="6"/>
        <v>4.6053666720331995E-2</v>
      </c>
      <c r="J37" s="11"/>
      <c r="K37" s="11"/>
      <c r="L37" s="11"/>
      <c r="M37" s="11"/>
      <c r="N37" s="11"/>
    </row>
    <row r="38" spans="3:14" x14ac:dyDescent="0.25">
      <c r="C38" s="1">
        <f t="shared" si="0"/>
        <v>2700</v>
      </c>
      <c r="D38">
        <f t="shared" si="1"/>
        <v>1.43597486</v>
      </c>
      <c r="E38" s="6">
        <f>Data!D$3</f>
        <v>1.0000000000000001E-5</v>
      </c>
      <c r="F38" s="69">
        <f>(E39*(1-Data!D$8)+Data!D$5*Data!D$8+Data!D$24)/(1-Data!D$8)</f>
        <v>2.1000000000000002E-5</v>
      </c>
      <c r="G38" s="6">
        <f>Data!D$14</f>
        <v>1.49E-5</v>
      </c>
      <c r="H38" s="72">
        <f t="shared" si="5"/>
        <v>6.6864950336247536E-2</v>
      </c>
      <c r="I38" s="64">
        <f t="shared" si="6"/>
        <v>4.7442274286194672E-2</v>
      </c>
      <c r="J38" s="11"/>
      <c r="K38" s="11"/>
      <c r="L38" s="11"/>
      <c r="M38" s="11"/>
      <c r="N38" s="11"/>
    </row>
    <row r="39" spans="3:14" x14ac:dyDescent="0.25">
      <c r="C39" s="1">
        <f t="shared" si="0"/>
        <v>2600</v>
      </c>
      <c r="D39">
        <f t="shared" si="1"/>
        <v>1.4375038599999999</v>
      </c>
      <c r="E39" s="6">
        <f>Data!D$3</f>
        <v>1.0000000000000001E-5</v>
      </c>
      <c r="F39" s="69">
        <f>(E40*(1-Data!D$8)+Data!D$5*Data!D$8+Data!D$24)/(1-Data!D$8)</f>
        <v>2.1000000000000002E-5</v>
      </c>
      <c r="G39" s="6">
        <f>Data!D$14</f>
        <v>1.49E-5</v>
      </c>
      <c r="H39" s="72">
        <f t="shared" si="5"/>
        <v>6.8817884916149041E-2</v>
      </c>
      <c r="I39" s="64">
        <f t="shared" si="6"/>
        <v>4.8827927869077165E-2</v>
      </c>
      <c r="J39" s="11"/>
      <c r="K39" s="11"/>
      <c r="L39" s="11"/>
      <c r="M39" s="11"/>
      <c r="N39" s="11"/>
    </row>
    <row r="40" spans="3:14" x14ac:dyDescent="0.25">
      <c r="C40" s="1">
        <f t="shared" si="0"/>
        <v>2500</v>
      </c>
      <c r="D40">
        <f t="shared" si="1"/>
        <v>1.43903286</v>
      </c>
      <c r="E40" s="6">
        <f>Data!D$3</f>
        <v>1.0000000000000001E-5</v>
      </c>
      <c r="F40" s="69">
        <f>(E41*(1-Data!D$8)+Data!D$5*Data!D$8+Data!D$24)/(1-Data!D$8)</f>
        <v>2.1000000000000002E-5</v>
      </c>
      <c r="G40" s="6">
        <f>Data!D$14</f>
        <v>1.49E-5</v>
      </c>
      <c r="H40" s="72">
        <f t="shared" si="5"/>
        <v>7.0766669435192761E-2</v>
      </c>
      <c r="I40" s="64">
        <f t="shared" si="6"/>
        <v>5.0210636884970086E-2</v>
      </c>
      <c r="N40" s="11"/>
    </row>
    <row r="41" spans="3:14" x14ac:dyDescent="0.25">
      <c r="C41" s="5">
        <f t="shared" si="0"/>
        <v>2400</v>
      </c>
      <c r="D41">
        <f t="shared" si="1"/>
        <v>1.4405618599999999</v>
      </c>
      <c r="E41" s="6">
        <f>Data!D$3</f>
        <v>1.0000000000000001E-5</v>
      </c>
      <c r="F41" s="69">
        <f>F40</f>
        <v>2.1000000000000002E-5</v>
      </c>
      <c r="G41" s="62">
        <f>Data!D$14</f>
        <v>1.49E-5</v>
      </c>
      <c r="H41" s="73">
        <f t="shared" si="5"/>
        <v>7.271131710789569E-2</v>
      </c>
      <c r="I41" s="65">
        <f>(D$5*G41*($C$5-C41))/D41</f>
        <v>5.1590410709887874E-2</v>
      </c>
      <c r="N41" s="11"/>
    </row>
    <row r="42" spans="3:14" x14ac:dyDescent="0.25">
      <c r="N42" s="11"/>
    </row>
    <row r="43" spans="3:14" x14ac:dyDescent="0.25">
      <c r="N43" s="11"/>
    </row>
    <row r="44" spans="3:14" x14ac:dyDescent="0.25">
      <c r="N44" s="11"/>
    </row>
    <row r="45" spans="3:14" x14ac:dyDescent="0.25">
      <c r="N45" s="11"/>
    </row>
    <row r="46" spans="3:14" x14ac:dyDescent="0.25">
      <c r="N46" s="11"/>
    </row>
    <row r="47" spans="3:14" x14ac:dyDescent="0.25">
      <c r="N47" s="11"/>
    </row>
    <row r="48" spans="3:14" x14ac:dyDescent="0.25">
      <c r="N48" s="11"/>
    </row>
    <row r="49" spans="14:14" x14ac:dyDescent="0.25">
      <c r="N49" s="11"/>
    </row>
    <row r="50" spans="14:14" x14ac:dyDescent="0.25">
      <c r="N50" s="11"/>
    </row>
    <row r="51" spans="14:14" x14ac:dyDescent="0.25">
      <c r="N51" s="11"/>
    </row>
    <row r="52" spans="14:14" x14ac:dyDescent="0.25">
      <c r="N52" s="11"/>
    </row>
    <row r="53" spans="14:14" x14ac:dyDescent="0.25">
      <c r="N53" s="11"/>
    </row>
    <row r="54" spans="14:14" x14ac:dyDescent="0.25">
      <c r="N54" s="11"/>
    </row>
    <row r="55" spans="14:14" x14ac:dyDescent="0.25">
      <c r="N55" s="11"/>
    </row>
    <row r="56" spans="14:14" x14ac:dyDescent="0.25">
      <c r="N56" s="11"/>
    </row>
    <row r="57" spans="14:14" x14ac:dyDescent="0.25">
      <c r="N57" s="11"/>
    </row>
    <row r="58" spans="14:14" x14ac:dyDescent="0.25">
      <c r="N58" s="11"/>
    </row>
    <row r="59" spans="14:14" x14ac:dyDescent="0.25">
      <c r="N59" s="11"/>
    </row>
    <row r="60" spans="14:14" x14ac:dyDescent="0.25">
      <c r="N60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DA109-E358-410B-B273-74137AEC758B}">
  <dimension ref="A3:AB130"/>
  <sheetViews>
    <sheetView showGridLines="0" zoomScale="90" zoomScaleNormal="90" workbookViewId="0">
      <pane ySplit="3" topLeftCell="A102" activePane="bottomLeft" state="frozen"/>
      <selection pane="bottomLeft" activeCell="B68" sqref="B68"/>
    </sheetView>
  </sheetViews>
  <sheetFormatPr defaultColWidth="8.85546875" defaultRowHeight="15" x14ac:dyDescent="0.25"/>
  <cols>
    <col min="1" max="1" width="11.5703125" customWidth="1"/>
    <col min="2" max="2" width="8.85546875" style="1"/>
    <col min="3" max="3" width="11.7109375" style="1" customWidth="1"/>
    <col min="4" max="7" width="11.42578125" style="1" customWidth="1"/>
    <col min="8" max="9" width="8.85546875" style="1"/>
    <col min="10" max="10" width="10.85546875" style="1" customWidth="1"/>
    <col min="11" max="11" width="10" style="1" customWidth="1"/>
    <col min="12" max="13" width="10.85546875" style="1" customWidth="1"/>
    <col min="14" max="14" width="11.7109375" style="7" customWidth="1"/>
    <col min="15" max="15" width="12.140625" style="1" customWidth="1"/>
    <col min="16" max="18" width="10" style="1" customWidth="1"/>
    <col min="19" max="19" width="12.85546875" style="1" customWidth="1"/>
    <col min="20" max="20" width="11.28515625" style="1" customWidth="1"/>
    <col min="21" max="21" width="10" style="1" customWidth="1"/>
    <col min="22" max="22" width="7.140625" style="1" customWidth="1"/>
    <col min="23" max="23" width="12.28515625" style="1" customWidth="1"/>
    <col min="24" max="27" width="10" style="1" customWidth="1"/>
    <col min="28" max="28" width="10.42578125" customWidth="1"/>
  </cols>
  <sheetData>
    <row r="3" spans="1:28" ht="18.75" x14ac:dyDescent="0.3">
      <c r="A3" t="s">
        <v>74</v>
      </c>
      <c r="B3" s="1" t="s">
        <v>77</v>
      </c>
      <c r="C3" s="26" t="s">
        <v>78</v>
      </c>
      <c r="D3" s="1" t="s">
        <v>79</v>
      </c>
      <c r="E3" s="26" t="s">
        <v>80</v>
      </c>
      <c r="F3" s="1" t="s">
        <v>81</v>
      </c>
      <c r="G3" s="26" t="s">
        <v>82</v>
      </c>
      <c r="H3" s="1" t="s">
        <v>83</v>
      </c>
      <c r="I3" s="26" t="s">
        <v>84</v>
      </c>
      <c r="J3" s="1" t="s">
        <v>3</v>
      </c>
      <c r="K3" s="26" t="s">
        <v>114</v>
      </c>
      <c r="L3" s="1" t="s">
        <v>5</v>
      </c>
      <c r="M3" s="26" t="s">
        <v>5</v>
      </c>
      <c r="N3" s="7" t="s">
        <v>85</v>
      </c>
      <c r="O3" s="26" t="s">
        <v>85</v>
      </c>
      <c r="P3" s="1" t="s">
        <v>86</v>
      </c>
      <c r="Q3" s="1" t="s">
        <v>87</v>
      </c>
      <c r="R3" s="1" t="s">
        <v>88</v>
      </c>
      <c r="S3" s="1" t="s">
        <v>89</v>
      </c>
      <c r="T3" s="1" t="s">
        <v>115</v>
      </c>
      <c r="U3" s="1" t="s">
        <v>90</v>
      </c>
      <c r="V3" s="1" t="s">
        <v>91</v>
      </c>
      <c r="W3" s="5" t="s">
        <v>92</v>
      </c>
      <c r="X3" s="262" t="s">
        <v>93</v>
      </c>
      <c r="Y3" s="1" t="s">
        <v>94</v>
      </c>
      <c r="Z3" s="1" t="s">
        <v>95</v>
      </c>
      <c r="AA3" s="1" t="s">
        <v>96</v>
      </c>
      <c r="AB3" s="5" t="s">
        <v>97</v>
      </c>
    </row>
    <row r="4" spans="1:28" x14ac:dyDescent="0.25">
      <c r="A4" s="27"/>
      <c r="B4" s="28">
        <v>6000</v>
      </c>
      <c r="C4" s="28">
        <v>6000</v>
      </c>
      <c r="D4" s="28">
        <v>119.56901157613535</v>
      </c>
      <c r="E4" s="28">
        <v>119.56901157613535</v>
      </c>
      <c r="F4" s="85">
        <f>-0.00001619*B4 + 1.48176389</f>
        <v>1.3846238900000001</v>
      </c>
      <c r="G4" s="85">
        <f>-0.00001619*C4 + 1.48176389</f>
        <v>1.3846238900000001</v>
      </c>
      <c r="H4" s="28"/>
      <c r="I4" s="26"/>
      <c r="J4" s="29"/>
      <c r="K4" s="29"/>
      <c r="L4" s="29"/>
      <c r="M4" s="29"/>
      <c r="N4" s="47"/>
      <c r="O4" s="29"/>
      <c r="P4" s="29" t="s">
        <v>98</v>
      </c>
      <c r="Q4" s="29" t="s">
        <v>99</v>
      </c>
      <c r="R4" s="29" t="s">
        <v>100</v>
      </c>
      <c r="S4" s="29" t="s">
        <v>101</v>
      </c>
      <c r="T4" s="29"/>
      <c r="U4" s="29" t="s">
        <v>102</v>
      </c>
      <c r="V4" s="29"/>
      <c r="W4" s="29" t="s">
        <v>103</v>
      </c>
      <c r="X4" s="29"/>
      <c r="Y4" s="29" t="s">
        <v>104</v>
      </c>
      <c r="Z4" s="29" t="s">
        <v>105</v>
      </c>
      <c r="AA4" s="29" t="s">
        <v>102</v>
      </c>
      <c r="AB4" s="29" t="s">
        <v>106</v>
      </c>
    </row>
    <row r="5" spans="1:28" x14ac:dyDescent="0.25">
      <c r="A5" s="27"/>
      <c r="B5" s="28">
        <v>5000</v>
      </c>
      <c r="C5" s="28">
        <v>5000</v>
      </c>
      <c r="D5" s="28">
        <v>119.56901157613535</v>
      </c>
      <c r="E5" s="28">
        <v>119.56901157613535</v>
      </c>
      <c r="F5" s="85">
        <f t="shared" ref="F5:G7" si="0">-0.00001619*B5 + 1.48176389</f>
        <v>1.40081389</v>
      </c>
      <c r="G5" s="85">
        <f t="shared" si="0"/>
        <v>1.40081389</v>
      </c>
      <c r="H5" s="28"/>
      <c r="I5" s="26"/>
      <c r="J5" s="29"/>
      <c r="K5" s="29"/>
      <c r="L5" s="29"/>
      <c r="M5" s="29"/>
      <c r="N5" s="47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 t="s">
        <v>118</v>
      </c>
      <c r="AA5" s="29"/>
    </row>
    <row r="6" spans="1:28" x14ac:dyDescent="0.25">
      <c r="A6" s="27"/>
      <c r="B6" s="28">
        <v>4000</v>
      </c>
      <c r="C6" s="28">
        <v>4000</v>
      </c>
      <c r="D6" s="28">
        <v>119.56901157613535</v>
      </c>
      <c r="E6" s="28">
        <v>119.56901157613535</v>
      </c>
      <c r="F6" s="85">
        <f t="shared" si="0"/>
        <v>1.4170038900000002</v>
      </c>
      <c r="G6" s="85">
        <f t="shared" si="0"/>
        <v>1.4170038900000002</v>
      </c>
      <c r="H6" s="28"/>
      <c r="I6" s="26"/>
      <c r="J6" s="29"/>
      <c r="K6" s="29"/>
      <c r="L6" s="29"/>
      <c r="M6" s="29"/>
      <c r="N6" s="47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</row>
    <row r="7" spans="1:28" x14ac:dyDescent="0.25">
      <c r="A7" s="27"/>
      <c r="B7" s="28">
        <v>3000</v>
      </c>
      <c r="C7" s="28">
        <v>3000</v>
      </c>
      <c r="D7" s="28">
        <v>119.56901157613535</v>
      </c>
      <c r="E7" s="28">
        <v>119.56901157613535</v>
      </c>
      <c r="F7" s="85">
        <f t="shared" si="0"/>
        <v>1.4331938900000001</v>
      </c>
      <c r="G7" s="85">
        <f t="shared" si="0"/>
        <v>1.4331938900000001</v>
      </c>
      <c r="H7" s="28"/>
      <c r="I7" s="26"/>
      <c r="J7" s="29"/>
      <c r="K7" s="29"/>
      <c r="L7" s="29"/>
      <c r="M7" s="29"/>
      <c r="N7" s="47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</row>
    <row r="8" spans="1:28" ht="15.75" x14ac:dyDescent="0.25">
      <c r="A8" s="27"/>
      <c r="B8" s="5">
        <v>2400</v>
      </c>
      <c r="C8" s="5">
        <v>2400</v>
      </c>
      <c r="D8" s="121">
        <f>0.04285545*B8 + 15.6741559</f>
        <v>118.52723590000001</v>
      </c>
      <c r="E8" s="110">
        <f>0.04285545*C8 + 15.6741559</f>
        <v>118.52723590000001</v>
      </c>
      <c r="F8" s="81">
        <f t="shared" ref="F8:G25" si="1">0.00011448*B8 + 1.16638115</f>
        <v>1.4411331500000002</v>
      </c>
      <c r="G8" s="81">
        <f t="shared" si="1"/>
        <v>1.4411331500000002</v>
      </c>
      <c r="H8" s="80">
        <f>20.40472*B8^(-1.02454)</f>
        <v>7.0237494976447892E-3</v>
      </c>
      <c r="I8" s="80">
        <f>20.40472*C8^(-1.02454)</f>
        <v>7.0237494976447892E-3</v>
      </c>
      <c r="J8" s="4">
        <f>0.0000000907*B8^2 - 0.0003674172*B8 + 0.9616952608</f>
        <v>0.60232598079999999</v>
      </c>
      <c r="K8" s="4">
        <f>0.0000000907*C8^2 - 0.0003674172*C8 + 0.9616952608</f>
        <v>0.60232598079999999</v>
      </c>
      <c r="L8" s="82">
        <f t="shared" ref="L8:L14" si="2">0.00000236*B8 + 0.01241004</f>
        <v>1.807404E-2</v>
      </c>
      <c r="M8" s="83">
        <f t="shared" ref="M8:M14" si="3">0.00000236*C8 + 0.01241004</f>
        <v>1.807404E-2</v>
      </c>
      <c r="N8" s="84">
        <f>J8/L8</f>
        <v>33.325475698847626</v>
      </c>
      <c r="O8" s="84">
        <f>K8/M8</f>
        <v>33.325475698847626</v>
      </c>
      <c r="S8" s="33">
        <v>0.5</v>
      </c>
      <c r="T8" s="10">
        <f>S8+Data!D$8</f>
        <v>1</v>
      </c>
      <c r="U8">
        <f>104192636.6824*EXP(-24.7967*T8)</f>
        <v>1.7732380792474759E-3</v>
      </c>
      <c r="V8"/>
      <c r="W8" s="5"/>
      <c r="X8" s="216">
        <v>0.5</v>
      </c>
      <c r="Y8" s="5">
        <v>0</v>
      </c>
      <c r="Z8" s="5">
        <f>'MBal_Undersaturated Reservoir'!H$41</f>
        <v>7.271131710789569E-2</v>
      </c>
      <c r="AA8"/>
      <c r="AB8" s="86">
        <f>5.615*D8</f>
        <v>665.53042957850005</v>
      </c>
    </row>
    <row r="9" spans="1:28" s="38" customFormat="1" ht="15.75" x14ac:dyDescent="0.25">
      <c r="A9" s="34"/>
      <c r="B9" s="1">
        <v>2380</v>
      </c>
      <c r="C9" s="35">
        <f t="shared" ref="C9:C14" si="4">B$8-(B$8-B9)/2</f>
        <v>2390</v>
      </c>
      <c r="D9">
        <f t="shared" ref="D9:D14" si="5">0.04285545*B9 + 15.6741559</f>
        <v>117.67012690000001</v>
      </c>
      <c r="E9" s="78">
        <f t="shared" ref="E9:E14" si="6">0.04285545*C9 + 15.6741559</f>
        <v>118.0986814</v>
      </c>
      <c r="F9" s="37">
        <f t="shared" si="1"/>
        <v>1.4388435500000001</v>
      </c>
      <c r="G9" s="36">
        <f t="shared" si="1"/>
        <v>1.4399883500000001</v>
      </c>
      <c r="H9" s="76">
        <f t="shared" ref="H9:H14" si="7">20.40472*B9^(-1.02454)</f>
        <v>7.08422724787168E-3</v>
      </c>
      <c r="I9" s="77">
        <f t="shared" ref="I9:I14" si="8">20.40472*C9^(-1.02454)</f>
        <v>7.0538602978511391E-3</v>
      </c>
      <c r="J9">
        <f t="shared" ref="J9:J14" si="9">0.0000000907*B9^2 - 0.0003674172*B9 + 0.9616952608</f>
        <v>0.60100340480000003</v>
      </c>
      <c r="K9" s="78">
        <f t="shared" ref="K9:K14" si="10">0.0000000907*C9^2 - 0.0003674172*C9 + 0.9616952608</f>
        <v>0.60165562279999996</v>
      </c>
      <c r="L9" s="75">
        <f t="shared" si="2"/>
        <v>1.8026840000000002E-2</v>
      </c>
      <c r="M9" s="77">
        <f t="shared" si="3"/>
        <v>1.8050440000000001E-2</v>
      </c>
      <c r="N9" s="16">
        <f t="shared" ref="N9:N14" si="11">J9/L9</f>
        <v>33.339365346339122</v>
      </c>
      <c r="O9" s="32">
        <f t="shared" ref="O9:O14" si="12">K9/M9</f>
        <v>33.331908961775994</v>
      </c>
      <c r="P9" s="46">
        <f>I9*(E9-E$8)/(G9*(C9-C$8))</f>
        <v>2.0992972429363578E-4</v>
      </c>
      <c r="Q9" s="46">
        <f>O9*(G9-G$8)/(G9*(C9-C$8))</f>
        <v>2.649908200954754E-3</v>
      </c>
      <c r="R9" s="46">
        <f>(I$8-I9)/(I9*(C$8-C9))</f>
        <v>-4.2686981220088334E-4</v>
      </c>
      <c r="S9" s="49">
        <f>S8</f>
        <v>0.5</v>
      </c>
      <c r="T9" s="50">
        <f>S9+Data!D$8</f>
        <v>1</v>
      </c>
      <c r="U9" s="51">
        <f t="shared" ref="U9:U27" si="13">104192636.6824*EXP(-24.7967*T9)</f>
        <v>1.7732380792474759E-3</v>
      </c>
      <c r="V9" s="45">
        <v>1</v>
      </c>
      <c r="W9" s="52">
        <f>(B$8-B9)*((S9*P9+S9*Q9*U9-R9*(1-S9-Data!D$8))/(1+U9*N9))</f>
        <v>2.0264834920552515E-3</v>
      </c>
      <c r="X9" s="45">
        <f>S9-W9</f>
        <v>0.49797351650794475</v>
      </c>
      <c r="Y9" s="31">
        <f>1-('MBal_Som_Saturated-Res'!F$8*X9)/(F9*(1-Data!D$8))</f>
        <v>2.4681384412205132E-3</v>
      </c>
      <c r="Z9" s="31">
        <f>Z$8+Y9*(1-Z$8)</f>
        <v>7.4999993952250432E-2</v>
      </c>
      <c r="AA9" s="51">
        <f>104192636.6824*EXP(-24.7967*(X9+Data!D$8))</f>
        <v>1.8646202288934832E-3</v>
      </c>
      <c r="AB9" s="3">
        <f t="shared" ref="AB9:AB103" si="14">5.615*D9</f>
        <v>660.71776254350016</v>
      </c>
    </row>
    <row r="10" spans="1:28" s="38" customFormat="1" ht="15.75" x14ac:dyDescent="0.25">
      <c r="A10" s="34"/>
      <c r="B10" s="1">
        <v>2380</v>
      </c>
      <c r="C10" s="35">
        <f t="shared" si="4"/>
        <v>2390</v>
      </c>
      <c r="D10">
        <f t="shared" si="5"/>
        <v>117.67012690000001</v>
      </c>
      <c r="E10" s="78">
        <f t="shared" si="6"/>
        <v>118.0986814</v>
      </c>
      <c r="F10" s="37">
        <f t="shared" si="1"/>
        <v>1.4388435500000001</v>
      </c>
      <c r="G10" s="36">
        <f t="shared" si="1"/>
        <v>1.4399883500000001</v>
      </c>
      <c r="H10" s="76">
        <f t="shared" si="7"/>
        <v>7.08422724787168E-3</v>
      </c>
      <c r="I10" s="77">
        <f t="shared" si="8"/>
        <v>7.0538602978511391E-3</v>
      </c>
      <c r="J10">
        <f t="shared" si="9"/>
        <v>0.60100340480000003</v>
      </c>
      <c r="K10" s="78">
        <f t="shared" si="10"/>
        <v>0.60165562279999996</v>
      </c>
      <c r="L10" s="75">
        <f t="shared" si="2"/>
        <v>1.8026840000000002E-2</v>
      </c>
      <c r="M10" s="77">
        <f t="shared" si="3"/>
        <v>1.8050440000000001E-2</v>
      </c>
      <c r="N10" s="16">
        <f t="shared" si="11"/>
        <v>33.339365346339122</v>
      </c>
      <c r="O10" s="32">
        <f t="shared" si="12"/>
        <v>33.331908961775994</v>
      </c>
      <c r="P10" s="46">
        <f t="shared" ref="P10:P14" si="15">I10*(E10-E$8)/(G10*(C10-C$8))</f>
        <v>2.0992972429363578E-4</v>
      </c>
      <c r="Q10" s="46">
        <f t="shared" ref="Q10:Q14" si="16">O10*(G10-G$8)/(G10*(C10-C$8))</f>
        <v>2.649908200954754E-3</v>
      </c>
      <c r="R10" s="46">
        <f t="shared" ref="R10:R14" si="17">(I$8-I10)/(I10*(C$8-C10))</f>
        <v>-4.2686981220088334E-4</v>
      </c>
      <c r="S10" s="58">
        <f>S$9-W9/2</f>
        <v>0.49898675825397237</v>
      </c>
      <c r="T10" s="50">
        <f>S10+Data!D$8</f>
        <v>0.99898675825397243</v>
      </c>
      <c r="U10" s="51">
        <f t="shared" si="13"/>
        <v>1.8183551889576109E-3</v>
      </c>
      <c r="V10" s="45">
        <f>V9+1</f>
        <v>2</v>
      </c>
      <c r="W10" s="52">
        <f>(B$8-B10)*((S10*P10+S10*Q10*U10-R10*(1-S10-Data!D$8))/(1+U10*N10))</f>
        <v>2.0287896691600421E-3</v>
      </c>
      <c r="X10" s="58">
        <f>S$9-W10</f>
        <v>0.49797121033083996</v>
      </c>
      <c r="Y10" s="31">
        <f>1-('MBal_Som_Saturated-Res'!F$8*X10)/(F10*(1-Data!D$8))</f>
        <v>2.472758134967612E-3</v>
      </c>
      <c r="Z10" s="31">
        <f t="shared" ref="Z10:Z103" si="18">Z$8+Y10*(1-Z$8)</f>
        <v>7.5004277741980541E-2</v>
      </c>
      <c r="AA10" s="51">
        <f>104192636.6824*EXP(-24.7967*(X10+Data!D$8))</f>
        <v>1.8647268613350225E-3</v>
      </c>
      <c r="AB10" s="3">
        <f t="shared" si="14"/>
        <v>660.71776254350016</v>
      </c>
    </row>
    <row r="11" spans="1:28" s="38" customFormat="1" ht="15.75" x14ac:dyDescent="0.25">
      <c r="A11" s="34"/>
      <c r="B11" s="1">
        <v>2380</v>
      </c>
      <c r="C11" s="35">
        <f t="shared" si="4"/>
        <v>2390</v>
      </c>
      <c r="D11">
        <f t="shared" si="5"/>
        <v>117.67012690000001</v>
      </c>
      <c r="E11" s="78">
        <f t="shared" si="6"/>
        <v>118.0986814</v>
      </c>
      <c r="F11" s="37">
        <f t="shared" ref="F11:F12" si="19">0.00011448*B11 + 1.16638115</f>
        <v>1.4388435500000001</v>
      </c>
      <c r="G11" s="36">
        <f t="shared" ref="G11:G12" si="20">0.00011448*C11 + 1.16638115</f>
        <v>1.4399883500000001</v>
      </c>
      <c r="H11" s="76">
        <f t="shared" ref="H11:H12" si="21">20.40472*B11^(-1.02454)</f>
        <v>7.08422724787168E-3</v>
      </c>
      <c r="I11" s="77">
        <f t="shared" ref="I11:I12" si="22">20.40472*C11^(-1.02454)</f>
        <v>7.0538602978511391E-3</v>
      </c>
      <c r="J11">
        <f t="shared" ref="J11:J12" si="23">0.0000000907*B11^2 - 0.0003674172*B11 + 0.9616952608</f>
        <v>0.60100340480000003</v>
      </c>
      <c r="K11" s="78">
        <f t="shared" ref="K11:K12" si="24">0.0000000907*C11^2 - 0.0003674172*C11 + 0.9616952608</f>
        <v>0.60165562279999996</v>
      </c>
      <c r="L11" s="75">
        <f t="shared" ref="L11:L12" si="25">0.00000236*B11 + 0.01241004</f>
        <v>1.8026840000000002E-2</v>
      </c>
      <c r="M11" s="77">
        <f t="shared" ref="M11:M12" si="26">0.00000236*C11 + 0.01241004</f>
        <v>1.8050440000000001E-2</v>
      </c>
      <c r="N11" s="16">
        <f t="shared" ref="N11:N12" si="27">J11/L11</f>
        <v>33.339365346339122</v>
      </c>
      <c r="O11" s="32">
        <f t="shared" ref="O11:O12" si="28">K11/M11</f>
        <v>33.331908961775994</v>
      </c>
      <c r="P11" s="46">
        <f t="shared" si="15"/>
        <v>2.0992972429363578E-4</v>
      </c>
      <c r="Q11" s="46">
        <f t="shared" si="16"/>
        <v>2.649908200954754E-3</v>
      </c>
      <c r="R11" s="46">
        <f t="shared" si="17"/>
        <v>-4.2686981220088334E-4</v>
      </c>
      <c r="S11" s="58">
        <f t="shared" ref="S11:S14" si="29">S$9-W10/2</f>
        <v>0.49898560516541995</v>
      </c>
      <c r="T11" s="50">
        <f>S11+Data!D$8</f>
        <v>0.99898560516542001</v>
      </c>
      <c r="U11" s="51">
        <f t="shared" ref="U11:U14" si="30">104192636.6824*EXP(-24.7967*T11)</f>
        <v>1.8184071815506289E-3</v>
      </c>
      <c r="V11" s="45">
        <f t="shared" ref="V11:V14" si="31">V10+1</f>
        <v>3</v>
      </c>
      <c r="W11" s="52">
        <f>(B$8-B11)*((S11*P11+S11*Q11*U11-R11*(1-S11-Data!D$8))/(1+U11*N11))</f>
        <v>2.0287922621198187E-3</v>
      </c>
      <c r="X11" s="58">
        <f t="shared" ref="X11:X14" si="32">S$9-W11</f>
        <v>0.49797120773788017</v>
      </c>
      <c r="Y11" s="31">
        <f>1-('MBal_Som_Saturated-Res'!F$8*X11)/(F11*(1-Data!D$8))</f>
        <v>2.4727633291393714E-3</v>
      </c>
      <c r="Z11" s="31">
        <f t="shared" si="18"/>
        <v>7.5004282558477228E-2</v>
      </c>
      <c r="AA11" s="51">
        <f>104192636.6824*EXP(-24.7967*(X11+Data!D$8))</f>
        <v>1.8647269812310876E-3</v>
      </c>
      <c r="AB11" s="3">
        <f t="shared" si="14"/>
        <v>660.71776254350016</v>
      </c>
    </row>
    <row r="12" spans="1:28" s="38" customFormat="1" ht="15.75" x14ac:dyDescent="0.25">
      <c r="A12" s="34"/>
      <c r="B12" s="1">
        <v>2380</v>
      </c>
      <c r="C12" s="35">
        <f t="shared" si="4"/>
        <v>2390</v>
      </c>
      <c r="D12">
        <f t="shared" si="5"/>
        <v>117.67012690000001</v>
      </c>
      <c r="E12" s="78">
        <f t="shared" si="6"/>
        <v>118.0986814</v>
      </c>
      <c r="F12" s="37">
        <f t="shared" si="19"/>
        <v>1.4388435500000001</v>
      </c>
      <c r="G12" s="36">
        <f t="shared" si="20"/>
        <v>1.4399883500000001</v>
      </c>
      <c r="H12" s="76">
        <f t="shared" si="21"/>
        <v>7.08422724787168E-3</v>
      </c>
      <c r="I12" s="77">
        <f t="shared" si="22"/>
        <v>7.0538602978511391E-3</v>
      </c>
      <c r="J12">
        <f t="shared" si="23"/>
        <v>0.60100340480000003</v>
      </c>
      <c r="K12" s="78">
        <f t="shared" si="24"/>
        <v>0.60165562279999996</v>
      </c>
      <c r="L12" s="75">
        <f t="shared" si="25"/>
        <v>1.8026840000000002E-2</v>
      </c>
      <c r="M12" s="77">
        <f t="shared" si="26"/>
        <v>1.8050440000000001E-2</v>
      </c>
      <c r="N12" s="16">
        <f t="shared" si="27"/>
        <v>33.339365346339122</v>
      </c>
      <c r="O12" s="32">
        <f t="shared" si="28"/>
        <v>33.331908961775994</v>
      </c>
      <c r="P12" s="46">
        <f t="shared" si="15"/>
        <v>2.0992972429363578E-4</v>
      </c>
      <c r="Q12" s="46">
        <f t="shared" si="16"/>
        <v>2.649908200954754E-3</v>
      </c>
      <c r="R12" s="46">
        <f t="shared" si="17"/>
        <v>-4.2686981220088334E-4</v>
      </c>
      <c r="S12" s="58">
        <f t="shared" si="29"/>
        <v>0.49898560386894009</v>
      </c>
      <c r="T12" s="50">
        <f>S12+Data!D$8</f>
        <v>0.99898560386894009</v>
      </c>
      <c r="U12" s="51">
        <f t="shared" si="30"/>
        <v>1.8184072400095489E-3</v>
      </c>
      <c r="V12" s="45">
        <f t="shared" si="31"/>
        <v>4</v>
      </c>
      <c r="W12" s="52">
        <f>(B$8-B12)*((S12*P12+S12*Q12*U12-R12*(1-S12-Data!D$8))/(1+U12*N12))</f>
        <v>2.0287922650351837E-3</v>
      </c>
      <c r="X12" s="58">
        <f t="shared" si="32"/>
        <v>0.49797120773496484</v>
      </c>
      <c r="Y12" s="31">
        <f>1-('MBal_Som_Saturated-Res'!F$8*X12)/(F12*(1-Data!D$8))</f>
        <v>2.4727633349792555E-3</v>
      </c>
      <c r="Z12" s="31">
        <f t="shared" si="18"/>
        <v>7.5004282563892494E-2</v>
      </c>
      <c r="AA12" s="51">
        <f>104192636.6824*EXP(-24.7967*(X12+Data!D$8))</f>
        <v>1.8647269813658897E-3</v>
      </c>
      <c r="AB12" s="3">
        <f t="shared" si="14"/>
        <v>660.71776254350016</v>
      </c>
    </row>
    <row r="13" spans="1:28" s="38" customFormat="1" ht="15.75" x14ac:dyDescent="0.25">
      <c r="A13" s="34"/>
      <c r="B13" s="1">
        <v>2380</v>
      </c>
      <c r="C13" s="35">
        <f t="shared" si="4"/>
        <v>2390</v>
      </c>
      <c r="D13">
        <f t="shared" si="5"/>
        <v>117.67012690000001</v>
      </c>
      <c r="E13" s="78">
        <f t="shared" si="6"/>
        <v>118.0986814</v>
      </c>
      <c r="F13" s="37">
        <f t="shared" si="1"/>
        <v>1.4388435500000001</v>
      </c>
      <c r="G13" s="36">
        <f t="shared" si="1"/>
        <v>1.4399883500000001</v>
      </c>
      <c r="H13" s="76">
        <f t="shared" si="7"/>
        <v>7.08422724787168E-3</v>
      </c>
      <c r="I13" s="77">
        <f t="shared" si="8"/>
        <v>7.0538602978511391E-3</v>
      </c>
      <c r="J13">
        <f t="shared" si="9"/>
        <v>0.60100340480000003</v>
      </c>
      <c r="K13" s="78">
        <f t="shared" si="10"/>
        <v>0.60165562279999996</v>
      </c>
      <c r="L13" s="75">
        <f t="shared" si="2"/>
        <v>1.8026840000000002E-2</v>
      </c>
      <c r="M13" s="77">
        <f t="shared" si="3"/>
        <v>1.8050440000000001E-2</v>
      </c>
      <c r="N13" s="16">
        <f t="shared" si="11"/>
        <v>33.339365346339122</v>
      </c>
      <c r="O13" s="32">
        <f t="shared" si="12"/>
        <v>33.331908961775994</v>
      </c>
      <c r="P13" s="46">
        <f t="shared" si="15"/>
        <v>2.0992972429363578E-4</v>
      </c>
      <c r="Q13" s="46">
        <f t="shared" si="16"/>
        <v>2.649908200954754E-3</v>
      </c>
      <c r="R13" s="46">
        <f t="shared" si="17"/>
        <v>-4.2686981220088334E-4</v>
      </c>
      <c r="S13" s="58">
        <f t="shared" si="29"/>
        <v>0.49898560386748242</v>
      </c>
      <c r="T13" s="50">
        <f>S13+Data!D$8</f>
        <v>0.99898560386748247</v>
      </c>
      <c r="U13" s="51">
        <f t="shared" si="30"/>
        <v>1.818407240075276E-3</v>
      </c>
      <c r="V13" s="45">
        <f t="shared" si="31"/>
        <v>5</v>
      </c>
      <c r="W13" s="52">
        <f>(B$8-B13)*((S13*P13+S13*Q13*U13-R13*(1-S13-Data!D$8))/(1+U13*N13))</f>
        <v>2.028792265038461E-3</v>
      </c>
      <c r="X13" s="58">
        <f t="shared" si="32"/>
        <v>0.49797120773496156</v>
      </c>
      <c r="Y13" s="31">
        <f>1-('MBal_Som_Saturated-Res'!F$8*X13)/(F13*(1-Data!D$8))</f>
        <v>2.4727633349858058E-3</v>
      </c>
      <c r="Z13" s="31">
        <f t="shared" si="18"/>
        <v>7.5004282563898572E-2</v>
      </c>
      <c r="AA13" s="51">
        <f>104192636.6824*EXP(-24.7967*(X13+Data!D$8))</f>
        <v>1.8647269813660355E-3</v>
      </c>
      <c r="AB13" s="3">
        <f t="shared" si="14"/>
        <v>660.71776254350016</v>
      </c>
    </row>
    <row r="14" spans="1:28" s="38" customFormat="1" ht="15.75" x14ac:dyDescent="0.25">
      <c r="A14" s="34"/>
      <c r="B14" s="1">
        <v>2380</v>
      </c>
      <c r="C14" s="35">
        <f t="shared" si="4"/>
        <v>2390</v>
      </c>
      <c r="D14">
        <f t="shared" si="5"/>
        <v>117.67012690000001</v>
      </c>
      <c r="E14" s="78">
        <f t="shared" si="6"/>
        <v>118.0986814</v>
      </c>
      <c r="F14" s="37">
        <f t="shared" si="1"/>
        <v>1.4388435500000001</v>
      </c>
      <c r="G14" s="46">
        <f t="shared" si="1"/>
        <v>1.4399883500000001</v>
      </c>
      <c r="H14" s="111">
        <f t="shared" si="7"/>
        <v>7.08422724787168E-3</v>
      </c>
      <c r="I14" s="112">
        <f t="shared" si="8"/>
        <v>7.0538602978511391E-3</v>
      </c>
      <c r="J14" s="51">
        <f t="shared" si="9"/>
        <v>0.60100340480000003</v>
      </c>
      <c r="K14" s="113">
        <f t="shared" si="10"/>
        <v>0.60165562279999996</v>
      </c>
      <c r="L14" s="114">
        <f t="shared" si="2"/>
        <v>1.8026840000000002E-2</v>
      </c>
      <c r="M14" s="112">
        <f t="shared" si="3"/>
        <v>1.8050440000000001E-2</v>
      </c>
      <c r="N14" s="79">
        <f t="shared" si="11"/>
        <v>33.339365346339122</v>
      </c>
      <c r="O14" s="48">
        <f t="shared" si="12"/>
        <v>33.331908961775994</v>
      </c>
      <c r="P14" s="46">
        <f t="shared" si="15"/>
        <v>2.0992972429363578E-4</v>
      </c>
      <c r="Q14" s="46">
        <f t="shared" si="16"/>
        <v>2.649908200954754E-3</v>
      </c>
      <c r="R14" s="46">
        <f t="shared" si="17"/>
        <v>-4.2686981220088334E-4</v>
      </c>
      <c r="S14" s="58">
        <f t="shared" si="29"/>
        <v>0.49898560386748075</v>
      </c>
      <c r="T14" s="50">
        <f>S14+Data!D$8</f>
        <v>0.9989856038674807</v>
      </c>
      <c r="U14" s="51">
        <f t="shared" si="30"/>
        <v>1.8184072400753534E-3</v>
      </c>
      <c r="V14" s="45">
        <f t="shared" si="31"/>
        <v>6</v>
      </c>
      <c r="W14" s="115">
        <f>(B$8-B14)*((S14*P14+S14*Q14*U14-R14*(1-S14-Data!D$8))/(1+U14*N14))</f>
        <v>2.0287922650384657E-3</v>
      </c>
      <c r="X14" s="49">
        <f t="shared" si="32"/>
        <v>0.49797120773496151</v>
      </c>
      <c r="Y14" s="53">
        <f>1-('MBal_Som_Saturated-Res'!F$8*X14)/(F14*(1-Data!D$8))</f>
        <v>2.4727633349860278E-3</v>
      </c>
      <c r="Z14" s="53">
        <f t="shared" si="18"/>
        <v>7.5004282563898766E-2</v>
      </c>
      <c r="AA14" s="116">
        <f>104192636.6824*EXP(-24.7967*(X14+Data!D$8))</f>
        <v>1.8647269813660422E-3</v>
      </c>
      <c r="AB14" s="86">
        <f t="shared" si="14"/>
        <v>660.71776254350016</v>
      </c>
    </row>
    <row r="15" spans="1:28" s="51" customFormat="1" x14ac:dyDescent="0.25">
      <c r="A15" s="40"/>
      <c r="B15" s="41"/>
      <c r="C15" s="42"/>
      <c r="D15" s="43"/>
      <c r="E15" s="44"/>
      <c r="F15" s="45"/>
      <c r="G15" s="46"/>
      <c r="H15" s="47"/>
      <c r="I15" s="46"/>
      <c r="J15" s="31"/>
      <c r="K15" s="31"/>
      <c r="L15" s="31"/>
      <c r="M15" s="31"/>
      <c r="N15" s="79"/>
      <c r="O15" s="48"/>
      <c r="P15" s="46"/>
      <c r="Q15" s="46"/>
      <c r="R15" s="46"/>
      <c r="S15" s="49"/>
      <c r="T15" s="50"/>
      <c r="V15" s="45"/>
      <c r="W15" s="52"/>
      <c r="X15" s="41"/>
      <c r="Y15" s="53"/>
      <c r="Z15" s="53"/>
      <c r="AB15" s="54"/>
    </row>
    <row r="16" spans="1:28" s="38" customFormat="1" ht="15.75" x14ac:dyDescent="0.25">
      <c r="A16" s="34"/>
      <c r="B16" s="39">
        <v>2360</v>
      </c>
      <c r="C16" s="35">
        <f>B$14-(B$14-B16)/2</f>
        <v>2370</v>
      </c>
      <c r="D16">
        <f t="shared" ref="D16:D20" si="33">0.04285545*B16 + 15.6741559</f>
        <v>116.81301790000001</v>
      </c>
      <c r="E16" s="78">
        <f t="shared" ref="E16:E20" si="34">0.04285545*C16 + 15.6741559</f>
        <v>117.24157240000001</v>
      </c>
      <c r="F16" s="37">
        <f>0.00011448*B16 + 1.16638115</f>
        <v>1.43655395</v>
      </c>
      <c r="G16" s="46">
        <f t="shared" si="1"/>
        <v>1.43769875</v>
      </c>
      <c r="H16" s="111">
        <f t="shared" ref="H16" si="35">20.40472*B16^(-1.02454)</f>
        <v>7.1457427294839039E-3</v>
      </c>
      <c r="I16" s="112">
        <f t="shared" ref="I16" si="36">20.40472*C16^(-1.02454)</f>
        <v>7.1148536168007563E-3</v>
      </c>
      <c r="J16" s="51">
        <f t="shared" ref="J16:J20" si="37">0.0000000907*B16^2 - 0.0003674172*B16 + 0.9616952608</f>
        <v>0.59975338879999995</v>
      </c>
      <c r="K16" s="113">
        <f t="shared" ref="K16:K20" si="38">0.0000000907*C16^2 - 0.0003674172*C16 + 0.9616952608</f>
        <v>0.60036932679999999</v>
      </c>
      <c r="L16" s="114">
        <f t="shared" ref="L16:L20" si="39">0.00000236*B16 + 0.01241004</f>
        <v>1.7979640000000002E-2</v>
      </c>
      <c r="M16" s="112">
        <f t="shared" ref="M16:M20" si="40">0.00000236*C16 + 0.01241004</f>
        <v>1.800324E-2</v>
      </c>
      <c r="N16" s="79">
        <f t="shared" ref="N16:N20" si="41">J16/L16</f>
        <v>33.35736359571159</v>
      </c>
      <c r="O16" s="48">
        <f t="shared" ref="O16:O20" si="42">K16/M16</f>
        <v>33.347848876091192</v>
      </c>
      <c r="P16" s="46">
        <f>I16*(E$14-E16)/(G16*(C$14-C16))</f>
        <v>2.1208215798485037E-4</v>
      </c>
      <c r="Q16" s="46">
        <f>O16*(G$14-G16)/(G16*(C$14-C16))</f>
        <v>2.6553975506587238E-3</v>
      </c>
      <c r="R16" s="46">
        <f>(I$14-I16)/(I16*(C$14-C16))</f>
        <v>-4.2863368829957244E-4</v>
      </c>
      <c r="S16" s="49">
        <f>X$14</f>
        <v>0.49797120773496151</v>
      </c>
      <c r="T16" s="50">
        <f>S16+Data!D$8</f>
        <v>0.99797120773496151</v>
      </c>
      <c r="U16" s="51">
        <f t="shared" si="13"/>
        <v>1.8647269813660422E-3</v>
      </c>
      <c r="V16" s="45">
        <v>1</v>
      </c>
      <c r="W16" s="52">
        <f>(B$14-B16)*((S16*P16+S16*Q16*U16-R16*(1-S16-Data!D$8))/(1+U16*N16))</f>
        <v>2.0513259904235094E-3</v>
      </c>
      <c r="X16" s="58">
        <f>S$16-W16</f>
        <v>0.49591988174453799</v>
      </c>
      <c r="Y16" s="31">
        <f>1-('MBal_Som_Saturated-Res'!F$8*X16)/(F16*(1-Data!D$8))</f>
        <v>4.9986200293645755E-3</v>
      </c>
      <c r="Z16" s="31">
        <f t="shared" si="18"/>
        <v>7.7346480891203259E-2</v>
      </c>
      <c r="AA16" s="51">
        <f>104192636.6824*EXP(-24.7967*(X16+Data!D$8))</f>
        <v>1.9620321883155717E-3</v>
      </c>
      <c r="AB16" s="3">
        <f t="shared" si="14"/>
        <v>655.90509550850004</v>
      </c>
    </row>
    <row r="17" spans="1:28" s="38" customFormat="1" ht="15.75" x14ac:dyDescent="0.25">
      <c r="A17" s="34"/>
      <c r="B17" s="39">
        <v>2360</v>
      </c>
      <c r="C17" s="35">
        <f>B$14-(B$14-B17)/2</f>
        <v>2370</v>
      </c>
      <c r="D17">
        <f t="shared" si="33"/>
        <v>116.81301790000001</v>
      </c>
      <c r="E17" s="78">
        <f t="shared" si="34"/>
        <v>117.24157240000001</v>
      </c>
      <c r="F17" s="37">
        <f t="shared" ref="F17:G37" si="43">0.00011448*B17 + 1.16638115</f>
        <v>1.43655395</v>
      </c>
      <c r="G17" s="46">
        <f t="shared" si="1"/>
        <v>1.43769875</v>
      </c>
      <c r="H17" s="111">
        <f t="shared" ref="H17:H20" si="44">20.40472*B17^(-1.02454)</f>
        <v>7.1457427294839039E-3</v>
      </c>
      <c r="I17" s="112">
        <f t="shared" ref="I17:I20" si="45">20.40472*C17^(-1.02454)</f>
        <v>7.1148536168007563E-3</v>
      </c>
      <c r="J17" s="51">
        <f t="shared" si="37"/>
        <v>0.59975338879999995</v>
      </c>
      <c r="K17" s="113">
        <f t="shared" si="38"/>
        <v>0.60036932679999999</v>
      </c>
      <c r="L17" s="114">
        <f t="shared" si="39"/>
        <v>1.7979640000000002E-2</v>
      </c>
      <c r="M17" s="112">
        <f t="shared" si="40"/>
        <v>1.800324E-2</v>
      </c>
      <c r="N17" s="79">
        <f t="shared" si="41"/>
        <v>33.35736359571159</v>
      </c>
      <c r="O17" s="48">
        <f t="shared" si="42"/>
        <v>33.347848876091192</v>
      </c>
      <c r="P17" s="46">
        <f t="shared" ref="P17:P20" si="46">I17*(E$14-E17)/(G17*(C$14-C17))</f>
        <v>2.1208215798485037E-4</v>
      </c>
      <c r="Q17" s="46">
        <f t="shared" ref="Q17:Q20" si="47">O17*(G$14-G17)/(G17*(C$14-C17))</f>
        <v>2.6553975506587238E-3</v>
      </c>
      <c r="R17" s="46">
        <f t="shared" ref="R17:R20" si="48">(I$14-I17)/(I17*(C$14-C17))</f>
        <v>-4.2863368829957244E-4</v>
      </c>
      <c r="S17" s="58">
        <f>S$16-W16/2</f>
        <v>0.49694554473974978</v>
      </c>
      <c r="T17" s="50">
        <f>S17+Data!D$8</f>
        <v>0.99694554473974972</v>
      </c>
      <c r="U17" s="51">
        <f t="shared" si="13"/>
        <v>1.912760925955128E-3</v>
      </c>
      <c r="V17" s="45">
        <f>V16+1</f>
        <v>2</v>
      </c>
      <c r="W17" s="52">
        <f>(B$14-B17)*((S17*P17+S17*Q17*U17-R17*(1-S17-Data!D$8))/(1+U17*N17))</f>
        <v>2.053508246746561E-3</v>
      </c>
      <c r="X17" s="58">
        <f t="shared" ref="X17:X20" si="49">S$16-W17</f>
        <v>0.49591769948821496</v>
      </c>
      <c r="Y17" s="31">
        <f>1-('MBal_Som_Saturated-Res'!F$8*X17)/(F17*(1-Data!D$8))</f>
        <v>5.0029984544545103E-3</v>
      </c>
      <c r="Z17" s="31">
        <f t="shared" si="18"/>
        <v>7.7350540955238051E-2</v>
      </c>
      <c r="AA17" s="51">
        <f>104192636.6824*EXP(-24.7967*(X17+Data!D$8))</f>
        <v>1.962138362156056E-3</v>
      </c>
      <c r="AB17" s="3">
        <f t="shared" si="14"/>
        <v>655.90509550850004</v>
      </c>
    </row>
    <row r="18" spans="1:28" s="38" customFormat="1" ht="15.75" x14ac:dyDescent="0.25">
      <c r="A18" s="34"/>
      <c r="B18" s="39">
        <v>2360</v>
      </c>
      <c r="C18" s="35">
        <f>B$14-(B$14-B18)/2</f>
        <v>2370</v>
      </c>
      <c r="D18">
        <f t="shared" si="33"/>
        <v>116.81301790000001</v>
      </c>
      <c r="E18" s="78">
        <f t="shared" si="34"/>
        <v>117.24157240000001</v>
      </c>
      <c r="F18" s="37">
        <f t="shared" si="43"/>
        <v>1.43655395</v>
      </c>
      <c r="G18" s="46">
        <f t="shared" si="1"/>
        <v>1.43769875</v>
      </c>
      <c r="H18" s="111">
        <f t="shared" si="44"/>
        <v>7.1457427294839039E-3</v>
      </c>
      <c r="I18" s="112">
        <f t="shared" si="45"/>
        <v>7.1148536168007563E-3</v>
      </c>
      <c r="J18" s="51">
        <f t="shared" si="37"/>
        <v>0.59975338879999995</v>
      </c>
      <c r="K18" s="113">
        <f t="shared" si="38"/>
        <v>0.60036932679999999</v>
      </c>
      <c r="L18" s="114">
        <f t="shared" si="39"/>
        <v>1.7979640000000002E-2</v>
      </c>
      <c r="M18" s="112">
        <f t="shared" si="40"/>
        <v>1.800324E-2</v>
      </c>
      <c r="N18" s="79">
        <f t="shared" si="41"/>
        <v>33.35736359571159</v>
      </c>
      <c r="O18" s="48">
        <f t="shared" si="42"/>
        <v>33.347848876091192</v>
      </c>
      <c r="P18" s="46">
        <f t="shared" si="46"/>
        <v>2.1208215798485037E-4</v>
      </c>
      <c r="Q18" s="46">
        <f t="shared" si="47"/>
        <v>2.6553975506587238E-3</v>
      </c>
      <c r="R18" s="46">
        <f t="shared" si="48"/>
        <v>-4.2863368829957244E-4</v>
      </c>
      <c r="S18" s="58">
        <f t="shared" ref="S18:S20" si="50">S$16-W17/2</f>
        <v>0.49694445361158823</v>
      </c>
      <c r="T18" s="50">
        <f>S18+Data!D$8</f>
        <v>0.99694445361158823</v>
      </c>
      <c r="U18" s="51">
        <f t="shared" si="13"/>
        <v>1.9128126790372792E-3</v>
      </c>
      <c r="V18" s="45">
        <f t="shared" ref="V18:V20" si="51">V17+1</f>
        <v>3</v>
      </c>
      <c r="W18" s="52">
        <f>(B$14-B18)*((S18*P18+S18*Q18*U18-R18*(1-S18-Data!D$8))/(1+U18*N18))</f>
        <v>2.0535105363125969E-3</v>
      </c>
      <c r="X18" s="58">
        <f t="shared" si="49"/>
        <v>0.49591769719864892</v>
      </c>
      <c r="Y18" s="31">
        <f>1-('MBal_Som_Saturated-Res'!F$8*X18)/(F18*(1-Data!D$8))</f>
        <v>5.00300304818313E-3</v>
      </c>
      <c r="Z18" s="31">
        <f t="shared" si="18"/>
        <v>7.7350545214950606E-2</v>
      </c>
      <c r="AA18" s="51">
        <f>104192636.6824*EXP(-24.7967*(X18+Data!D$8))</f>
        <v>1.9621384735538728E-3</v>
      </c>
      <c r="AB18" s="3">
        <f t="shared" si="14"/>
        <v>655.90509550850004</v>
      </c>
    </row>
    <row r="19" spans="1:28" s="38" customFormat="1" ht="15.75" x14ac:dyDescent="0.25">
      <c r="A19" s="34"/>
      <c r="B19" s="39">
        <v>2360</v>
      </c>
      <c r="C19" s="35">
        <f>B$14-(B$14-B19)/2</f>
        <v>2370</v>
      </c>
      <c r="D19">
        <f t="shared" si="33"/>
        <v>116.81301790000001</v>
      </c>
      <c r="E19" s="78">
        <f t="shared" si="34"/>
        <v>117.24157240000001</v>
      </c>
      <c r="F19" s="37">
        <f t="shared" si="43"/>
        <v>1.43655395</v>
      </c>
      <c r="G19" s="46">
        <f t="shared" si="1"/>
        <v>1.43769875</v>
      </c>
      <c r="H19" s="111">
        <f t="shared" si="44"/>
        <v>7.1457427294839039E-3</v>
      </c>
      <c r="I19" s="112">
        <f t="shared" si="45"/>
        <v>7.1148536168007563E-3</v>
      </c>
      <c r="J19" s="51">
        <f t="shared" si="37"/>
        <v>0.59975338879999995</v>
      </c>
      <c r="K19" s="113">
        <f t="shared" si="38"/>
        <v>0.60036932679999999</v>
      </c>
      <c r="L19" s="114">
        <f t="shared" si="39"/>
        <v>1.7979640000000002E-2</v>
      </c>
      <c r="M19" s="112">
        <f t="shared" si="40"/>
        <v>1.800324E-2</v>
      </c>
      <c r="N19" s="79">
        <f t="shared" si="41"/>
        <v>33.35736359571159</v>
      </c>
      <c r="O19" s="48">
        <f t="shared" si="42"/>
        <v>33.347848876091192</v>
      </c>
      <c r="P19" s="46">
        <f t="shared" si="46"/>
        <v>2.1208215798485037E-4</v>
      </c>
      <c r="Q19" s="46">
        <f t="shared" si="47"/>
        <v>2.6553975506587238E-3</v>
      </c>
      <c r="R19" s="46">
        <f t="shared" si="48"/>
        <v>-4.2863368829957244E-4</v>
      </c>
      <c r="S19" s="58">
        <f t="shared" si="50"/>
        <v>0.49694445246680519</v>
      </c>
      <c r="T19" s="50">
        <f>S19+Data!D$8</f>
        <v>0.99694445246680519</v>
      </c>
      <c r="U19" s="51">
        <f t="shared" si="13"/>
        <v>1.9128127333359864E-3</v>
      </c>
      <c r="V19" s="45">
        <f t="shared" si="51"/>
        <v>4</v>
      </c>
      <c r="W19" s="52">
        <f>(B$14-B19)*((S19*P19+S19*Q19*U19-R19*(1-S19-Data!D$8))/(1+U19*N19))</f>
        <v>2.0535105387147136E-3</v>
      </c>
      <c r="X19" s="58">
        <f t="shared" si="49"/>
        <v>0.49591769719624679</v>
      </c>
      <c r="Y19" s="31">
        <f>1-('MBal_Som_Saturated-Res'!F$8*X19)/(F19*(1-Data!D$8))</f>
        <v>5.0030030530027192E-3</v>
      </c>
      <c r="Z19" s="31">
        <f t="shared" si="18"/>
        <v>7.7350545219419753E-2</v>
      </c>
      <c r="AA19" s="51">
        <f>104192636.6824*EXP(-24.7967*(X19+Data!D$8))</f>
        <v>1.9621384736707545E-3</v>
      </c>
      <c r="AB19" s="3">
        <f t="shared" si="14"/>
        <v>655.90509550850004</v>
      </c>
    </row>
    <row r="20" spans="1:28" s="38" customFormat="1" ht="15.75" x14ac:dyDescent="0.25">
      <c r="A20" s="34"/>
      <c r="B20" s="39">
        <v>2360</v>
      </c>
      <c r="C20" s="35">
        <f>B$14-(B$14-B20)/2</f>
        <v>2370</v>
      </c>
      <c r="D20">
        <f t="shared" si="33"/>
        <v>116.81301790000001</v>
      </c>
      <c r="E20" s="78">
        <f t="shared" si="34"/>
        <v>117.24157240000001</v>
      </c>
      <c r="F20" s="37">
        <f t="shared" si="43"/>
        <v>1.43655395</v>
      </c>
      <c r="G20" s="46">
        <f t="shared" si="1"/>
        <v>1.43769875</v>
      </c>
      <c r="H20" s="111">
        <f t="shared" si="44"/>
        <v>7.1457427294839039E-3</v>
      </c>
      <c r="I20" s="112">
        <f t="shared" si="45"/>
        <v>7.1148536168007563E-3</v>
      </c>
      <c r="J20" s="51">
        <f t="shared" si="37"/>
        <v>0.59975338879999995</v>
      </c>
      <c r="K20" s="113">
        <f t="shared" si="38"/>
        <v>0.60036932679999999</v>
      </c>
      <c r="L20" s="114">
        <f t="shared" si="39"/>
        <v>1.7979640000000002E-2</v>
      </c>
      <c r="M20" s="112">
        <f t="shared" si="40"/>
        <v>1.800324E-2</v>
      </c>
      <c r="N20" s="79">
        <f t="shared" si="41"/>
        <v>33.35736359571159</v>
      </c>
      <c r="O20" s="48">
        <f t="shared" si="42"/>
        <v>33.347848876091192</v>
      </c>
      <c r="P20" s="46">
        <f t="shared" si="46"/>
        <v>2.1208215798485037E-4</v>
      </c>
      <c r="Q20" s="46">
        <f t="shared" si="47"/>
        <v>2.6553975506587238E-3</v>
      </c>
      <c r="R20" s="46">
        <f t="shared" si="48"/>
        <v>-4.2863368829957244E-4</v>
      </c>
      <c r="S20" s="58">
        <f t="shared" si="50"/>
        <v>0.49694445246560415</v>
      </c>
      <c r="T20" s="50">
        <f>S20+Data!D$8</f>
        <v>0.99694445246560415</v>
      </c>
      <c r="U20" s="51">
        <f t="shared" si="13"/>
        <v>1.9128127333929543E-3</v>
      </c>
      <c r="V20" s="45">
        <f t="shared" si="51"/>
        <v>5</v>
      </c>
      <c r="W20" s="115">
        <f>(B$14-B20)*((S20*P20+S20*Q20*U20-R20*(1-S20-Data!D$8))/(1+U20*N20))</f>
        <v>2.0535105387172342E-3</v>
      </c>
      <c r="X20" s="49">
        <f t="shared" si="49"/>
        <v>0.49591769719624429</v>
      </c>
      <c r="Y20" s="53">
        <f>1-('MBal_Som_Saturated-Res'!F$8*X20)/(F20*(1-Data!D$8))</f>
        <v>5.0030030530078262E-3</v>
      </c>
      <c r="Z20" s="53">
        <f t="shared" si="18"/>
        <v>7.7350545219424499E-2</v>
      </c>
      <c r="AA20" s="116">
        <f>104192636.6824*EXP(-24.7967*(X20+Data!D$8))</f>
        <v>1.9621384736708794E-3</v>
      </c>
      <c r="AB20" s="86">
        <f t="shared" si="14"/>
        <v>655.90509550850004</v>
      </c>
    </row>
    <row r="21" spans="1:28" x14ac:dyDescent="0.25">
      <c r="A21" s="40"/>
      <c r="C21" s="55"/>
      <c r="D21" s="56"/>
      <c r="E21" s="30"/>
      <c r="F21" s="7"/>
      <c r="G21" s="46"/>
      <c r="H21" s="47"/>
      <c r="I21" s="46"/>
      <c r="J21" s="79"/>
      <c r="K21" s="79"/>
      <c r="L21" s="79"/>
      <c r="M21" s="79"/>
      <c r="N21" s="79"/>
      <c r="O21" s="48"/>
      <c r="P21" s="46"/>
      <c r="Q21" s="46"/>
      <c r="R21" s="46"/>
      <c r="S21" s="49"/>
      <c r="T21" s="50"/>
      <c r="U21" s="51"/>
      <c r="V21" s="45"/>
      <c r="W21" s="52"/>
      <c r="X21" s="41"/>
      <c r="Y21" s="53"/>
      <c r="Z21" s="53"/>
      <c r="AA21" s="116"/>
      <c r="AB21" s="54"/>
    </row>
    <row r="22" spans="1:28" s="38" customFormat="1" ht="15.75" x14ac:dyDescent="0.25">
      <c r="A22" s="34"/>
      <c r="B22" s="39">
        <v>2340</v>
      </c>
      <c r="C22" s="35">
        <f>B$20-(B$20-B22)/2</f>
        <v>2350</v>
      </c>
      <c r="D22">
        <f t="shared" ref="D22:D27" si="52">0.04285545*B22 + 15.6741559</f>
        <v>115.95590890000001</v>
      </c>
      <c r="E22" s="78">
        <f t="shared" ref="E22:E27" si="53">0.04285545*C22 + 15.6741559</f>
        <v>116.38446340000002</v>
      </c>
      <c r="F22" s="37">
        <f t="shared" si="43"/>
        <v>1.4342643500000001</v>
      </c>
      <c r="G22" s="46">
        <f t="shared" si="1"/>
        <v>1.4354091500000001</v>
      </c>
      <c r="H22" s="111">
        <f t="shared" ref="H22:H27" si="54">20.40472*B22^(-1.02454)</f>
        <v>7.2083227714336987E-3</v>
      </c>
      <c r="I22" s="112">
        <f t="shared" ref="I22:I27" si="55">20.40472*C22^(-1.02454)</f>
        <v>7.1768979677099224E-3</v>
      </c>
      <c r="J22" s="51">
        <f t="shared" ref="J22:J27" si="56">0.0000000907*B22^2 - 0.0003674172*B22 + 0.9616952608</f>
        <v>0.59857593279999999</v>
      </c>
      <c r="K22" s="113">
        <f t="shared" ref="K22:K27" si="57">0.0000000907*C22^2 - 0.0003674172*C22 + 0.9616952608</f>
        <v>0.59915559079999992</v>
      </c>
      <c r="L22" s="114">
        <f t="shared" ref="L22:L27" si="58">0.00000236*B22 + 0.01241004</f>
        <v>1.7932440000000001E-2</v>
      </c>
      <c r="M22" s="112">
        <f t="shared" ref="M22:M27" si="59">0.00000236*C22 + 0.01241004</f>
        <v>1.795604E-2</v>
      </c>
      <c r="N22" s="79">
        <f t="shared" ref="N22:N27" si="60">J22/L22</f>
        <v>33.379502889735022</v>
      </c>
      <c r="O22" s="48">
        <f t="shared" ref="O22:O27" si="61">K22/M22</f>
        <v>33.367913571143745</v>
      </c>
      <c r="P22" s="46">
        <f>I22*(E$20-E22)/(G22*(C$20-C22))</f>
        <v>2.1427283782487526E-4</v>
      </c>
      <c r="Q22" s="46">
        <f>O22*(G$20-G22)/(G22*(C$20-C22))</f>
        <v>2.6612333811752245E-3</v>
      </c>
      <c r="R22" s="46">
        <f>(I$20-I22)/(I22*(C$20-C22))</f>
        <v>-4.3225047359119601E-4</v>
      </c>
      <c r="S22" s="49">
        <f>X$20</f>
        <v>0.49591769719624429</v>
      </c>
      <c r="T22" s="50">
        <f>S22+Data!D$8</f>
        <v>0.99591769719624423</v>
      </c>
      <c r="U22" s="51">
        <f t="shared" si="13"/>
        <v>1.9621384736708794E-3</v>
      </c>
      <c r="V22" s="45">
        <v>1</v>
      </c>
      <c r="W22" s="52">
        <f>(B$20-B22)*((S22*P22+S22*Q22*U22-R22*(1-S22-Data!D$8))/(1+U22*N22))</f>
        <v>2.0763266980871886E-3</v>
      </c>
      <c r="X22" s="58">
        <f>S$22-W22</f>
        <v>0.49384137049815713</v>
      </c>
      <c r="Y22" s="31">
        <f>1-('MBal_Som_Saturated-Res'!F$8*X22)/(F22*(1-Data!D$8))</f>
        <v>7.587171965438233E-3</v>
      </c>
      <c r="Z22" s="31">
        <f t="shared" si="18"/>
        <v>7.9746815806602811E-2</v>
      </c>
      <c r="AA22" s="51">
        <f>104192636.6824*EXP(-24.7967*(X22+Data!D$8))</f>
        <v>2.0658070776714806E-3</v>
      </c>
      <c r="AB22" s="3">
        <f t="shared" si="14"/>
        <v>651.09242847350004</v>
      </c>
    </row>
    <row r="23" spans="1:28" s="38" customFormat="1" ht="15.75" x14ac:dyDescent="0.25">
      <c r="A23" s="34"/>
      <c r="B23" s="39">
        <v>2340</v>
      </c>
      <c r="C23" s="35">
        <f t="shared" ref="C23:C27" si="62">B$20-(B$20-B23)/2</f>
        <v>2350</v>
      </c>
      <c r="D23">
        <f t="shared" si="52"/>
        <v>115.95590890000001</v>
      </c>
      <c r="E23" s="78">
        <f t="shared" si="53"/>
        <v>116.38446340000002</v>
      </c>
      <c r="F23" s="37">
        <f t="shared" si="43"/>
        <v>1.4342643500000001</v>
      </c>
      <c r="G23" s="46">
        <f t="shared" si="1"/>
        <v>1.4354091500000001</v>
      </c>
      <c r="H23" s="111">
        <f t="shared" si="54"/>
        <v>7.2083227714336987E-3</v>
      </c>
      <c r="I23" s="112">
        <f t="shared" si="55"/>
        <v>7.1768979677099224E-3</v>
      </c>
      <c r="J23" s="51">
        <f t="shared" si="56"/>
        <v>0.59857593279999999</v>
      </c>
      <c r="K23" s="113">
        <f t="shared" si="57"/>
        <v>0.59915559079999992</v>
      </c>
      <c r="L23" s="114">
        <f t="shared" si="58"/>
        <v>1.7932440000000001E-2</v>
      </c>
      <c r="M23" s="112">
        <f t="shared" si="59"/>
        <v>1.795604E-2</v>
      </c>
      <c r="N23" s="79">
        <f t="shared" si="60"/>
        <v>33.379502889735022</v>
      </c>
      <c r="O23" s="48">
        <f t="shared" si="61"/>
        <v>33.367913571143745</v>
      </c>
      <c r="P23" s="46">
        <f t="shared" ref="P23:P27" si="63">I23*(E$20-E23)/(G23*(C$20-C23))</f>
        <v>2.1427283782487526E-4</v>
      </c>
      <c r="Q23" s="46">
        <f t="shared" ref="Q23:Q27" si="64">O23*(G$20-G23)/(G23*(C$20-C23))</f>
        <v>2.6612333811752245E-3</v>
      </c>
      <c r="R23" s="46">
        <f t="shared" ref="R23:R27" si="65">(I$20-I23)/(I23*(C$20-C23))</f>
        <v>-4.3225047359119601E-4</v>
      </c>
      <c r="S23" s="58">
        <f>S$22-W22/2</f>
        <v>0.49487953384720068</v>
      </c>
      <c r="T23" s="50">
        <f>S23+Data!D$8</f>
        <v>0.99487953384720074</v>
      </c>
      <c r="U23" s="51">
        <f t="shared" si="13"/>
        <v>2.0133056266450964E-3</v>
      </c>
      <c r="V23" s="45">
        <f>V22+1</f>
        <v>2</v>
      </c>
      <c r="W23" s="52">
        <f>(B$20-B23)*((S23*P23+S23*Q23*U23-R23*(1-S23-Data!D$8))/(1+U23*N23))</f>
        <v>2.0784059755106039E-3</v>
      </c>
      <c r="X23" s="58">
        <f t="shared" ref="X23:X27" si="66">S$22-W23</f>
        <v>0.49383929122073367</v>
      </c>
      <c r="Y23" s="31">
        <f>1-('MBal_Som_Saturated-Res'!F$8*X23)/(F23*(1-Data!D$8))</f>
        <v>7.591350435917521E-3</v>
      </c>
      <c r="Z23" s="31">
        <f t="shared" si="18"/>
        <v>7.9750690454990045E-2</v>
      </c>
      <c r="AA23" s="51">
        <f>104192636.6824*EXP(-24.7967*(X23+Data!D$8))</f>
        <v>2.0659135918158207E-3</v>
      </c>
      <c r="AB23" s="3">
        <f t="shared" si="14"/>
        <v>651.09242847350004</v>
      </c>
    </row>
    <row r="24" spans="1:28" s="38" customFormat="1" ht="15.75" x14ac:dyDescent="0.25">
      <c r="A24" s="34"/>
      <c r="B24" s="39">
        <v>2340</v>
      </c>
      <c r="C24" s="35">
        <f t="shared" si="62"/>
        <v>2350</v>
      </c>
      <c r="D24">
        <f t="shared" si="52"/>
        <v>115.95590890000001</v>
      </c>
      <c r="E24" s="78">
        <f t="shared" si="53"/>
        <v>116.38446340000002</v>
      </c>
      <c r="F24" s="37">
        <f t="shared" si="43"/>
        <v>1.4342643500000001</v>
      </c>
      <c r="G24" s="46">
        <f t="shared" si="1"/>
        <v>1.4354091500000001</v>
      </c>
      <c r="H24" s="111">
        <f t="shared" si="54"/>
        <v>7.2083227714336987E-3</v>
      </c>
      <c r="I24" s="112">
        <f t="shared" si="55"/>
        <v>7.1768979677099224E-3</v>
      </c>
      <c r="J24" s="51">
        <f t="shared" si="56"/>
        <v>0.59857593279999999</v>
      </c>
      <c r="K24" s="113">
        <f t="shared" si="57"/>
        <v>0.59915559079999992</v>
      </c>
      <c r="L24" s="114">
        <f t="shared" si="58"/>
        <v>1.7932440000000001E-2</v>
      </c>
      <c r="M24" s="112">
        <f t="shared" si="59"/>
        <v>1.795604E-2</v>
      </c>
      <c r="N24" s="79">
        <f t="shared" si="60"/>
        <v>33.379502889735022</v>
      </c>
      <c r="O24" s="48">
        <f t="shared" si="61"/>
        <v>33.367913571143745</v>
      </c>
      <c r="P24" s="46">
        <f t="shared" si="63"/>
        <v>2.1427283782487526E-4</v>
      </c>
      <c r="Q24" s="46">
        <f t="shared" si="64"/>
        <v>2.6612333811752245E-3</v>
      </c>
      <c r="R24" s="46">
        <f t="shared" si="65"/>
        <v>-4.3225047359119601E-4</v>
      </c>
      <c r="S24" s="58">
        <f t="shared" ref="S24:S25" si="67">S$22-W23/2</f>
        <v>0.49487849420848901</v>
      </c>
      <c r="T24" s="50">
        <f>S24+Data!D$8</f>
        <v>0.99487849420848895</v>
      </c>
      <c r="U24" s="51">
        <f t="shared" si="13"/>
        <v>2.0133575295464587E-3</v>
      </c>
      <c r="V24" s="45">
        <f t="shared" ref="V24:V25" si="68">V23+1</f>
        <v>3</v>
      </c>
      <c r="W24" s="52">
        <f>(B$20-B24)*((S24*P24+S24*Q24*U24-R24*(1-S24-Data!D$8))/(1+U24*N24))</f>
        <v>2.0784080250138598E-3</v>
      </c>
      <c r="X24" s="58">
        <f t="shared" si="66"/>
        <v>0.49383928917123043</v>
      </c>
      <c r="Y24" s="31">
        <f>1-('MBal_Som_Saturated-Res'!F$8*X24)/(F24*(1-Data!D$8))</f>
        <v>7.591354554554397E-3</v>
      </c>
      <c r="Z24" s="31">
        <f t="shared" si="18"/>
        <v>7.9750694274155418E-2</v>
      </c>
      <c r="AA24" s="51">
        <f>104192636.6824*EXP(-24.7967*(X24+Data!D$8))</f>
        <v>2.0659136968074433E-3</v>
      </c>
      <c r="AB24" s="3">
        <f t="shared" si="14"/>
        <v>651.09242847350004</v>
      </c>
    </row>
    <row r="25" spans="1:28" s="38" customFormat="1" ht="15.75" x14ac:dyDescent="0.25">
      <c r="A25" s="34"/>
      <c r="B25" s="39">
        <v>2340</v>
      </c>
      <c r="C25" s="35">
        <f t="shared" si="62"/>
        <v>2350</v>
      </c>
      <c r="D25">
        <f t="shared" si="52"/>
        <v>115.95590890000001</v>
      </c>
      <c r="E25" s="78">
        <f t="shared" si="53"/>
        <v>116.38446340000002</v>
      </c>
      <c r="F25" s="37">
        <f t="shared" si="43"/>
        <v>1.4342643500000001</v>
      </c>
      <c r="G25" s="46">
        <f t="shared" si="1"/>
        <v>1.4354091500000001</v>
      </c>
      <c r="H25" s="111">
        <f t="shared" si="54"/>
        <v>7.2083227714336987E-3</v>
      </c>
      <c r="I25" s="112">
        <f t="shared" si="55"/>
        <v>7.1768979677099224E-3</v>
      </c>
      <c r="J25" s="51">
        <f t="shared" si="56"/>
        <v>0.59857593279999999</v>
      </c>
      <c r="K25" s="113">
        <f t="shared" si="57"/>
        <v>0.59915559079999992</v>
      </c>
      <c r="L25" s="114">
        <f t="shared" si="58"/>
        <v>1.7932440000000001E-2</v>
      </c>
      <c r="M25" s="112">
        <f t="shared" si="59"/>
        <v>1.795604E-2</v>
      </c>
      <c r="N25" s="79">
        <f t="shared" si="60"/>
        <v>33.379502889735022</v>
      </c>
      <c r="O25" s="48">
        <f t="shared" si="61"/>
        <v>33.367913571143745</v>
      </c>
      <c r="P25" s="46">
        <f t="shared" si="63"/>
        <v>2.1427283782487526E-4</v>
      </c>
      <c r="Q25" s="46">
        <f t="shared" si="64"/>
        <v>2.6612333811752245E-3</v>
      </c>
      <c r="R25" s="46">
        <f t="shared" si="65"/>
        <v>-4.3225047359119601E-4</v>
      </c>
      <c r="S25" s="58">
        <f t="shared" si="67"/>
        <v>0.49487849318373733</v>
      </c>
      <c r="T25" s="50">
        <f>S25+Data!D$8</f>
        <v>0.99487849318373733</v>
      </c>
      <c r="U25" s="51">
        <f t="shared" si="13"/>
        <v>2.0133575807067959E-3</v>
      </c>
      <c r="V25" s="45">
        <f t="shared" si="68"/>
        <v>4</v>
      </c>
      <c r="W25" s="52">
        <f>(B$20-B25)*((S25*P25+S25*Q25*U25-R25*(1-S25-Data!D$8))/(1+U25*N25))</f>
        <v>2.078408027033983E-3</v>
      </c>
      <c r="X25" s="58">
        <f t="shared" si="66"/>
        <v>0.49383928916921033</v>
      </c>
      <c r="Y25" s="31">
        <f>1-('MBal_Som_Saturated-Res'!F$8*X25)/(F25*(1-Data!D$8))</f>
        <v>7.5913545586139275E-3</v>
      </c>
      <c r="Z25" s="31">
        <f t="shared" si="18"/>
        <v>7.9750694277919768E-2</v>
      </c>
      <c r="AA25" s="51">
        <f>104192636.6824*EXP(-24.7967*(X25+Data!D$8))</f>
        <v>2.0659136969109317E-3</v>
      </c>
      <c r="AB25" s="3">
        <f t="shared" si="14"/>
        <v>651.09242847350004</v>
      </c>
    </row>
    <row r="26" spans="1:28" s="38" customFormat="1" ht="15.75" x14ac:dyDescent="0.25">
      <c r="A26" s="34"/>
      <c r="B26" s="39">
        <v>2340</v>
      </c>
      <c r="C26" s="35">
        <f t="shared" ref="C26" si="69">B$20-(B$20-B26)/2</f>
        <v>2350</v>
      </c>
      <c r="D26">
        <f t="shared" si="52"/>
        <v>115.95590890000001</v>
      </c>
      <c r="E26" s="78">
        <f t="shared" si="53"/>
        <v>116.38446340000002</v>
      </c>
      <c r="F26" s="37">
        <f t="shared" ref="F26" si="70">0.00011448*B26 + 1.16638115</f>
        <v>1.4342643500000001</v>
      </c>
      <c r="G26" s="46">
        <f t="shared" ref="G26" si="71">0.00011448*C26 + 1.16638115</f>
        <v>1.4354091500000001</v>
      </c>
      <c r="H26" s="111">
        <f t="shared" ref="H26" si="72">20.40472*B26^(-1.02454)</f>
        <v>7.2083227714336987E-3</v>
      </c>
      <c r="I26" s="112">
        <f t="shared" ref="I26" si="73">20.40472*C26^(-1.02454)</f>
        <v>7.1768979677099224E-3</v>
      </c>
      <c r="J26" s="51">
        <f t="shared" ref="J26" si="74">0.0000000907*B26^2 - 0.0003674172*B26 + 0.9616952608</f>
        <v>0.59857593279999999</v>
      </c>
      <c r="K26" s="113">
        <f t="shared" ref="K26" si="75">0.0000000907*C26^2 - 0.0003674172*C26 + 0.9616952608</f>
        <v>0.59915559079999992</v>
      </c>
      <c r="L26" s="114">
        <f t="shared" ref="L26" si="76">0.00000236*B26 + 0.01241004</f>
        <v>1.7932440000000001E-2</v>
      </c>
      <c r="M26" s="112">
        <f t="shared" ref="M26" si="77">0.00000236*C26 + 0.01241004</f>
        <v>1.795604E-2</v>
      </c>
      <c r="N26" s="79">
        <f t="shared" ref="N26" si="78">J26/L26</f>
        <v>33.379502889735022</v>
      </c>
      <c r="O26" s="48">
        <f t="shared" ref="O26" si="79">K26/M26</f>
        <v>33.367913571143745</v>
      </c>
      <c r="P26" s="46">
        <f t="shared" ref="P26" si="80">I26*(E$20-E26)/(G26*(C$20-C26))</f>
        <v>2.1427283782487526E-4</v>
      </c>
      <c r="Q26" s="46">
        <f t="shared" ref="Q26" si="81">O26*(G$20-G26)/(G26*(C$20-C26))</f>
        <v>2.6612333811752245E-3</v>
      </c>
      <c r="R26" s="46">
        <f t="shared" ref="R26" si="82">(I$20-I26)/(I26*(C$20-C26))</f>
        <v>-4.3225047359119601E-4</v>
      </c>
      <c r="S26" s="58">
        <f>S$22-W24/2</f>
        <v>0.49487849318373733</v>
      </c>
      <c r="T26" s="50">
        <f>S26+Data!D$8</f>
        <v>0.99487849318373733</v>
      </c>
      <c r="U26" s="51">
        <f t="shared" ref="U26" si="83">104192636.6824*EXP(-24.7967*T26)</f>
        <v>2.0133575807067959E-3</v>
      </c>
      <c r="V26" s="45">
        <f>V24+1</f>
        <v>4</v>
      </c>
      <c r="W26" s="52">
        <f>(B$20-B26)*((S26*P26+S26*Q26*U26-R26*(1-S26-Data!D$8))/(1+U26*N26))</f>
        <v>2.078408027033983E-3</v>
      </c>
      <c r="X26" s="58">
        <f t="shared" si="66"/>
        <v>0.49383928916921033</v>
      </c>
      <c r="Y26" s="31">
        <f>1-('MBal_Som_Saturated-Res'!F$8*X26)/(F26*(1-Data!D$8))</f>
        <v>7.5913545586139275E-3</v>
      </c>
      <c r="Z26" s="31">
        <f t="shared" si="18"/>
        <v>7.9750694277919768E-2</v>
      </c>
      <c r="AA26" s="51">
        <f>104192636.6824*EXP(-24.7967*(X26+Data!D$8))</f>
        <v>2.0659136969109317E-3</v>
      </c>
      <c r="AB26" s="3">
        <f t="shared" si="14"/>
        <v>651.09242847350004</v>
      </c>
    </row>
    <row r="27" spans="1:28" s="38" customFormat="1" ht="15.75" x14ac:dyDescent="0.25">
      <c r="A27" s="34"/>
      <c r="B27" s="39">
        <v>2340</v>
      </c>
      <c r="C27" s="35">
        <f t="shared" si="62"/>
        <v>2350</v>
      </c>
      <c r="D27">
        <f t="shared" si="52"/>
        <v>115.95590890000001</v>
      </c>
      <c r="E27" s="78">
        <f t="shared" si="53"/>
        <v>116.38446340000002</v>
      </c>
      <c r="F27" s="37">
        <f t="shared" si="43"/>
        <v>1.4342643500000001</v>
      </c>
      <c r="G27" s="36">
        <f t="shared" si="43"/>
        <v>1.4354091500000001</v>
      </c>
      <c r="H27" s="76">
        <f t="shared" si="54"/>
        <v>7.2083227714336987E-3</v>
      </c>
      <c r="I27" s="77">
        <f t="shared" si="55"/>
        <v>7.1768979677099224E-3</v>
      </c>
      <c r="J27">
        <f t="shared" si="56"/>
        <v>0.59857593279999999</v>
      </c>
      <c r="K27" s="78">
        <f t="shared" si="57"/>
        <v>0.59915559079999992</v>
      </c>
      <c r="L27" s="75">
        <f t="shared" si="58"/>
        <v>1.7932440000000001E-2</v>
      </c>
      <c r="M27" s="77">
        <f t="shared" si="59"/>
        <v>1.795604E-2</v>
      </c>
      <c r="N27" s="16">
        <f t="shared" si="60"/>
        <v>33.379502889735022</v>
      </c>
      <c r="O27" s="32">
        <f t="shared" si="61"/>
        <v>33.367913571143745</v>
      </c>
      <c r="P27" s="46">
        <f t="shared" si="63"/>
        <v>2.1427283782487526E-4</v>
      </c>
      <c r="Q27" s="46">
        <f t="shared" si="64"/>
        <v>2.6612333811752245E-3</v>
      </c>
      <c r="R27" s="46">
        <f t="shared" si="65"/>
        <v>-4.3225047359119601E-4</v>
      </c>
      <c r="S27" s="58">
        <f>S$22-W25/2</f>
        <v>0.49487849318272731</v>
      </c>
      <c r="T27" s="50">
        <f>S27+Data!D$8</f>
        <v>0.99487849318272725</v>
      </c>
      <c r="U27" s="51">
        <f t="shared" si="13"/>
        <v>2.0133575807572239E-3</v>
      </c>
      <c r="V27" s="45">
        <f>V25+1</f>
        <v>5</v>
      </c>
      <c r="W27" s="115">
        <f>(B$20-B27)*((S27*P27+S27*Q27*U27-R27*(1-S27-Data!D$8))/(1+U27*N27))</f>
        <v>2.0784080270359745E-3</v>
      </c>
      <c r="X27" s="49">
        <f t="shared" si="66"/>
        <v>0.49383928916920833</v>
      </c>
      <c r="Y27" s="53">
        <f>1-('MBal_Som_Saturated-Res'!F$8*X27)/(F27*(1-Data!D$8))</f>
        <v>7.5913545586179243E-3</v>
      </c>
      <c r="Z27" s="53">
        <f t="shared" si="18"/>
        <v>7.9750694277923473E-2</v>
      </c>
      <c r="AA27" s="116">
        <f>104192636.6824*EXP(-24.7967*(X27+Data!D$8))</f>
        <v>2.0659136969110345E-3</v>
      </c>
      <c r="AB27" s="86">
        <f t="shared" si="14"/>
        <v>651.09242847350004</v>
      </c>
    </row>
    <row r="28" spans="1:28" x14ac:dyDescent="0.25">
      <c r="A28" s="40"/>
      <c r="C28" s="26"/>
      <c r="D28" s="56"/>
      <c r="E28" s="30"/>
      <c r="F28" s="7"/>
      <c r="G28" s="26"/>
      <c r="H28" s="7"/>
      <c r="I28" s="26"/>
      <c r="J28" s="16"/>
      <c r="K28" s="16"/>
      <c r="L28" s="16"/>
      <c r="M28" s="16"/>
      <c r="N28" s="16"/>
      <c r="O28" s="32"/>
      <c r="P28" s="46"/>
      <c r="Q28" s="46"/>
      <c r="R28" s="46"/>
      <c r="S28" s="58"/>
      <c r="T28" s="50"/>
      <c r="U28" s="51"/>
      <c r="V28" s="45"/>
      <c r="W28" s="52"/>
      <c r="X28" s="45"/>
      <c r="Y28" s="31"/>
      <c r="Z28" s="31"/>
      <c r="AA28" s="51"/>
      <c r="AB28" s="54"/>
    </row>
    <row r="29" spans="1:28" ht="15.75" x14ac:dyDescent="0.25">
      <c r="A29" s="40"/>
      <c r="B29" s="39">
        <v>2320</v>
      </c>
      <c r="C29" s="55">
        <f t="shared" ref="C29:C35" si="84">B$27-(B$27-B29)/2</f>
        <v>2330</v>
      </c>
      <c r="D29">
        <f t="shared" ref="D29:D35" si="85">0.04285545*B29 + 15.6741559</f>
        <v>115.0987999</v>
      </c>
      <c r="E29" s="78">
        <f t="shared" ref="E29:E35" si="86">0.04285545*C29 + 15.6741559</f>
        <v>115.52735440000001</v>
      </c>
      <c r="F29" s="37">
        <f t="shared" si="43"/>
        <v>1.4319747500000002</v>
      </c>
      <c r="G29" s="36">
        <f t="shared" si="43"/>
        <v>1.43311955</v>
      </c>
      <c r="H29" s="76">
        <f t="shared" ref="H29:H35" si="87">20.40472*B29^(-1.02454)</f>
        <v>7.2719951335830698E-3</v>
      </c>
      <c r="I29" s="77">
        <f t="shared" ref="I29:I35" si="88">20.40472*C29^(-1.02454)</f>
        <v>7.2400206400305128E-3</v>
      </c>
      <c r="J29">
        <f t="shared" ref="J29:J35" si="89">0.0000000907*B29^2 - 0.0003674172*B29 + 0.9616952608</f>
        <v>0.59747103680000002</v>
      </c>
      <c r="K29" s="78">
        <f t="shared" ref="K29:K35" si="90">0.0000000907*C29^2 - 0.0003674172*C29 + 0.9616952608</f>
        <v>0.59801441479999995</v>
      </c>
      <c r="L29" s="75">
        <f>0.00000236*B29 + 0.01241004</f>
        <v>1.788524E-2</v>
      </c>
      <c r="M29" s="77">
        <f>0.00000236*C29 + 0.01241004</f>
        <v>1.7908840000000002E-2</v>
      </c>
      <c r="N29" s="16">
        <f t="shared" ref="N29:N35" si="91">J29/L29</f>
        <v>33.405816013651481</v>
      </c>
      <c r="O29" s="32">
        <f t="shared" ref="O29:O35" si="92">K29/M29</f>
        <v>33.392135660377775</v>
      </c>
      <c r="P29" s="46">
        <f>I29*(E$27-E29)/(G29*(C$27-C29))</f>
        <v>2.165027631768743E-4</v>
      </c>
      <c r="Q29" s="46">
        <f>O29*(G$27-G29)/(G29*(C$27-C29))</f>
        <v>2.6674199583700034E-3</v>
      </c>
      <c r="R29" s="46">
        <f>(I$27-I29)/(I29*(C$27-C29))</f>
        <v>-4.3592881470241445E-4</v>
      </c>
      <c r="S29" s="49">
        <f>X$27</f>
        <v>0.49383928916920833</v>
      </c>
      <c r="T29" s="50">
        <f>S29+Data!D$8</f>
        <v>0.99383928916920827</v>
      </c>
      <c r="U29" s="51">
        <f t="shared" ref="U29:U35" si="93">104192636.6824*EXP(-24.7967*T29)</f>
        <v>2.0659136969110345E-3</v>
      </c>
      <c r="V29" s="45">
        <v>1</v>
      </c>
      <c r="W29" s="52">
        <f>(B$27-B29)*((S29*P29+S29*Q29*U29-R29*(1-S29-Data!D$8))/(1+U29*N29))</f>
        <v>2.1014623056211578E-3</v>
      </c>
      <c r="X29" s="58">
        <f>S$29-W29</f>
        <v>0.49173782686358719</v>
      </c>
      <c r="Y29" s="31">
        <f>1-('MBal_Som_Saturated-Res'!F$8*X29)/(F29*(1-Data!D$8))</f>
        <v>1.0234386602031909E-2</v>
      </c>
      <c r="Z29" s="31">
        <f t="shared" si="18"/>
        <v>8.2201547980302464E-2</v>
      </c>
      <c r="AA29" s="51">
        <f>104192636.6824*EXP(-24.7967*(X29+Data!D$8))</f>
        <v>2.1764213103570118E-3</v>
      </c>
      <c r="AB29" s="3">
        <f t="shared" si="14"/>
        <v>646.27976143850003</v>
      </c>
    </row>
    <row r="30" spans="1:28" ht="15.75" x14ac:dyDescent="0.25">
      <c r="A30" s="40"/>
      <c r="B30" s="39">
        <v>2320</v>
      </c>
      <c r="C30" s="55">
        <f t="shared" si="84"/>
        <v>2330</v>
      </c>
      <c r="D30">
        <f t="shared" si="85"/>
        <v>115.0987999</v>
      </c>
      <c r="E30" s="78">
        <f t="shared" si="86"/>
        <v>115.52735440000001</v>
      </c>
      <c r="F30" s="37">
        <f t="shared" si="43"/>
        <v>1.4319747500000002</v>
      </c>
      <c r="G30" s="36">
        <f t="shared" si="43"/>
        <v>1.43311955</v>
      </c>
      <c r="H30" s="76">
        <f t="shared" si="87"/>
        <v>7.2719951335830698E-3</v>
      </c>
      <c r="I30" s="77">
        <f t="shared" si="88"/>
        <v>7.2400206400305128E-3</v>
      </c>
      <c r="J30">
        <f t="shared" si="89"/>
        <v>0.59747103680000002</v>
      </c>
      <c r="K30" s="78">
        <f t="shared" si="90"/>
        <v>0.59801441479999995</v>
      </c>
      <c r="L30" s="75">
        <f t="shared" ref="L30:L35" si="94">0.00000236*B30 + 0.01241004</f>
        <v>1.788524E-2</v>
      </c>
      <c r="M30" s="77">
        <f t="shared" ref="M30:M35" si="95">0.00000236*C30 + 0.01241004</f>
        <v>1.7908840000000002E-2</v>
      </c>
      <c r="N30" s="16">
        <f t="shared" si="91"/>
        <v>33.405816013651481</v>
      </c>
      <c r="O30" s="32">
        <f t="shared" si="92"/>
        <v>33.392135660377775</v>
      </c>
      <c r="P30" s="46">
        <f t="shared" ref="P30:P35" si="96">I30*(E$27-E30)/(G30*(C$27-C30))</f>
        <v>2.165027631768743E-4</v>
      </c>
      <c r="Q30" s="46">
        <f t="shared" ref="Q30:Q35" si="97">O30*(G$27-G30)/(G30*(C$27-C30))</f>
        <v>2.6674199583700034E-3</v>
      </c>
      <c r="R30" s="46">
        <f t="shared" ref="R30:R35" si="98">(I$27-I30)/(I30*(C$27-C30))</f>
        <v>-4.3592881470241445E-4</v>
      </c>
      <c r="S30" s="58">
        <f t="shared" ref="S30:S35" si="99">S$29-W29/2</f>
        <v>0.49278855801639776</v>
      </c>
      <c r="T30" s="50">
        <f>S30+Data!D$8</f>
        <v>0.99278855801639776</v>
      </c>
      <c r="U30" s="51">
        <f t="shared" si="93"/>
        <v>2.1204477346342711E-3</v>
      </c>
      <c r="V30" s="45">
        <f>V29+1</f>
        <v>2</v>
      </c>
      <c r="W30" s="52">
        <f>(B$27-B30)*((S30*P30+S30*Q30*U30-R30*(1-S30-Data!D$8))/(1+U30*N30))</f>
        <v>2.1034240222951852E-3</v>
      </c>
      <c r="X30" s="58">
        <f t="shared" ref="X30:X35" si="100">S$29-W30</f>
        <v>0.49173586514691314</v>
      </c>
      <c r="Y30" s="31">
        <f>1-('MBal_Som_Saturated-Res'!F$8*X30)/(F30*(1-Data!D$8))</f>
        <v>1.0238335128260889E-2</v>
      </c>
      <c r="Z30" s="31">
        <f t="shared" si="18"/>
        <v>8.2205209403988691E-2</v>
      </c>
      <c r="AA30" s="51">
        <f>104192636.6824*EXP(-24.7967*(X30+Data!D$8))</f>
        <v>2.1765271829875719E-3</v>
      </c>
      <c r="AB30" s="3">
        <f t="shared" si="14"/>
        <v>646.27976143850003</v>
      </c>
    </row>
    <row r="31" spans="1:28" ht="15.75" x14ac:dyDescent="0.25">
      <c r="A31" s="40"/>
      <c r="B31" s="39">
        <v>2320</v>
      </c>
      <c r="C31" s="55">
        <f t="shared" si="84"/>
        <v>2330</v>
      </c>
      <c r="D31">
        <f t="shared" si="85"/>
        <v>115.0987999</v>
      </c>
      <c r="E31" s="78">
        <f t="shared" si="86"/>
        <v>115.52735440000001</v>
      </c>
      <c r="F31" s="37">
        <f t="shared" si="43"/>
        <v>1.4319747500000002</v>
      </c>
      <c r="G31" s="36">
        <f t="shared" si="43"/>
        <v>1.43311955</v>
      </c>
      <c r="H31" s="76">
        <f t="shared" si="87"/>
        <v>7.2719951335830698E-3</v>
      </c>
      <c r="I31" s="77">
        <f t="shared" si="88"/>
        <v>7.2400206400305128E-3</v>
      </c>
      <c r="J31">
        <f t="shared" si="89"/>
        <v>0.59747103680000002</v>
      </c>
      <c r="K31" s="78">
        <f t="shared" si="90"/>
        <v>0.59801441479999995</v>
      </c>
      <c r="L31" s="75">
        <f t="shared" si="94"/>
        <v>1.788524E-2</v>
      </c>
      <c r="M31" s="77">
        <f t="shared" si="95"/>
        <v>1.7908840000000002E-2</v>
      </c>
      <c r="N31" s="16">
        <f t="shared" si="91"/>
        <v>33.405816013651481</v>
      </c>
      <c r="O31" s="32">
        <f t="shared" si="92"/>
        <v>33.392135660377775</v>
      </c>
      <c r="P31" s="46">
        <f t="shared" si="96"/>
        <v>2.165027631768743E-4</v>
      </c>
      <c r="Q31" s="46">
        <f t="shared" si="97"/>
        <v>2.6674199583700034E-3</v>
      </c>
      <c r="R31" s="46">
        <f t="shared" si="98"/>
        <v>-4.3592881470241445E-4</v>
      </c>
      <c r="S31" s="58">
        <f t="shared" si="99"/>
        <v>0.49278757715806076</v>
      </c>
      <c r="T31" s="50">
        <f>S31+Data!D$8</f>
        <v>0.99278757715806076</v>
      </c>
      <c r="U31" s="51">
        <f t="shared" si="93"/>
        <v>2.120499308897128E-3</v>
      </c>
      <c r="V31" s="45">
        <f t="shared" ref="V31:V35" si="101">V30+1</f>
        <v>3</v>
      </c>
      <c r="W31" s="52">
        <f>(B$27-B31)*((S31*P31+S31*Q31*U31-R31*(1-S31-Data!D$8))/(1+U31*N31))</f>
        <v>2.103425820393575E-3</v>
      </c>
      <c r="X31" s="58">
        <f t="shared" si="100"/>
        <v>0.49173586334881475</v>
      </c>
      <c r="Y31" s="31">
        <f>1-('MBal_Som_Saturated-Res'!F$8*X31)/(F31*(1-Data!D$8))</f>
        <v>1.023833874745772E-2</v>
      </c>
      <c r="Z31" s="31">
        <f t="shared" si="18"/>
        <v>8.2205212760028956E-2</v>
      </c>
      <c r="AA31" s="51">
        <f>104192636.6824*EXP(-24.7967*(X31+Data!D$8))</f>
        <v>2.176527280032192E-3</v>
      </c>
      <c r="AB31" s="3">
        <f t="shared" si="14"/>
        <v>646.27976143850003</v>
      </c>
    </row>
    <row r="32" spans="1:28" ht="15.75" x14ac:dyDescent="0.25">
      <c r="A32" s="40"/>
      <c r="B32" s="39">
        <v>2320</v>
      </c>
      <c r="C32" s="55">
        <f t="shared" si="84"/>
        <v>2330</v>
      </c>
      <c r="D32">
        <f t="shared" si="85"/>
        <v>115.0987999</v>
      </c>
      <c r="E32" s="78">
        <f t="shared" si="86"/>
        <v>115.52735440000001</v>
      </c>
      <c r="F32" s="37">
        <f t="shared" si="43"/>
        <v>1.4319747500000002</v>
      </c>
      <c r="G32" s="36">
        <f t="shared" si="43"/>
        <v>1.43311955</v>
      </c>
      <c r="H32" s="76">
        <f t="shared" si="87"/>
        <v>7.2719951335830698E-3</v>
      </c>
      <c r="I32" s="77">
        <f t="shared" si="88"/>
        <v>7.2400206400305128E-3</v>
      </c>
      <c r="J32">
        <f t="shared" si="89"/>
        <v>0.59747103680000002</v>
      </c>
      <c r="K32" s="78">
        <f t="shared" si="90"/>
        <v>0.59801441479999995</v>
      </c>
      <c r="L32" s="75">
        <f t="shared" si="94"/>
        <v>1.788524E-2</v>
      </c>
      <c r="M32" s="77">
        <f t="shared" si="95"/>
        <v>1.7908840000000002E-2</v>
      </c>
      <c r="N32" s="16">
        <f t="shared" si="91"/>
        <v>33.405816013651481</v>
      </c>
      <c r="O32" s="32">
        <f t="shared" si="92"/>
        <v>33.392135660377775</v>
      </c>
      <c r="P32" s="46">
        <f t="shared" si="96"/>
        <v>2.165027631768743E-4</v>
      </c>
      <c r="Q32" s="46">
        <f t="shared" si="97"/>
        <v>2.6674199583700034E-3</v>
      </c>
      <c r="R32" s="46">
        <f t="shared" si="98"/>
        <v>-4.3592881470241445E-4</v>
      </c>
      <c r="S32" s="58">
        <f t="shared" si="99"/>
        <v>0.49278757625901154</v>
      </c>
      <c r="T32" s="50">
        <f>S32+Data!D$8</f>
        <v>0.99278757625901148</v>
      </c>
      <c r="U32" s="51">
        <f t="shared" si="93"/>
        <v>2.1204993561703867E-3</v>
      </c>
      <c r="V32" s="45">
        <f t="shared" si="101"/>
        <v>4</v>
      </c>
      <c r="W32" s="52">
        <f>(B$27-B32)*((S32*P32+S32*Q32*U32-R32*(1-S32-Data!D$8))/(1+U32*N32))</f>
        <v>2.1034258220416738E-3</v>
      </c>
      <c r="X32" s="58">
        <f t="shared" si="100"/>
        <v>0.49173586334716668</v>
      </c>
      <c r="Y32" s="31">
        <f>1-('MBal_Som_Saturated-Res'!F$8*X32)/(F32*(1-Data!D$8))</f>
        <v>1.0238338750774956E-2</v>
      </c>
      <c r="Z32" s="31">
        <f t="shared" si="18"/>
        <v>8.2205212763104996E-2</v>
      </c>
      <c r="AA32" s="51">
        <f>104192636.6824*EXP(-24.7967*(X32+Data!D$8))</f>
        <v>2.1765272801211322E-3</v>
      </c>
      <c r="AB32" s="3">
        <f t="shared" si="14"/>
        <v>646.27976143850003</v>
      </c>
    </row>
    <row r="33" spans="1:28" ht="15.75" x14ac:dyDescent="0.25">
      <c r="A33" s="40"/>
      <c r="B33" s="39">
        <v>2320</v>
      </c>
      <c r="C33" s="55">
        <f t="shared" si="84"/>
        <v>2330</v>
      </c>
      <c r="D33">
        <f t="shared" si="85"/>
        <v>115.0987999</v>
      </c>
      <c r="E33" s="78">
        <f t="shared" si="86"/>
        <v>115.52735440000001</v>
      </c>
      <c r="F33" s="37">
        <f t="shared" si="43"/>
        <v>1.4319747500000002</v>
      </c>
      <c r="G33" s="36">
        <f t="shared" si="43"/>
        <v>1.43311955</v>
      </c>
      <c r="H33" s="76">
        <f t="shared" si="87"/>
        <v>7.2719951335830698E-3</v>
      </c>
      <c r="I33" s="77">
        <f t="shared" si="88"/>
        <v>7.2400206400305128E-3</v>
      </c>
      <c r="J33">
        <f t="shared" si="89"/>
        <v>0.59747103680000002</v>
      </c>
      <c r="K33" s="78">
        <f t="shared" si="90"/>
        <v>0.59801441479999995</v>
      </c>
      <c r="L33" s="75">
        <f t="shared" si="94"/>
        <v>1.788524E-2</v>
      </c>
      <c r="M33" s="77">
        <f t="shared" si="95"/>
        <v>1.7908840000000002E-2</v>
      </c>
      <c r="N33" s="16">
        <f t="shared" si="91"/>
        <v>33.405816013651481</v>
      </c>
      <c r="O33" s="32">
        <f t="shared" si="92"/>
        <v>33.392135660377775</v>
      </c>
      <c r="P33" s="46">
        <f t="shared" si="96"/>
        <v>2.165027631768743E-4</v>
      </c>
      <c r="Q33" s="46">
        <f t="shared" si="97"/>
        <v>2.6674199583700034E-3</v>
      </c>
      <c r="R33" s="46">
        <f t="shared" si="98"/>
        <v>-4.3592881470241445E-4</v>
      </c>
      <c r="S33" s="58">
        <f t="shared" si="99"/>
        <v>0.49278757625818748</v>
      </c>
      <c r="T33" s="50">
        <f>S33+Data!D$8</f>
        <v>0.99278757625818748</v>
      </c>
      <c r="U33" s="51">
        <f t="shared" si="93"/>
        <v>2.1204993562137118E-3</v>
      </c>
      <c r="V33" s="45">
        <f t="shared" si="101"/>
        <v>5</v>
      </c>
      <c r="W33" s="52">
        <f>(B$27-B33)*((S33*P33+S33*Q33*U33-R33*(1-S33-Data!D$8))/(1+U33*N33))</f>
        <v>2.1034258220431843E-3</v>
      </c>
      <c r="X33" s="58">
        <f t="shared" si="100"/>
        <v>0.49173586334716513</v>
      </c>
      <c r="Y33" s="31">
        <f>1-('MBal_Som_Saturated-Res'!F$8*X33)/(F33*(1-Data!D$8))</f>
        <v>1.0238338750778064E-2</v>
      </c>
      <c r="Z33" s="31">
        <f t="shared" si="18"/>
        <v>8.2205212763107868E-2</v>
      </c>
      <c r="AA33" s="51">
        <f>104192636.6824*EXP(-24.7967*(X33+Data!D$8))</f>
        <v>2.1765272801212172E-3</v>
      </c>
      <c r="AB33" s="3">
        <f t="shared" si="14"/>
        <v>646.27976143850003</v>
      </c>
    </row>
    <row r="34" spans="1:28" ht="15.75" x14ac:dyDescent="0.25">
      <c r="A34" s="40"/>
      <c r="B34" s="39">
        <v>2320</v>
      </c>
      <c r="C34" s="55">
        <f t="shared" si="84"/>
        <v>2330</v>
      </c>
      <c r="D34">
        <f t="shared" si="85"/>
        <v>115.0987999</v>
      </c>
      <c r="E34" s="78">
        <f t="shared" si="86"/>
        <v>115.52735440000001</v>
      </c>
      <c r="F34" s="37">
        <f t="shared" si="43"/>
        <v>1.4319747500000002</v>
      </c>
      <c r="G34" s="36">
        <f t="shared" si="43"/>
        <v>1.43311955</v>
      </c>
      <c r="H34" s="76">
        <f t="shared" si="87"/>
        <v>7.2719951335830698E-3</v>
      </c>
      <c r="I34" s="77">
        <f t="shared" si="88"/>
        <v>7.2400206400305128E-3</v>
      </c>
      <c r="J34">
        <f t="shared" si="89"/>
        <v>0.59747103680000002</v>
      </c>
      <c r="K34" s="78">
        <f t="shared" si="90"/>
        <v>0.59801441479999995</v>
      </c>
      <c r="L34" s="75">
        <f t="shared" si="94"/>
        <v>1.788524E-2</v>
      </c>
      <c r="M34" s="77">
        <f t="shared" si="95"/>
        <v>1.7908840000000002E-2</v>
      </c>
      <c r="N34" s="16">
        <f t="shared" si="91"/>
        <v>33.405816013651481</v>
      </c>
      <c r="O34" s="32">
        <f t="shared" si="92"/>
        <v>33.392135660377775</v>
      </c>
      <c r="P34" s="46">
        <f t="shared" si="96"/>
        <v>2.165027631768743E-4</v>
      </c>
      <c r="Q34" s="46">
        <f t="shared" si="97"/>
        <v>2.6674199583700034E-3</v>
      </c>
      <c r="R34" s="46">
        <f t="shared" si="98"/>
        <v>-4.3592881470241445E-4</v>
      </c>
      <c r="S34" s="58">
        <f t="shared" si="99"/>
        <v>0.49278757625818675</v>
      </c>
      <c r="T34" s="50">
        <f>S34+Data!D$8</f>
        <v>0.99278757625818681</v>
      </c>
      <c r="U34" s="51">
        <f t="shared" si="93"/>
        <v>2.1204993562137496E-3</v>
      </c>
      <c r="V34" s="45">
        <f t="shared" si="101"/>
        <v>6</v>
      </c>
      <c r="W34" s="52">
        <f>(B$27-B34)*((S34*P34+S34*Q34*U34-R34*(1-S34-Data!D$8))/(1+U34*N34))</f>
        <v>2.1034258220431852E-3</v>
      </c>
      <c r="X34" s="58">
        <f t="shared" si="100"/>
        <v>0.49173586334716513</v>
      </c>
      <c r="Y34" s="31">
        <f>1-('MBal_Som_Saturated-Res'!F$8*X34)/(F34*(1-Data!D$8))</f>
        <v>1.0238338750778064E-2</v>
      </c>
      <c r="Z34" s="31">
        <f t="shared" si="18"/>
        <v>8.2205212763107868E-2</v>
      </c>
      <c r="AA34" s="51">
        <f>104192636.6824*EXP(-24.7967*(X34+Data!D$8))</f>
        <v>2.1765272801212172E-3</v>
      </c>
      <c r="AB34" s="3">
        <f t="shared" si="14"/>
        <v>646.27976143850003</v>
      </c>
    </row>
    <row r="35" spans="1:28" ht="15.75" x14ac:dyDescent="0.25">
      <c r="A35" s="40"/>
      <c r="B35" s="39">
        <v>2320</v>
      </c>
      <c r="C35" s="55">
        <f t="shared" si="84"/>
        <v>2330</v>
      </c>
      <c r="D35">
        <f t="shared" si="85"/>
        <v>115.0987999</v>
      </c>
      <c r="E35" s="78">
        <f t="shared" si="86"/>
        <v>115.52735440000001</v>
      </c>
      <c r="F35" s="37">
        <f t="shared" si="43"/>
        <v>1.4319747500000002</v>
      </c>
      <c r="G35" s="36">
        <f t="shared" si="43"/>
        <v>1.43311955</v>
      </c>
      <c r="H35" s="76">
        <f t="shared" si="87"/>
        <v>7.2719951335830698E-3</v>
      </c>
      <c r="I35" s="77">
        <f t="shared" si="88"/>
        <v>7.2400206400305128E-3</v>
      </c>
      <c r="J35">
        <f t="shared" si="89"/>
        <v>0.59747103680000002</v>
      </c>
      <c r="K35" s="78">
        <f t="shared" si="90"/>
        <v>0.59801441479999995</v>
      </c>
      <c r="L35" s="75">
        <f t="shared" si="94"/>
        <v>1.788524E-2</v>
      </c>
      <c r="M35" s="77">
        <f t="shared" si="95"/>
        <v>1.7908840000000002E-2</v>
      </c>
      <c r="N35" s="16">
        <f t="shared" si="91"/>
        <v>33.405816013651481</v>
      </c>
      <c r="O35" s="32">
        <f t="shared" si="92"/>
        <v>33.392135660377775</v>
      </c>
      <c r="P35" s="46">
        <f t="shared" si="96"/>
        <v>2.165027631768743E-4</v>
      </c>
      <c r="Q35" s="46">
        <f t="shared" si="97"/>
        <v>2.6674199583700034E-3</v>
      </c>
      <c r="R35" s="46">
        <f t="shared" si="98"/>
        <v>-4.3592881470241445E-4</v>
      </c>
      <c r="S35" s="58">
        <f t="shared" si="99"/>
        <v>0.49278757625818675</v>
      </c>
      <c r="T35" s="50">
        <f>S35+Data!D$8</f>
        <v>0.99278757625818681</v>
      </c>
      <c r="U35" s="51">
        <f t="shared" si="93"/>
        <v>2.1204993562137496E-3</v>
      </c>
      <c r="V35" s="45">
        <f t="shared" si="101"/>
        <v>7</v>
      </c>
      <c r="W35" s="115">
        <f>(B$27-B35)*((S35*P35+S35*Q35*U35-R35*(1-S35-Data!D$8))/(1+U35*N35))</f>
        <v>2.1034258220431852E-3</v>
      </c>
      <c r="X35" s="49">
        <f t="shared" si="100"/>
        <v>0.49173586334716513</v>
      </c>
      <c r="Y35" s="53">
        <f>1-('MBal_Som_Saturated-Res'!F$8*X35)/(F35*(1-Data!D$8))</f>
        <v>1.0238338750778064E-2</v>
      </c>
      <c r="Z35" s="53">
        <f t="shared" si="18"/>
        <v>8.2205212763107868E-2</v>
      </c>
      <c r="AA35" s="116">
        <f>104192636.6824*EXP(-24.7967*(X35+Data!D$8))</f>
        <v>2.1765272801212172E-3</v>
      </c>
      <c r="AB35" s="86">
        <f t="shared" si="14"/>
        <v>646.27976143850003</v>
      </c>
    </row>
    <row r="36" spans="1:28" x14ac:dyDescent="0.25">
      <c r="A36" s="40"/>
      <c r="C36" s="26"/>
      <c r="D36" s="56"/>
      <c r="E36" s="30"/>
      <c r="F36" s="7"/>
      <c r="G36" s="26"/>
      <c r="H36" s="7"/>
      <c r="I36" s="26"/>
      <c r="J36" s="16"/>
      <c r="K36" s="16"/>
      <c r="L36" s="16"/>
      <c r="M36" s="16"/>
      <c r="N36" s="16"/>
      <c r="O36" s="32"/>
      <c r="P36" s="46"/>
      <c r="Q36" s="46"/>
      <c r="R36" s="46"/>
      <c r="S36" s="58"/>
      <c r="T36" s="50"/>
      <c r="U36" s="51"/>
      <c r="V36" s="45"/>
      <c r="W36" s="52"/>
      <c r="X36" s="58"/>
      <c r="Y36" s="31"/>
      <c r="Z36" s="31"/>
      <c r="AA36" s="51"/>
      <c r="AB36" s="54"/>
    </row>
    <row r="37" spans="1:28" ht="15.75" x14ac:dyDescent="0.25">
      <c r="A37" s="40"/>
      <c r="B37" s="39">
        <v>2300</v>
      </c>
      <c r="C37" s="26">
        <f t="shared" ref="C37:C42" si="102">B$35-(B$35-B37)/2</f>
        <v>2310</v>
      </c>
      <c r="D37">
        <f t="shared" ref="D37:D42" si="103">0.04285545*B37 + 15.6741559</f>
        <v>114.24169090000001</v>
      </c>
      <c r="E37" s="78">
        <f t="shared" ref="E37:E42" si="104">0.04285545*C37 + 15.6741559</f>
        <v>114.67024540000001</v>
      </c>
      <c r="F37" s="37">
        <f t="shared" si="43"/>
        <v>1.4296851500000001</v>
      </c>
      <c r="G37" s="36">
        <f t="shared" si="43"/>
        <v>1.4308299500000001</v>
      </c>
      <c r="H37" s="76">
        <f t="shared" ref="H37:H42" si="105">20.40472*B37^(-1.02454)</f>
        <v>7.3367885473810835E-3</v>
      </c>
      <c r="I37" s="77">
        <f t="shared" ref="I37:I42" si="106">20.40472*C37^(-1.02454)</f>
        <v>7.3042498742020324E-3</v>
      </c>
      <c r="J37">
        <f t="shared" ref="J37:J42" si="107">0.0000000907*B37^2 - 0.0003674172*B37 + 0.9616952608</f>
        <v>0.59643870079999994</v>
      </c>
      <c r="K37" s="78">
        <f t="shared" ref="K37:K42" si="108">0.0000000907*C37^2 - 0.0003674172*C37 + 0.9616952608</f>
        <v>0.59694579879999998</v>
      </c>
      <c r="L37" s="75">
        <f t="shared" ref="L37:L42" si="109">0.00000236*B37 + 0.01241004</f>
        <v>1.7838039999999999E-2</v>
      </c>
      <c r="M37" s="77">
        <f t="shared" ref="M37:M42" si="110">0.00000236*C37 + 0.01241004</f>
        <v>1.7861640000000002E-2</v>
      </c>
      <c r="N37" s="16">
        <f t="shared" ref="N37:N42" si="111">J37/L37</f>
        <v>33.436336099706018</v>
      </c>
      <c r="O37" s="32">
        <f t="shared" ref="O37:O42" si="112">K37/M37</f>
        <v>33.420548101965998</v>
      </c>
      <c r="P37" s="46">
        <f>I37*(E$35-E37)/(G37*(C$35-C37))</f>
        <v>2.1877296828415517E-4</v>
      </c>
      <c r="Q37" s="46">
        <f>O37*(G$35-G37)/(G37*(C$35-C37))</f>
        <v>2.6739616029933439E-3</v>
      </c>
      <c r="R37" s="46">
        <f>(I$35-I37)/(I37*(C$35-C37))</f>
        <v>-4.3967029659247901E-4</v>
      </c>
      <c r="S37" s="49">
        <f>X$35</f>
        <v>0.49173586334716513</v>
      </c>
      <c r="T37" s="50">
        <f>S37+Data!D$8</f>
        <v>0.99173586334716513</v>
      </c>
      <c r="U37" s="51">
        <f t="shared" ref="U37:U42" si="113">104192636.6824*EXP(-24.7967*T37)</f>
        <v>2.1765272801212172E-3</v>
      </c>
      <c r="V37" s="45">
        <v>1</v>
      </c>
      <c r="W37" s="52">
        <f>(B$35-B37)*((S37*P37+S37*Q37*U37-R37*(1-S37-Data!D$8))/(1+U37*N37))</f>
        <v>2.1267064908506803E-3</v>
      </c>
      <c r="X37" s="58">
        <f>S$37-W37</f>
        <v>0.48960915685631445</v>
      </c>
      <c r="Y37" s="31">
        <f>1-('MBal_Som_Saturated-Res'!F$8*X37)/(F37*(1-Data!D$8))</f>
        <v>1.294073525323447E-2</v>
      </c>
      <c r="Z37" s="31">
        <f t="shared" si="18"/>
        <v>8.4711114456522907E-2</v>
      </c>
      <c r="AA37" s="51">
        <f>104192636.6824*EXP(-24.7967*(X37+Data!D$8))</f>
        <v>2.2943874893375424E-3</v>
      </c>
      <c r="AB37" s="3">
        <f t="shared" si="14"/>
        <v>641.46709440350003</v>
      </c>
    </row>
    <row r="38" spans="1:28" ht="15.75" x14ac:dyDescent="0.25">
      <c r="A38" s="40"/>
      <c r="B38" s="39">
        <v>2300</v>
      </c>
      <c r="C38" s="26">
        <f t="shared" si="102"/>
        <v>2310</v>
      </c>
      <c r="D38">
        <f t="shared" si="103"/>
        <v>114.24169090000001</v>
      </c>
      <c r="E38" s="78">
        <f t="shared" si="104"/>
        <v>114.67024540000001</v>
      </c>
      <c r="F38" s="37">
        <f t="shared" ref="F38:F42" si="114">0.00011448*B38 + 1.16638115</f>
        <v>1.4296851500000001</v>
      </c>
      <c r="G38" s="36">
        <f t="shared" ref="G38:G42" si="115">0.00011448*C38 + 1.16638115</f>
        <v>1.4308299500000001</v>
      </c>
      <c r="H38" s="76">
        <f t="shared" si="105"/>
        <v>7.3367885473810835E-3</v>
      </c>
      <c r="I38" s="77">
        <f t="shared" si="106"/>
        <v>7.3042498742020324E-3</v>
      </c>
      <c r="J38">
        <f t="shared" si="107"/>
        <v>0.59643870079999994</v>
      </c>
      <c r="K38" s="78">
        <f t="shared" si="108"/>
        <v>0.59694579879999998</v>
      </c>
      <c r="L38" s="75">
        <f t="shared" si="109"/>
        <v>1.7838039999999999E-2</v>
      </c>
      <c r="M38" s="77">
        <f t="shared" si="110"/>
        <v>1.7861640000000002E-2</v>
      </c>
      <c r="N38" s="16">
        <f t="shared" si="111"/>
        <v>33.436336099706018</v>
      </c>
      <c r="O38" s="32">
        <f t="shared" si="112"/>
        <v>33.420548101965998</v>
      </c>
      <c r="P38" s="46">
        <f t="shared" ref="P38:P42" si="116">I38*(E$35-E38)/(G38*(C$35-C38))</f>
        <v>2.1877296828415517E-4</v>
      </c>
      <c r="Q38" s="46">
        <f t="shared" ref="Q38:Q42" si="117">O38*(G$35-G38)/(G38*(C$35-C38))</f>
        <v>2.6739616029933439E-3</v>
      </c>
      <c r="R38" s="46">
        <f t="shared" ref="R38:R42" si="118">(I$35-I38)/(I38*(C$35-C38))</f>
        <v>-4.3967029659247901E-4</v>
      </c>
      <c r="S38" s="58">
        <f>S$37-W37/2</f>
        <v>0.49067251010173979</v>
      </c>
      <c r="T38" s="50">
        <f>S38+Data!D$8</f>
        <v>0.99067251010173973</v>
      </c>
      <c r="U38" s="51">
        <f t="shared" si="113"/>
        <v>2.234680505511252E-3</v>
      </c>
      <c r="V38" s="45">
        <f>V37+1</f>
        <v>2</v>
      </c>
      <c r="W38" s="52">
        <f>(B$35-B38)*((S38*P38+S38*Q38*U38-R38*(1-S38-Data!D$8))/(1+U38*N38))</f>
        <v>2.1285347050433272E-3</v>
      </c>
      <c r="X38" s="58">
        <f t="shared" ref="X38:X42" si="119">S$37-W38</f>
        <v>0.48960732864212181</v>
      </c>
      <c r="Y38" s="31">
        <f>1-('MBal_Som_Saturated-Res'!F$8*X38)/(F38*(1-Data!D$8))</f>
        <v>1.2944420959948744E-2</v>
      </c>
      <c r="Z38" s="31">
        <f t="shared" si="18"/>
        <v>8.4714532170647505E-2</v>
      </c>
      <c r="AA38" s="51">
        <f>104192636.6824*EXP(-24.7967*(X38+Data!D$8))</f>
        <v>2.294491504720868E-3</v>
      </c>
      <c r="AB38" s="3">
        <f t="shared" si="14"/>
        <v>641.46709440350003</v>
      </c>
    </row>
    <row r="39" spans="1:28" ht="15.75" x14ac:dyDescent="0.25">
      <c r="A39" s="40"/>
      <c r="B39" s="39">
        <v>2300</v>
      </c>
      <c r="C39" s="26">
        <f t="shared" si="102"/>
        <v>2310</v>
      </c>
      <c r="D39">
        <f t="shared" si="103"/>
        <v>114.24169090000001</v>
      </c>
      <c r="E39" s="78">
        <f t="shared" si="104"/>
        <v>114.67024540000001</v>
      </c>
      <c r="F39" s="37">
        <f t="shared" si="114"/>
        <v>1.4296851500000001</v>
      </c>
      <c r="G39" s="36">
        <f t="shared" si="115"/>
        <v>1.4308299500000001</v>
      </c>
      <c r="H39" s="76">
        <f t="shared" si="105"/>
        <v>7.3367885473810835E-3</v>
      </c>
      <c r="I39" s="77">
        <f t="shared" si="106"/>
        <v>7.3042498742020324E-3</v>
      </c>
      <c r="J39">
        <f t="shared" si="107"/>
        <v>0.59643870079999994</v>
      </c>
      <c r="K39" s="78">
        <f t="shared" si="108"/>
        <v>0.59694579879999998</v>
      </c>
      <c r="L39" s="75">
        <f t="shared" si="109"/>
        <v>1.7838039999999999E-2</v>
      </c>
      <c r="M39" s="77">
        <f t="shared" si="110"/>
        <v>1.7861640000000002E-2</v>
      </c>
      <c r="N39" s="16">
        <f t="shared" si="111"/>
        <v>33.436336099706018</v>
      </c>
      <c r="O39" s="32">
        <f t="shared" si="112"/>
        <v>33.420548101965998</v>
      </c>
      <c r="P39" s="46">
        <f t="shared" si="116"/>
        <v>2.1877296828415517E-4</v>
      </c>
      <c r="Q39" s="46">
        <f t="shared" si="117"/>
        <v>2.6739616029933439E-3</v>
      </c>
      <c r="R39" s="46">
        <f t="shared" si="118"/>
        <v>-4.3967029659247901E-4</v>
      </c>
      <c r="S39" s="58">
        <f t="shared" ref="S39:S42" si="120">S$37-W38/2</f>
        <v>0.49067159599464344</v>
      </c>
      <c r="T39" s="50">
        <f>S39+Data!D$8</f>
        <v>0.99067159599464349</v>
      </c>
      <c r="U39" s="51">
        <f t="shared" si="113"/>
        <v>2.2347311592295282E-3</v>
      </c>
      <c r="V39" s="45">
        <f t="shared" ref="V39:V130" si="121">V38+1</f>
        <v>3</v>
      </c>
      <c r="W39" s="52">
        <f>(B$35-B39)*((S39*P39+S39*Q39*U39-R39*(1-S39-Data!D$8))/(1+U39*N39))</f>
        <v>2.1285362434682008E-3</v>
      </c>
      <c r="X39" s="58">
        <f t="shared" si="119"/>
        <v>0.48960732710369692</v>
      </c>
      <c r="Y39" s="31">
        <f>1-('MBal_Som_Saturated-Res'!F$8*X39)/(F39*(1-Data!D$8))</f>
        <v>1.2944424061435922E-2</v>
      </c>
      <c r="Z39" s="31">
        <f t="shared" si="18"/>
        <v>8.4714535046621464E-2</v>
      </c>
      <c r="AA39" s="51">
        <f>104192636.6824*EXP(-24.7967*(X39+Data!D$8))</f>
        <v>2.2944915922508188E-3</v>
      </c>
      <c r="AB39" s="3">
        <f t="shared" si="14"/>
        <v>641.46709440350003</v>
      </c>
    </row>
    <row r="40" spans="1:28" ht="15.75" x14ac:dyDescent="0.25">
      <c r="A40" s="40"/>
      <c r="B40" s="39">
        <v>2300</v>
      </c>
      <c r="C40" s="26">
        <f t="shared" si="102"/>
        <v>2310</v>
      </c>
      <c r="D40">
        <f t="shared" si="103"/>
        <v>114.24169090000001</v>
      </c>
      <c r="E40" s="78">
        <f t="shared" si="104"/>
        <v>114.67024540000001</v>
      </c>
      <c r="F40" s="37">
        <f t="shared" si="114"/>
        <v>1.4296851500000001</v>
      </c>
      <c r="G40" s="36">
        <f t="shared" si="115"/>
        <v>1.4308299500000001</v>
      </c>
      <c r="H40" s="76">
        <f t="shared" si="105"/>
        <v>7.3367885473810835E-3</v>
      </c>
      <c r="I40" s="77">
        <f t="shared" si="106"/>
        <v>7.3042498742020324E-3</v>
      </c>
      <c r="J40">
        <f t="shared" si="107"/>
        <v>0.59643870079999994</v>
      </c>
      <c r="K40" s="78">
        <f t="shared" si="108"/>
        <v>0.59694579879999998</v>
      </c>
      <c r="L40" s="75">
        <f t="shared" si="109"/>
        <v>1.7838039999999999E-2</v>
      </c>
      <c r="M40" s="77">
        <f t="shared" si="110"/>
        <v>1.7861640000000002E-2</v>
      </c>
      <c r="N40" s="16">
        <f t="shared" si="111"/>
        <v>33.436336099706018</v>
      </c>
      <c r="O40" s="32">
        <f t="shared" si="112"/>
        <v>33.420548101965998</v>
      </c>
      <c r="P40" s="46">
        <f t="shared" si="116"/>
        <v>2.1877296828415517E-4</v>
      </c>
      <c r="Q40" s="46">
        <f t="shared" si="117"/>
        <v>2.6739616029933439E-3</v>
      </c>
      <c r="R40" s="46">
        <f t="shared" si="118"/>
        <v>-4.3967029659247901E-4</v>
      </c>
      <c r="S40" s="58">
        <f t="shared" si="120"/>
        <v>0.49067159522543102</v>
      </c>
      <c r="T40" s="50">
        <f>S40+Data!D$8</f>
        <v>0.99067159522543102</v>
      </c>
      <c r="U40" s="51">
        <f t="shared" si="113"/>
        <v>2.2347312018546344E-3</v>
      </c>
      <c r="V40" s="45">
        <f t="shared" si="121"/>
        <v>4</v>
      </c>
      <c r="W40" s="52">
        <f>(B$35-B40)*((S40*P40+S40*Q40*U40-R40*(1-S40-Data!D$8))/(1+U40*N40))</f>
        <v>2.1285362447627468E-3</v>
      </c>
      <c r="X40" s="58">
        <f t="shared" si="119"/>
        <v>0.4896073271024024</v>
      </c>
      <c r="Y40" s="31">
        <f>1-('MBal_Som_Saturated-Res'!F$8*X40)/(F40*(1-Data!D$8))</f>
        <v>1.2944424064045723E-2</v>
      </c>
      <c r="Z40" s="31">
        <f t="shared" si="18"/>
        <v>8.4714535049041514E-2</v>
      </c>
      <c r="AA40" s="51">
        <f>104192636.6824*EXP(-24.7967*(X40+Data!D$8))</f>
        <v>2.2944915923244691E-3</v>
      </c>
      <c r="AB40" s="3">
        <f t="shared" si="14"/>
        <v>641.46709440350003</v>
      </c>
    </row>
    <row r="41" spans="1:28" ht="15.75" x14ac:dyDescent="0.25">
      <c r="A41" s="40"/>
      <c r="B41" s="39">
        <v>2300</v>
      </c>
      <c r="C41" s="26">
        <f t="shared" si="102"/>
        <v>2310</v>
      </c>
      <c r="D41">
        <f t="shared" si="103"/>
        <v>114.24169090000001</v>
      </c>
      <c r="E41" s="78">
        <f t="shared" si="104"/>
        <v>114.67024540000001</v>
      </c>
      <c r="F41" s="37">
        <f t="shared" si="114"/>
        <v>1.4296851500000001</v>
      </c>
      <c r="G41" s="36">
        <f t="shared" si="115"/>
        <v>1.4308299500000001</v>
      </c>
      <c r="H41" s="76">
        <f t="shared" si="105"/>
        <v>7.3367885473810835E-3</v>
      </c>
      <c r="I41" s="77">
        <f t="shared" si="106"/>
        <v>7.3042498742020324E-3</v>
      </c>
      <c r="J41">
        <f t="shared" si="107"/>
        <v>0.59643870079999994</v>
      </c>
      <c r="K41" s="78">
        <f t="shared" si="108"/>
        <v>0.59694579879999998</v>
      </c>
      <c r="L41" s="75">
        <f t="shared" si="109"/>
        <v>1.7838039999999999E-2</v>
      </c>
      <c r="M41" s="77">
        <f t="shared" si="110"/>
        <v>1.7861640000000002E-2</v>
      </c>
      <c r="N41" s="16">
        <f t="shared" si="111"/>
        <v>33.436336099706018</v>
      </c>
      <c r="O41" s="32">
        <f t="shared" si="112"/>
        <v>33.420548101965998</v>
      </c>
      <c r="P41" s="46">
        <f t="shared" si="116"/>
        <v>2.1877296828415517E-4</v>
      </c>
      <c r="Q41" s="46">
        <f t="shared" si="117"/>
        <v>2.6739616029933439E-3</v>
      </c>
      <c r="R41" s="46">
        <f t="shared" si="118"/>
        <v>-4.3967029659247901E-4</v>
      </c>
      <c r="S41" s="58">
        <f t="shared" si="120"/>
        <v>0.49067159522478376</v>
      </c>
      <c r="T41" s="50">
        <f>S41+Data!D$8</f>
        <v>0.99067159522478376</v>
      </c>
      <c r="U41" s="51">
        <f t="shared" si="113"/>
        <v>2.2347312018905041E-3</v>
      </c>
      <c r="V41" s="45">
        <f t="shared" si="121"/>
        <v>5</v>
      </c>
      <c r="W41" s="52">
        <f>(B$35-B41)*((S41*P41+S41*Q41*U41-R41*(1-S41-Data!D$8))/(1+U41*N41))</f>
        <v>2.1285362447638358E-3</v>
      </c>
      <c r="X41" s="58">
        <f t="shared" si="119"/>
        <v>0.48960732710240129</v>
      </c>
      <c r="Y41" s="31">
        <f>1-('MBal_Som_Saturated-Res'!F$8*X41)/(F41*(1-Data!D$8))</f>
        <v>1.2944424064047944E-2</v>
      </c>
      <c r="Z41" s="31">
        <f t="shared" si="18"/>
        <v>8.4714535049043568E-2</v>
      </c>
      <c r="AA41" s="51">
        <f>104192636.6824*EXP(-24.7967*(X41+Data!D$8))</f>
        <v>2.2944915923245341E-3</v>
      </c>
      <c r="AB41" s="3">
        <f t="shared" si="14"/>
        <v>641.46709440350003</v>
      </c>
    </row>
    <row r="42" spans="1:28" ht="15.75" x14ac:dyDescent="0.25">
      <c r="A42" s="40"/>
      <c r="B42" s="123">
        <v>2300</v>
      </c>
      <c r="C42" s="26">
        <f t="shared" si="102"/>
        <v>2310</v>
      </c>
      <c r="D42">
        <f t="shared" si="103"/>
        <v>114.24169090000001</v>
      </c>
      <c r="E42" s="78">
        <f t="shared" si="104"/>
        <v>114.67024540000001</v>
      </c>
      <c r="F42" s="37">
        <f t="shared" si="114"/>
        <v>1.4296851500000001</v>
      </c>
      <c r="G42" s="36">
        <f t="shared" si="115"/>
        <v>1.4308299500000001</v>
      </c>
      <c r="H42" s="76">
        <f t="shared" si="105"/>
        <v>7.3367885473810835E-3</v>
      </c>
      <c r="I42" s="77">
        <f t="shared" si="106"/>
        <v>7.3042498742020324E-3</v>
      </c>
      <c r="J42">
        <f t="shared" si="107"/>
        <v>0.59643870079999994</v>
      </c>
      <c r="K42" s="78">
        <f t="shared" si="108"/>
        <v>0.59694579879999998</v>
      </c>
      <c r="L42" s="75">
        <f t="shared" si="109"/>
        <v>1.7838039999999999E-2</v>
      </c>
      <c r="M42" s="77">
        <f t="shared" si="110"/>
        <v>1.7861640000000002E-2</v>
      </c>
      <c r="N42" s="16">
        <f t="shared" si="111"/>
        <v>33.436336099706018</v>
      </c>
      <c r="O42" s="32">
        <f t="shared" si="112"/>
        <v>33.420548101965998</v>
      </c>
      <c r="P42" s="46">
        <f t="shared" si="116"/>
        <v>2.1877296828415517E-4</v>
      </c>
      <c r="Q42" s="46">
        <f t="shared" si="117"/>
        <v>2.6739616029933439E-3</v>
      </c>
      <c r="R42" s="46">
        <f t="shared" si="118"/>
        <v>-4.3967029659247901E-4</v>
      </c>
      <c r="S42" s="58">
        <f t="shared" si="120"/>
        <v>0.49067159522478321</v>
      </c>
      <c r="T42" s="50">
        <f>S42+Data!D$8</f>
        <v>0.99067159522478321</v>
      </c>
      <c r="U42" s="51">
        <f t="shared" si="113"/>
        <v>2.2347312018905358E-3</v>
      </c>
      <c r="V42" s="45">
        <f t="shared" si="121"/>
        <v>6</v>
      </c>
      <c r="W42" s="115">
        <f>(B$35-B42)*((S42*P42+S42*Q42*U42-R42*(1-S42-Data!D$8))/(1+U42*N42))</f>
        <v>2.1285362447638367E-3</v>
      </c>
      <c r="X42" s="49">
        <f t="shared" si="119"/>
        <v>0.48960732710240129</v>
      </c>
      <c r="Y42" s="53">
        <f>1-('MBal_Som_Saturated-Res'!F$8*X42)/(F42*(1-Data!D$8))</f>
        <v>1.2944424064047944E-2</v>
      </c>
      <c r="Z42" s="53">
        <f t="shared" si="18"/>
        <v>8.4714535049043568E-2</v>
      </c>
      <c r="AA42" s="116">
        <f>104192636.6824*EXP(-24.7967*(X42+Data!D$8))</f>
        <v>2.2944915923245341E-3</v>
      </c>
      <c r="AB42" s="86">
        <f t="shared" si="14"/>
        <v>641.46709440350003</v>
      </c>
    </row>
    <row r="43" spans="1:28" x14ac:dyDescent="0.25">
      <c r="A43" s="40"/>
      <c r="C43" s="26"/>
      <c r="D43" s="56"/>
      <c r="E43" s="30"/>
      <c r="F43" s="7"/>
      <c r="G43" s="26"/>
      <c r="H43" s="7"/>
      <c r="I43" s="26"/>
      <c r="J43" s="16"/>
      <c r="K43" s="16"/>
      <c r="L43" s="16"/>
      <c r="M43" s="16"/>
      <c r="N43" s="16"/>
      <c r="O43" s="32"/>
      <c r="P43" s="46"/>
      <c r="Q43" s="46"/>
      <c r="R43" s="46"/>
      <c r="S43" s="49"/>
      <c r="T43" s="50"/>
      <c r="U43" s="51"/>
      <c r="V43" s="45"/>
      <c r="W43" s="52"/>
      <c r="X43" s="58"/>
      <c r="Y43" s="31"/>
      <c r="Z43" s="31"/>
      <c r="AA43" s="51"/>
      <c r="AB43" s="54"/>
    </row>
    <row r="44" spans="1:28" ht="15.75" x14ac:dyDescent="0.25">
      <c r="A44" s="40"/>
      <c r="B44" s="39">
        <v>2280</v>
      </c>
      <c r="C44" s="26">
        <f>B$42-(B$42-B44)/2</f>
        <v>2290</v>
      </c>
      <c r="D44">
        <f t="shared" ref="D44:D55" si="122">0.04285545*B44 + 15.6741559</f>
        <v>113.38458190000001</v>
      </c>
      <c r="E44" s="78">
        <f t="shared" ref="E44:E55" si="123">0.04285545*C44 + 15.6741559</f>
        <v>113.8131364</v>
      </c>
      <c r="F44" s="37">
        <f t="shared" ref="F44:F55" si="124">0.00011448*B44 + 1.16638115</f>
        <v>1.42739555</v>
      </c>
      <c r="G44" s="36">
        <f t="shared" ref="G44:G55" si="125">0.00011448*C44 + 1.16638115</f>
        <v>1.42854035</v>
      </c>
      <c r="H44" s="76">
        <f t="shared" ref="H44:H55" si="126">20.40472*B44^(-1.02454)</f>
        <v>7.4027327586910279E-3</v>
      </c>
      <c r="I44" s="77">
        <f t="shared" ref="I44:I55" si="127">20.40472*C44^(-1.02454)</f>
        <v>7.3696149033877821E-3</v>
      </c>
      <c r="J44">
        <f t="shared" ref="J44:J55" si="128">0.0000000907*B44^2 - 0.0003674172*B44 + 0.9616952608</f>
        <v>0.59547892480000009</v>
      </c>
      <c r="K44" s="78">
        <f t="shared" ref="K44:K55" si="129">0.0000000907*C44^2 - 0.0003674172*C44 + 0.9616952608</f>
        <v>0.59594974280000002</v>
      </c>
      <c r="L44" s="75">
        <f t="shared" ref="L44:L55" si="130">0.00000236*B44 + 0.01241004</f>
        <v>1.7790840000000002E-2</v>
      </c>
      <c r="M44" s="77">
        <f t="shared" ref="M44:M55" si="131">0.00000236*C44 + 0.01241004</f>
        <v>1.7814440000000001E-2</v>
      </c>
      <c r="N44" s="16">
        <f t="shared" ref="N44:N55" si="132">J44/L44</f>
        <v>33.471096631749823</v>
      </c>
      <c r="O44" s="32">
        <f t="shared" ref="O44:O55" si="133">K44/M44</f>
        <v>33.453184203376587</v>
      </c>
      <c r="P44" s="46">
        <f>I44*(E$42-E44)/(G44*(C$42-C44))</f>
        <v>2.2108452380179038E-4</v>
      </c>
      <c r="Q44" s="46">
        <f>O44*(G$42-G44)/(G44*(C$42-C44))</f>
        <v>2.6808626914897726E-3</v>
      </c>
      <c r="R44" s="46">
        <f>(I$42-I44)/(I44*(C$42-C44))</f>
        <v>-4.434765591055623E-4</v>
      </c>
      <c r="S44" s="49">
        <f>X42</f>
        <v>0.48960732710240129</v>
      </c>
      <c r="T44" s="50">
        <f>S44+Data!D$8</f>
        <v>0.98960732710240129</v>
      </c>
      <c r="U44" s="51">
        <f t="shared" ref="U44:U55" si="134">104192636.6824*EXP(-24.7967*T44)</f>
        <v>2.2944915923245341E-3</v>
      </c>
      <c r="V44" s="45">
        <f>V30+1</f>
        <v>3</v>
      </c>
      <c r="W44" s="52">
        <f>(B$8-B44)*((S44*P44+S44*Q44*U44-R44*(1-S44-Data!D$8))/(1+U44*N44))</f>
        <v>1.2912178521006616E-2</v>
      </c>
      <c r="X44" s="58">
        <f>S$44-W44</f>
        <v>0.47669514858139467</v>
      </c>
      <c r="Y44" s="31">
        <f>1-('MBal_Som_Saturated-Res'!F$8*X44)/(F44*(1-Data!D$8))</f>
        <v>3.7434044032400915E-2</v>
      </c>
      <c r="Z44" s="31">
        <f t="shared" ref="Z44:Z55" si="135">Z$8+Y44*(1-Z$8)</f>
        <v>0.10742348249402578</v>
      </c>
      <c r="AA44" s="51">
        <f>104192636.6824*EXP(-24.7967*(X44+Data!D$8))</f>
        <v>3.1603750513888207E-3</v>
      </c>
      <c r="AB44" s="3">
        <f t="shared" ref="AB44:AB55" si="136">5.615*D44</f>
        <v>636.65442736850014</v>
      </c>
    </row>
    <row r="45" spans="1:28" ht="15.75" x14ac:dyDescent="0.25">
      <c r="A45" s="40"/>
      <c r="B45" s="39">
        <v>2280</v>
      </c>
      <c r="C45" s="26">
        <f t="shared" ref="C45:C55" si="137">B$42-(B$42-B45)/2</f>
        <v>2290</v>
      </c>
      <c r="D45">
        <f t="shared" si="122"/>
        <v>113.38458190000001</v>
      </c>
      <c r="E45" s="78">
        <f t="shared" si="123"/>
        <v>113.8131364</v>
      </c>
      <c r="F45" s="37">
        <f t="shared" si="124"/>
        <v>1.42739555</v>
      </c>
      <c r="G45" s="36">
        <f t="shared" si="125"/>
        <v>1.42854035</v>
      </c>
      <c r="H45" s="76">
        <f t="shared" si="126"/>
        <v>7.4027327586910279E-3</v>
      </c>
      <c r="I45" s="77">
        <f t="shared" si="127"/>
        <v>7.3696149033877821E-3</v>
      </c>
      <c r="J45">
        <f t="shared" si="128"/>
        <v>0.59547892480000009</v>
      </c>
      <c r="K45" s="78">
        <f t="shared" si="129"/>
        <v>0.59594974280000002</v>
      </c>
      <c r="L45" s="75">
        <f t="shared" si="130"/>
        <v>1.7790840000000002E-2</v>
      </c>
      <c r="M45" s="77">
        <f t="shared" si="131"/>
        <v>1.7814440000000001E-2</v>
      </c>
      <c r="N45" s="16">
        <f t="shared" si="132"/>
        <v>33.471096631749823</v>
      </c>
      <c r="O45" s="32">
        <f t="shared" si="133"/>
        <v>33.453184203376587</v>
      </c>
      <c r="P45" s="46">
        <f t="shared" ref="P45:P55" si="138">I45*(E$42-E45)/(G45*(C$42-C45))</f>
        <v>2.2108452380179038E-4</v>
      </c>
      <c r="Q45" s="46">
        <f t="shared" ref="Q45:Q55" si="139">O45*(G$42-G45)/(G45*(C$42-C45))</f>
        <v>2.6808626914897726E-3</v>
      </c>
      <c r="R45" s="46">
        <f t="shared" ref="R45:R55" si="140">(I$42-I45)/(I45*(C$42-C45))</f>
        <v>-4.434765591055623E-4</v>
      </c>
      <c r="S45" s="58">
        <f>S$44-W44/2</f>
        <v>0.48315123784189801</v>
      </c>
      <c r="T45" s="50">
        <f>S45+Data!D$8</f>
        <v>0.98315123784189806</v>
      </c>
      <c r="U45" s="51">
        <f t="shared" si="134"/>
        <v>2.6928523880829073E-3</v>
      </c>
      <c r="V45" s="45">
        <f t="shared" si="121"/>
        <v>4</v>
      </c>
      <c r="W45" s="52">
        <f>(B$8-B45)*((S45*P45+S45*Q45*U45-R45*(1-S45-Data!D$8))/(1+U45*N45))</f>
        <v>1.2964723251763973E-2</v>
      </c>
      <c r="X45" s="58">
        <f t="shared" ref="X45:X55" si="141">S$44-W45</f>
        <v>0.47664260385063734</v>
      </c>
      <c r="Y45" s="31">
        <f>1-('MBal_Som_Saturated-Res'!F$8*X45)/(F45*(1-Data!D$8))</f>
        <v>3.754014490030988E-2</v>
      </c>
      <c r="Z45" s="31">
        <f t="shared" si="135"/>
        <v>0.10752186862808279</v>
      </c>
      <c r="AA45" s="51">
        <f>104192636.6824*EXP(-24.7967*(X45+Data!D$8))</f>
        <v>3.1644955013385022E-3</v>
      </c>
      <c r="AB45" s="3">
        <f t="shared" si="136"/>
        <v>636.65442736850014</v>
      </c>
    </row>
    <row r="46" spans="1:28" ht="15.75" x14ac:dyDescent="0.25">
      <c r="A46" s="40"/>
      <c r="B46" s="39">
        <v>2280</v>
      </c>
      <c r="C46" s="26">
        <f t="shared" si="137"/>
        <v>2290</v>
      </c>
      <c r="D46">
        <f t="shared" si="122"/>
        <v>113.38458190000001</v>
      </c>
      <c r="E46" s="78">
        <f t="shared" si="123"/>
        <v>113.8131364</v>
      </c>
      <c r="F46" s="37">
        <f t="shared" si="124"/>
        <v>1.42739555</v>
      </c>
      <c r="G46" s="36">
        <f t="shared" si="125"/>
        <v>1.42854035</v>
      </c>
      <c r="H46" s="76">
        <f t="shared" si="126"/>
        <v>7.4027327586910279E-3</v>
      </c>
      <c r="I46" s="77">
        <f t="shared" si="127"/>
        <v>7.3696149033877821E-3</v>
      </c>
      <c r="J46">
        <f t="shared" si="128"/>
        <v>0.59547892480000009</v>
      </c>
      <c r="K46" s="78">
        <f t="shared" si="129"/>
        <v>0.59594974280000002</v>
      </c>
      <c r="L46" s="75">
        <f t="shared" si="130"/>
        <v>1.7790840000000002E-2</v>
      </c>
      <c r="M46" s="77">
        <f t="shared" si="131"/>
        <v>1.7814440000000001E-2</v>
      </c>
      <c r="N46" s="16">
        <f t="shared" si="132"/>
        <v>33.471096631749823</v>
      </c>
      <c r="O46" s="32">
        <f t="shared" si="133"/>
        <v>33.453184203376587</v>
      </c>
      <c r="P46" s="46">
        <f t="shared" si="138"/>
        <v>2.2108452380179038E-4</v>
      </c>
      <c r="Q46" s="46">
        <f t="shared" si="139"/>
        <v>2.6808626914897726E-3</v>
      </c>
      <c r="R46" s="46">
        <f t="shared" si="140"/>
        <v>-4.434765591055623E-4</v>
      </c>
      <c r="S46" s="58">
        <f t="shared" ref="S46:S55" si="142">S$44-W45/2</f>
        <v>0.48312496547651929</v>
      </c>
      <c r="T46" s="50">
        <f>S46+Data!D$8</f>
        <v>0.98312496547651929</v>
      </c>
      <c r="U46" s="51">
        <f t="shared" si="134"/>
        <v>2.6946072667032536E-3</v>
      </c>
      <c r="V46" s="45">
        <f t="shared" si="121"/>
        <v>5</v>
      </c>
      <c r="W46" s="52">
        <f>(B$8-B46)*((S46*P46+S46*Q46*U46-R46*(1-S46-Data!D$8))/(1+U46*N46))</f>
        <v>1.2964897168326441E-2</v>
      </c>
      <c r="X46" s="58">
        <f t="shared" si="141"/>
        <v>0.47664242993407485</v>
      </c>
      <c r="Y46" s="31">
        <f>1-('MBal_Som_Saturated-Res'!F$8*X46)/(F46*(1-Data!D$8))</f>
        <v>3.7540496081065022E-2</v>
      </c>
      <c r="Z46" s="31">
        <f t="shared" si="135"/>
        <v>0.10752219427402268</v>
      </c>
      <c r="AA46" s="51">
        <f>104192636.6824*EXP(-24.7967*(X46+Data!D$8))</f>
        <v>3.1645091484345913E-3</v>
      </c>
      <c r="AB46" s="3">
        <f t="shared" si="136"/>
        <v>636.65442736850014</v>
      </c>
    </row>
    <row r="47" spans="1:28" ht="15.75" x14ac:dyDescent="0.25">
      <c r="A47" s="40"/>
      <c r="B47" s="39">
        <v>2280</v>
      </c>
      <c r="C47" s="26">
        <f t="shared" si="137"/>
        <v>2290</v>
      </c>
      <c r="D47">
        <f t="shared" si="122"/>
        <v>113.38458190000001</v>
      </c>
      <c r="E47" s="78">
        <f t="shared" si="123"/>
        <v>113.8131364</v>
      </c>
      <c r="F47" s="37">
        <f t="shared" si="124"/>
        <v>1.42739555</v>
      </c>
      <c r="G47" s="36">
        <f t="shared" si="125"/>
        <v>1.42854035</v>
      </c>
      <c r="H47" s="76">
        <f t="shared" si="126"/>
        <v>7.4027327586910279E-3</v>
      </c>
      <c r="I47" s="77">
        <f t="shared" si="127"/>
        <v>7.3696149033877821E-3</v>
      </c>
      <c r="J47">
        <f t="shared" si="128"/>
        <v>0.59547892480000009</v>
      </c>
      <c r="K47" s="78">
        <f t="shared" si="129"/>
        <v>0.59594974280000002</v>
      </c>
      <c r="L47" s="75">
        <f t="shared" si="130"/>
        <v>1.7790840000000002E-2</v>
      </c>
      <c r="M47" s="77">
        <f t="shared" si="131"/>
        <v>1.7814440000000001E-2</v>
      </c>
      <c r="N47" s="16">
        <f t="shared" si="132"/>
        <v>33.471096631749823</v>
      </c>
      <c r="O47" s="32">
        <f t="shared" si="133"/>
        <v>33.453184203376587</v>
      </c>
      <c r="P47" s="46">
        <f t="shared" si="138"/>
        <v>2.2108452380179038E-4</v>
      </c>
      <c r="Q47" s="46">
        <f t="shared" si="139"/>
        <v>2.6808626914897726E-3</v>
      </c>
      <c r="R47" s="46">
        <f t="shared" si="140"/>
        <v>-4.434765591055623E-4</v>
      </c>
      <c r="S47" s="58">
        <f t="shared" si="142"/>
        <v>0.48312487851823804</v>
      </c>
      <c r="T47" s="50">
        <f>S47+Data!D$8</f>
        <v>0.98312487851823804</v>
      </c>
      <c r="U47" s="51">
        <f t="shared" si="134"/>
        <v>2.6946130770329983E-3</v>
      </c>
      <c r="V47" s="45">
        <f t="shared" si="121"/>
        <v>6</v>
      </c>
      <c r="W47" s="52">
        <f>(B$8-B47)*((S47*P47+S47*Q47*U47-R47*(1-S47-Data!D$8))/(1+U47*N47))</f>
        <v>1.2964897743407434E-2</v>
      </c>
      <c r="X47" s="58">
        <f t="shared" si="141"/>
        <v>0.47664242935899387</v>
      </c>
      <c r="Y47" s="31">
        <f>1-('MBal_Som_Saturated-Res'!F$8*X47)/(F47*(1-Data!D$8))</f>
        <v>3.7540497242296467E-2</v>
      </c>
      <c r="Z47" s="31">
        <f t="shared" si="135"/>
        <v>0.10752219535081946</v>
      </c>
      <c r="AA47" s="51">
        <f>104192636.6824*EXP(-24.7967*(X47+Data!D$8))</f>
        <v>3.164509193560839E-3</v>
      </c>
      <c r="AB47" s="3">
        <f t="shared" si="136"/>
        <v>636.65442736850014</v>
      </c>
    </row>
    <row r="48" spans="1:28" ht="15.75" x14ac:dyDescent="0.25">
      <c r="A48" s="40"/>
      <c r="B48" s="39">
        <v>2280</v>
      </c>
      <c r="C48" s="26">
        <f t="shared" si="137"/>
        <v>2290</v>
      </c>
      <c r="D48">
        <f t="shared" si="122"/>
        <v>113.38458190000001</v>
      </c>
      <c r="E48" s="78">
        <f t="shared" si="123"/>
        <v>113.8131364</v>
      </c>
      <c r="F48" s="37">
        <f t="shared" si="124"/>
        <v>1.42739555</v>
      </c>
      <c r="G48" s="36">
        <f t="shared" si="125"/>
        <v>1.42854035</v>
      </c>
      <c r="H48" s="76">
        <f t="shared" si="126"/>
        <v>7.4027327586910279E-3</v>
      </c>
      <c r="I48" s="77">
        <f t="shared" si="127"/>
        <v>7.3696149033877821E-3</v>
      </c>
      <c r="J48">
        <f t="shared" si="128"/>
        <v>0.59547892480000009</v>
      </c>
      <c r="K48" s="78">
        <f t="shared" si="129"/>
        <v>0.59594974280000002</v>
      </c>
      <c r="L48" s="75">
        <f t="shared" si="130"/>
        <v>1.7790840000000002E-2</v>
      </c>
      <c r="M48" s="77">
        <f t="shared" si="131"/>
        <v>1.7814440000000001E-2</v>
      </c>
      <c r="N48" s="16">
        <f t="shared" si="132"/>
        <v>33.471096631749823</v>
      </c>
      <c r="O48" s="32">
        <f t="shared" si="133"/>
        <v>33.453184203376587</v>
      </c>
      <c r="P48" s="46">
        <f t="shared" si="138"/>
        <v>2.2108452380179038E-4</v>
      </c>
      <c r="Q48" s="46">
        <f t="shared" si="139"/>
        <v>2.6808626914897726E-3</v>
      </c>
      <c r="R48" s="46">
        <f t="shared" si="140"/>
        <v>-4.434765591055623E-4</v>
      </c>
      <c r="S48" s="58">
        <f t="shared" si="142"/>
        <v>0.48312487823069755</v>
      </c>
      <c r="T48" s="50">
        <f>S48+Data!D$8</f>
        <v>0.98312487823069761</v>
      </c>
      <c r="U48" s="51">
        <f t="shared" si="134"/>
        <v>2.6946130962457369E-3</v>
      </c>
      <c r="V48" s="45">
        <f t="shared" si="121"/>
        <v>7</v>
      </c>
      <c r="W48" s="52">
        <f>(B$8-B48)*((S48*P48+S48*Q48*U48-R48*(1-S48-Data!D$8))/(1+U48*N48))</f>
        <v>1.2964897745309017E-2</v>
      </c>
      <c r="X48" s="58">
        <f t="shared" si="141"/>
        <v>0.47664242935709228</v>
      </c>
      <c r="Y48" s="31">
        <f>1-('MBal_Som_Saturated-Res'!F$8*X48)/(F48*(1-Data!D$8))</f>
        <v>3.7540497246136284E-2</v>
      </c>
      <c r="Z48" s="31">
        <f t="shared" si="135"/>
        <v>0.10752219535438007</v>
      </c>
      <c r="AA48" s="51">
        <f>104192636.6824*EXP(-24.7967*(X48+Data!D$8))</f>
        <v>3.1645091937100508E-3</v>
      </c>
      <c r="AB48" s="3">
        <f t="shared" si="136"/>
        <v>636.65442736850014</v>
      </c>
    </row>
    <row r="49" spans="1:28" ht="15.75" x14ac:dyDescent="0.25">
      <c r="A49" s="40"/>
      <c r="B49" s="39">
        <v>2280</v>
      </c>
      <c r="C49" s="26">
        <f t="shared" si="137"/>
        <v>2290</v>
      </c>
      <c r="D49">
        <f t="shared" si="122"/>
        <v>113.38458190000001</v>
      </c>
      <c r="E49" s="78">
        <f t="shared" si="123"/>
        <v>113.8131364</v>
      </c>
      <c r="F49" s="37">
        <f t="shared" si="124"/>
        <v>1.42739555</v>
      </c>
      <c r="G49" s="36">
        <f t="shared" si="125"/>
        <v>1.42854035</v>
      </c>
      <c r="H49" s="76">
        <f t="shared" si="126"/>
        <v>7.4027327586910279E-3</v>
      </c>
      <c r="I49" s="77">
        <f t="shared" si="127"/>
        <v>7.3696149033877821E-3</v>
      </c>
      <c r="J49">
        <f t="shared" si="128"/>
        <v>0.59547892480000009</v>
      </c>
      <c r="K49" s="78">
        <f t="shared" si="129"/>
        <v>0.59594974280000002</v>
      </c>
      <c r="L49" s="75">
        <f t="shared" si="130"/>
        <v>1.7790840000000002E-2</v>
      </c>
      <c r="M49" s="77">
        <f t="shared" si="131"/>
        <v>1.7814440000000001E-2</v>
      </c>
      <c r="N49" s="16">
        <f t="shared" si="132"/>
        <v>33.471096631749823</v>
      </c>
      <c r="O49" s="32">
        <f t="shared" si="133"/>
        <v>33.453184203376587</v>
      </c>
      <c r="P49" s="46">
        <f t="shared" si="138"/>
        <v>2.2108452380179038E-4</v>
      </c>
      <c r="Q49" s="46">
        <f t="shared" si="139"/>
        <v>2.6808626914897726E-3</v>
      </c>
      <c r="R49" s="46">
        <f t="shared" si="140"/>
        <v>-4.434765591055623E-4</v>
      </c>
      <c r="S49" s="58">
        <f t="shared" si="142"/>
        <v>0.48312487822974676</v>
      </c>
      <c r="T49" s="50">
        <f>S49+Data!D$8</f>
        <v>0.98312487822974681</v>
      </c>
      <c r="U49" s="51">
        <f t="shared" si="134"/>
        <v>2.6946130963092646E-3</v>
      </c>
      <c r="V49" s="45">
        <f t="shared" si="121"/>
        <v>8</v>
      </c>
      <c r="W49" s="52">
        <f>(B$8-B49)*((S49*P49+S49*Q49*U49-R49*(1-S49-Data!D$8))/(1+U49*N49))</f>
        <v>1.2964897745315306E-2</v>
      </c>
      <c r="X49" s="58">
        <f t="shared" si="141"/>
        <v>0.47664242935708601</v>
      </c>
      <c r="Y49" s="31">
        <f>1-('MBal_Som_Saturated-Res'!F$8*X49)/(F49*(1-Data!D$8))</f>
        <v>3.754049724614883E-2</v>
      </c>
      <c r="Z49" s="31">
        <f t="shared" si="135"/>
        <v>0.1075221953543917</v>
      </c>
      <c r="AA49" s="117">
        <f>104192636.6824*EXP(-24.7967*(X49+Data!D$8))</f>
        <v>3.1645091937105565E-3</v>
      </c>
      <c r="AB49" s="3">
        <f t="shared" si="136"/>
        <v>636.65442736850014</v>
      </c>
    </row>
    <row r="50" spans="1:28" ht="15.75" x14ac:dyDescent="0.25">
      <c r="A50" s="40"/>
      <c r="B50" s="39">
        <v>2280</v>
      </c>
      <c r="C50" s="26">
        <f t="shared" si="137"/>
        <v>2290</v>
      </c>
      <c r="D50">
        <f t="shared" si="122"/>
        <v>113.38458190000001</v>
      </c>
      <c r="E50" s="78">
        <f t="shared" si="123"/>
        <v>113.8131364</v>
      </c>
      <c r="F50" s="37">
        <f t="shared" si="124"/>
        <v>1.42739555</v>
      </c>
      <c r="G50" s="36">
        <f t="shared" si="125"/>
        <v>1.42854035</v>
      </c>
      <c r="H50" s="76">
        <f t="shared" si="126"/>
        <v>7.4027327586910279E-3</v>
      </c>
      <c r="I50" s="77">
        <f t="shared" si="127"/>
        <v>7.3696149033877821E-3</v>
      </c>
      <c r="J50">
        <f t="shared" si="128"/>
        <v>0.59547892480000009</v>
      </c>
      <c r="K50" s="78">
        <f t="shared" si="129"/>
        <v>0.59594974280000002</v>
      </c>
      <c r="L50" s="75">
        <f t="shared" si="130"/>
        <v>1.7790840000000002E-2</v>
      </c>
      <c r="M50" s="77">
        <f t="shared" si="131"/>
        <v>1.7814440000000001E-2</v>
      </c>
      <c r="N50" s="16">
        <f t="shared" si="132"/>
        <v>33.471096631749823</v>
      </c>
      <c r="O50" s="32">
        <f t="shared" si="133"/>
        <v>33.453184203376587</v>
      </c>
      <c r="P50" s="46">
        <f t="shared" si="138"/>
        <v>2.2108452380179038E-4</v>
      </c>
      <c r="Q50" s="46">
        <f t="shared" si="139"/>
        <v>2.6808626914897726E-3</v>
      </c>
      <c r="R50" s="46">
        <f t="shared" si="140"/>
        <v>-4.434765591055623E-4</v>
      </c>
      <c r="S50" s="58">
        <f t="shared" si="142"/>
        <v>0.48312487822974365</v>
      </c>
      <c r="T50" s="50">
        <f>S50+Data!D$8</f>
        <v>0.9831248782297437</v>
      </c>
      <c r="U50" s="51">
        <f t="shared" si="134"/>
        <v>2.6946130963094754E-3</v>
      </c>
      <c r="V50" s="45">
        <f t="shared" si="121"/>
        <v>9</v>
      </c>
      <c r="W50" s="52">
        <f>(B$8-B50)*((S50*P50+S50*Q50*U50-R50*(1-S50-Data!D$8))/(1+U50*N50))</f>
        <v>1.2964897745315325E-2</v>
      </c>
      <c r="X50" s="58">
        <f t="shared" si="141"/>
        <v>0.47664242935708595</v>
      </c>
      <c r="Y50" s="31">
        <f>1-('MBal_Som_Saturated-Res'!F$8*X50)/(F50*(1-Data!D$8))</f>
        <v>3.7540497246148941E-2</v>
      </c>
      <c r="Z50" s="31">
        <f t="shared" si="135"/>
        <v>0.10752219535439181</v>
      </c>
      <c r="AA50" s="117">
        <f>104192636.6824*EXP(-24.7967*(X50+Data!D$8))</f>
        <v>3.1645091937105565E-3</v>
      </c>
      <c r="AB50" s="3">
        <f t="shared" si="136"/>
        <v>636.65442736850014</v>
      </c>
    </row>
    <row r="51" spans="1:28" ht="15.75" x14ac:dyDescent="0.25">
      <c r="A51" s="40"/>
      <c r="B51" s="39">
        <v>2280</v>
      </c>
      <c r="C51" s="26">
        <f t="shared" si="137"/>
        <v>2290</v>
      </c>
      <c r="D51">
        <f t="shared" si="122"/>
        <v>113.38458190000001</v>
      </c>
      <c r="E51" s="78">
        <f t="shared" si="123"/>
        <v>113.8131364</v>
      </c>
      <c r="F51" s="37">
        <f t="shared" si="124"/>
        <v>1.42739555</v>
      </c>
      <c r="G51" s="36">
        <f t="shared" si="125"/>
        <v>1.42854035</v>
      </c>
      <c r="H51" s="76">
        <f t="shared" si="126"/>
        <v>7.4027327586910279E-3</v>
      </c>
      <c r="I51" s="77">
        <f t="shared" si="127"/>
        <v>7.3696149033877821E-3</v>
      </c>
      <c r="J51">
        <f t="shared" si="128"/>
        <v>0.59547892480000009</v>
      </c>
      <c r="K51" s="78">
        <f t="shared" si="129"/>
        <v>0.59594974280000002</v>
      </c>
      <c r="L51" s="75">
        <f t="shared" si="130"/>
        <v>1.7790840000000002E-2</v>
      </c>
      <c r="M51" s="77">
        <f t="shared" si="131"/>
        <v>1.7814440000000001E-2</v>
      </c>
      <c r="N51" s="16">
        <f t="shared" si="132"/>
        <v>33.471096631749823</v>
      </c>
      <c r="O51" s="32">
        <f t="shared" si="133"/>
        <v>33.453184203376587</v>
      </c>
      <c r="P51" s="46">
        <f t="shared" si="138"/>
        <v>2.2108452380179038E-4</v>
      </c>
      <c r="Q51" s="46">
        <f t="shared" si="139"/>
        <v>2.6808626914897726E-3</v>
      </c>
      <c r="R51" s="46">
        <f t="shared" si="140"/>
        <v>-4.434765591055623E-4</v>
      </c>
      <c r="S51" s="58">
        <f t="shared" si="142"/>
        <v>0.48312487822974365</v>
      </c>
      <c r="T51" s="50">
        <f>S51+Data!D$8</f>
        <v>0.9831248782297437</v>
      </c>
      <c r="U51" s="51">
        <f t="shared" si="134"/>
        <v>2.6946130963094754E-3</v>
      </c>
      <c r="V51" s="45">
        <f t="shared" si="121"/>
        <v>10</v>
      </c>
      <c r="W51" s="52">
        <f>(B$8-B51)*((S51*P51+S51*Q51*U51-R51*(1-S51-Data!D$8))/(1+U51*N51))</f>
        <v>1.2964897745315325E-2</v>
      </c>
      <c r="X51" s="58">
        <f t="shared" si="141"/>
        <v>0.47664242935708595</v>
      </c>
      <c r="Y51" s="31">
        <f>1-('MBal_Som_Saturated-Res'!F$8*X51)/(F51*(1-Data!D$8))</f>
        <v>3.7540497246148941E-2</v>
      </c>
      <c r="Z51" s="31">
        <f t="shared" si="135"/>
        <v>0.10752219535439181</v>
      </c>
      <c r="AA51" s="117">
        <f>104192636.6824*EXP(-24.7967*(X51+Data!D$8))</f>
        <v>3.1645091937105565E-3</v>
      </c>
      <c r="AB51" s="3">
        <f t="shared" si="136"/>
        <v>636.65442736850014</v>
      </c>
    </row>
    <row r="52" spans="1:28" ht="15.75" x14ac:dyDescent="0.25">
      <c r="A52" s="40"/>
      <c r="B52" s="39">
        <v>2280</v>
      </c>
      <c r="C52" s="26">
        <f t="shared" si="137"/>
        <v>2290</v>
      </c>
      <c r="D52">
        <f t="shared" si="122"/>
        <v>113.38458190000001</v>
      </c>
      <c r="E52" s="78">
        <f t="shared" si="123"/>
        <v>113.8131364</v>
      </c>
      <c r="F52" s="37">
        <f t="shared" si="124"/>
        <v>1.42739555</v>
      </c>
      <c r="G52" s="36">
        <f t="shared" si="125"/>
        <v>1.42854035</v>
      </c>
      <c r="H52" s="76">
        <f t="shared" si="126"/>
        <v>7.4027327586910279E-3</v>
      </c>
      <c r="I52" s="77">
        <f t="shared" si="127"/>
        <v>7.3696149033877821E-3</v>
      </c>
      <c r="J52">
        <f t="shared" si="128"/>
        <v>0.59547892480000009</v>
      </c>
      <c r="K52" s="78">
        <f t="shared" si="129"/>
        <v>0.59594974280000002</v>
      </c>
      <c r="L52" s="75">
        <f t="shared" si="130"/>
        <v>1.7790840000000002E-2</v>
      </c>
      <c r="M52" s="77">
        <f t="shared" si="131"/>
        <v>1.7814440000000001E-2</v>
      </c>
      <c r="N52" s="16">
        <f t="shared" si="132"/>
        <v>33.471096631749823</v>
      </c>
      <c r="O52" s="32">
        <f t="shared" si="133"/>
        <v>33.453184203376587</v>
      </c>
      <c r="P52" s="46">
        <f t="shared" si="138"/>
        <v>2.2108452380179038E-4</v>
      </c>
      <c r="Q52" s="46">
        <f t="shared" si="139"/>
        <v>2.6808626914897726E-3</v>
      </c>
      <c r="R52" s="46">
        <f t="shared" si="140"/>
        <v>-4.434765591055623E-4</v>
      </c>
      <c r="S52" s="58">
        <f t="shared" si="142"/>
        <v>0.48312487822974365</v>
      </c>
      <c r="T52" s="50">
        <f>S52+Data!D$8</f>
        <v>0.9831248782297437</v>
      </c>
      <c r="U52" s="51">
        <f t="shared" si="134"/>
        <v>2.6946130963094754E-3</v>
      </c>
      <c r="V52" s="45">
        <f t="shared" si="121"/>
        <v>11</v>
      </c>
      <c r="W52" s="52">
        <f>(B$8-B52)*((S52*P52+S52*Q52*U52-R52*(1-S52-Data!D$8))/(1+U52*N52))</f>
        <v>1.2964897745315325E-2</v>
      </c>
      <c r="X52" s="58">
        <f t="shared" si="141"/>
        <v>0.47664242935708595</v>
      </c>
      <c r="Y52" s="31">
        <f>1-('MBal_Som_Saturated-Res'!F$8*X52)/(F52*(1-Data!D$8))</f>
        <v>3.7540497246148941E-2</v>
      </c>
      <c r="Z52" s="53">
        <f t="shared" si="135"/>
        <v>0.10752219535439181</v>
      </c>
      <c r="AA52" s="118">
        <f>104192636.6824*EXP(-24.7967*(X52+Data!D$8))</f>
        <v>3.1645091937105565E-3</v>
      </c>
      <c r="AB52" s="3">
        <f t="shared" si="136"/>
        <v>636.65442736850014</v>
      </c>
    </row>
    <row r="53" spans="1:28" ht="15.75" x14ac:dyDescent="0.25">
      <c r="A53" s="40"/>
      <c r="B53" s="39">
        <v>2280</v>
      </c>
      <c r="C53" s="26">
        <f t="shared" si="137"/>
        <v>2290</v>
      </c>
      <c r="D53">
        <f t="shared" si="122"/>
        <v>113.38458190000001</v>
      </c>
      <c r="E53" s="78">
        <f t="shared" si="123"/>
        <v>113.8131364</v>
      </c>
      <c r="F53" s="37">
        <f t="shared" si="124"/>
        <v>1.42739555</v>
      </c>
      <c r="G53" s="36">
        <f t="shared" si="125"/>
        <v>1.42854035</v>
      </c>
      <c r="H53" s="76">
        <f t="shared" si="126"/>
        <v>7.4027327586910279E-3</v>
      </c>
      <c r="I53" s="77">
        <f t="shared" si="127"/>
        <v>7.3696149033877821E-3</v>
      </c>
      <c r="J53">
        <f t="shared" si="128"/>
        <v>0.59547892480000009</v>
      </c>
      <c r="K53" s="78">
        <f t="shared" si="129"/>
        <v>0.59594974280000002</v>
      </c>
      <c r="L53" s="75">
        <f t="shared" si="130"/>
        <v>1.7790840000000002E-2</v>
      </c>
      <c r="M53" s="77">
        <f t="shared" si="131"/>
        <v>1.7814440000000001E-2</v>
      </c>
      <c r="N53" s="16">
        <f t="shared" si="132"/>
        <v>33.471096631749823</v>
      </c>
      <c r="O53" s="32">
        <f t="shared" si="133"/>
        <v>33.453184203376587</v>
      </c>
      <c r="P53" s="46">
        <f t="shared" si="138"/>
        <v>2.2108452380179038E-4</v>
      </c>
      <c r="Q53" s="46">
        <f t="shared" si="139"/>
        <v>2.6808626914897726E-3</v>
      </c>
      <c r="R53" s="46">
        <f t="shared" si="140"/>
        <v>-4.434765591055623E-4</v>
      </c>
      <c r="S53" s="58">
        <f t="shared" si="142"/>
        <v>0.48312487822974365</v>
      </c>
      <c r="T53" s="50">
        <f>S53+Data!D$8</f>
        <v>0.9831248782297437</v>
      </c>
      <c r="U53" s="51">
        <f t="shared" si="134"/>
        <v>2.6946130963094754E-3</v>
      </c>
      <c r="V53" s="45">
        <f t="shared" si="121"/>
        <v>12</v>
      </c>
      <c r="W53" s="52">
        <f>(B$8-B53)*((S53*P53+S53*Q53*U53-R53*(1-S53-Data!D$8))/(1+U53*N53))</f>
        <v>1.2964897745315325E-2</v>
      </c>
      <c r="X53" s="58">
        <f t="shared" si="141"/>
        <v>0.47664242935708595</v>
      </c>
      <c r="Y53" s="31">
        <f>1-('MBal_Som_Saturated-Res'!F$8*X53)/(F53*(1-Data!D$8))</f>
        <v>3.7540497246148941E-2</v>
      </c>
      <c r="Z53" s="31">
        <f t="shared" si="135"/>
        <v>0.10752219535439181</v>
      </c>
      <c r="AA53" s="117">
        <f>104192636.6824*EXP(-24.7967*(X53+Data!D$8))</f>
        <v>3.1645091937105565E-3</v>
      </c>
      <c r="AB53" s="3">
        <f t="shared" si="136"/>
        <v>636.65442736850014</v>
      </c>
    </row>
    <row r="54" spans="1:28" ht="15.75" x14ac:dyDescent="0.25">
      <c r="A54" s="40"/>
      <c r="B54" s="39">
        <v>2280</v>
      </c>
      <c r="C54" s="26">
        <f t="shared" si="137"/>
        <v>2290</v>
      </c>
      <c r="D54">
        <f t="shared" si="122"/>
        <v>113.38458190000001</v>
      </c>
      <c r="E54" s="78">
        <f t="shared" si="123"/>
        <v>113.8131364</v>
      </c>
      <c r="F54" s="37">
        <f t="shared" si="124"/>
        <v>1.42739555</v>
      </c>
      <c r="G54" s="36">
        <f t="shared" si="125"/>
        <v>1.42854035</v>
      </c>
      <c r="H54" s="76">
        <f t="shared" si="126"/>
        <v>7.4027327586910279E-3</v>
      </c>
      <c r="I54" s="77">
        <f t="shared" si="127"/>
        <v>7.3696149033877821E-3</v>
      </c>
      <c r="J54">
        <f t="shared" si="128"/>
        <v>0.59547892480000009</v>
      </c>
      <c r="K54" s="78">
        <f t="shared" si="129"/>
        <v>0.59594974280000002</v>
      </c>
      <c r="L54" s="75">
        <f t="shared" si="130"/>
        <v>1.7790840000000002E-2</v>
      </c>
      <c r="M54" s="77">
        <f t="shared" si="131"/>
        <v>1.7814440000000001E-2</v>
      </c>
      <c r="N54" s="16">
        <f t="shared" si="132"/>
        <v>33.471096631749823</v>
      </c>
      <c r="O54" s="32">
        <f t="shared" si="133"/>
        <v>33.453184203376587</v>
      </c>
      <c r="P54" s="46">
        <f t="shared" si="138"/>
        <v>2.2108452380179038E-4</v>
      </c>
      <c r="Q54" s="46">
        <f t="shared" si="139"/>
        <v>2.6808626914897726E-3</v>
      </c>
      <c r="R54" s="46">
        <f t="shared" si="140"/>
        <v>-4.434765591055623E-4</v>
      </c>
      <c r="S54" s="58">
        <f t="shared" si="142"/>
        <v>0.48312487822974365</v>
      </c>
      <c r="T54" s="50">
        <f>S54+Data!D$8</f>
        <v>0.9831248782297437</v>
      </c>
      <c r="U54" s="51">
        <f t="shared" si="134"/>
        <v>2.6946130963094754E-3</v>
      </c>
      <c r="V54" s="45">
        <f t="shared" si="121"/>
        <v>13</v>
      </c>
      <c r="W54" s="52">
        <f>(B$8-B54)*((S54*P54+S54*Q54*U54-R54*(1-S54-Data!D$8))/(1+U54*N54))</f>
        <v>1.2964897745315325E-2</v>
      </c>
      <c r="X54" s="58">
        <f t="shared" si="141"/>
        <v>0.47664242935708595</v>
      </c>
      <c r="Y54" s="31">
        <f>1-('MBal_Som_Saturated-Res'!F$8*X54)/(F54*(1-Data!D$8))</f>
        <v>3.7540497246148941E-2</v>
      </c>
      <c r="Z54" s="53">
        <f t="shared" si="135"/>
        <v>0.10752219535439181</v>
      </c>
      <c r="AA54" s="118">
        <f>104192636.6824*EXP(-24.7967*(X54+Data!D$8))</f>
        <v>3.1645091937105565E-3</v>
      </c>
      <c r="AB54" s="3">
        <f t="shared" si="136"/>
        <v>636.65442736850014</v>
      </c>
    </row>
    <row r="55" spans="1:28" ht="15.75" x14ac:dyDescent="0.25">
      <c r="A55" s="40"/>
      <c r="B55" s="39">
        <v>2280</v>
      </c>
      <c r="C55" s="26">
        <f t="shared" si="137"/>
        <v>2290</v>
      </c>
      <c r="D55">
        <f t="shared" si="122"/>
        <v>113.38458190000001</v>
      </c>
      <c r="E55" s="78">
        <f t="shared" si="123"/>
        <v>113.8131364</v>
      </c>
      <c r="F55" s="37">
        <f t="shared" si="124"/>
        <v>1.42739555</v>
      </c>
      <c r="G55" s="36">
        <f t="shared" si="125"/>
        <v>1.42854035</v>
      </c>
      <c r="H55" s="76">
        <f t="shared" si="126"/>
        <v>7.4027327586910279E-3</v>
      </c>
      <c r="I55" s="77">
        <f t="shared" si="127"/>
        <v>7.3696149033877821E-3</v>
      </c>
      <c r="J55">
        <f t="shared" si="128"/>
        <v>0.59547892480000009</v>
      </c>
      <c r="K55" s="78">
        <f t="shared" si="129"/>
        <v>0.59594974280000002</v>
      </c>
      <c r="L55" s="75">
        <f t="shared" si="130"/>
        <v>1.7790840000000002E-2</v>
      </c>
      <c r="M55" s="77">
        <f t="shared" si="131"/>
        <v>1.7814440000000001E-2</v>
      </c>
      <c r="N55" s="16">
        <f t="shared" si="132"/>
        <v>33.471096631749823</v>
      </c>
      <c r="O55" s="32">
        <f t="shared" si="133"/>
        <v>33.453184203376587</v>
      </c>
      <c r="P55" s="46">
        <f t="shared" si="138"/>
        <v>2.2108452380179038E-4</v>
      </c>
      <c r="Q55" s="46">
        <f t="shared" si="139"/>
        <v>2.6808626914897726E-3</v>
      </c>
      <c r="R55" s="46">
        <f t="shared" si="140"/>
        <v>-4.434765591055623E-4</v>
      </c>
      <c r="S55" s="58">
        <f t="shared" si="142"/>
        <v>0.48312487822974365</v>
      </c>
      <c r="T55" s="50">
        <f>S55+Data!D$8</f>
        <v>0.9831248782297437</v>
      </c>
      <c r="U55" s="51">
        <f t="shared" si="134"/>
        <v>2.6946130963094754E-3</v>
      </c>
      <c r="V55" s="45">
        <f t="shared" si="121"/>
        <v>14</v>
      </c>
      <c r="W55" s="115">
        <f>(B$8-B55)*((S55*P55+S55*Q55*U55-R55*(1-S55-Data!D$8))/(1+U55*N55))</f>
        <v>1.2964897745315325E-2</v>
      </c>
      <c r="X55" s="49">
        <f t="shared" si="141"/>
        <v>0.47664242935708595</v>
      </c>
      <c r="Y55" s="31">
        <f>1-('MBal_Som_Saturated-Res'!F$8*X55)/(F55*(1-Data!D$8))</f>
        <v>3.7540497246148941E-2</v>
      </c>
      <c r="Z55" s="53">
        <f t="shared" si="135"/>
        <v>0.10752219535439181</v>
      </c>
      <c r="AA55" s="117">
        <f>104192636.6824*EXP(-24.7967*(X55+Data!D$8))</f>
        <v>3.1645091937105565E-3</v>
      </c>
      <c r="AB55" s="86">
        <f t="shared" si="136"/>
        <v>636.65442736850014</v>
      </c>
    </row>
    <row r="56" spans="1:28" x14ac:dyDescent="0.25">
      <c r="A56" s="40"/>
      <c r="C56" s="26"/>
      <c r="D56" s="56"/>
      <c r="E56" s="30"/>
      <c r="F56" s="7"/>
      <c r="G56" s="26"/>
      <c r="H56" s="7"/>
      <c r="I56" s="26"/>
      <c r="J56" s="16"/>
      <c r="K56" s="16"/>
      <c r="L56" s="16"/>
      <c r="M56" s="16"/>
      <c r="N56" s="16"/>
      <c r="O56" s="32"/>
      <c r="P56" s="46"/>
      <c r="Q56" s="46"/>
      <c r="R56" s="46"/>
      <c r="S56" s="58"/>
      <c r="T56" s="50"/>
      <c r="U56" s="51"/>
      <c r="V56" s="45"/>
      <c r="W56" s="52"/>
      <c r="X56" s="58"/>
      <c r="Y56" s="31"/>
      <c r="Z56" s="31"/>
      <c r="AA56" s="51"/>
      <c r="AB56" s="54"/>
    </row>
    <row r="57" spans="1:28" ht="15.75" x14ac:dyDescent="0.25">
      <c r="A57" s="40"/>
      <c r="B57" s="39">
        <v>2260</v>
      </c>
      <c r="C57" s="26">
        <f>B$55-(B$55-B57)/2</f>
        <v>2270</v>
      </c>
      <c r="D57">
        <f t="shared" ref="D57:D68" si="143">0.04285545*B57 + 15.6741559</f>
        <v>112.52747290000001</v>
      </c>
      <c r="E57" s="78">
        <f t="shared" ref="E57:E68" si="144">0.04285545*C57 + 15.6741559</f>
        <v>112.95602740000001</v>
      </c>
      <c r="F57" s="37">
        <f t="shared" ref="F57:F68" si="145">0.00011448*B57 + 1.16638115</f>
        <v>1.4251059500000001</v>
      </c>
      <c r="G57" s="36">
        <f t="shared" ref="G57:G68" si="146">0.00011448*C57 + 1.16638115</f>
        <v>1.4262507500000001</v>
      </c>
      <c r="H57" s="76">
        <f t="shared" ref="H57:H68" si="147">20.40472*B57^(-1.02454)</f>
        <v>7.4698585729011625E-3</v>
      </c>
      <c r="I57" s="77">
        <f t="shared" ref="I57:I68" si="148">20.40472*C57^(-1.02454)</f>
        <v>7.4361459974265041E-3</v>
      </c>
      <c r="J57">
        <f t="shared" ref="J57:J68" si="149">0.0000000907*B57^2 - 0.0003674172*B57 + 0.9616952608</f>
        <v>0.5945917087999999</v>
      </c>
      <c r="K57" s="78">
        <f t="shared" ref="K57:K68" si="150">0.0000000907*C57^2 - 0.0003674172*C57 + 0.9616952608</f>
        <v>0.59502624680000005</v>
      </c>
      <c r="L57" s="75">
        <f t="shared" ref="L57:L68" si="151">0.00000236*B57 + 0.01241004</f>
        <v>1.7743640000000001E-2</v>
      </c>
      <c r="M57" s="77">
        <f t="shared" ref="M57:M68" si="152">0.00000236*C57 + 0.01241004</f>
        <v>1.776724E-2</v>
      </c>
      <c r="N57" s="16">
        <f t="shared" ref="N57:N68" si="153">J57/L57</f>
        <v>33.510131449916692</v>
      </c>
      <c r="O57" s="32">
        <f t="shared" ref="O57:O68" si="154">K57/M57</f>
        <v>33.49007762601282</v>
      </c>
      <c r="P57" s="46">
        <f>I57*(E$55-E57)/(G57*(C$55-C57))</f>
        <v>2.2343853840946934E-4</v>
      </c>
      <c r="Q57" s="46">
        <f>O57*(G$55-G57)/(G57*(C$55-C57))</f>
        <v>2.6881276568133379E-3</v>
      </c>
      <c r="R57" s="46">
        <f>(I$55-I57)/(I57*(C$55-C57))</f>
        <v>-4.4734929936654706E-4</v>
      </c>
      <c r="S57" s="49">
        <f>X55</f>
        <v>0.47664242935708595</v>
      </c>
      <c r="T57" s="50">
        <f>S57+Data!D$8</f>
        <v>0.97664242935708589</v>
      </c>
      <c r="U57" s="51">
        <f t="shared" ref="U57:U68" si="155">104192636.6824*EXP(-24.7967*T57)</f>
        <v>3.1645091937105565E-3</v>
      </c>
      <c r="V57" s="45">
        <f>V43+1</f>
        <v>1</v>
      </c>
      <c r="W57" s="52">
        <f>(B$8-B57)*((S57*P57+S57*Q57*U57-R57*(1-S57-Data!D$8))/(1+U57*N57))</f>
        <v>1.531635088744618E-2</v>
      </c>
      <c r="X57" s="58">
        <f>S$57-W57</f>
        <v>0.46132607846963974</v>
      </c>
      <c r="Y57" s="31">
        <f>1-('MBal_Som_Saturated-Res'!F$8*X57)/(F57*(1-Data!D$8))</f>
        <v>6.6971400067343589E-2</v>
      </c>
      <c r="Z57" s="31">
        <f t="shared" ref="Z57:Z68" si="156">Z$8+Y57*(1-Z$8)</f>
        <v>0.13481313846778292</v>
      </c>
      <c r="AA57" s="51">
        <f>104192636.6824*EXP(-24.7967*(X57+Data!D$8))</f>
        <v>4.6264643105654053E-3</v>
      </c>
      <c r="AB57" s="3">
        <f t="shared" ref="AB57:AB68" si="157">5.615*D57</f>
        <v>631.84176033350002</v>
      </c>
    </row>
    <row r="58" spans="1:28" ht="15.75" x14ac:dyDescent="0.25">
      <c r="A58" s="40"/>
      <c r="B58" s="39">
        <v>2260</v>
      </c>
      <c r="C58" s="26">
        <f t="shared" ref="C58:C68" si="158">B$55-(B$55-B58)/2</f>
        <v>2270</v>
      </c>
      <c r="D58">
        <f t="shared" si="143"/>
        <v>112.52747290000001</v>
      </c>
      <c r="E58" s="78">
        <f t="shared" si="144"/>
        <v>112.95602740000001</v>
      </c>
      <c r="F58" s="37">
        <f t="shared" si="145"/>
        <v>1.4251059500000001</v>
      </c>
      <c r="G58" s="36">
        <f t="shared" si="146"/>
        <v>1.4262507500000001</v>
      </c>
      <c r="H58" s="76">
        <f t="shared" si="147"/>
        <v>7.4698585729011625E-3</v>
      </c>
      <c r="I58" s="77">
        <f t="shared" si="148"/>
        <v>7.4361459974265041E-3</v>
      </c>
      <c r="J58">
        <f t="shared" si="149"/>
        <v>0.5945917087999999</v>
      </c>
      <c r="K58" s="78">
        <f t="shared" si="150"/>
        <v>0.59502624680000005</v>
      </c>
      <c r="L58" s="75">
        <f t="shared" si="151"/>
        <v>1.7743640000000001E-2</v>
      </c>
      <c r="M58" s="77">
        <f t="shared" si="152"/>
        <v>1.776724E-2</v>
      </c>
      <c r="N58" s="16">
        <f t="shared" si="153"/>
        <v>33.510131449916692</v>
      </c>
      <c r="O58" s="32">
        <f t="shared" si="154"/>
        <v>33.49007762601282</v>
      </c>
      <c r="P58" s="46">
        <f t="shared" ref="P58:P68" si="159">I58*(E$55-E58)/(G58*(C$55-C58))</f>
        <v>2.2343853840946934E-4</v>
      </c>
      <c r="Q58" s="46">
        <f t="shared" ref="Q58:Q68" si="160">O58*(G$55-G58)/(G58*(C$55-C58))</f>
        <v>2.6881276568133379E-3</v>
      </c>
      <c r="R58" s="46">
        <f t="shared" ref="R58:R68" si="161">(I$55-I58)/(I58*(C$55-C58))</f>
        <v>-4.4734929936654706E-4</v>
      </c>
      <c r="S58" s="58">
        <f>S$57-W57/2</f>
        <v>0.46898425391336285</v>
      </c>
      <c r="T58" s="50">
        <f>S58+Data!D$8</f>
        <v>0.96898425391336285</v>
      </c>
      <c r="U58" s="51">
        <f t="shared" si="155"/>
        <v>3.8262891742729078E-3</v>
      </c>
      <c r="V58" s="45">
        <f t="shared" si="121"/>
        <v>2</v>
      </c>
      <c r="W58" s="52">
        <f>(B$8-B58)*((S58*P58+S58*Q58*U58-R58*(1-S58-Data!D$8))/(1+U58*N58))</f>
        <v>1.5323517714726887E-2</v>
      </c>
      <c r="X58" s="58">
        <f t="shared" ref="X58:X68" si="162">S$57-W58</f>
        <v>0.46131891164235905</v>
      </c>
      <c r="Y58" s="31">
        <f>1-('MBal_Som_Saturated-Res'!F$8*X58)/(F58*(1-Data!D$8))</f>
        <v>6.6985894922795608E-2</v>
      </c>
      <c r="Z58" s="31">
        <f t="shared" si="156"/>
        <v>0.13482657938320372</v>
      </c>
      <c r="AA58" s="51">
        <f>104192636.6824*EXP(-24.7967*(X58+Data!D$8))</f>
        <v>4.627286569559976E-3</v>
      </c>
      <c r="AB58" s="3">
        <f t="shared" si="157"/>
        <v>631.84176033350002</v>
      </c>
    </row>
    <row r="59" spans="1:28" ht="15.75" x14ac:dyDescent="0.25">
      <c r="A59" s="40"/>
      <c r="B59" s="39">
        <v>2260</v>
      </c>
      <c r="C59" s="26">
        <f t="shared" si="158"/>
        <v>2270</v>
      </c>
      <c r="D59">
        <f t="shared" si="143"/>
        <v>112.52747290000001</v>
      </c>
      <c r="E59" s="78">
        <f t="shared" si="144"/>
        <v>112.95602740000001</v>
      </c>
      <c r="F59" s="37">
        <f t="shared" si="145"/>
        <v>1.4251059500000001</v>
      </c>
      <c r="G59" s="36">
        <f t="shared" si="146"/>
        <v>1.4262507500000001</v>
      </c>
      <c r="H59" s="76">
        <f t="shared" si="147"/>
        <v>7.4698585729011625E-3</v>
      </c>
      <c r="I59" s="77">
        <f t="shared" si="148"/>
        <v>7.4361459974265041E-3</v>
      </c>
      <c r="J59">
        <f t="shared" si="149"/>
        <v>0.5945917087999999</v>
      </c>
      <c r="K59" s="78">
        <f t="shared" si="150"/>
        <v>0.59502624680000005</v>
      </c>
      <c r="L59" s="75">
        <f t="shared" si="151"/>
        <v>1.7743640000000001E-2</v>
      </c>
      <c r="M59" s="77">
        <f t="shared" si="152"/>
        <v>1.776724E-2</v>
      </c>
      <c r="N59" s="16">
        <f t="shared" si="153"/>
        <v>33.510131449916692</v>
      </c>
      <c r="O59" s="32">
        <f t="shared" si="154"/>
        <v>33.49007762601282</v>
      </c>
      <c r="P59" s="46">
        <f t="shared" si="159"/>
        <v>2.2343853840946934E-4</v>
      </c>
      <c r="Q59" s="46">
        <f t="shared" si="160"/>
        <v>2.6881276568133379E-3</v>
      </c>
      <c r="R59" s="46">
        <f t="shared" si="161"/>
        <v>-4.4734929936654706E-4</v>
      </c>
      <c r="S59" s="58">
        <f t="shared" ref="S59:S68" si="163">S$57-W58/2</f>
        <v>0.46898067049972253</v>
      </c>
      <c r="T59" s="50">
        <f>S59+Data!D$8</f>
        <v>0.96898067049972259</v>
      </c>
      <c r="U59" s="51">
        <f t="shared" si="155"/>
        <v>3.8266291813168771E-3</v>
      </c>
      <c r="V59" s="45">
        <f t="shared" si="121"/>
        <v>3</v>
      </c>
      <c r="W59" s="52">
        <f>(B$8-B59)*((S59*P59+S59*Q59*U59-R59*(1-S59-Data!D$8))/(1+U59*N59))</f>
        <v>1.5323511146377641E-2</v>
      </c>
      <c r="X59" s="58">
        <f t="shared" si="162"/>
        <v>0.46131891821070831</v>
      </c>
      <c r="Y59" s="31">
        <f>1-('MBal_Som_Saturated-Res'!F$8*X59)/(F59*(1-Data!D$8))</f>
        <v>6.6985881638357503E-2</v>
      </c>
      <c r="Z59" s="31">
        <f t="shared" si="156"/>
        <v>0.13482656706469462</v>
      </c>
      <c r="AA59" s="51">
        <f>104192636.6824*EXP(-24.7967*(X59+Data!D$8))</f>
        <v>4.6272858158982145E-3</v>
      </c>
      <c r="AB59" s="3">
        <f t="shared" si="157"/>
        <v>631.84176033350002</v>
      </c>
    </row>
    <row r="60" spans="1:28" ht="15.75" x14ac:dyDescent="0.25">
      <c r="A60" s="40"/>
      <c r="B60" s="39">
        <v>2260</v>
      </c>
      <c r="C60" s="26">
        <f t="shared" si="158"/>
        <v>2270</v>
      </c>
      <c r="D60">
        <f t="shared" si="143"/>
        <v>112.52747290000001</v>
      </c>
      <c r="E60" s="78">
        <f t="shared" si="144"/>
        <v>112.95602740000001</v>
      </c>
      <c r="F60" s="37">
        <f t="shared" si="145"/>
        <v>1.4251059500000001</v>
      </c>
      <c r="G60" s="36">
        <f t="shared" si="146"/>
        <v>1.4262507500000001</v>
      </c>
      <c r="H60" s="76">
        <f t="shared" si="147"/>
        <v>7.4698585729011625E-3</v>
      </c>
      <c r="I60" s="77">
        <f t="shared" si="148"/>
        <v>7.4361459974265041E-3</v>
      </c>
      <c r="J60">
        <f t="shared" si="149"/>
        <v>0.5945917087999999</v>
      </c>
      <c r="K60" s="78">
        <f t="shared" si="150"/>
        <v>0.59502624680000005</v>
      </c>
      <c r="L60" s="75">
        <f t="shared" si="151"/>
        <v>1.7743640000000001E-2</v>
      </c>
      <c r="M60" s="77">
        <f t="shared" si="152"/>
        <v>1.776724E-2</v>
      </c>
      <c r="N60" s="16">
        <f t="shared" si="153"/>
        <v>33.510131449916692</v>
      </c>
      <c r="O60" s="32">
        <f t="shared" si="154"/>
        <v>33.49007762601282</v>
      </c>
      <c r="P60" s="46">
        <f t="shared" si="159"/>
        <v>2.2343853840946934E-4</v>
      </c>
      <c r="Q60" s="46">
        <f t="shared" si="160"/>
        <v>2.6881276568133379E-3</v>
      </c>
      <c r="R60" s="46">
        <f t="shared" si="161"/>
        <v>-4.4734929936654706E-4</v>
      </c>
      <c r="S60" s="58">
        <f t="shared" si="163"/>
        <v>0.46898067378389713</v>
      </c>
      <c r="T60" s="50">
        <f>S60+Data!D$8</f>
        <v>0.96898067378389707</v>
      </c>
      <c r="U60" s="51">
        <f t="shared" si="155"/>
        <v>3.8266288696888816E-3</v>
      </c>
      <c r="V60" s="45">
        <f t="shared" si="121"/>
        <v>4</v>
      </c>
      <c r="W60" s="52">
        <f>(B$8-B60)*((S60*P60+S60*Q60*U60-R60*(1-S60-Data!D$8))/(1+U60*N60))</f>
        <v>1.5323511152401929E-2</v>
      </c>
      <c r="X60" s="58">
        <f t="shared" si="162"/>
        <v>0.46131891820468401</v>
      </c>
      <c r="Y60" s="31">
        <f>1-('MBal_Som_Saturated-Res'!F$8*X60)/(F60*(1-Data!D$8))</f>
        <v>6.6985881650541534E-2</v>
      </c>
      <c r="Z60" s="31">
        <f t="shared" si="156"/>
        <v>0.13482656707599272</v>
      </c>
      <c r="AA60" s="51">
        <f>104192636.6824*EXP(-24.7967*(X60+Data!D$8))</f>
        <v>4.6272858165894428E-3</v>
      </c>
      <c r="AB60" s="3">
        <f t="shared" si="157"/>
        <v>631.84176033350002</v>
      </c>
    </row>
    <row r="61" spans="1:28" ht="15.75" x14ac:dyDescent="0.25">
      <c r="A61" s="40"/>
      <c r="B61" s="39">
        <v>2260</v>
      </c>
      <c r="C61" s="26">
        <f t="shared" si="158"/>
        <v>2270</v>
      </c>
      <c r="D61">
        <f t="shared" si="143"/>
        <v>112.52747290000001</v>
      </c>
      <c r="E61" s="78">
        <f t="shared" si="144"/>
        <v>112.95602740000001</v>
      </c>
      <c r="F61" s="37">
        <f t="shared" si="145"/>
        <v>1.4251059500000001</v>
      </c>
      <c r="G61" s="36">
        <f t="shared" si="146"/>
        <v>1.4262507500000001</v>
      </c>
      <c r="H61" s="76">
        <f t="shared" si="147"/>
        <v>7.4698585729011625E-3</v>
      </c>
      <c r="I61" s="77">
        <f t="shared" si="148"/>
        <v>7.4361459974265041E-3</v>
      </c>
      <c r="J61">
        <f t="shared" si="149"/>
        <v>0.5945917087999999</v>
      </c>
      <c r="K61" s="78">
        <f t="shared" si="150"/>
        <v>0.59502624680000005</v>
      </c>
      <c r="L61" s="75">
        <f t="shared" si="151"/>
        <v>1.7743640000000001E-2</v>
      </c>
      <c r="M61" s="77">
        <f t="shared" si="152"/>
        <v>1.776724E-2</v>
      </c>
      <c r="N61" s="16">
        <f t="shared" si="153"/>
        <v>33.510131449916692</v>
      </c>
      <c r="O61" s="32">
        <f t="shared" si="154"/>
        <v>33.49007762601282</v>
      </c>
      <c r="P61" s="46">
        <f t="shared" si="159"/>
        <v>2.2343853840946934E-4</v>
      </c>
      <c r="Q61" s="46">
        <f t="shared" si="160"/>
        <v>2.6881276568133379E-3</v>
      </c>
      <c r="R61" s="46">
        <f t="shared" si="161"/>
        <v>-4.4734929936654706E-4</v>
      </c>
      <c r="S61" s="58">
        <f t="shared" si="163"/>
        <v>0.46898067378088498</v>
      </c>
      <c r="T61" s="50">
        <f>S61+Data!D$8</f>
        <v>0.96898067378088504</v>
      </c>
      <c r="U61" s="51">
        <f t="shared" si="155"/>
        <v>3.8266288699746877E-3</v>
      </c>
      <c r="V61" s="45">
        <f t="shared" si="121"/>
        <v>5</v>
      </c>
      <c r="W61" s="52">
        <f>(B$8-B61)*((S61*P61+S61*Q61*U61-R61*(1-S61-Data!D$8))/(1+U61*N61))</f>
        <v>1.5323511152396406E-2</v>
      </c>
      <c r="X61" s="58">
        <f t="shared" si="162"/>
        <v>0.46131891820468957</v>
      </c>
      <c r="Y61" s="31">
        <f>1-('MBal_Som_Saturated-Res'!F$8*X61)/(F61*(1-Data!D$8))</f>
        <v>6.6985881650530321E-2</v>
      </c>
      <c r="Z61" s="31">
        <f t="shared" si="156"/>
        <v>0.13482656707598234</v>
      </c>
      <c r="AA61" s="51">
        <f>104192636.6824*EXP(-24.7967*(X61+Data!D$8))</f>
        <v>4.6272858165888175E-3</v>
      </c>
      <c r="AB61" s="3">
        <f t="shared" si="157"/>
        <v>631.84176033350002</v>
      </c>
    </row>
    <row r="62" spans="1:28" ht="15.75" x14ac:dyDescent="0.25">
      <c r="A62" s="40"/>
      <c r="B62" s="39">
        <v>2260</v>
      </c>
      <c r="C62" s="26">
        <f t="shared" si="158"/>
        <v>2270</v>
      </c>
      <c r="D62">
        <f t="shared" si="143"/>
        <v>112.52747290000001</v>
      </c>
      <c r="E62" s="78">
        <f t="shared" si="144"/>
        <v>112.95602740000001</v>
      </c>
      <c r="F62" s="37">
        <f t="shared" si="145"/>
        <v>1.4251059500000001</v>
      </c>
      <c r="G62" s="36">
        <f t="shared" si="146"/>
        <v>1.4262507500000001</v>
      </c>
      <c r="H62" s="76">
        <f t="shared" si="147"/>
        <v>7.4698585729011625E-3</v>
      </c>
      <c r="I62" s="77">
        <f t="shared" si="148"/>
        <v>7.4361459974265041E-3</v>
      </c>
      <c r="J62">
        <f t="shared" si="149"/>
        <v>0.5945917087999999</v>
      </c>
      <c r="K62" s="78">
        <f t="shared" si="150"/>
        <v>0.59502624680000005</v>
      </c>
      <c r="L62" s="75">
        <f t="shared" si="151"/>
        <v>1.7743640000000001E-2</v>
      </c>
      <c r="M62" s="77">
        <f t="shared" si="152"/>
        <v>1.776724E-2</v>
      </c>
      <c r="N62" s="16">
        <f t="shared" si="153"/>
        <v>33.510131449916692</v>
      </c>
      <c r="O62" s="32">
        <f t="shared" si="154"/>
        <v>33.49007762601282</v>
      </c>
      <c r="P62" s="46">
        <f t="shared" si="159"/>
        <v>2.2343853840946934E-4</v>
      </c>
      <c r="Q62" s="46">
        <f t="shared" si="160"/>
        <v>2.6881276568133379E-3</v>
      </c>
      <c r="R62" s="46">
        <f t="shared" si="161"/>
        <v>-4.4734929936654706E-4</v>
      </c>
      <c r="S62" s="58">
        <f t="shared" si="163"/>
        <v>0.46898067378088776</v>
      </c>
      <c r="T62" s="50">
        <f>S62+Data!D$8</f>
        <v>0.9689806737808877</v>
      </c>
      <c r="U62" s="51">
        <f t="shared" si="155"/>
        <v>3.8266288699744288E-3</v>
      </c>
      <c r="V62" s="45">
        <f t="shared" si="121"/>
        <v>6</v>
      </c>
      <c r="W62" s="52">
        <f>(B$8-B62)*((S62*P62+S62*Q62*U62-R62*(1-S62-Data!D$8))/(1+U62*N62))</f>
        <v>1.5323511152396416E-2</v>
      </c>
      <c r="X62" s="58">
        <f t="shared" si="162"/>
        <v>0.46131891820468951</v>
      </c>
      <c r="Y62" s="31">
        <f>1-('MBal_Som_Saturated-Res'!F$8*X62)/(F62*(1-Data!D$8))</f>
        <v>6.6985881650530432E-2</v>
      </c>
      <c r="Z62" s="31">
        <f t="shared" si="156"/>
        <v>0.13482656707598242</v>
      </c>
      <c r="AA62" s="117">
        <f>104192636.6824*EXP(-24.7967*(X62+Data!D$8))</f>
        <v>4.6272858165888175E-3</v>
      </c>
      <c r="AB62" s="3">
        <f t="shared" si="157"/>
        <v>631.84176033350002</v>
      </c>
    </row>
    <row r="63" spans="1:28" ht="15.75" x14ac:dyDescent="0.25">
      <c r="A63" s="40"/>
      <c r="B63" s="39">
        <v>2260</v>
      </c>
      <c r="C63" s="26">
        <f t="shared" si="158"/>
        <v>2270</v>
      </c>
      <c r="D63">
        <f t="shared" si="143"/>
        <v>112.52747290000001</v>
      </c>
      <c r="E63" s="78">
        <f t="shared" si="144"/>
        <v>112.95602740000001</v>
      </c>
      <c r="F63" s="37">
        <f t="shared" si="145"/>
        <v>1.4251059500000001</v>
      </c>
      <c r="G63" s="36">
        <f t="shared" si="146"/>
        <v>1.4262507500000001</v>
      </c>
      <c r="H63" s="76">
        <f t="shared" si="147"/>
        <v>7.4698585729011625E-3</v>
      </c>
      <c r="I63" s="77">
        <f t="shared" si="148"/>
        <v>7.4361459974265041E-3</v>
      </c>
      <c r="J63">
        <f t="shared" si="149"/>
        <v>0.5945917087999999</v>
      </c>
      <c r="K63" s="78">
        <f t="shared" si="150"/>
        <v>0.59502624680000005</v>
      </c>
      <c r="L63" s="75">
        <f t="shared" si="151"/>
        <v>1.7743640000000001E-2</v>
      </c>
      <c r="M63" s="77">
        <f t="shared" si="152"/>
        <v>1.776724E-2</v>
      </c>
      <c r="N63" s="16">
        <f t="shared" si="153"/>
        <v>33.510131449916692</v>
      </c>
      <c r="O63" s="32">
        <f t="shared" si="154"/>
        <v>33.49007762601282</v>
      </c>
      <c r="P63" s="46">
        <f t="shared" si="159"/>
        <v>2.2343853840946934E-4</v>
      </c>
      <c r="Q63" s="46">
        <f t="shared" si="160"/>
        <v>2.6881276568133379E-3</v>
      </c>
      <c r="R63" s="46">
        <f t="shared" si="161"/>
        <v>-4.4734929936654706E-4</v>
      </c>
      <c r="S63" s="58">
        <f t="shared" si="163"/>
        <v>0.46898067378088776</v>
      </c>
      <c r="T63" s="50">
        <f>S63+Data!D$8</f>
        <v>0.9689806737808877</v>
      </c>
      <c r="U63" s="51">
        <f t="shared" si="155"/>
        <v>3.8266288699744288E-3</v>
      </c>
      <c r="V63" s="45">
        <f t="shared" si="121"/>
        <v>7</v>
      </c>
      <c r="W63" s="52">
        <f>(B$8-B63)*((S63*P63+S63*Q63*U63-R63*(1-S63-Data!D$8))/(1+U63*N63))</f>
        <v>1.5323511152396416E-2</v>
      </c>
      <c r="X63" s="58">
        <f t="shared" si="162"/>
        <v>0.46131891820468951</v>
      </c>
      <c r="Y63" s="31">
        <f>1-('MBal_Som_Saturated-Res'!F$8*X63)/(F63*(1-Data!D$8))</f>
        <v>6.6985881650530432E-2</v>
      </c>
      <c r="Z63" s="31">
        <f t="shared" si="156"/>
        <v>0.13482656707598242</v>
      </c>
      <c r="AA63" s="117">
        <f>104192636.6824*EXP(-24.7967*(X63+Data!D$8))</f>
        <v>4.6272858165888175E-3</v>
      </c>
      <c r="AB63" s="3">
        <f t="shared" si="157"/>
        <v>631.84176033350002</v>
      </c>
    </row>
    <row r="64" spans="1:28" ht="15.75" x14ac:dyDescent="0.25">
      <c r="A64" s="40"/>
      <c r="B64" s="39">
        <v>2260</v>
      </c>
      <c r="C64" s="26">
        <f t="shared" si="158"/>
        <v>2270</v>
      </c>
      <c r="D64">
        <f t="shared" si="143"/>
        <v>112.52747290000001</v>
      </c>
      <c r="E64" s="78">
        <f t="shared" si="144"/>
        <v>112.95602740000001</v>
      </c>
      <c r="F64" s="37">
        <f t="shared" si="145"/>
        <v>1.4251059500000001</v>
      </c>
      <c r="G64" s="36">
        <f t="shared" si="146"/>
        <v>1.4262507500000001</v>
      </c>
      <c r="H64" s="76">
        <f t="shared" si="147"/>
        <v>7.4698585729011625E-3</v>
      </c>
      <c r="I64" s="77">
        <f t="shared" si="148"/>
        <v>7.4361459974265041E-3</v>
      </c>
      <c r="J64">
        <f t="shared" si="149"/>
        <v>0.5945917087999999</v>
      </c>
      <c r="K64" s="78">
        <f t="shared" si="150"/>
        <v>0.59502624680000005</v>
      </c>
      <c r="L64" s="75">
        <f t="shared" si="151"/>
        <v>1.7743640000000001E-2</v>
      </c>
      <c r="M64" s="77">
        <f t="shared" si="152"/>
        <v>1.776724E-2</v>
      </c>
      <c r="N64" s="16">
        <f t="shared" si="153"/>
        <v>33.510131449916692</v>
      </c>
      <c r="O64" s="32">
        <f t="shared" si="154"/>
        <v>33.49007762601282</v>
      </c>
      <c r="P64" s="46">
        <f t="shared" si="159"/>
        <v>2.2343853840946934E-4</v>
      </c>
      <c r="Q64" s="46">
        <f t="shared" si="160"/>
        <v>2.6881276568133379E-3</v>
      </c>
      <c r="R64" s="46">
        <f t="shared" si="161"/>
        <v>-4.4734929936654706E-4</v>
      </c>
      <c r="S64" s="58">
        <f t="shared" si="163"/>
        <v>0.46898067378088776</v>
      </c>
      <c r="T64" s="50">
        <f>S64+Data!D$8</f>
        <v>0.9689806737808877</v>
      </c>
      <c r="U64" s="51">
        <f t="shared" si="155"/>
        <v>3.8266288699744288E-3</v>
      </c>
      <c r="V64" s="45">
        <f t="shared" si="121"/>
        <v>8</v>
      </c>
      <c r="W64" s="52">
        <f>(B$8-B64)*((S64*P64+S64*Q64*U64-R64*(1-S64-Data!D$8))/(1+U64*N64))</f>
        <v>1.5323511152396416E-2</v>
      </c>
      <c r="X64" s="58">
        <f t="shared" si="162"/>
        <v>0.46131891820468951</v>
      </c>
      <c r="Y64" s="31">
        <f>1-('MBal_Som_Saturated-Res'!F$8*X64)/(F64*(1-Data!D$8))</f>
        <v>6.6985881650530432E-2</v>
      </c>
      <c r="Z64" s="31">
        <f t="shared" si="156"/>
        <v>0.13482656707598242</v>
      </c>
      <c r="AA64" s="117">
        <f>104192636.6824*EXP(-24.7967*(X64+Data!D$8))</f>
        <v>4.6272858165888175E-3</v>
      </c>
      <c r="AB64" s="3">
        <f t="shared" si="157"/>
        <v>631.84176033350002</v>
      </c>
    </row>
    <row r="65" spans="1:28" ht="15.75" x14ac:dyDescent="0.25">
      <c r="A65" s="40"/>
      <c r="B65" s="39">
        <v>2260</v>
      </c>
      <c r="C65" s="26">
        <f t="shared" si="158"/>
        <v>2270</v>
      </c>
      <c r="D65">
        <f t="shared" si="143"/>
        <v>112.52747290000001</v>
      </c>
      <c r="E65" s="78">
        <f t="shared" si="144"/>
        <v>112.95602740000001</v>
      </c>
      <c r="F65" s="37">
        <f t="shared" si="145"/>
        <v>1.4251059500000001</v>
      </c>
      <c r="G65" s="36">
        <f t="shared" si="146"/>
        <v>1.4262507500000001</v>
      </c>
      <c r="H65" s="76">
        <f t="shared" si="147"/>
        <v>7.4698585729011625E-3</v>
      </c>
      <c r="I65" s="77">
        <f t="shared" si="148"/>
        <v>7.4361459974265041E-3</v>
      </c>
      <c r="J65">
        <f t="shared" si="149"/>
        <v>0.5945917087999999</v>
      </c>
      <c r="K65" s="78">
        <f t="shared" si="150"/>
        <v>0.59502624680000005</v>
      </c>
      <c r="L65" s="75">
        <f t="shared" si="151"/>
        <v>1.7743640000000001E-2</v>
      </c>
      <c r="M65" s="77">
        <f t="shared" si="152"/>
        <v>1.776724E-2</v>
      </c>
      <c r="N65" s="16">
        <f t="shared" si="153"/>
        <v>33.510131449916692</v>
      </c>
      <c r="O65" s="32">
        <f t="shared" si="154"/>
        <v>33.49007762601282</v>
      </c>
      <c r="P65" s="46">
        <f t="shared" si="159"/>
        <v>2.2343853840946934E-4</v>
      </c>
      <c r="Q65" s="46">
        <f t="shared" si="160"/>
        <v>2.6881276568133379E-3</v>
      </c>
      <c r="R65" s="46">
        <f t="shared" si="161"/>
        <v>-4.4734929936654706E-4</v>
      </c>
      <c r="S65" s="58">
        <f t="shared" si="163"/>
        <v>0.46898067378088776</v>
      </c>
      <c r="T65" s="50">
        <f>S65+Data!D$8</f>
        <v>0.9689806737808877</v>
      </c>
      <c r="U65" s="51">
        <f t="shared" si="155"/>
        <v>3.8266288699744288E-3</v>
      </c>
      <c r="V65" s="45">
        <f t="shared" si="121"/>
        <v>9</v>
      </c>
      <c r="W65" s="52">
        <f>(B$8-B65)*((S65*P65+S65*Q65*U65-R65*(1-S65-Data!D$8))/(1+U65*N65))</f>
        <v>1.5323511152396416E-2</v>
      </c>
      <c r="X65" s="58">
        <f t="shared" si="162"/>
        <v>0.46131891820468951</v>
      </c>
      <c r="Y65" s="31">
        <f>1-('MBal_Som_Saturated-Res'!F$8*X65)/(F65*(1-Data!D$8))</f>
        <v>6.6985881650530432E-2</v>
      </c>
      <c r="Z65" s="53">
        <f t="shared" si="156"/>
        <v>0.13482656707598242</v>
      </c>
      <c r="AA65" s="118">
        <f>104192636.6824*EXP(-24.7967*(X65+Data!D$8))</f>
        <v>4.6272858165888175E-3</v>
      </c>
      <c r="AB65" s="3">
        <f t="shared" si="157"/>
        <v>631.84176033350002</v>
      </c>
    </row>
    <row r="66" spans="1:28" ht="15.75" x14ac:dyDescent="0.25">
      <c r="A66" s="40"/>
      <c r="B66" s="39">
        <v>2260</v>
      </c>
      <c r="C66" s="26">
        <f t="shared" si="158"/>
        <v>2270</v>
      </c>
      <c r="D66">
        <f t="shared" si="143"/>
        <v>112.52747290000001</v>
      </c>
      <c r="E66" s="78">
        <f t="shared" si="144"/>
        <v>112.95602740000001</v>
      </c>
      <c r="F66" s="37">
        <f t="shared" si="145"/>
        <v>1.4251059500000001</v>
      </c>
      <c r="G66" s="36">
        <f t="shared" si="146"/>
        <v>1.4262507500000001</v>
      </c>
      <c r="H66" s="76">
        <f t="shared" si="147"/>
        <v>7.4698585729011625E-3</v>
      </c>
      <c r="I66" s="77">
        <f t="shared" si="148"/>
        <v>7.4361459974265041E-3</v>
      </c>
      <c r="J66">
        <f t="shared" si="149"/>
        <v>0.5945917087999999</v>
      </c>
      <c r="K66" s="78">
        <f t="shared" si="150"/>
        <v>0.59502624680000005</v>
      </c>
      <c r="L66" s="75">
        <f t="shared" si="151"/>
        <v>1.7743640000000001E-2</v>
      </c>
      <c r="M66" s="77">
        <f t="shared" si="152"/>
        <v>1.776724E-2</v>
      </c>
      <c r="N66" s="16">
        <f t="shared" si="153"/>
        <v>33.510131449916692</v>
      </c>
      <c r="O66" s="32">
        <f t="shared" si="154"/>
        <v>33.49007762601282</v>
      </c>
      <c r="P66" s="46">
        <f t="shared" si="159"/>
        <v>2.2343853840946934E-4</v>
      </c>
      <c r="Q66" s="46">
        <f t="shared" si="160"/>
        <v>2.6881276568133379E-3</v>
      </c>
      <c r="R66" s="46">
        <f t="shared" si="161"/>
        <v>-4.4734929936654706E-4</v>
      </c>
      <c r="S66" s="58">
        <f t="shared" si="163"/>
        <v>0.46898067378088776</v>
      </c>
      <c r="T66" s="50">
        <f>S66+Data!D$8</f>
        <v>0.9689806737808877</v>
      </c>
      <c r="U66" s="51">
        <f t="shared" si="155"/>
        <v>3.8266288699744288E-3</v>
      </c>
      <c r="V66" s="45">
        <f t="shared" si="121"/>
        <v>10</v>
      </c>
      <c r="W66" s="52">
        <f>(B$8-B66)*((S66*P66+S66*Q66*U66-R66*(1-S66-Data!D$8))/(1+U66*N66))</f>
        <v>1.5323511152396416E-2</v>
      </c>
      <c r="X66" s="58">
        <f t="shared" si="162"/>
        <v>0.46131891820468951</v>
      </c>
      <c r="Y66" s="31">
        <f>1-('MBal_Som_Saturated-Res'!F$8*X66)/(F66*(1-Data!D$8))</f>
        <v>6.6985881650530432E-2</v>
      </c>
      <c r="Z66" s="31">
        <f t="shared" si="156"/>
        <v>0.13482656707598242</v>
      </c>
      <c r="AA66" s="117">
        <f>104192636.6824*EXP(-24.7967*(X66+Data!D$8))</f>
        <v>4.6272858165888175E-3</v>
      </c>
      <c r="AB66" s="3">
        <f t="shared" si="157"/>
        <v>631.84176033350002</v>
      </c>
    </row>
    <row r="67" spans="1:28" ht="15.75" x14ac:dyDescent="0.25">
      <c r="A67" s="40"/>
      <c r="B67" s="39">
        <v>2260</v>
      </c>
      <c r="C67" s="26">
        <f t="shared" si="158"/>
        <v>2270</v>
      </c>
      <c r="D67">
        <f t="shared" si="143"/>
        <v>112.52747290000001</v>
      </c>
      <c r="E67" s="78">
        <f t="shared" si="144"/>
        <v>112.95602740000001</v>
      </c>
      <c r="F67" s="37">
        <f t="shared" si="145"/>
        <v>1.4251059500000001</v>
      </c>
      <c r="G67" s="36">
        <f t="shared" si="146"/>
        <v>1.4262507500000001</v>
      </c>
      <c r="H67" s="76">
        <f t="shared" si="147"/>
        <v>7.4698585729011625E-3</v>
      </c>
      <c r="I67" s="77">
        <f t="shared" si="148"/>
        <v>7.4361459974265041E-3</v>
      </c>
      <c r="J67">
        <f t="shared" si="149"/>
        <v>0.5945917087999999</v>
      </c>
      <c r="K67" s="78">
        <f t="shared" si="150"/>
        <v>0.59502624680000005</v>
      </c>
      <c r="L67" s="75">
        <f t="shared" si="151"/>
        <v>1.7743640000000001E-2</v>
      </c>
      <c r="M67" s="77">
        <f t="shared" si="152"/>
        <v>1.776724E-2</v>
      </c>
      <c r="N67" s="16">
        <f t="shared" si="153"/>
        <v>33.510131449916692</v>
      </c>
      <c r="O67" s="32">
        <f t="shared" si="154"/>
        <v>33.49007762601282</v>
      </c>
      <c r="P67" s="46">
        <f t="shared" si="159"/>
        <v>2.2343853840946934E-4</v>
      </c>
      <c r="Q67" s="46">
        <f t="shared" si="160"/>
        <v>2.6881276568133379E-3</v>
      </c>
      <c r="R67" s="46">
        <f t="shared" si="161"/>
        <v>-4.4734929936654706E-4</v>
      </c>
      <c r="S67" s="58">
        <f t="shared" si="163"/>
        <v>0.46898067378088776</v>
      </c>
      <c r="T67" s="50">
        <f>S67+Data!D$8</f>
        <v>0.9689806737808877</v>
      </c>
      <c r="U67" s="51">
        <f t="shared" si="155"/>
        <v>3.8266288699744288E-3</v>
      </c>
      <c r="V67" s="45">
        <f t="shared" si="121"/>
        <v>11</v>
      </c>
      <c r="W67" s="52">
        <f>(B$8-B67)*((S67*P67+S67*Q67*U67-R67*(1-S67-Data!D$8))/(1+U67*N67))</f>
        <v>1.5323511152396416E-2</v>
      </c>
      <c r="X67" s="58">
        <f t="shared" si="162"/>
        <v>0.46131891820468951</v>
      </c>
      <c r="Y67" s="31">
        <f>1-('MBal_Som_Saturated-Res'!F$8*X67)/(F67*(1-Data!D$8))</f>
        <v>6.6985881650530432E-2</v>
      </c>
      <c r="Z67" s="53">
        <f t="shared" si="156"/>
        <v>0.13482656707598242</v>
      </c>
      <c r="AA67" s="118">
        <f>104192636.6824*EXP(-24.7967*(X67+Data!D$8))</f>
        <v>4.6272858165888175E-3</v>
      </c>
      <c r="AB67" s="3">
        <f t="shared" si="157"/>
        <v>631.84176033350002</v>
      </c>
    </row>
    <row r="68" spans="1:28" ht="15.75" x14ac:dyDescent="0.25">
      <c r="A68" s="40"/>
      <c r="B68" s="123">
        <v>2260</v>
      </c>
      <c r="C68" s="26">
        <f t="shared" si="158"/>
        <v>2270</v>
      </c>
      <c r="D68">
        <f t="shared" si="143"/>
        <v>112.52747290000001</v>
      </c>
      <c r="E68" s="78">
        <f t="shared" si="144"/>
        <v>112.95602740000001</v>
      </c>
      <c r="F68" s="37">
        <f t="shared" si="145"/>
        <v>1.4251059500000001</v>
      </c>
      <c r="G68" s="36">
        <f t="shared" si="146"/>
        <v>1.4262507500000001</v>
      </c>
      <c r="H68" s="76">
        <f t="shared" si="147"/>
        <v>7.4698585729011625E-3</v>
      </c>
      <c r="I68" s="77">
        <f t="shared" si="148"/>
        <v>7.4361459974265041E-3</v>
      </c>
      <c r="J68">
        <f t="shared" si="149"/>
        <v>0.5945917087999999</v>
      </c>
      <c r="K68" s="78">
        <f t="shared" si="150"/>
        <v>0.59502624680000005</v>
      </c>
      <c r="L68" s="75">
        <f t="shared" si="151"/>
        <v>1.7743640000000001E-2</v>
      </c>
      <c r="M68" s="77">
        <f t="shared" si="152"/>
        <v>1.776724E-2</v>
      </c>
      <c r="N68" s="16">
        <f t="shared" si="153"/>
        <v>33.510131449916692</v>
      </c>
      <c r="O68" s="32">
        <f t="shared" si="154"/>
        <v>33.49007762601282</v>
      </c>
      <c r="P68" s="46">
        <f t="shared" si="159"/>
        <v>2.2343853840946934E-4</v>
      </c>
      <c r="Q68" s="46">
        <f t="shared" si="160"/>
        <v>2.6881276568133379E-3</v>
      </c>
      <c r="R68" s="46">
        <f t="shared" si="161"/>
        <v>-4.4734929936654706E-4</v>
      </c>
      <c r="S68" s="58">
        <f t="shared" si="163"/>
        <v>0.46898067378088776</v>
      </c>
      <c r="T68" s="50">
        <f>S68+Data!D$8</f>
        <v>0.9689806737808877</v>
      </c>
      <c r="U68" s="51">
        <f t="shared" si="155"/>
        <v>3.8266288699744288E-3</v>
      </c>
      <c r="V68" s="45">
        <f t="shared" si="121"/>
        <v>12</v>
      </c>
      <c r="W68" s="115">
        <f>(B$8-B68)*((S68*P68+S68*Q68*U68-R68*(1-S68-Data!D$8))/(1+U68*N68))</f>
        <v>1.5323511152396416E-2</v>
      </c>
      <c r="X68" s="49">
        <f t="shared" si="162"/>
        <v>0.46131891820468951</v>
      </c>
      <c r="Y68" s="31">
        <f>1-('MBal_Som_Saturated-Res'!F$8*X68)/(F68*(1-Data!D$8))</f>
        <v>6.6985881650530432E-2</v>
      </c>
      <c r="Z68" s="53">
        <f t="shared" si="156"/>
        <v>0.13482656707598242</v>
      </c>
      <c r="AA68" s="117">
        <f>104192636.6824*EXP(-24.7967*(X68+Data!D$8))</f>
        <v>4.6272858165888175E-3</v>
      </c>
      <c r="AB68" s="86">
        <f t="shared" si="157"/>
        <v>631.84176033350002</v>
      </c>
    </row>
    <row r="69" spans="1:28" x14ac:dyDescent="0.25">
      <c r="A69" s="40"/>
      <c r="C69" s="26"/>
      <c r="D69" s="56"/>
      <c r="E69" s="30"/>
      <c r="F69" s="7"/>
      <c r="G69" s="26"/>
      <c r="H69" s="7"/>
      <c r="I69" s="26"/>
      <c r="J69" s="16"/>
      <c r="K69" s="16"/>
      <c r="L69" s="16"/>
      <c r="M69" s="16"/>
      <c r="N69" s="16"/>
      <c r="O69" s="32"/>
      <c r="P69" s="46"/>
      <c r="Q69" s="46"/>
      <c r="R69" s="46"/>
      <c r="S69" s="58"/>
      <c r="T69" s="50"/>
      <c r="U69" s="51"/>
      <c r="V69" s="45"/>
      <c r="W69" s="52"/>
      <c r="X69" s="58"/>
      <c r="Y69" s="31"/>
      <c r="Z69" s="31"/>
      <c r="AA69" s="51"/>
      <c r="AB69" s="54"/>
    </row>
    <row r="70" spans="1:28" ht="15.75" x14ac:dyDescent="0.25">
      <c r="A70" s="40"/>
      <c r="B70" s="1">
        <v>2240</v>
      </c>
      <c r="C70" s="26">
        <f>B$68-(B$68-B70)/2</f>
        <v>2250</v>
      </c>
      <c r="D70">
        <f t="shared" ref="D70:D81" si="164">0.04285545*B70 + 15.6741559</f>
        <v>111.67036390000001</v>
      </c>
      <c r="E70" s="78">
        <f t="shared" ref="E70:E81" si="165">0.04285545*C70 + 15.6741559</f>
        <v>112.09891840000002</v>
      </c>
      <c r="F70" s="37">
        <f t="shared" ref="F70" si="166">0.00011448*B70 + 1.16638115</f>
        <v>1.4228163500000002</v>
      </c>
      <c r="G70" s="36">
        <f t="shared" ref="G70" si="167">0.00011448*C70 + 1.16638115</f>
        <v>1.4239611500000002</v>
      </c>
      <c r="H70" s="76">
        <f t="shared" ref="H70" si="168">20.40472*B70^(-1.02454)</f>
        <v>7.5381979024622767E-3</v>
      </c>
      <c r="I70" s="77">
        <f t="shared" ref="I70" si="169">20.40472*C70^(-1.02454)</f>
        <v>7.5038745091379738E-3</v>
      </c>
      <c r="J70">
        <f t="shared" ref="J70" si="170">0.0000000907*B70^2 - 0.0003674172*B70 + 0.9616952608</f>
        <v>0.59377705280000004</v>
      </c>
      <c r="K70" s="78">
        <f t="shared" ref="K70" si="171">0.0000000907*C70^2 - 0.0003674172*C70 + 0.9616952608</f>
        <v>0.59417531080000008</v>
      </c>
      <c r="L70" s="75">
        <f t="shared" ref="L70" si="172">0.00000236*B70 + 0.01241004</f>
        <v>1.7696440000000001E-2</v>
      </c>
      <c r="M70" s="77">
        <f t="shared" ref="M70" si="173">0.00000236*C70 + 0.01241004</f>
        <v>1.7720039999999999E-2</v>
      </c>
      <c r="N70" s="16">
        <f t="shared" ref="N70" si="174">J70/L70</f>
        <v>33.553474755374531</v>
      </c>
      <c r="O70" s="32">
        <f t="shared" ref="O70" si="175">K70/M70</f>
        <v>33.531262389926887</v>
      </c>
      <c r="P70" s="46">
        <f>I70*(E$68-E70)/(G70*(C$68-C70))</f>
        <v>2.2583616051086416E-4</v>
      </c>
      <c r="Q70" s="46">
        <f>O70*(G$68-G70)/(G70*(C$68-C70))</f>
        <v>2.6957609892648039E-3</v>
      </c>
      <c r="R70" s="46">
        <f>(I$68-I70)/(I70*(C$68-C70))</f>
        <v>-4.5129027430424135E-4</v>
      </c>
      <c r="S70" s="33">
        <f>X68</f>
        <v>0.46131891820468951</v>
      </c>
      <c r="T70" s="50">
        <f>S70+Data!D$8</f>
        <v>0.96131891820468951</v>
      </c>
      <c r="U70" s="51">
        <f t="shared" ref="U70" si="176">104192636.6824*EXP(-24.7967*T70)</f>
        <v>4.6272858165888175E-3</v>
      </c>
      <c r="V70" s="45">
        <f>V43+1</f>
        <v>1</v>
      </c>
      <c r="W70" s="52">
        <f>(B$8-B70)*((S70*P70+S70*Q70*U70-R70*(1-S70-Data!D$8))/(1+U70*N70))</f>
        <v>1.7643576710231257E-2</v>
      </c>
      <c r="X70" s="58">
        <f>S$70-W70</f>
        <v>0.44367534149445825</v>
      </c>
      <c r="Y70" s="31">
        <f>1-('MBal_Som_Saturated-Res'!F$8*X70)/(F70*(1-Data!D$8))</f>
        <v>0.10122589965284801</v>
      </c>
      <c r="Z70" s="31">
        <f t="shared" si="18"/>
        <v>0.16657694827155345</v>
      </c>
      <c r="AA70" s="51">
        <f>104192636.6824*EXP(-24.7967*(X70+Data!D$8))</f>
        <v>7.1668982371005975E-3</v>
      </c>
      <c r="AB70" s="3">
        <f t="shared" si="14"/>
        <v>627.02909329850013</v>
      </c>
    </row>
    <row r="71" spans="1:28" ht="15.75" x14ac:dyDescent="0.25">
      <c r="A71" s="40"/>
      <c r="B71" s="1">
        <v>2240</v>
      </c>
      <c r="C71" s="26">
        <f t="shared" ref="C71:C81" si="177">B$68-(B$68-B71)/2</f>
        <v>2250</v>
      </c>
      <c r="D71">
        <f t="shared" si="164"/>
        <v>111.67036390000001</v>
      </c>
      <c r="E71" s="78">
        <f t="shared" si="165"/>
        <v>112.09891840000002</v>
      </c>
      <c r="F71" s="37">
        <f t="shared" ref="F71:F72" si="178">0.00011448*B71 + 1.16638115</f>
        <v>1.4228163500000002</v>
      </c>
      <c r="G71" s="36">
        <f t="shared" ref="G71:G72" si="179">0.00011448*C71 + 1.16638115</f>
        <v>1.4239611500000002</v>
      </c>
      <c r="H71" s="76">
        <f t="shared" ref="H71:H72" si="180">20.40472*B71^(-1.02454)</f>
        <v>7.5381979024622767E-3</v>
      </c>
      <c r="I71" s="77">
        <f t="shared" ref="I71:I72" si="181">20.40472*C71^(-1.02454)</f>
        <v>7.5038745091379738E-3</v>
      </c>
      <c r="J71">
        <f t="shared" ref="J71:J72" si="182">0.0000000907*B71^2 - 0.0003674172*B71 + 0.9616952608</f>
        <v>0.59377705280000004</v>
      </c>
      <c r="K71" s="78">
        <f t="shared" ref="K71:K72" si="183">0.0000000907*C71^2 - 0.0003674172*C71 + 0.9616952608</f>
        <v>0.59417531080000008</v>
      </c>
      <c r="L71" s="75">
        <f t="shared" ref="L71:L72" si="184">0.00000236*B71 + 0.01241004</f>
        <v>1.7696440000000001E-2</v>
      </c>
      <c r="M71" s="77">
        <f t="shared" ref="M71:M72" si="185">0.00000236*C71 + 0.01241004</f>
        <v>1.7720039999999999E-2</v>
      </c>
      <c r="N71" s="16">
        <f t="shared" ref="N71:N72" si="186">J71/L71</f>
        <v>33.553474755374531</v>
      </c>
      <c r="O71" s="32">
        <f t="shared" ref="O71:O72" si="187">K71/M71</f>
        <v>33.531262389926887</v>
      </c>
      <c r="P71" s="46">
        <f t="shared" ref="P71:P81" si="188">I71*(E$68-E71)/(G71*(C$68-C71))</f>
        <v>2.2583616051086416E-4</v>
      </c>
      <c r="Q71" s="46">
        <f t="shared" ref="Q71:Q81" si="189">O71*(G$68-G71)/(G71*(C$68-C71))</f>
        <v>2.6957609892648039E-3</v>
      </c>
      <c r="R71" s="46">
        <f t="shared" ref="R71:R81" si="190">(I$68-I71)/(I71*(C$68-C71))</f>
        <v>-4.5129027430424135E-4</v>
      </c>
      <c r="S71" s="58">
        <f>S$70-W70/2</f>
        <v>0.45249712984957391</v>
      </c>
      <c r="T71" s="50">
        <f>S71+Data!D$8</f>
        <v>0.95249712984957391</v>
      </c>
      <c r="U71" s="51">
        <f t="shared" ref="U71:U75" si="191">104192636.6824*EXP(-24.7967*T71)</f>
        <v>5.7587573799797297E-3</v>
      </c>
      <c r="V71" s="45">
        <f t="shared" si="121"/>
        <v>2</v>
      </c>
      <c r="W71" s="52">
        <f>(B$8-B71)*((S71*P71+S71*Q71*U71-R71*(1-S71-Data!D$8))/(1+U71*N71))</f>
        <v>1.7519220501971172E-2</v>
      </c>
      <c r="X71" s="58">
        <f t="shared" ref="X71:X75" si="192">S$70-W71</f>
        <v>0.44379969770271832</v>
      </c>
      <c r="Y71" s="31">
        <f>1-('MBal_Som_Saturated-Res'!F$8*X71)/(F71*(1-Data!D$8))</f>
        <v>0.10097398540666724</v>
      </c>
      <c r="Z71" s="31">
        <f t="shared" si="18"/>
        <v>0.1663433510420107</v>
      </c>
      <c r="AA71" s="51">
        <f>104192636.6824*EXP(-24.7967*(X71+Data!D$8))</f>
        <v>7.1448322597032895E-3</v>
      </c>
      <c r="AB71" s="3">
        <f t="shared" si="14"/>
        <v>627.02909329850013</v>
      </c>
    </row>
    <row r="72" spans="1:28" ht="15.75" x14ac:dyDescent="0.25">
      <c r="A72" s="40"/>
      <c r="B72" s="1">
        <v>2240</v>
      </c>
      <c r="C72" s="26">
        <f t="shared" si="177"/>
        <v>2250</v>
      </c>
      <c r="D72">
        <f t="shared" si="164"/>
        <v>111.67036390000001</v>
      </c>
      <c r="E72" s="78">
        <f t="shared" si="165"/>
        <v>112.09891840000002</v>
      </c>
      <c r="F72" s="37">
        <f t="shared" si="178"/>
        <v>1.4228163500000002</v>
      </c>
      <c r="G72" s="36">
        <f t="shared" si="179"/>
        <v>1.4239611500000002</v>
      </c>
      <c r="H72" s="76">
        <f t="shared" si="180"/>
        <v>7.5381979024622767E-3</v>
      </c>
      <c r="I72" s="77">
        <f t="shared" si="181"/>
        <v>7.5038745091379738E-3</v>
      </c>
      <c r="J72">
        <f t="shared" si="182"/>
        <v>0.59377705280000004</v>
      </c>
      <c r="K72" s="78">
        <f t="shared" si="183"/>
        <v>0.59417531080000008</v>
      </c>
      <c r="L72" s="75">
        <f t="shared" si="184"/>
        <v>1.7696440000000001E-2</v>
      </c>
      <c r="M72" s="77">
        <f t="shared" si="185"/>
        <v>1.7720039999999999E-2</v>
      </c>
      <c r="N72" s="16">
        <f t="shared" si="186"/>
        <v>33.553474755374531</v>
      </c>
      <c r="O72" s="32">
        <f t="shared" si="187"/>
        <v>33.531262389926887</v>
      </c>
      <c r="P72" s="46">
        <f t="shared" si="188"/>
        <v>2.2583616051086416E-4</v>
      </c>
      <c r="Q72" s="46">
        <f t="shared" si="189"/>
        <v>2.6957609892648039E-3</v>
      </c>
      <c r="R72" s="46">
        <f t="shared" si="190"/>
        <v>-4.5129027430424135E-4</v>
      </c>
      <c r="S72" s="58">
        <f t="shared" ref="S72:S75" si="193">S$70-W71/2</f>
        <v>0.45255930795370392</v>
      </c>
      <c r="T72" s="50">
        <f>S72+Data!D$8</f>
        <v>0.95255930795370392</v>
      </c>
      <c r="U72" s="51">
        <f t="shared" si="191"/>
        <v>5.7498853012239526E-3</v>
      </c>
      <c r="V72" s="45">
        <f t="shared" si="121"/>
        <v>3</v>
      </c>
      <c r="W72" s="52">
        <f>(B$8-B72)*((S72*P72+S72*Q72*U72-R72*(1-S72-Data!D$8))/(1+U72*N72))</f>
        <v>1.7520389872617517E-2</v>
      </c>
      <c r="X72" s="58">
        <f t="shared" si="192"/>
        <v>0.44379852833207201</v>
      </c>
      <c r="Y72" s="31">
        <f>1-('MBal_Som_Saturated-Res'!F$8*X72)/(F72*(1-Data!D$8))</f>
        <v>0.10097635425603158</v>
      </c>
      <c r="Z72" s="31">
        <f t="shared" si="18"/>
        <v>0.16634554764921775</v>
      </c>
      <c r="AA72" s="51">
        <f>104192636.6824*EXP(-24.7967*(X72+Data!D$8))</f>
        <v>7.1450394380721651E-3</v>
      </c>
      <c r="AB72" s="3">
        <f t="shared" si="14"/>
        <v>627.02909329850013</v>
      </c>
    </row>
    <row r="73" spans="1:28" ht="15.75" x14ac:dyDescent="0.25">
      <c r="A73" s="40"/>
      <c r="B73" s="1">
        <v>2240</v>
      </c>
      <c r="C73" s="26">
        <f t="shared" si="177"/>
        <v>2250</v>
      </c>
      <c r="D73">
        <f t="shared" si="164"/>
        <v>111.67036390000001</v>
      </c>
      <c r="E73" s="78">
        <f t="shared" si="165"/>
        <v>112.09891840000002</v>
      </c>
      <c r="F73" s="37">
        <f t="shared" ref="F73:F77" si="194">0.00011448*B73 + 1.16638115</f>
        <v>1.4228163500000002</v>
      </c>
      <c r="G73" s="36">
        <f t="shared" ref="G73:G77" si="195">0.00011448*C73 + 1.16638115</f>
        <v>1.4239611500000002</v>
      </c>
      <c r="H73" s="76">
        <f t="shared" ref="H73:H77" si="196">20.40472*B73^(-1.02454)</f>
        <v>7.5381979024622767E-3</v>
      </c>
      <c r="I73" s="77">
        <f t="shared" ref="I73:I77" si="197">20.40472*C73^(-1.02454)</f>
        <v>7.5038745091379738E-3</v>
      </c>
      <c r="J73">
        <f t="shared" ref="J73:J77" si="198">0.0000000907*B73^2 - 0.0003674172*B73 + 0.9616952608</f>
        <v>0.59377705280000004</v>
      </c>
      <c r="K73" s="78">
        <f t="shared" ref="K73:K77" si="199">0.0000000907*C73^2 - 0.0003674172*C73 + 0.9616952608</f>
        <v>0.59417531080000008</v>
      </c>
      <c r="L73" s="75">
        <f t="shared" ref="L73:L77" si="200">0.00000236*B73 + 0.01241004</f>
        <v>1.7696440000000001E-2</v>
      </c>
      <c r="M73" s="77">
        <f t="shared" ref="M73:M77" si="201">0.00000236*C73 + 0.01241004</f>
        <v>1.7720039999999999E-2</v>
      </c>
      <c r="N73" s="16">
        <f t="shared" ref="N73:N77" si="202">J73/L73</f>
        <v>33.553474755374531</v>
      </c>
      <c r="O73" s="32">
        <f t="shared" ref="O73:O77" si="203">K73/M73</f>
        <v>33.531262389926887</v>
      </c>
      <c r="P73" s="46">
        <f t="shared" si="188"/>
        <v>2.2583616051086416E-4</v>
      </c>
      <c r="Q73" s="46">
        <f t="shared" si="189"/>
        <v>2.6957609892648039E-3</v>
      </c>
      <c r="R73" s="46">
        <f t="shared" si="190"/>
        <v>-4.5129027430424135E-4</v>
      </c>
      <c r="S73" s="58">
        <f t="shared" si="193"/>
        <v>0.45255872326838076</v>
      </c>
      <c r="T73" s="50">
        <f>S73+Data!D$8</f>
        <v>0.95255872326838076</v>
      </c>
      <c r="U73" s="51">
        <f t="shared" si="191"/>
        <v>5.7499686651980072E-3</v>
      </c>
      <c r="V73" s="45">
        <f t="shared" si="121"/>
        <v>4</v>
      </c>
      <c r="W73" s="52">
        <f>(B$8-B73)*((S73*P73+S73*Q73*U73-R73*(1-S73-Data!D$8))/(1+U73*N73))</f>
        <v>1.7520378896668076E-2</v>
      </c>
      <c r="X73" s="58">
        <f t="shared" si="192"/>
        <v>0.44379853930802143</v>
      </c>
      <c r="Y73" s="31">
        <f>1-('MBal_Som_Saturated-Res'!F$8*X73)/(F73*(1-Data!D$8))</f>
        <v>0.10097633202153211</v>
      </c>
      <c r="Z73" s="31">
        <f t="shared" si="18"/>
        <v>0.16634552703141803</v>
      </c>
      <c r="AA73" s="51">
        <f>104192636.6824*EXP(-24.7967*(X73+Data!D$8))</f>
        <v>7.1450374934261453E-3</v>
      </c>
      <c r="AB73" s="3">
        <f t="shared" si="14"/>
        <v>627.02909329850013</v>
      </c>
    </row>
    <row r="74" spans="1:28" ht="15.75" x14ac:dyDescent="0.25">
      <c r="A74" s="40"/>
      <c r="B74" s="1">
        <v>2240</v>
      </c>
      <c r="C74" s="26">
        <f t="shared" si="177"/>
        <v>2250</v>
      </c>
      <c r="D74">
        <f t="shared" si="164"/>
        <v>111.67036390000001</v>
      </c>
      <c r="E74" s="78">
        <f t="shared" si="165"/>
        <v>112.09891840000002</v>
      </c>
      <c r="F74" s="37">
        <f t="shared" si="194"/>
        <v>1.4228163500000002</v>
      </c>
      <c r="G74" s="36">
        <f t="shared" si="195"/>
        <v>1.4239611500000002</v>
      </c>
      <c r="H74" s="76">
        <f t="shared" si="196"/>
        <v>7.5381979024622767E-3</v>
      </c>
      <c r="I74" s="77">
        <f t="shared" si="197"/>
        <v>7.5038745091379738E-3</v>
      </c>
      <c r="J74">
        <f t="shared" si="198"/>
        <v>0.59377705280000004</v>
      </c>
      <c r="K74" s="78">
        <f t="shared" si="199"/>
        <v>0.59417531080000008</v>
      </c>
      <c r="L74" s="75">
        <f t="shared" si="200"/>
        <v>1.7696440000000001E-2</v>
      </c>
      <c r="M74" s="77">
        <f t="shared" si="201"/>
        <v>1.7720039999999999E-2</v>
      </c>
      <c r="N74" s="16">
        <f t="shared" si="202"/>
        <v>33.553474755374531</v>
      </c>
      <c r="O74" s="32">
        <f t="shared" si="203"/>
        <v>33.531262389926887</v>
      </c>
      <c r="P74" s="46">
        <f t="shared" si="188"/>
        <v>2.2583616051086416E-4</v>
      </c>
      <c r="Q74" s="46">
        <f t="shared" si="189"/>
        <v>2.6957609892648039E-3</v>
      </c>
      <c r="R74" s="46">
        <f t="shared" si="190"/>
        <v>-4.5129027430424135E-4</v>
      </c>
      <c r="S74" s="58">
        <f t="shared" si="193"/>
        <v>0.4525587287563555</v>
      </c>
      <c r="T74" s="50">
        <f>S74+Data!D$8</f>
        <v>0.9525587287563555</v>
      </c>
      <c r="U74" s="51">
        <f t="shared" si="191"/>
        <v>5.7499678827212597E-3</v>
      </c>
      <c r="V74" s="45">
        <f t="shared" si="121"/>
        <v>5</v>
      </c>
      <c r="W74" s="52">
        <f>(B$8-B74)*((S74*P74+S74*Q74*U74-R74*(1-S74-Data!D$8))/(1+U74*N74))</f>
        <v>1.7520378999692336E-2</v>
      </c>
      <c r="X74" s="58">
        <f t="shared" si="192"/>
        <v>0.44379853920499718</v>
      </c>
      <c r="Y74" s="31">
        <f>1-('MBal_Som_Saturated-Res'!F$8*X74)/(F74*(1-Data!D$8))</f>
        <v>0.10097633223023328</v>
      </c>
      <c r="Z74" s="31">
        <f t="shared" si="18"/>
        <v>0.16634552722494425</v>
      </c>
      <c r="AA74" s="51">
        <f>104192636.6824*EXP(-24.7967*(X74+Data!D$8))</f>
        <v>7.14503751167929E-3</v>
      </c>
      <c r="AB74" s="3">
        <f t="shared" si="14"/>
        <v>627.02909329850013</v>
      </c>
    </row>
    <row r="75" spans="1:28" ht="15.75" x14ac:dyDescent="0.25">
      <c r="A75" s="40"/>
      <c r="B75" s="1">
        <v>2240</v>
      </c>
      <c r="C75" s="26">
        <f t="shared" si="177"/>
        <v>2250</v>
      </c>
      <c r="D75">
        <f t="shared" si="164"/>
        <v>111.67036390000001</v>
      </c>
      <c r="E75" s="78">
        <f t="shared" si="165"/>
        <v>112.09891840000002</v>
      </c>
      <c r="F75" s="37">
        <f t="shared" si="194"/>
        <v>1.4228163500000002</v>
      </c>
      <c r="G75" s="36">
        <f t="shared" si="195"/>
        <v>1.4239611500000002</v>
      </c>
      <c r="H75" s="76">
        <f t="shared" si="196"/>
        <v>7.5381979024622767E-3</v>
      </c>
      <c r="I75" s="77">
        <f t="shared" si="197"/>
        <v>7.5038745091379738E-3</v>
      </c>
      <c r="J75">
        <f t="shared" si="198"/>
        <v>0.59377705280000004</v>
      </c>
      <c r="K75" s="78">
        <f t="shared" si="199"/>
        <v>0.59417531080000008</v>
      </c>
      <c r="L75" s="75">
        <f t="shared" si="200"/>
        <v>1.7696440000000001E-2</v>
      </c>
      <c r="M75" s="77">
        <f t="shared" si="201"/>
        <v>1.7720039999999999E-2</v>
      </c>
      <c r="N75" s="16">
        <f t="shared" si="202"/>
        <v>33.553474755374531</v>
      </c>
      <c r="O75" s="32">
        <f t="shared" si="203"/>
        <v>33.531262389926887</v>
      </c>
      <c r="P75" s="46">
        <f t="shared" si="188"/>
        <v>2.2583616051086416E-4</v>
      </c>
      <c r="Q75" s="46">
        <f t="shared" si="189"/>
        <v>2.6957609892648039E-3</v>
      </c>
      <c r="R75" s="46">
        <f t="shared" si="190"/>
        <v>-4.5129027430424135E-4</v>
      </c>
      <c r="S75" s="58">
        <f t="shared" si="193"/>
        <v>0.45255872870484332</v>
      </c>
      <c r="T75" s="50">
        <f>S75+Data!D$8</f>
        <v>0.95255872870484337</v>
      </c>
      <c r="U75" s="51">
        <f t="shared" si="191"/>
        <v>5.7499678900658777E-3</v>
      </c>
      <c r="V75" s="45">
        <f t="shared" si="121"/>
        <v>6</v>
      </c>
      <c r="W75" s="52">
        <f>(B$8-B75)*((S75*P75+S75*Q75*U75-R75*(1-S75-Data!D$8))/(1+U75*N75))</f>
        <v>1.7520378998725307E-2</v>
      </c>
      <c r="X75" s="58">
        <f t="shared" si="192"/>
        <v>0.44379853920596418</v>
      </c>
      <c r="Y75" s="31">
        <f>1-('MBal_Som_Saturated-Res'!F$8*X75)/(F75*(1-Data!D$8))</f>
        <v>0.1009763322282744</v>
      </c>
      <c r="Z75" s="31">
        <f t="shared" si="18"/>
        <v>0.16634552722312779</v>
      </c>
      <c r="AA75" s="117">
        <f>104192636.6824*EXP(-24.7967*(X75+Data!D$8))</f>
        <v>7.1450375115079722E-3</v>
      </c>
      <c r="AB75" s="3">
        <f t="shared" si="14"/>
        <v>627.02909329850013</v>
      </c>
    </row>
    <row r="76" spans="1:28" ht="15.75" x14ac:dyDescent="0.25">
      <c r="A76" s="40"/>
      <c r="B76" s="1">
        <v>2240</v>
      </c>
      <c r="C76" s="26">
        <f t="shared" si="177"/>
        <v>2250</v>
      </c>
      <c r="D76">
        <f t="shared" si="164"/>
        <v>111.67036390000001</v>
      </c>
      <c r="E76" s="78">
        <f t="shared" si="165"/>
        <v>112.09891840000002</v>
      </c>
      <c r="F76" s="37">
        <f t="shared" si="194"/>
        <v>1.4228163500000002</v>
      </c>
      <c r="G76" s="36">
        <f t="shared" si="195"/>
        <v>1.4239611500000002</v>
      </c>
      <c r="H76" s="76">
        <f t="shared" si="196"/>
        <v>7.5381979024622767E-3</v>
      </c>
      <c r="I76" s="77">
        <f t="shared" si="197"/>
        <v>7.5038745091379738E-3</v>
      </c>
      <c r="J76">
        <f t="shared" si="198"/>
        <v>0.59377705280000004</v>
      </c>
      <c r="K76" s="78">
        <f t="shared" si="199"/>
        <v>0.59417531080000008</v>
      </c>
      <c r="L76" s="75">
        <f t="shared" si="200"/>
        <v>1.7696440000000001E-2</v>
      </c>
      <c r="M76" s="77">
        <f t="shared" si="201"/>
        <v>1.7720039999999999E-2</v>
      </c>
      <c r="N76" s="16">
        <f t="shared" si="202"/>
        <v>33.553474755374531</v>
      </c>
      <c r="O76" s="32">
        <f t="shared" si="203"/>
        <v>33.531262389926887</v>
      </c>
      <c r="P76" s="46">
        <f t="shared" si="188"/>
        <v>2.2583616051086416E-4</v>
      </c>
      <c r="Q76" s="46">
        <f t="shared" si="189"/>
        <v>2.6957609892648039E-3</v>
      </c>
      <c r="R76" s="46">
        <f t="shared" si="190"/>
        <v>-4.5129027430424135E-4</v>
      </c>
      <c r="S76" s="58">
        <f t="shared" ref="S76:S77" si="204">S$70-W75/2</f>
        <v>0.45255872870532687</v>
      </c>
      <c r="T76" s="50">
        <f>S76+Data!D$8</f>
        <v>0.95255872870532687</v>
      </c>
      <c r="U76" s="51">
        <f t="shared" ref="U76:U77" si="205">104192636.6824*EXP(-24.7967*T76)</f>
        <v>5.7499678899969337E-3</v>
      </c>
      <c r="V76" s="45">
        <f t="shared" si="121"/>
        <v>7</v>
      </c>
      <c r="W76" s="52">
        <f>(B$8-B76)*((S76*P76+S76*Q76*U76-R76*(1-S76-Data!D$8))/(1+U76*N76))</f>
        <v>1.752037899873438E-2</v>
      </c>
      <c r="X76" s="58">
        <f t="shared" ref="X76:X77" si="206">S$70-W76</f>
        <v>0.44379853920595513</v>
      </c>
      <c r="Y76" s="31">
        <f>1-('MBal_Som_Saturated-Res'!F$8*X76)/(F76*(1-Data!D$8))</f>
        <v>0.10097633222829261</v>
      </c>
      <c r="Z76" s="31">
        <f t="shared" si="18"/>
        <v>0.16634552722314469</v>
      </c>
      <c r="AA76" s="117">
        <f>104192636.6824*EXP(-24.7967*(X76+Data!D$8))</f>
        <v>7.1450375115095707E-3</v>
      </c>
      <c r="AB76" s="3">
        <f t="shared" si="14"/>
        <v>627.02909329850013</v>
      </c>
    </row>
    <row r="77" spans="1:28" ht="15.75" x14ac:dyDescent="0.25">
      <c r="A77" s="40"/>
      <c r="B77" s="1">
        <v>2240</v>
      </c>
      <c r="C77" s="26">
        <f t="shared" si="177"/>
        <v>2250</v>
      </c>
      <c r="D77">
        <f t="shared" si="164"/>
        <v>111.67036390000001</v>
      </c>
      <c r="E77" s="78">
        <f t="shared" si="165"/>
        <v>112.09891840000002</v>
      </c>
      <c r="F77" s="37">
        <f t="shared" si="194"/>
        <v>1.4228163500000002</v>
      </c>
      <c r="G77" s="36">
        <f t="shared" si="195"/>
        <v>1.4239611500000002</v>
      </c>
      <c r="H77" s="76">
        <f t="shared" si="196"/>
        <v>7.5381979024622767E-3</v>
      </c>
      <c r="I77" s="77">
        <f t="shared" si="197"/>
        <v>7.5038745091379738E-3</v>
      </c>
      <c r="J77">
        <f t="shared" si="198"/>
        <v>0.59377705280000004</v>
      </c>
      <c r="K77" s="78">
        <f t="shared" si="199"/>
        <v>0.59417531080000008</v>
      </c>
      <c r="L77" s="75">
        <f t="shared" si="200"/>
        <v>1.7696440000000001E-2</v>
      </c>
      <c r="M77" s="77">
        <f t="shared" si="201"/>
        <v>1.7720039999999999E-2</v>
      </c>
      <c r="N77" s="16">
        <f t="shared" si="202"/>
        <v>33.553474755374531</v>
      </c>
      <c r="O77" s="32">
        <f t="shared" si="203"/>
        <v>33.531262389926887</v>
      </c>
      <c r="P77" s="46">
        <f t="shared" si="188"/>
        <v>2.2583616051086416E-4</v>
      </c>
      <c r="Q77" s="46">
        <f t="shared" si="189"/>
        <v>2.6957609892648039E-3</v>
      </c>
      <c r="R77" s="46">
        <f t="shared" si="190"/>
        <v>-4.5129027430424135E-4</v>
      </c>
      <c r="S77" s="58">
        <f t="shared" si="204"/>
        <v>0.45255872870532232</v>
      </c>
      <c r="T77" s="50">
        <f>S77+Data!D$8</f>
        <v>0.95255872870532232</v>
      </c>
      <c r="U77" s="51">
        <f t="shared" si="205"/>
        <v>5.7499678899975868E-3</v>
      </c>
      <c r="V77" s="45">
        <f t="shared" si="121"/>
        <v>8</v>
      </c>
      <c r="W77" s="52">
        <f>(B$8-B77)*((S77*P77+S77*Q77*U77-R77*(1-S77-Data!D$8))/(1+U77*N77))</f>
        <v>1.7520378998734303E-2</v>
      </c>
      <c r="X77" s="58">
        <f t="shared" si="206"/>
        <v>0.44379853920595519</v>
      </c>
      <c r="Y77" s="31">
        <f>1-('MBal_Som_Saturated-Res'!F$8*X77)/(F77*(1-Data!D$8))</f>
        <v>0.1009763322282925</v>
      </c>
      <c r="Z77" s="31">
        <f t="shared" si="18"/>
        <v>0.16634552722314458</v>
      </c>
      <c r="AA77" s="117">
        <f>104192636.6824*EXP(-24.7967*(X77+Data!D$8))</f>
        <v>7.1450375115095707E-3</v>
      </c>
      <c r="AB77" s="3">
        <f t="shared" si="14"/>
        <v>627.02909329850013</v>
      </c>
    </row>
    <row r="78" spans="1:28" ht="15.75" x14ac:dyDescent="0.25">
      <c r="A78" s="40"/>
      <c r="B78" s="1">
        <v>2240</v>
      </c>
      <c r="C78" s="26">
        <f t="shared" si="177"/>
        <v>2250</v>
      </c>
      <c r="D78">
        <f t="shared" si="164"/>
        <v>111.67036390000001</v>
      </c>
      <c r="E78" s="78">
        <f t="shared" si="165"/>
        <v>112.09891840000002</v>
      </c>
      <c r="F78" s="37">
        <f t="shared" ref="F78:F79" si="207">0.00011448*B78 + 1.16638115</f>
        <v>1.4228163500000002</v>
      </c>
      <c r="G78" s="36">
        <f t="shared" ref="G78:G79" si="208">0.00011448*C78 + 1.16638115</f>
        <v>1.4239611500000002</v>
      </c>
      <c r="H78" s="76">
        <f t="shared" ref="H78:H79" si="209">20.40472*B78^(-1.02454)</f>
        <v>7.5381979024622767E-3</v>
      </c>
      <c r="I78" s="77">
        <f t="shared" ref="I78:I79" si="210">20.40472*C78^(-1.02454)</f>
        <v>7.5038745091379738E-3</v>
      </c>
      <c r="J78">
        <f t="shared" ref="J78:J79" si="211">0.0000000907*B78^2 - 0.0003674172*B78 + 0.9616952608</f>
        <v>0.59377705280000004</v>
      </c>
      <c r="K78" s="78">
        <f t="shared" ref="K78:K79" si="212">0.0000000907*C78^2 - 0.0003674172*C78 + 0.9616952608</f>
        <v>0.59417531080000008</v>
      </c>
      <c r="L78" s="75">
        <f t="shared" ref="L78:L79" si="213">0.00000236*B78 + 0.01241004</f>
        <v>1.7696440000000001E-2</v>
      </c>
      <c r="M78" s="77">
        <f t="shared" ref="M78:M79" si="214">0.00000236*C78 + 0.01241004</f>
        <v>1.7720039999999999E-2</v>
      </c>
      <c r="N78" s="16">
        <f t="shared" ref="N78:N79" si="215">J78/L78</f>
        <v>33.553474755374531</v>
      </c>
      <c r="O78" s="32">
        <f t="shared" ref="O78:O79" si="216">K78/M78</f>
        <v>33.531262389926887</v>
      </c>
      <c r="P78" s="46">
        <f t="shared" si="188"/>
        <v>2.2583616051086416E-4</v>
      </c>
      <c r="Q78" s="46">
        <f t="shared" si="189"/>
        <v>2.6957609892648039E-3</v>
      </c>
      <c r="R78" s="46">
        <f t="shared" si="190"/>
        <v>-4.5129027430424135E-4</v>
      </c>
      <c r="S78" s="58">
        <f t="shared" ref="S78:S79" si="217">S$70-W77/2</f>
        <v>0.45255872870532238</v>
      </c>
      <c r="T78" s="50">
        <f>S78+Data!D$8</f>
        <v>0.95255872870532232</v>
      </c>
      <c r="U78" s="51">
        <f t="shared" ref="U78:U79" si="218">104192636.6824*EXP(-24.7967*T78)</f>
        <v>5.7499678899975868E-3</v>
      </c>
      <c r="V78" s="45">
        <f t="shared" si="121"/>
        <v>9</v>
      </c>
      <c r="W78" s="52">
        <f>(B$8-B78)*((S78*P78+S78*Q78*U78-R78*(1-S78-Data!D$8))/(1+U78*N78))</f>
        <v>1.7520378998734303E-2</v>
      </c>
      <c r="X78" s="58">
        <f t="shared" ref="X78:X79" si="219">S$70-W78</f>
        <v>0.44379853920595519</v>
      </c>
      <c r="Y78" s="31">
        <f>1-('MBal_Som_Saturated-Res'!F$8*X78)/(F78*(1-Data!D$8))</f>
        <v>0.1009763322282925</v>
      </c>
      <c r="Z78" s="53">
        <f t="shared" si="18"/>
        <v>0.16634552722314458</v>
      </c>
      <c r="AA78" s="118">
        <f>104192636.6824*EXP(-24.7967*(X78+Data!D$8))</f>
        <v>7.1450375115095707E-3</v>
      </c>
      <c r="AB78" s="3">
        <f t="shared" si="14"/>
        <v>627.02909329850013</v>
      </c>
    </row>
    <row r="79" spans="1:28" ht="15.75" x14ac:dyDescent="0.25">
      <c r="A79" s="40"/>
      <c r="B79" s="1">
        <v>2240</v>
      </c>
      <c r="C79" s="26">
        <f t="shared" si="177"/>
        <v>2250</v>
      </c>
      <c r="D79">
        <f t="shared" si="164"/>
        <v>111.67036390000001</v>
      </c>
      <c r="E79" s="78">
        <f t="shared" si="165"/>
        <v>112.09891840000002</v>
      </c>
      <c r="F79" s="37">
        <f t="shared" si="207"/>
        <v>1.4228163500000002</v>
      </c>
      <c r="G79" s="36">
        <f t="shared" si="208"/>
        <v>1.4239611500000002</v>
      </c>
      <c r="H79" s="76">
        <f t="shared" si="209"/>
        <v>7.5381979024622767E-3</v>
      </c>
      <c r="I79" s="77">
        <f t="shared" si="210"/>
        <v>7.5038745091379738E-3</v>
      </c>
      <c r="J79">
        <f t="shared" si="211"/>
        <v>0.59377705280000004</v>
      </c>
      <c r="K79" s="78">
        <f t="shared" si="212"/>
        <v>0.59417531080000008</v>
      </c>
      <c r="L79" s="75">
        <f t="shared" si="213"/>
        <v>1.7696440000000001E-2</v>
      </c>
      <c r="M79" s="77">
        <f t="shared" si="214"/>
        <v>1.7720039999999999E-2</v>
      </c>
      <c r="N79" s="16">
        <f t="shared" si="215"/>
        <v>33.553474755374531</v>
      </c>
      <c r="O79" s="32">
        <f t="shared" si="216"/>
        <v>33.531262389926887</v>
      </c>
      <c r="P79" s="46">
        <f t="shared" si="188"/>
        <v>2.2583616051086416E-4</v>
      </c>
      <c r="Q79" s="46">
        <f t="shared" si="189"/>
        <v>2.6957609892648039E-3</v>
      </c>
      <c r="R79" s="46">
        <f t="shared" si="190"/>
        <v>-4.5129027430424135E-4</v>
      </c>
      <c r="S79" s="58">
        <f t="shared" si="217"/>
        <v>0.45255872870532238</v>
      </c>
      <c r="T79" s="50">
        <f>S79+Data!D$8</f>
        <v>0.95255872870532232</v>
      </c>
      <c r="U79" s="51">
        <f t="shared" si="218"/>
        <v>5.7499678899975868E-3</v>
      </c>
      <c r="V79" s="45">
        <f t="shared" si="121"/>
        <v>10</v>
      </c>
      <c r="W79" s="52">
        <f>(B$8-B79)*((S79*P79+S79*Q79*U79-R79*(1-S79-Data!D$8))/(1+U79*N79))</f>
        <v>1.7520378998734303E-2</v>
      </c>
      <c r="X79" s="58">
        <f t="shared" si="219"/>
        <v>0.44379853920595519</v>
      </c>
      <c r="Y79" s="31">
        <f>1-('MBal_Som_Saturated-Res'!F$8*X79)/(F79*(1-Data!D$8))</f>
        <v>0.1009763322282925</v>
      </c>
      <c r="Z79" s="31">
        <f t="shared" ref="Z79:Z80" si="220">Z$8+Y79*(1-Z$8)</f>
        <v>0.16634552722314458</v>
      </c>
      <c r="AA79" s="117">
        <f>104192636.6824*EXP(-24.7967*(X79+Data!D$8))</f>
        <v>7.1450375115095707E-3</v>
      </c>
      <c r="AB79" s="3">
        <f t="shared" si="14"/>
        <v>627.02909329850013</v>
      </c>
    </row>
    <row r="80" spans="1:28" ht="15.75" x14ac:dyDescent="0.25">
      <c r="A80" s="40"/>
      <c r="B80" s="1">
        <v>2240</v>
      </c>
      <c r="C80" s="26">
        <f t="shared" si="177"/>
        <v>2250</v>
      </c>
      <c r="D80">
        <f t="shared" si="164"/>
        <v>111.67036390000001</v>
      </c>
      <c r="E80" s="78">
        <f t="shared" si="165"/>
        <v>112.09891840000002</v>
      </c>
      <c r="F80" s="37">
        <f t="shared" ref="F80:F81" si="221">0.00011448*B80 + 1.16638115</f>
        <v>1.4228163500000002</v>
      </c>
      <c r="G80" s="36">
        <f t="shared" ref="G80:G81" si="222">0.00011448*C80 + 1.16638115</f>
        <v>1.4239611500000002</v>
      </c>
      <c r="H80" s="76">
        <f t="shared" ref="H80:H81" si="223">20.40472*B80^(-1.02454)</f>
        <v>7.5381979024622767E-3</v>
      </c>
      <c r="I80" s="77">
        <f t="shared" ref="I80:I81" si="224">20.40472*C80^(-1.02454)</f>
        <v>7.5038745091379738E-3</v>
      </c>
      <c r="J80">
        <f t="shared" ref="J80:J81" si="225">0.0000000907*B80^2 - 0.0003674172*B80 + 0.9616952608</f>
        <v>0.59377705280000004</v>
      </c>
      <c r="K80" s="78">
        <f t="shared" ref="K80:K81" si="226">0.0000000907*C80^2 - 0.0003674172*C80 + 0.9616952608</f>
        <v>0.59417531080000008</v>
      </c>
      <c r="L80" s="75">
        <f t="shared" ref="L80:L81" si="227">0.00000236*B80 + 0.01241004</f>
        <v>1.7696440000000001E-2</v>
      </c>
      <c r="M80" s="77">
        <f t="shared" ref="M80:M81" si="228">0.00000236*C80 + 0.01241004</f>
        <v>1.7720039999999999E-2</v>
      </c>
      <c r="N80" s="16">
        <f t="shared" ref="N80:N81" si="229">J80/L80</f>
        <v>33.553474755374531</v>
      </c>
      <c r="O80" s="32">
        <f t="shared" ref="O80:O81" si="230">K80/M80</f>
        <v>33.531262389926887</v>
      </c>
      <c r="P80" s="46">
        <f t="shared" si="188"/>
        <v>2.2583616051086416E-4</v>
      </c>
      <c r="Q80" s="46">
        <f t="shared" si="189"/>
        <v>2.6957609892648039E-3</v>
      </c>
      <c r="R80" s="46">
        <f t="shared" si="190"/>
        <v>-4.5129027430424135E-4</v>
      </c>
      <c r="S80" s="58">
        <f t="shared" ref="S80:S81" si="231">S$70-W79/2</f>
        <v>0.45255872870532238</v>
      </c>
      <c r="T80" s="50">
        <f>S80+Data!D$8</f>
        <v>0.95255872870532232</v>
      </c>
      <c r="U80" s="51">
        <f t="shared" ref="U80:U81" si="232">104192636.6824*EXP(-24.7967*T80)</f>
        <v>5.7499678899975868E-3</v>
      </c>
      <c r="V80" s="45">
        <f t="shared" si="121"/>
        <v>11</v>
      </c>
      <c r="W80" s="52">
        <f>(B$8-B80)*((S80*P80+S80*Q80*U80-R80*(1-S80-Data!D$8))/(1+U80*N80))</f>
        <v>1.7520378998734303E-2</v>
      </c>
      <c r="X80" s="58">
        <f t="shared" ref="X80:X81" si="233">S$70-W80</f>
        <v>0.44379853920595519</v>
      </c>
      <c r="Y80" s="31">
        <f>1-('MBal_Som_Saturated-Res'!F$8*X80)/(F80*(1-Data!D$8))</f>
        <v>0.1009763322282925</v>
      </c>
      <c r="Z80" s="53">
        <f t="shared" si="220"/>
        <v>0.16634552722314458</v>
      </c>
      <c r="AA80" s="118">
        <f>104192636.6824*EXP(-24.7967*(X80+Data!D$8))</f>
        <v>7.1450375115095707E-3</v>
      </c>
      <c r="AB80" s="3">
        <f t="shared" si="14"/>
        <v>627.02909329850013</v>
      </c>
    </row>
    <row r="81" spans="1:28" ht="15.75" x14ac:dyDescent="0.25">
      <c r="A81" s="40"/>
      <c r="B81" s="5">
        <v>2240</v>
      </c>
      <c r="C81" s="26">
        <f t="shared" si="177"/>
        <v>2250</v>
      </c>
      <c r="D81">
        <f t="shared" si="164"/>
        <v>111.67036390000001</v>
      </c>
      <c r="E81" s="78">
        <f t="shared" si="165"/>
        <v>112.09891840000002</v>
      </c>
      <c r="F81" s="37">
        <f t="shared" si="221"/>
        <v>1.4228163500000002</v>
      </c>
      <c r="G81" s="36">
        <f t="shared" si="222"/>
        <v>1.4239611500000002</v>
      </c>
      <c r="H81" s="76">
        <f t="shared" si="223"/>
        <v>7.5381979024622767E-3</v>
      </c>
      <c r="I81" s="77">
        <f t="shared" si="224"/>
        <v>7.5038745091379738E-3</v>
      </c>
      <c r="J81">
        <f t="shared" si="225"/>
        <v>0.59377705280000004</v>
      </c>
      <c r="K81" s="78">
        <f t="shared" si="226"/>
        <v>0.59417531080000008</v>
      </c>
      <c r="L81" s="75">
        <f t="shared" si="227"/>
        <v>1.7696440000000001E-2</v>
      </c>
      <c r="M81" s="77">
        <f t="shared" si="228"/>
        <v>1.7720039999999999E-2</v>
      </c>
      <c r="N81" s="16">
        <f t="shared" si="229"/>
        <v>33.553474755374531</v>
      </c>
      <c r="O81" s="32">
        <f t="shared" si="230"/>
        <v>33.531262389926887</v>
      </c>
      <c r="P81" s="46">
        <f t="shared" si="188"/>
        <v>2.2583616051086416E-4</v>
      </c>
      <c r="Q81" s="46">
        <f t="shared" si="189"/>
        <v>2.6957609892648039E-3</v>
      </c>
      <c r="R81" s="46">
        <f t="shared" si="190"/>
        <v>-4.5129027430424135E-4</v>
      </c>
      <c r="S81" s="58">
        <f t="shared" si="231"/>
        <v>0.45255872870532238</v>
      </c>
      <c r="T81" s="50">
        <f>S81+Data!D$8</f>
        <v>0.95255872870532232</v>
      </c>
      <c r="U81" s="51">
        <f t="shared" si="232"/>
        <v>5.7499678899975868E-3</v>
      </c>
      <c r="V81" s="45">
        <f t="shared" si="121"/>
        <v>12</v>
      </c>
      <c r="W81" s="115">
        <f>(B$8-B81)*((S81*P81+S81*Q81*U81-R81*(1-S81-Data!D$8))/(1+U81*N81))</f>
        <v>1.7520378998734303E-2</v>
      </c>
      <c r="X81" s="49">
        <f t="shared" si="233"/>
        <v>0.44379853920595519</v>
      </c>
      <c r="Y81" s="31">
        <f>1-('MBal_Som_Saturated-Res'!F$8*X81)/(F81*(1-Data!D$8))</f>
        <v>0.1009763322282925</v>
      </c>
      <c r="Z81" s="53">
        <f t="shared" ref="Z81" si="234">Z$8+Y81*(1-Z$8)</f>
        <v>0.16634552722314458</v>
      </c>
      <c r="AA81" s="117">
        <f>104192636.6824*EXP(-24.7967*(X81+Data!D$8))</f>
        <v>7.1450375115095707E-3</v>
      </c>
      <c r="AB81" s="86">
        <f t="shared" si="14"/>
        <v>627.02909329850013</v>
      </c>
    </row>
    <row r="82" spans="1:28" x14ac:dyDescent="0.25">
      <c r="A82" s="40"/>
      <c r="C82" s="26"/>
      <c r="D82" s="56"/>
      <c r="E82" s="30"/>
      <c r="F82" s="7"/>
      <c r="G82" s="26"/>
      <c r="H82" s="7"/>
      <c r="I82" s="26"/>
      <c r="J82" s="16"/>
      <c r="K82" s="16"/>
      <c r="L82" s="16"/>
      <c r="M82" s="16"/>
      <c r="N82" s="16"/>
      <c r="O82" s="32"/>
      <c r="P82" s="46"/>
      <c r="Q82" s="46"/>
      <c r="R82" s="46"/>
      <c r="S82" s="58"/>
      <c r="T82" s="50"/>
      <c r="U82" s="51"/>
      <c r="V82" s="45"/>
      <c r="W82" s="52"/>
      <c r="X82" s="58"/>
      <c r="Y82" s="31"/>
      <c r="Z82" s="31"/>
      <c r="AA82" s="51"/>
      <c r="AB82" s="54"/>
    </row>
    <row r="83" spans="1:28" ht="15.75" x14ac:dyDescent="0.25">
      <c r="A83" s="40"/>
      <c r="B83" s="1">
        <v>2220</v>
      </c>
      <c r="C83" s="26">
        <f>B$81-(B$81-B83)/2</f>
        <v>2230</v>
      </c>
      <c r="D83">
        <f t="shared" ref="D83:D94" si="235">0.04285545*B83 + 15.6741559</f>
        <v>110.8132549</v>
      </c>
      <c r="E83" s="78">
        <f t="shared" ref="E83:E94" si="236">0.04285545*C83 + 15.6741559</f>
        <v>111.24180940000001</v>
      </c>
      <c r="F83" s="37">
        <f t="shared" ref="F83:F94" si="237">0.00011448*B83 + 1.16638115</f>
        <v>1.4205267500000001</v>
      </c>
      <c r="G83" s="36">
        <f t="shared" ref="G83:G94" si="238">0.00011448*C83 + 1.16638115</f>
        <v>1.4216715500000001</v>
      </c>
      <c r="H83" s="76">
        <f t="shared" ref="H83:H94" si="239">20.40472*B83^(-1.02454)</f>
        <v>7.6077838170055803E-3</v>
      </c>
      <c r="I83" s="77">
        <f t="shared" ref="I83:I94" si="240">20.40472*C83^(-1.02454)</f>
        <v>7.5728329231308927E-3</v>
      </c>
      <c r="J83">
        <f t="shared" ref="J83:J94" si="241">0.0000000907*B83^2 - 0.0003674172*B83 + 0.9616952608</f>
        <v>0.59303495679999996</v>
      </c>
      <c r="K83" s="78">
        <f t="shared" ref="K83:K94" si="242">0.0000000907*C83^2 - 0.0003674172*C83 + 0.9616952608</f>
        <v>0.5933969348</v>
      </c>
      <c r="L83" s="75">
        <f t="shared" ref="L83:L94" si="243">0.00000236*B83 + 0.01241004</f>
        <v>1.764924E-2</v>
      </c>
      <c r="M83" s="77">
        <f t="shared" ref="M83:M94" si="244">0.00000236*C83 + 0.01241004</f>
        <v>1.7672840000000002E-2</v>
      </c>
      <c r="N83" s="16">
        <f t="shared" ref="N83:N94" si="245">J83/L83</f>
        <v>33.601161115152834</v>
      </c>
      <c r="O83" s="32">
        <f t="shared" ref="O83:O94" si="246">K83/M83</f>
        <v>33.576772878609205</v>
      </c>
      <c r="P83" s="46">
        <f>I83*(E$81-E83)/(G83*(C$81-C83))</f>
        <v>2.2827858002475533E-4</v>
      </c>
      <c r="Q83" s="46">
        <f>O83*(G$81-G83)/(G83*(C$81-C83))</f>
        <v>2.7037672373364805E-3</v>
      </c>
      <c r="R83" s="46">
        <f>(I$81-I83)/(I83*(C$81-C83))</f>
        <v>-4.5530130330941586E-4</v>
      </c>
      <c r="S83" s="33">
        <f>X81</f>
        <v>0.44379853920595519</v>
      </c>
      <c r="T83" s="50">
        <f>S83+Data!D$8</f>
        <v>0.94379853920595513</v>
      </c>
      <c r="U83" s="51">
        <f t="shared" ref="U83:U94" si="247">104192636.6824*EXP(-24.7967*T83)</f>
        <v>7.1450375115095707E-3</v>
      </c>
      <c r="V83" s="45">
        <f>V56+1</f>
        <v>1</v>
      </c>
      <c r="W83" s="52">
        <f>(B$8-B83)*((S83*P83+S83*Q83*U83-R83*(1-S83-Data!D$8))/(1+U83*N83))</f>
        <v>1.966397215901633E-2</v>
      </c>
      <c r="X83" s="58">
        <f>S$81-W83</f>
        <v>0.43289475654630605</v>
      </c>
      <c r="Y83" s="31">
        <f>1-('MBal_Som_Saturated-Res'!F$8*X83)/(F83*(1-Data!D$8))</f>
        <v>0.12165119858522733</v>
      </c>
      <c r="Z83" s="31">
        <f t="shared" ref="Z83:Z94" si="248">Z$8+Y83*(1-Z$8)</f>
        <v>0.18551709681623696</v>
      </c>
      <c r="AA83" s="51">
        <f>104192636.6824*EXP(-24.7967*(X83+Data!D$8))</f>
        <v>9.3632821762727487E-3</v>
      </c>
      <c r="AB83" s="3">
        <f t="shared" ref="AB83:AB94" si="249">5.615*D83</f>
        <v>622.21642626350001</v>
      </c>
    </row>
    <row r="84" spans="1:28" ht="15.75" x14ac:dyDescent="0.25">
      <c r="A84" s="40"/>
      <c r="B84" s="1">
        <v>2220</v>
      </c>
      <c r="C84" s="26">
        <f t="shared" ref="C84:C94" si="250">B$81-(B$81-B84)/2</f>
        <v>2230</v>
      </c>
      <c r="D84">
        <f t="shared" si="235"/>
        <v>110.8132549</v>
      </c>
      <c r="E84" s="78">
        <f t="shared" si="236"/>
        <v>111.24180940000001</v>
      </c>
      <c r="F84" s="37">
        <f t="shared" si="237"/>
        <v>1.4205267500000001</v>
      </c>
      <c r="G84" s="36">
        <f t="shared" si="238"/>
        <v>1.4216715500000001</v>
      </c>
      <c r="H84" s="76">
        <f t="shared" si="239"/>
        <v>7.6077838170055803E-3</v>
      </c>
      <c r="I84" s="77">
        <f t="shared" si="240"/>
        <v>7.5728329231308927E-3</v>
      </c>
      <c r="J84">
        <f t="shared" si="241"/>
        <v>0.59303495679999996</v>
      </c>
      <c r="K84" s="78">
        <f t="shared" si="242"/>
        <v>0.5933969348</v>
      </c>
      <c r="L84" s="75">
        <f t="shared" si="243"/>
        <v>1.764924E-2</v>
      </c>
      <c r="M84" s="77">
        <f t="shared" si="244"/>
        <v>1.7672840000000002E-2</v>
      </c>
      <c r="N84" s="16">
        <f t="shared" si="245"/>
        <v>33.601161115152834</v>
      </c>
      <c r="O84" s="32">
        <f t="shared" si="246"/>
        <v>33.576772878609205</v>
      </c>
      <c r="P84" s="46">
        <f t="shared" ref="P84:P94" si="251">I84*(E$81-E84)/(G84*(C$81-C84))</f>
        <v>2.2827858002475533E-4</v>
      </c>
      <c r="Q84" s="46">
        <f t="shared" ref="Q84:Q94" si="252">O84*(G$81-G84)/(G84*(C$81-C84))</f>
        <v>2.7037672373364805E-3</v>
      </c>
      <c r="R84" s="46">
        <f t="shared" ref="R84:R94" si="253">(I$81-I84)/(I84*(C$81-C84))</f>
        <v>-4.5530130330941586E-4</v>
      </c>
      <c r="S84" s="58">
        <f>S$83-W83/2</f>
        <v>0.43396655312644705</v>
      </c>
      <c r="T84" s="50">
        <f>S84+Data!D$8</f>
        <v>0.93396655312644705</v>
      </c>
      <c r="U84" s="51">
        <f t="shared" si="247"/>
        <v>9.1177117739154531E-3</v>
      </c>
      <c r="V84" s="45">
        <f t="shared" si="121"/>
        <v>2</v>
      </c>
      <c r="W84" s="52">
        <f>(B$8-B84)*((S84*P84+S84*Q84*U84-R84*(1-S84-Data!D$8))/(1+U84*N84))</f>
        <v>1.9266540769575676E-2</v>
      </c>
      <c r="X84" s="58">
        <f t="shared" ref="X84:X94" si="254">S$81-W84</f>
        <v>0.4332921879357467</v>
      </c>
      <c r="Y84" s="31">
        <f>1-('MBal_Som_Saturated-Res'!F$8*X84)/(F84*(1-Data!D$8))</f>
        <v>0.12084480539316189</v>
      </c>
      <c r="Z84" s="31">
        <f t="shared" si="248"/>
        <v>0.18476933753527344</v>
      </c>
      <c r="AA84" s="51">
        <f>104192636.6824*EXP(-24.7967*(X84+Data!D$8))</f>
        <v>9.2714603473725149E-3</v>
      </c>
      <c r="AB84" s="3">
        <f t="shared" si="249"/>
        <v>622.21642626350001</v>
      </c>
    </row>
    <row r="85" spans="1:28" ht="15.75" x14ac:dyDescent="0.25">
      <c r="A85" s="40"/>
      <c r="B85" s="1">
        <v>2220</v>
      </c>
      <c r="C85" s="26">
        <f t="shared" si="250"/>
        <v>2230</v>
      </c>
      <c r="D85">
        <f t="shared" si="235"/>
        <v>110.8132549</v>
      </c>
      <c r="E85" s="78">
        <f t="shared" si="236"/>
        <v>111.24180940000001</v>
      </c>
      <c r="F85" s="37">
        <f t="shared" si="237"/>
        <v>1.4205267500000001</v>
      </c>
      <c r="G85" s="36">
        <f t="shared" si="238"/>
        <v>1.4216715500000001</v>
      </c>
      <c r="H85" s="76">
        <f t="shared" si="239"/>
        <v>7.6077838170055803E-3</v>
      </c>
      <c r="I85" s="77">
        <f t="shared" si="240"/>
        <v>7.5728329231308927E-3</v>
      </c>
      <c r="J85">
        <f t="shared" si="241"/>
        <v>0.59303495679999996</v>
      </c>
      <c r="K85" s="78">
        <f t="shared" si="242"/>
        <v>0.5933969348</v>
      </c>
      <c r="L85" s="75">
        <f t="shared" si="243"/>
        <v>1.764924E-2</v>
      </c>
      <c r="M85" s="77">
        <f t="shared" si="244"/>
        <v>1.7672840000000002E-2</v>
      </c>
      <c r="N85" s="16">
        <f t="shared" si="245"/>
        <v>33.601161115152834</v>
      </c>
      <c r="O85" s="32">
        <f t="shared" si="246"/>
        <v>33.576772878609205</v>
      </c>
      <c r="P85" s="46">
        <f t="shared" si="251"/>
        <v>2.2827858002475533E-4</v>
      </c>
      <c r="Q85" s="46">
        <f t="shared" si="252"/>
        <v>2.7037672373364805E-3</v>
      </c>
      <c r="R85" s="46">
        <f t="shared" si="253"/>
        <v>-4.5530130330941586E-4</v>
      </c>
      <c r="S85" s="58">
        <f t="shared" ref="S85:S94" si="255">S$83-W84/2</f>
        <v>0.43416526882116735</v>
      </c>
      <c r="T85" s="50">
        <f>S85+Data!D$8</f>
        <v>0.93416526882116735</v>
      </c>
      <c r="U85" s="51">
        <f t="shared" si="247"/>
        <v>9.0728948170244982E-3</v>
      </c>
      <c r="V85" s="45">
        <f t="shared" si="121"/>
        <v>3</v>
      </c>
      <c r="W85" s="52">
        <f>(B$8-B85)*((S85*P85+S85*Q85*U85-R85*(1-S85-Data!D$8))/(1+U85*N85))</f>
        <v>1.927597105110249E-2</v>
      </c>
      <c r="X85" s="58">
        <f t="shared" si="254"/>
        <v>0.43328275765421986</v>
      </c>
      <c r="Y85" s="31">
        <f>1-('MBal_Som_Saturated-Res'!F$8*X85)/(F85*(1-Data!D$8))</f>
        <v>0.12086393955071584</v>
      </c>
      <c r="Z85" s="31">
        <f t="shared" si="248"/>
        <v>0.18478708042302988</v>
      </c>
      <c r="AA85" s="51">
        <f>104192636.6824*EXP(-24.7967*(X85+Data!D$8))</f>
        <v>9.2736286378866054E-3</v>
      </c>
      <c r="AB85" s="3">
        <f t="shared" si="249"/>
        <v>622.21642626350001</v>
      </c>
    </row>
    <row r="86" spans="1:28" ht="15.75" x14ac:dyDescent="0.25">
      <c r="A86" s="40"/>
      <c r="B86" s="1">
        <v>2220</v>
      </c>
      <c r="C86" s="26">
        <f t="shared" si="250"/>
        <v>2230</v>
      </c>
      <c r="D86">
        <f t="shared" si="235"/>
        <v>110.8132549</v>
      </c>
      <c r="E86" s="78">
        <f t="shared" si="236"/>
        <v>111.24180940000001</v>
      </c>
      <c r="F86" s="37">
        <f t="shared" si="237"/>
        <v>1.4205267500000001</v>
      </c>
      <c r="G86" s="36">
        <f t="shared" si="238"/>
        <v>1.4216715500000001</v>
      </c>
      <c r="H86" s="76">
        <f t="shared" si="239"/>
        <v>7.6077838170055803E-3</v>
      </c>
      <c r="I86" s="77">
        <f t="shared" si="240"/>
        <v>7.5728329231308927E-3</v>
      </c>
      <c r="J86">
        <f t="shared" si="241"/>
        <v>0.59303495679999996</v>
      </c>
      <c r="K86" s="78">
        <f t="shared" si="242"/>
        <v>0.5933969348</v>
      </c>
      <c r="L86" s="75">
        <f t="shared" si="243"/>
        <v>1.764924E-2</v>
      </c>
      <c r="M86" s="77">
        <f t="shared" si="244"/>
        <v>1.7672840000000002E-2</v>
      </c>
      <c r="N86" s="16">
        <f t="shared" si="245"/>
        <v>33.601161115152834</v>
      </c>
      <c r="O86" s="32">
        <f t="shared" si="246"/>
        <v>33.576772878609205</v>
      </c>
      <c r="P86" s="46">
        <f t="shared" si="251"/>
        <v>2.2827858002475533E-4</v>
      </c>
      <c r="Q86" s="46">
        <f t="shared" si="252"/>
        <v>2.7037672373364805E-3</v>
      </c>
      <c r="R86" s="46">
        <f t="shared" si="253"/>
        <v>-4.5530130330941586E-4</v>
      </c>
      <c r="S86" s="58">
        <f t="shared" si="255"/>
        <v>0.43416055368040396</v>
      </c>
      <c r="T86" s="50">
        <f>S86+Data!D$8</f>
        <v>0.93416055368040396</v>
      </c>
      <c r="U86" s="51">
        <f t="shared" si="247"/>
        <v>9.0739556812770555E-3</v>
      </c>
      <c r="V86" s="45">
        <f t="shared" si="121"/>
        <v>4</v>
      </c>
      <c r="W86" s="52">
        <f>(B$8-B86)*((S86*P86+S86*Q86*U86-R86*(1-S86-Data!D$8))/(1+U86*N86))</f>
        <v>1.9275747968258275E-2</v>
      </c>
      <c r="X86" s="58">
        <f t="shared" si="254"/>
        <v>0.43328298073706412</v>
      </c>
      <c r="Y86" s="31">
        <f>1-('MBal_Som_Saturated-Res'!F$8*X86)/(F86*(1-Data!D$8))</f>
        <v>0.12086348691287274</v>
      </c>
      <c r="Z86" s="31">
        <f t="shared" si="248"/>
        <v>0.18478666069708055</v>
      </c>
      <c r="AA86" s="51">
        <f>104192636.6824*EXP(-24.7967*(X86+Data!D$8))</f>
        <v>9.2735773389266418E-3</v>
      </c>
      <c r="AB86" s="3">
        <f t="shared" si="249"/>
        <v>622.21642626350001</v>
      </c>
    </row>
    <row r="87" spans="1:28" ht="15.75" x14ac:dyDescent="0.25">
      <c r="A87" s="40"/>
      <c r="B87" s="1">
        <v>2220</v>
      </c>
      <c r="C87" s="26">
        <f t="shared" si="250"/>
        <v>2230</v>
      </c>
      <c r="D87">
        <f t="shared" si="235"/>
        <v>110.8132549</v>
      </c>
      <c r="E87" s="78">
        <f t="shared" si="236"/>
        <v>111.24180940000001</v>
      </c>
      <c r="F87" s="37">
        <f t="shared" si="237"/>
        <v>1.4205267500000001</v>
      </c>
      <c r="G87" s="36">
        <f t="shared" si="238"/>
        <v>1.4216715500000001</v>
      </c>
      <c r="H87" s="76">
        <f t="shared" si="239"/>
        <v>7.6077838170055803E-3</v>
      </c>
      <c r="I87" s="77">
        <f t="shared" si="240"/>
        <v>7.5728329231308927E-3</v>
      </c>
      <c r="J87">
        <f t="shared" si="241"/>
        <v>0.59303495679999996</v>
      </c>
      <c r="K87" s="78">
        <f t="shared" si="242"/>
        <v>0.5933969348</v>
      </c>
      <c r="L87" s="75">
        <f t="shared" si="243"/>
        <v>1.764924E-2</v>
      </c>
      <c r="M87" s="77">
        <f t="shared" si="244"/>
        <v>1.7672840000000002E-2</v>
      </c>
      <c r="N87" s="16">
        <f t="shared" si="245"/>
        <v>33.601161115152834</v>
      </c>
      <c r="O87" s="32">
        <f t="shared" si="246"/>
        <v>33.576772878609205</v>
      </c>
      <c r="P87" s="46">
        <f t="shared" si="251"/>
        <v>2.2827858002475533E-4</v>
      </c>
      <c r="Q87" s="46">
        <f t="shared" si="252"/>
        <v>2.7037672373364805E-3</v>
      </c>
      <c r="R87" s="46">
        <f t="shared" si="253"/>
        <v>-4.5530130330941586E-4</v>
      </c>
      <c r="S87" s="58">
        <f t="shared" si="255"/>
        <v>0.43416066522182606</v>
      </c>
      <c r="T87" s="50">
        <f>S87+Data!D$8</f>
        <v>0.93416066522182606</v>
      </c>
      <c r="U87" s="51">
        <f t="shared" si="247"/>
        <v>9.0739305840281531E-3</v>
      </c>
      <c r="V87" s="45">
        <f t="shared" si="121"/>
        <v>5</v>
      </c>
      <c r="W87" s="52">
        <f>(B$8-B87)*((S87*P87+S87*Q87*U87-R87*(1-S87-Data!D$8))/(1+U87*N87))</f>
        <v>1.9275753245889874E-2</v>
      </c>
      <c r="X87" s="58">
        <f t="shared" si="254"/>
        <v>0.43328297545943251</v>
      </c>
      <c r="Y87" s="31">
        <f>1-('MBal_Som_Saturated-Res'!F$8*X87)/(F87*(1-Data!D$8))</f>
        <v>0.12086349762125248</v>
      </c>
      <c r="Z87" s="31">
        <f t="shared" si="248"/>
        <v>0.1847866706268399</v>
      </c>
      <c r="AA87" s="51">
        <f>104192636.6824*EXP(-24.7967*(X87+Data!D$8))</f>
        <v>9.27357855253985E-3</v>
      </c>
      <c r="AB87" s="3">
        <f t="shared" si="249"/>
        <v>622.21642626350001</v>
      </c>
    </row>
    <row r="88" spans="1:28" ht="15.75" x14ac:dyDescent="0.25">
      <c r="A88" s="40"/>
      <c r="B88" s="1">
        <v>2220</v>
      </c>
      <c r="C88" s="26">
        <f t="shared" si="250"/>
        <v>2230</v>
      </c>
      <c r="D88">
        <f t="shared" si="235"/>
        <v>110.8132549</v>
      </c>
      <c r="E88" s="78">
        <f t="shared" si="236"/>
        <v>111.24180940000001</v>
      </c>
      <c r="F88" s="37">
        <f t="shared" si="237"/>
        <v>1.4205267500000001</v>
      </c>
      <c r="G88" s="36">
        <f t="shared" si="238"/>
        <v>1.4216715500000001</v>
      </c>
      <c r="H88" s="76">
        <f t="shared" si="239"/>
        <v>7.6077838170055803E-3</v>
      </c>
      <c r="I88" s="77">
        <f t="shared" si="240"/>
        <v>7.5728329231308927E-3</v>
      </c>
      <c r="J88">
        <f t="shared" si="241"/>
        <v>0.59303495679999996</v>
      </c>
      <c r="K88" s="78">
        <f t="shared" si="242"/>
        <v>0.5933969348</v>
      </c>
      <c r="L88" s="75">
        <f t="shared" si="243"/>
        <v>1.764924E-2</v>
      </c>
      <c r="M88" s="77">
        <f t="shared" si="244"/>
        <v>1.7672840000000002E-2</v>
      </c>
      <c r="N88" s="16">
        <f t="shared" si="245"/>
        <v>33.601161115152834</v>
      </c>
      <c r="O88" s="32">
        <f t="shared" si="246"/>
        <v>33.576772878609205</v>
      </c>
      <c r="P88" s="46">
        <f t="shared" si="251"/>
        <v>2.2827858002475533E-4</v>
      </c>
      <c r="Q88" s="46">
        <f t="shared" si="252"/>
        <v>2.7037672373364805E-3</v>
      </c>
      <c r="R88" s="46">
        <f t="shared" si="253"/>
        <v>-4.5530130330941586E-4</v>
      </c>
      <c r="S88" s="58">
        <f t="shared" si="255"/>
        <v>0.43416066258301023</v>
      </c>
      <c r="T88" s="50">
        <f>S88+Data!D$8</f>
        <v>0.93416066258301023</v>
      </c>
      <c r="U88" s="51">
        <f t="shared" si="247"/>
        <v>9.0739311777710482E-3</v>
      </c>
      <c r="V88" s="45">
        <f t="shared" si="121"/>
        <v>6</v>
      </c>
      <c r="W88" s="52">
        <f>(B$8-B88)*((S88*P88+S88*Q88*U88-R88*(1-S88-Data!D$8))/(1+U88*N88))</f>
        <v>1.9275753121033364E-2</v>
      </c>
      <c r="X88" s="58">
        <f t="shared" si="254"/>
        <v>0.43328297558428902</v>
      </c>
      <c r="Y88" s="31">
        <f>1-('MBal_Som_Saturated-Res'!F$8*X88)/(F88*(1-Data!D$8))</f>
        <v>0.12086349736791713</v>
      </c>
      <c r="Z88" s="31">
        <f t="shared" si="248"/>
        <v>0.18478667039192487</v>
      </c>
      <c r="AA88" s="117">
        <f>104192636.6824*EXP(-24.7967*(X88+Data!D$8))</f>
        <v>9.2735785238285389E-3</v>
      </c>
      <c r="AB88" s="3">
        <f t="shared" si="249"/>
        <v>622.21642626350001</v>
      </c>
    </row>
    <row r="89" spans="1:28" ht="15.75" x14ac:dyDescent="0.25">
      <c r="A89" s="40"/>
      <c r="B89" s="1">
        <v>2220</v>
      </c>
      <c r="C89" s="26">
        <f t="shared" si="250"/>
        <v>2230</v>
      </c>
      <c r="D89">
        <f t="shared" si="235"/>
        <v>110.8132549</v>
      </c>
      <c r="E89" s="78">
        <f t="shared" si="236"/>
        <v>111.24180940000001</v>
      </c>
      <c r="F89" s="37">
        <f t="shared" si="237"/>
        <v>1.4205267500000001</v>
      </c>
      <c r="G89" s="36">
        <f t="shared" si="238"/>
        <v>1.4216715500000001</v>
      </c>
      <c r="H89" s="76">
        <f t="shared" si="239"/>
        <v>7.6077838170055803E-3</v>
      </c>
      <c r="I89" s="77">
        <f t="shared" si="240"/>
        <v>7.5728329231308927E-3</v>
      </c>
      <c r="J89">
        <f t="shared" si="241"/>
        <v>0.59303495679999996</v>
      </c>
      <c r="K89" s="78">
        <f t="shared" si="242"/>
        <v>0.5933969348</v>
      </c>
      <c r="L89" s="75">
        <f t="shared" si="243"/>
        <v>1.764924E-2</v>
      </c>
      <c r="M89" s="77">
        <f t="shared" si="244"/>
        <v>1.7672840000000002E-2</v>
      </c>
      <c r="N89" s="16">
        <f t="shared" si="245"/>
        <v>33.601161115152834</v>
      </c>
      <c r="O89" s="32">
        <f t="shared" si="246"/>
        <v>33.576772878609205</v>
      </c>
      <c r="P89" s="46">
        <f t="shared" si="251"/>
        <v>2.2827858002475533E-4</v>
      </c>
      <c r="Q89" s="46">
        <f t="shared" si="252"/>
        <v>2.7037672373364805E-3</v>
      </c>
      <c r="R89" s="46">
        <f t="shared" si="253"/>
        <v>-4.5530130330941586E-4</v>
      </c>
      <c r="S89" s="58">
        <f t="shared" si="255"/>
        <v>0.43416066264543851</v>
      </c>
      <c r="T89" s="50">
        <f>S89+Data!D$8</f>
        <v>0.93416066264543851</v>
      </c>
      <c r="U89" s="51">
        <f t="shared" si="247"/>
        <v>9.073931163724451E-3</v>
      </c>
      <c r="V89" s="45">
        <f t="shared" si="121"/>
        <v>7</v>
      </c>
      <c r="W89" s="52">
        <f>(B$8-B89)*((S89*P89+S89*Q89*U89-R89*(1-S89-Data!D$8))/(1+U89*N89))</f>
        <v>1.9275753123987178E-2</v>
      </c>
      <c r="X89" s="58">
        <f t="shared" si="254"/>
        <v>0.43328297558133522</v>
      </c>
      <c r="Y89" s="31">
        <f>1-('MBal_Som_Saturated-Res'!F$8*X89)/(F89*(1-Data!D$8))</f>
        <v>0.12086349737391044</v>
      </c>
      <c r="Z89" s="31">
        <f t="shared" si="248"/>
        <v>0.18478667039748242</v>
      </c>
      <c r="AA89" s="117">
        <f>104192636.6824*EXP(-24.7967*(X89+Data!D$8))</f>
        <v>9.2735785245077942E-3</v>
      </c>
      <c r="AB89" s="3">
        <f t="shared" si="249"/>
        <v>622.21642626350001</v>
      </c>
    </row>
    <row r="90" spans="1:28" ht="15.75" x14ac:dyDescent="0.25">
      <c r="A90" s="40"/>
      <c r="B90" s="1">
        <v>2220</v>
      </c>
      <c r="C90" s="26">
        <f t="shared" si="250"/>
        <v>2230</v>
      </c>
      <c r="D90">
        <f t="shared" si="235"/>
        <v>110.8132549</v>
      </c>
      <c r="E90" s="78">
        <f t="shared" si="236"/>
        <v>111.24180940000001</v>
      </c>
      <c r="F90" s="37">
        <f t="shared" si="237"/>
        <v>1.4205267500000001</v>
      </c>
      <c r="G90" s="36">
        <f t="shared" si="238"/>
        <v>1.4216715500000001</v>
      </c>
      <c r="H90" s="76">
        <f t="shared" si="239"/>
        <v>7.6077838170055803E-3</v>
      </c>
      <c r="I90" s="77">
        <f t="shared" si="240"/>
        <v>7.5728329231308927E-3</v>
      </c>
      <c r="J90">
        <f t="shared" si="241"/>
        <v>0.59303495679999996</v>
      </c>
      <c r="K90" s="78">
        <f t="shared" si="242"/>
        <v>0.5933969348</v>
      </c>
      <c r="L90" s="75">
        <f t="shared" si="243"/>
        <v>1.764924E-2</v>
      </c>
      <c r="M90" s="77">
        <f t="shared" si="244"/>
        <v>1.7672840000000002E-2</v>
      </c>
      <c r="N90" s="16">
        <f t="shared" si="245"/>
        <v>33.601161115152834</v>
      </c>
      <c r="O90" s="32">
        <f t="shared" si="246"/>
        <v>33.576772878609205</v>
      </c>
      <c r="P90" s="46">
        <f t="shared" si="251"/>
        <v>2.2827858002475533E-4</v>
      </c>
      <c r="Q90" s="46">
        <f t="shared" si="252"/>
        <v>2.7037672373364805E-3</v>
      </c>
      <c r="R90" s="46">
        <f t="shared" si="253"/>
        <v>-4.5530130330941586E-4</v>
      </c>
      <c r="S90" s="58">
        <f t="shared" si="255"/>
        <v>0.43416066264396158</v>
      </c>
      <c r="T90" s="50">
        <f>S90+Data!D$8</f>
        <v>0.93416066264396158</v>
      </c>
      <c r="U90" s="51">
        <f t="shared" si="247"/>
        <v>9.0739311640567824E-3</v>
      </c>
      <c r="V90" s="45">
        <f t="shared" si="121"/>
        <v>8</v>
      </c>
      <c r="W90" s="52">
        <f>(B$8-B90)*((S90*P90+S90*Q90*U90-R90*(1-S90-Data!D$8))/(1+U90*N90))</f>
        <v>1.9275753123917296E-2</v>
      </c>
      <c r="X90" s="58">
        <f t="shared" si="254"/>
        <v>0.43328297558140511</v>
      </c>
      <c r="Y90" s="31">
        <f>1-('MBal_Som_Saturated-Res'!F$8*X90)/(F90*(1-Data!D$8))</f>
        <v>0.12086349737376867</v>
      </c>
      <c r="Z90" s="31">
        <f t="shared" si="248"/>
        <v>0.18478667039735094</v>
      </c>
      <c r="AA90" s="117">
        <f>104192636.6824*EXP(-24.7967*(X90+Data!D$8))</f>
        <v>9.2735785244917168E-3</v>
      </c>
      <c r="AB90" s="3">
        <f t="shared" si="249"/>
        <v>622.21642626350001</v>
      </c>
    </row>
    <row r="91" spans="1:28" ht="15.75" x14ac:dyDescent="0.25">
      <c r="A91" s="40"/>
      <c r="B91" s="1">
        <v>2220</v>
      </c>
      <c r="C91" s="26">
        <f t="shared" si="250"/>
        <v>2230</v>
      </c>
      <c r="D91">
        <f t="shared" si="235"/>
        <v>110.8132549</v>
      </c>
      <c r="E91" s="78">
        <f t="shared" si="236"/>
        <v>111.24180940000001</v>
      </c>
      <c r="F91" s="37">
        <f t="shared" si="237"/>
        <v>1.4205267500000001</v>
      </c>
      <c r="G91" s="36">
        <f t="shared" si="238"/>
        <v>1.4216715500000001</v>
      </c>
      <c r="H91" s="76">
        <f t="shared" si="239"/>
        <v>7.6077838170055803E-3</v>
      </c>
      <c r="I91" s="77">
        <f t="shared" si="240"/>
        <v>7.5728329231308927E-3</v>
      </c>
      <c r="J91">
        <f t="shared" si="241"/>
        <v>0.59303495679999996</v>
      </c>
      <c r="K91" s="78">
        <f t="shared" si="242"/>
        <v>0.5933969348</v>
      </c>
      <c r="L91" s="75">
        <f t="shared" si="243"/>
        <v>1.764924E-2</v>
      </c>
      <c r="M91" s="77">
        <f t="shared" si="244"/>
        <v>1.7672840000000002E-2</v>
      </c>
      <c r="N91" s="16">
        <f t="shared" si="245"/>
        <v>33.601161115152834</v>
      </c>
      <c r="O91" s="32">
        <f t="shared" si="246"/>
        <v>33.576772878609205</v>
      </c>
      <c r="P91" s="46">
        <f t="shared" si="251"/>
        <v>2.2827858002475533E-4</v>
      </c>
      <c r="Q91" s="46">
        <f t="shared" si="252"/>
        <v>2.7037672373364805E-3</v>
      </c>
      <c r="R91" s="46">
        <f t="shared" si="253"/>
        <v>-4.5530130330941586E-4</v>
      </c>
      <c r="S91" s="58">
        <f t="shared" si="255"/>
        <v>0.43416066264399655</v>
      </c>
      <c r="T91" s="50">
        <f>S91+Data!D$8</f>
        <v>0.93416066264399655</v>
      </c>
      <c r="U91" s="51">
        <f t="shared" si="247"/>
        <v>9.0739311640489172E-3</v>
      </c>
      <c r="V91" s="45">
        <f t="shared" si="121"/>
        <v>9</v>
      </c>
      <c r="W91" s="52">
        <f>(B$8-B91)*((S91*P91+S91*Q91*U91-R91*(1-S91-Data!D$8))/(1+U91*N91))</f>
        <v>1.9275753123918948E-2</v>
      </c>
      <c r="X91" s="58">
        <f t="shared" si="254"/>
        <v>0.43328297558140344</v>
      </c>
      <c r="Y91" s="31">
        <f>1-('MBal_Som_Saturated-Res'!F$8*X91)/(F91*(1-Data!D$8))</f>
        <v>0.12086349737377189</v>
      </c>
      <c r="Z91" s="53">
        <f t="shared" si="248"/>
        <v>0.18478667039735391</v>
      </c>
      <c r="AA91" s="118">
        <f>104192636.6824*EXP(-24.7967*(X91+Data!D$8))</f>
        <v>9.2735785244921105E-3</v>
      </c>
      <c r="AB91" s="3">
        <f t="shared" si="249"/>
        <v>622.21642626350001</v>
      </c>
    </row>
    <row r="92" spans="1:28" ht="15.75" x14ac:dyDescent="0.25">
      <c r="A92" s="40"/>
      <c r="B92" s="1">
        <v>2220</v>
      </c>
      <c r="C92" s="26">
        <f t="shared" si="250"/>
        <v>2230</v>
      </c>
      <c r="D92">
        <f t="shared" si="235"/>
        <v>110.8132549</v>
      </c>
      <c r="E92" s="78">
        <f t="shared" si="236"/>
        <v>111.24180940000001</v>
      </c>
      <c r="F92" s="37">
        <f t="shared" si="237"/>
        <v>1.4205267500000001</v>
      </c>
      <c r="G92" s="36">
        <f t="shared" si="238"/>
        <v>1.4216715500000001</v>
      </c>
      <c r="H92" s="76">
        <f t="shared" si="239"/>
        <v>7.6077838170055803E-3</v>
      </c>
      <c r="I92" s="77">
        <f t="shared" si="240"/>
        <v>7.5728329231308927E-3</v>
      </c>
      <c r="J92">
        <f t="shared" si="241"/>
        <v>0.59303495679999996</v>
      </c>
      <c r="K92" s="78">
        <f t="shared" si="242"/>
        <v>0.5933969348</v>
      </c>
      <c r="L92" s="75">
        <f t="shared" si="243"/>
        <v>1.764924E-2</v>
      </c>
      <c r="M92" s="77">
        <f t="shared" si="244"/>
        <v>1.7672840000000002E-2</v>
      </c>
      <c r="N92" s="16">
        <f t="shared" si="245"/>
        <v>33.601161115152834</v>
      </c>
      <c r="O92" s="32">
        <f t="shared" si="246"/>
        <v>33.576772878609205</v>
      </c>
      <c r="P92" s="46">
        <f t="shared" si="251"/>
        <v>2.2827858002475533E-4</v>
      </c>
      <c r="Q92" s="46">
        <f t="shared" si="252"/>
        <v>2.7037672373364805E-3</v>
      </c>
      <c r="R92" s="46">
        <f t="shared" si="253"/>
        <v>-4.5530130330941586E-4</v>
      </c>
      <c r="S92" s="58">
        <f t="shared" si="255"/>
        <v>0.43416066264399572</v>
      </c>
      <c r="T92" s="50">
        <f>S92+Data!D$8</f>
        <v>0.93416066264399578</v>
      </c>
      <c r="U92" s="51">
        <f t="shared" si="247"/>
        <v>9.0739311640490785E-3</v>
      </c>
      <c r="V92" s="45">
        <f t="shared" si="121"/>
        <v>10</v>
      </c>
      <c r="W92" s="52">
        <f>(B$8-B92)*((S92*P92+S92*Q92*U92-R92*(1-S92-Data!D$8))/(1+U92*N92))</f>
        <v>1.9275753123918909E-2</v>
      </c>
      <c r="X92" s="58">
        <f t="shared" si="254"/>
        <v>0.4332829755814035</v>
      </c>
      <c r="Y92" s="31">
        <f>1-('MBal_Som_Saturated-Res'!F$8*X92)/(F92*(1-Data!D$8))</f>
        <v>0.12086349737377189</v>
      </c>
      <c r="Z92" s="31">
        <f t="shared" si="248"/>
        <v>0.18478667039735391</v>
      </c>
      <c r="AA92" s="117">
        <f>104192636.6824*EXP(-24.7967*(X92+Data!D$8))</f>
        <v>9.2735785244921105E-3</v>
      </c>
      <c r="AB92" s="3">
        <f t="shared" si="249"/>
        <v>622.21642626350001</v>
      </c>
    </row>
    <row r="93" spans="1:28" ht="15.75" x14ac:dyDescent="0.25">
      <c r="A93" s="40"/>
      <c r="B93" s="1">
        <v>2220</v>
      </c>
      <c r="C93" s="26">
        <f t="shared" si="250"/>
        <v>2230</v>
      </c>
      <c r="D93">
        <f t="shared" si="235"/>
        <v>110.8132549</v>
      </c>
      <c r="E93" s="78">
        <f t="shared" si="236"/>
        <v>111.24180940000001</v>
      </c>
      <c r="F93" s="37">
        <f t="shared" si="237"/>
        <v>1.4205267500000001</v>
      </c>
      <c r="G93" s="36">
        <f t="shared" si="238"/>
        <v>1.4216715500000001</v>
      </c>
      <c r="H93" s="76">
        <f t="shared" si="239"/>
        <v>7.6077838170055803E-3</v>
      </c>
      <c r="I93" s="77">
        <f t="shared" si="240"/>
        <v>7.5728329231308927E-3</v>
      </c>
      <c r="J93">
        <f t="shared" si="241"/>
        <v>0.59303495679999996</v>
      </c>
      <c r="K93" s="78">
        <f t="shared" si="242"/>
        <v>0.5933969348</v>
      </c>
      <c r="L93" s="75">
        <f t="shared" si="243"/>
        <v>1.764924E-2</v>
      </c>
      <c r="M93" s="77">
        <f t="shared" si="244"/>
        <v>1.7672840000000002E-2</v>
      </c>
      <c r="N93" s="16">
        <f t="shared" si="245"/>
        <v>33.601161115152834</v>
      </c>
      <c r="O93" s="32">
        <f t="shared" si="246"/>
        <v>33.576772878609205</v>
      </c>
      <c r="P93" s="46">
        <f t="shared" si="251"/>
        <v>2.2827858002475533E-4</v>
      </c>
      <c r="Q93" s="46">
        <f t="shared" si="252"/>
        <v>2.7037672373364805E-3</v>
      </c>
      <c r="R93" s="46">
        <f t="shared" si="253"/>
        <v>-4.5530130330941586E-4</v>
      </c>
      <c r="S93" s="58">
        <f t="shared" si="255"/>
        <v>0.43416066264399572</v>
      </c>
      <c r="T93" s="50">
        <f>S93+Data!D$8</f>
        <v>0.93416066264399578</v>
      </c>
      <c r="U93" s="51">
        <f t="shared" si="247"/>
        <v>9.0739311640490785E-3</v>
      </c>
      <c r="V93" s="45">
        <f t="shared" si="121"/>
        <v>11</v>
      </c>
      <c r="W93" s="52">
        <f>(B$8-B93)*((S93*P93+S93*Q93*U93-R93*(1-S93-Data!D$8))/(1+U93*N93))</f>
        <v>1.9275753123918909E-2</v>
      </c>
      <c r="X93" s="58">
        <f t="shared" si="254"/>
        <v>0.4332829755814035</v>
      </c>
      <c r="Y93" s="31">
        <f>1-('MBal_Som_Saturated-Res'!F$8*X93)/(F93*(1-Data!D$8))</f>
        <v>0.12086349737377189</v>
      </c>
      <c r="Z93" s="53">
        <f t="shared" si="248"/>
        <v>0.18478667039735391</v>
      </c>
      <c r="AA93" s="118">
        <f>104192636.6824*EXP(-24.7967*(X93+Data!D$8))</f>
        <v>9.2735785244921105E-3</v>
      </c>
      <c r="AB93" s="3">
        <f t="shared" si="249"/>
        <v>622.21642626350001</v>
      </c>
    </row>
    <row r="94" spans="1:28" ht="15.75" x14ac:dyDescent="0.25">
      <c r="A94" s="40"/>
      <c r="B94" s="1">
        <v>2220</v>
      </c>
      <c r="C94" s="26">
        <f t="shared" si="250"/>
        <v>2230</v>
      </c>
      <c r="D94">
        <f t="shared" si="235"/>
        <v>110.8132549</v>
      </c>
      <c r="E94" s="78">
        <f t="shared" si="236"/>
        <v>111.24180940000001</v>
      </c>
      <c r="F94" s="37">
        <f t="shared" si="237"/>
        <v>1.4205267500000001</v>
      </c>
      <c r="G94" s="36">
        <f t="shared" si="238"/>
        <v>1.4216715500000001</v>
      </c>
      <c r="H94" s="76">
        <f t="shared" si="239"/>
        <v>7.6077838170055803E-3</v>
      </c>
      <c r="I94" s="77">
        <f t="shared" si="240"/>
        <v>7.5728329231308927E-3</v>
      </c>
      <c r="J94">
        <f t="shared" si="241"/>
        <v>0.59303495679999996</v>
      </c>
      <c r="K94" s="78">
        <f t="shared" si="242"/>
        <v>0.5933969348</v>
      </c>
      <c r="L94" s="75">
        <f t="shared" si="243"/>
        <v>1.764924E-2</v>
      </c>
      <c r="M94" s="77">
        <f t="shared" si="244"/>
        <v>1.7672840000000002E-2</v>
      </c>
      <c r="N94" s="16">
        <f t="shared" si="245"/>
        <v>33.601161115152834</v>
      </c>
      <c r="O94" s="32">
        <f t="shared" si="246"/>
        <v>33.576772878609205</v>
      </c>
      <c r="P94" s="46">
        <f t="shared" si="251"/>
        <v>2.2827858002475533E-4</v>
      </c>
      <c r="Q94" s="46">
        <f t="shared" si="252"/>
        <v>2.7037672373364805E-3</v>
      </c>
      <c r="R94" s="46">
        <f t="shared" si="253"/>
        <v>-4.5530130330941586E-4</v>
      </c>
      <c r="S94" s="58">
        <f t="shared" si="255"/>
        <v>0.43416066264399572</v>
      </c>
      <c r="T94" s="50">
        <f>S94+Data!D$8</f>
        <v>0.93416066264399578</v>
      </c>
      <c r="U94" s="51">
        <f t="shared" si="247"/>
        <v>9.0739311640490785E-3</v>
      </c>
      <c r="V94" s="45">
        <f t="shared" si="121"/>
        <v>12</v>
      </c>
      <c r="W94" s="115">
        <f>(B$8-B94)*((S94*P94+S94*Q94*U94-R94*(1-S94-Data!D$8))/(1+U94*N94))</f>
        <v>1.9275753123918909E-2</v>
      </c>
      <c r="X94" s="49">
        <f t="shared" si="254"/>
        <v>0.4332829755814035</v>
      </c>
      <c r="Y94" s="31">
        <f>1-('MBal_Som_Saturated-Res'!F$8*X94)/(F94*(1-Data!D$8))</f>
        <v>0.12086349737377189</v>
      </c>
      <c r="Z94" s="53">
        <f t="shared" si="248"/>
        <v>0.18478667039735391</v>
      </c>
      <c r="AA94" s="117">
        <f>104192636.6824*EXP(-24.7967*(X94+Data!D$8))</f>
        <v>9.2735785244921105E-3</v>
      </c>
      <c r="AB94" s="86">
        <f t="shared" si="249"/>
        <v>622.21642626350001</v>
      </c>
    </row>
    <row r="95" spans="1:28" x14ac:dyDescent="0.25">
      <c r="A95" s="40"/>
      <c r="C95" s="26"/>
      <c r="D95" s="56"/>
      <c r="E95" s="30"/>
      <c r="F95" s="7"/>
      <c r="G95" s="26"/>
      <c r="H95" s="7"/>
      <c r="I95" s="26"/>
      <c r="J95" s="16"/>
      <c r="K95" s="16"/>
      <c r="L95" s="16"/>
      <c r="M95" s="16"/>
      <c r="N95" s="16"/>
      <c r="O95" s="32"/>
      <c r="P95" s="46"/>
      <c r="Q95" s="46"/>
      <c r="R95" s="46"/>
      <c r="S95" s="58"/>
      <c r="T95" s="50"/>
      <c r="U95" s="51"/>
      <c r="V95" s="45"/>
      <c r="W95" s="52"/>
      <c r="X95" s="58"/>
      <c r="Y95" s="31"/>
      <c r="Z95" s="31"/>
      <c r="AA95" s="51"/>
      <c r="AB95" s="54"/>
    </row>
    <row r="96" spans="1:28" ht="15.75" x14ac:dyDescent="0.25">
      <c r="A96" s="40"/>
      <c r="B96" s="39">
        <v>2200</v>
      </c>
      <c r="C96" s="26">
        <f>B$94-(B$94-B96)/2</f>
        <v>2210</v>
      </c>
      <c r="D96">
        <f t="shared" ref="D96:D103" si="256">0.04285545*B96 + 15.6741559</f>
        <v>109.95614590000001</v>
      </c>
      <c r="E96" s="78">
        <f t="shared" ref="E96:E103" si="257">0.04285545*C96 + 15.6741559</f>
        <v>110.38470040000001</v>
      </c>
      <c r="F96" s="37">
        <f t="shared" ref="F96:F103" si="258">0.00011448*B96 + 1.16638115</f>
        <v>1.4182371500000002</v>
      </c>
      <c r="G96" s="36">
        <f t="shared" ref="G96:G103" si="259">0.00011448*C96 + 1.16638115</f>
        <v>1.41938195</v>
      </c>
      <c r="H96" s="76">
        <f t="shared" ref="H96:H103" si="260">20.40472*B96^(-1.02454)</f>
        <v>7.6786505962058342E-3</v>
      </c>
      <c r="I96" s="77">
        <f t="shared" ref="I96:I103" si="261">20.40472*C96^(-1.02454)</f>
        <v>7.6430549072720047E-3</v>
      </c>
      <c r="J96">
        <f t="shared" ref="J96:J103" si="262">0.0000000907*B96^2 - 0.0003674172*B96 + 0.9616952608</f>
        <v>0.59236542079999999</v>
      </c>
      <c r="K96" s="78">
        <f t="shared" ref="K96:K103" si="263">0.0000000907*C96^2 - 0.0003674172*C96 + 0.9616952608</f>
        <v>0.59269111879999992</v>
      </c>
      <c r="L96" s="75">
        <f t="shared" ref="L96:L103" si="264">0.00000236*B96 + 0.01241004</f>
        <v>1.7602039999999999E-2</v>
      </c>
      <c r="M96" s="77">
        <f t="shared" ref="M96:M103" si="265">0.00000236*C96 + 0.01241004</f>
        <v>1.7625640000000001E-2</v>
      </c>
      <c r="N96" s="16">
        <f t="shared" ref="N96:N103" si="266">J96/L96</f>
        <v>33.653225467048138</v>
      </c>
      <c r="O96" s="32">
        <f t="shared" ref="O96:O103" si="267">K96/M96</f>
        <v>33.626643843854744</v>
      </c>
      <c r="P96" s="46">
        <f>I96*(E$94-E96)/(G96*(C$94-C96))</f>
        <v>2.3076703027387926E-4</v>
      </c>
      <c r="Q96" s="46">
        <f>O96*(G$94-G96)/(G96*(C$94-C96))</f>
        <v>2.7121510085743182E-3</v>
      </c>
      <c r="R96" s="46">
        <f>(I$94-I96)/(I96*(C$94-C96))</f>
        <v>-4.593842710347345E-4</v>
      </c>
      <c r="S96" s="49">
        <f>X94</f>
        <v>0.4332829755814035</v>
      </c>
      <c r="T96" s="50">
        <f>S96+Data!D$8</f>
        <v>0.9332829755814035</v>
      </c>
      <c r="U96" s="51">
        <f t="shared" ref="U96:U103" si="268">104192636.6824*EXP(-24.7967*T96)</f>
        <v>9.2735785244921105E-3</v>
      </c>
      <c r="V96" s="45">
        <f>V82+1</f>
        <v>1</v>
      </c>
      <c r="W96" s="52">
        <f>(B$78-B96)*((S96*P96+S96*Q96*U96-R96*(1-S96-Data!D$8))/(1+U96*N96))</f>
        <v>4.3147734332185904E-3</v>
      </c>
      <c r="X96" s="58">
        <f>S$96-W96</f>
        <v>0.42896820214818493</v>
      </c>
      <c r="Y96" s="31">
        <f>1-('MBal_Som_Saturated-Res'!F$8*X96)/(F96*(1-Data!D$8))</f>
        <v>0.12821308282377097</v>
      </c>
      <c r="Z96" s="31">
        <f t="shared" si="18"/>
        <v>0.19160185780908656</v>
      </c>
      <c r="AA96" s="51">
        <f>104192636.6824*EXP(-24.7967*(X96+Data!D$8))</f>
        <v>1.0320802104370058E-2</v>
      </c>
      <c r="AB96" s="3">
        <f t="shared" si="14"/>
        <v>617.40375922850012</v>
      </c>
    </row>
    <row r="97" spans="1:28" ht="15.75" x14ac:dyDescent="0.25">
      <c r="A97" s="40"/>
      <c r="B97" s="39">
        <v>2200</v>
      </c>
      <c r="C97" s="26">
        <f t="shared" ref="C97:C103" si="269">B$94-(B$94-B97)/2</f>
        <v>2210</v>
      </c>
      <c r="D97">
        <f t="shared" si="256"/>
        <v>109.95614590000001</v>
      </c>
      <c r="E97" s="78">
        <f t="shared" si="257"/>
        <v>110.38470040000001</v>
      </c>
      <c r="F97" s="37">
        <f t="shared" si="258"/>
        <v>1.4182371500000002</v>
      </c>
      <c r="G97" s="36">
        <f t="shared" si="259"/>
        <v>1.41938195</v>
      </c>
      <c r="H97" s="76">
        <f t="shared" si="260"/>
        <v>7.6786505962058342E-3</v>
      </c>
      <c r="I97" s="77">
        <f t="shared" si="261"/>
        <v>7.6430549072720047E-3</v>
      </c>
      <c r="J97">
        <f t="shared" si="262"/>
        <v>0.59236542079999999</v>
      </c>
      <c r="K97" s="78">
        <f t="shared" si="263"/>
        <v>0.59269111879999992</v>
      </c>
      <c r="L97" s="75">
        <f t="shared" si="264"/>
        <v>1.7602039999999999E-2</v>
      </c>
      <c r="M97" s="77">
        <f t="shared" si="265"/>
        <v>1.7625640000000001E-2</v>
      </c>
      <c r="N97" s="16">
        <f t="shared" si="266"/>
        <v>33.653225467048138</v>
      </c>
      <c r="O97" s="32">
        <f t="shared" si="267"/>
        <v>33.626643843854744</v>
      </c>
      <c r="P97" s="46">
        <f t="shared" ref="P97:P103" si="270">I97*(E$94-E97)/(G97*(C$94-C97))</f>
        <v>2.3076703027387926E-4</v>
      </c>
      <c r="Q97" s="46">
        <f t="shared" ref="Q97:Q103" si="271">O97*(G$94-G97)/(G97*(C$94-C97))</f>
        <v>2.7121510085743182E-3</v>
      </c>
      <c r="R97" s="46">
        <f t="shared" ref="R97:R103" si="272">(I$94-I97)/(I97*(C$94-C97))</f>
        <v>-4.593842710347345E-4</v>
      </c>
      <c r="S97" s="58">
        <f>S$96-W96/2</f>
        <v>0.43112558886479418</v>
      </c>
      <c r="T97" s="50">
        <f>S97+Data!D$8</f>
        <v>0.93112558886479424</v>
      </c>
      <c r="U97" s="51">
        <f t="shared" si="268"/>
        <v>9.7831880668122935E-3</v>
      </c>
      <c r="V97" s="45">
        <f t="shared" si="121"/>
        <v>2</v>
      </c>
      <c r="W97" s="52">
        <f>(B$78-B97)*((S97*P97+S97*Q97*U97-R97*(1-S97-Data!D$8))/(1+U97*N97))</f>
        <v>4.2902441535943607E-3</v>
      </c>
      <c r="X97" s="58">
        <f t="shared" ref="X97:X103" si="273">S$96-W97</f>
        <v>0.42899273142780914</v>
      </c>
      <c r="Y97" s="31">
        <f>1-('MBal_Som_Saturated-Res'!F$8*X97)/(F97*(1-Data!D$8))</f>
        <v>0.12816323226385296</v>
      </c>
      <c r="Z97" s="31">
        <f t="shared" si="18"/>
        <v>0.19155563194903874</v>
      </c>
      <c r="AA97" s="51">
        <f>104192636.6824*EXP(-24.7967*(X97+Data!D$8))</f>
        <v>1.031452643491953E-2</v>
      </c>
      <c r="AB97" s="3">
        <f t="shared" si="14"/>
        <v>617.40375922850012</v>
      </c>
    </row>
    <row r="98" spans="1:28" ht="15.75" x14ac:dyDescent="0.25">
      <c r="A98" s="40"/>
      <c r="B98" s="39">
        <v>2200</v>
      </c>
      <c r="C98" s="26">
        <f t="shared" si="269"/>
        <v>2210</v>
      </c>
      <c r="D98">
        <f t="shared" si="256"/>
        <v>109.95614590000001</v>
      </c>
      <c r="E98" s="78">
        <f t="shared" si="257"/>
        <v>110.38470040000001</v>
      </c>
      <c r="F98" s="37">
        <f t="shared" si="258"/>
        <v>1.4182371500000002</v>
      </c>
      <c r="G98" s="36">
        <f t="shared" si="259"/>
        <v>1.41938195</v>
      </c>
      <c r="H98" s="76">
        <f t="shared" si="260"/>
        <v>7.6786505962058342E-3</v>
      </c>
      <c r="I98" s="77">
        <f t="shared" si="261"/>
        <v>7.6430549072720047E-3</v>
      </c>
      <c r="J98">
        <f t="shared" si="262"/>
        <v>0.59236542079999999</v>
      </c>
      <c r="K98" s="78">
        <f t="shared" si="263"/>
        <v>0.59269111879999992</v>
      </c>
      <c r="L98" s="75">
        <f t="shared" si="264"/>
        <v>1.7602039999999999E-2</v>
      </c>
      <c r="M98" s="77">
        <f t="shared" si="265"/>
        <v>1.7625640000000001E-2</v>
      </c>
      <c r="N98" s="16">
        <f t="shared" si="266"/>
        <v>33.653225467048138</v>
      </c>
      <c r="O98" s="32">
        <f t="shared" si="267"/>
        <v>33.626643843854744</v>
      </c>
      <c r="P98" s="46">
        <f t="shared" si="270"/>
        <v>2.3076703027387926E-4</v>
      </c>
      <c r="Q98" s="46">
        <f t="shared" si="271"/>
        <v>2.7121510085743182E-3</v>
      </c>
      <c r="R98" s="46">
        <f t="shared" si="272"/>
        <v>-4.593842710347345E-4</v>
      </c>
      <c r="S98" s="58">
        <f t="shared" ref="S98:S102" si="274">S$96-W97/2</f>
        <v>0.43113785350460632</v>
      </c>
      <c r="T98" s="50">
        <f>S98+Data!D$8</f>
        <v>0.93113785350460632</v>
      </c>
      <c r="U98" s="51">
        <f t="shared" si="268"/>
        <v>9.7802132306599315E-3</v>
      </c>
      <c r="V98" s="45">
        <f t="shared" si="121"/>
        <v>3</v>
      </c>
      <c r="W98" s="52">
        <f>(B$78-B98)*((S98*P98+S98*Q98*U98-R98*(1-S98-Data!D$8))/(1+U98*N98))</f>
        <v>4.2903880281190783E-3</v>
      </c>
      <c r="X98" s="58">
        <f t="shared" si="273"/>
        <v>0.4289925875532844</v>
      </c>
      <c r="Y98" s="31">
        <f>1-('MBal_Som_Saturated-Res'!F$8*X98)/(F98*(1-Data!D$8))</f>
        <v>0.12816352465831893</v>
      </c>
      <c r="Z98" s="31">
        <f t="shared" si="18"/>
        <v>0.19155590308311798</v>
      </c>
      <c r="AA98" s="51">
        <f>104192636.6824*EXP(-24.7967*(X98+Data!D$8))</f>
        <v>1.0314563233228163E-2</v>
      </c>
      <c r="AB98" s="3">
        <f t="shared" si="14"/>
        <v>617.40375922850012</v>
      </c>
    </row>
    <row r="99" spans="1:28" ht="15.75" x14ac:dyDescent="0.25">
      <c r="A99" s="40"/>
      <c r="B99" s="39">
        <v>2200</v>
      </c>
      <c r="C99" s="26">
        <f t="shared" si="269"/>
        <v>2210</v>
      </c>
      <c r="D99">
        <f t="shared" si="256"/>
        <v>109.95614590000001</v>
      </c>
      <c r="E99" s="78">
        <f t="shared" si="257"/>
        <v>110.38470040000001</v>
      </c>
      <c r="F99" s="37">
        <f t="shared" si="258"/>
        <v>1.4182371500000002</v>
      </c>
      <c r="G99" s="36">
        <f t="shared" si="259"/>
        <v>1.41938195</v>
      </c>
      <c r="H99" s="76">
        <f t="shared" si="260"/>
        <v>7.6786505962058342E-3</v>
      </c>
      <c r="I99" s="77">
        <f t="shared" si="261"/>
        <v>7.6430549072720047E-3</v>
      </c>
      <c r="J99">
        <f t="shared" si="262"/>
        <v>0.59236542079999999</v>
      </c>
      <c r="K99" s="78">
        <f t="shared" si="263"/>
        <v>0.59269111879999992</v>
      </c>
      <c r="L99" s="75">
        <f t="shared" si="264"/>
        <v>1.7602039999999999E-2</v>
      </c>
      <c r="M99" s="77">
        <f t="shared" si="265"/>
        <v>1.7625640000000001E-2</v>
      </c>
      <c r="N99" s="16">
        <f t="shared" si="266"/>
        <v>33.653225467048138</v>
      </c>
      <c r="O99" s="32">
        <f t="shared" si="267"/>
        <v>33.626643843854744</v>
      </c>
      <c r="P99" s="46">
        <f t="shared" si="270"/>
        <v>2.3076703027387926E-4</v>
      </c>
      <c r="Q99" s="46">
        <f t="shared" si="271"/>
        <v>2.7121510085743182E-3</v>
      </c>
      <c r="R99" s="46">
        <f t="shared" si="272"/>
        <v>-4.593842710347345E-4</v>
      </c>
      <c r="S99" s="58">
        <f t="shared" si="274"/>
        <v>0.43113778156734395</v>
      </c>
      <c r="T99" s="50">
        <f>S99+Data!D$8</f>
        <v>0.93113778156734395</v>
      </c>
      <c r="U99" s="51">
        <f t="shared" si="268"/>
        <v>9.7802306766855071E-3</v>
      </c>
      <c r="V99" s="45">
        <f t="shared" si="121"/>
        <v>4</v>
      </c>
      <c r="W99" s="52">
        <f>(B$78-B99)*((S99*P99+S99*Q99*U99-R99*(1-S99-Data!D$8))/(1+U99*N99))</f>
        <v>4.2903871843824586E-3</v>
      </c>
      <c r="X99" s="58">
        <f t="shared" si="273"/>
        <v>0.42899258839702104</v>
      </c>
      <c r="Y99" s="31">
        <f>1-('MBal_Som_Saturated-Res'!F$8*X99)/(F99*(1-Data!D$8))</f>
        <v>0.128163522943603</v>
      </c>
      <c r="Z99" s="31">
        <f t="shared" si="18"/>
        <v>0.19155590149308133</v>
      </c>
      <c r="AA99" s="51">
        <f>104192636.6824*EXP(-24.7967*(X99+Data!D$8))</f>
        <v>1.0314563017428061E-2</v>
      </c>
      <c r="AB99" s="3">
        <f t="shared" si="14"/>
        <v>617.40375922850012</v>
      </c>
    </row>
    <row r="100" spans="1:28" ht="15.75" x14ac:dyDescent="0.25">
      <c r="A100" s="40"/>
      <c r="B100" s="39">
        <v>2200</v>
      </c>
      <c r="C100" s="26">
        <f t="shared" si="269"/>
        <v>2210</v>
      </c>
      <c r="D100">
        <f t="shared" si="256"/>
        <v>109.95614590000001</v>
      </c>
      <c r="E100" s="78">
        <f t="shared" si="257"/>
        <v>110.38470040000001</v>
      </c>
      <c r="F100" s="37">
        <f t="shared" si="258"/>
        <v>1.4182371500000002</v>
      </c>
      <c r="G100" s="36">
        <f t="shared" si="259"/>
        <v>1.41938195</v>
      </c>
      <c r="H100" s="76">
        <f t="shared" si="260"/>
        <v>7.6786505962058342E-3</v>
      </c>
      <c r="I100" s="77">
        <f t="shared" si="261"/>
        <v>7.6430549072720047E-3</v>
      </c>
      <c r="J100">
        <f t="shared" si="262"/>
        <v>0.59236542079999999</v>
      </c>
      <c r="K100" s="78">
        <f t="shared" si="263"/>
        <v>0.59269111879999992</v>
      </c>
      <c r="L100" s="75">
        <f t="shared" si="264"/>
        <v>1.7602039999999999E-2</v>
      </c>
      <c r="M100" s="77">
        <f t="shared" si="265"/>
        <v>1.7625640000000001E-2</v>
      </c>
      <c r="N100" s="16">
        <f t="shared" si="266"/>
        <v>33.653225467048138</v>
      </c>
      <c r="O100" s="32">
        <f t="shared" si="267"/>
        <v>33.626643843854744</v>
      </c>
      <c r="P100" s="46">
        <f t="shared" si="270"/>
        <v>2.3076703027387926E-4</v>
      </c>
      <c r="Q100" s="46">
        <f t="shared" si="271"/>
        <v>2.7121510085743182E-3</v>
      </c>
      <c r="R100" s="46">
        <f t="shared" si="272"/>
        <v>-4.593842710347345E-4</v>
      </c>
      <c r="S100" s="58">
        <f t="shared" si="274"/>
        <v>0.43113778198921227</v>
      </c>
      <c r="T100" s="50">
        <f>S100+Data!D$8</f>
        <v>0.93113778198921227</v>
      </c>
      <c r="U100" s="51">
        <f t="shared" si="268"/>
        <v>9.780230574375097E-3</v>
      </c>
      <c r="V100" s="45">
        <f t="shared" si="121"/>
        <v>5</v>
      </c>
      <c r="W100" s="52">
        <f>(B$78-B100)*((S100*P100+S100*Q100*U100-R100*(1-S100-Data!D$8))/(1+U100*N100))</f>
        <v>4.290387189330465E-3</v>
      </c>
      <c r="X100" s="58">
        <f t="shared" si="273"/>
        <v>0.42899258839207305</v>
      </c>
      <c r="Y100" s="31">
        <f>1-('MBal_Som_Saturated-Res'!F$8*X100)/(F100*(1-Data!D$8))</f>
        <v>0.12816352295365885</v>
      </c>
      <c r="Z100" s="31">
        <f t="shared" si="18"/>
        <v>0.19155590150240598</v>
      </c>
      <c r="AA100" s="51">
        <f>104192636.6824*EXP(-24.7967*(X100+Data!D$8))</f>
        <v>1.0314563018693587E-2</v>
      </c>
      <c r="AB100" s="3">
        <f t="shared" si="14"/>
        <v>617.40375922850012</v>
      </c>
    </row>
    <row r="101" spans="1:28" ht="15.75" x14ac:dyDescent="0.25">
      <c r="A101" s="40"/>
      <c r="B101" s="39">
        <v>2200</v>
      </c>
      <c r="C101" s="26">
        <f t="shared" si="269"/>
        <v>2210</v>
      </c>
      <c r="D101">
        <f t="shared" si="256"/>
        <v>109.95614590000001</v>
      </c>
      <c r="E101" s="78">
        <f t="shared" si="257"/>
        <v>110.38470040000001</v>
      </c>
      <c r="F101" s="37">
        <f t="shared" si="258"/>
        <v>1.4182371500000002</v>
      </c>
      <c r="G101" s="36">
        <f t="shared" si="259"/>
        <v>1.41938195</v>
      </c>
      <c r="H101" s="76">
        <f t="shared" si="260"/>
        <v>7.6786505962058342E-3</v>
      </c>
      <c r="I101" s="77">
        <f t="shared" si="261"/>
        <v>7.6430549072720047E-3</v>
      </c>
      <c r="J101">
        <f t="shared" si="262"/>
        <v>0.59236542079999999</v>
      </c>
      <c r="K101" s="78">
        <f t="shared" si="263"/>
        <v>0.59269111879999992</v>
      </c>
      <c r="L101" s="75">
        <f t="shared" si="264"/>
        <v>1.7602039999999999E-2</v>
      </c>
      <c r="M101" s="77">
        <f t="shared" si="265"/>
        <v>1.7625640000000001E-2</v>
      </c>
      <c r="N101" s="16">
        <f t="shared" si="266"/>
        <v>33.653225467048138</v>
      </c>
      <c r="O101" s="32">
        <f t="shared" si="267"/>
        <v>33.626643843854744</v>
      </c>
      <c r="P101" s="46">
        <f t="shared" si="270"/>
        <v>2.3076703027387926E-4</v>
      </c>
      <c r="Q101" s="46">
        <f t="shared" si="271"/>
        <v>2.7121510085743182E-3</v>
      </c>
      <c r="R101" s="46">
        <f t="shared" si="272"/>
        <v>-4.593842710347345E-4</v>
      </c>
      <c r="S101" s="58">
        <f t="shared" si="274"/>
        <v>0.43113778198673824</v>
      </c>
      <c r="T101" s="50">
        <f>S101+Data!D$8</f>
        <v>0.93113778198673824</v>
      </c>
      <c r="U101" s="51">
        <f t="shared" si="268"/>
        <v>9.7802305749750962E-3</v>
      </c>
      <c r="V101" s="45">
        <f t="shared" si="121"/>
        <v>6</v>
      </c>
      <c r="W101" s="52">
        <f>(B$78-B101)*((S101*P101+S101*Q101*U101-R101*(1-S101-Data!D$8))/(1+U101*N101))</f>
        <v>4.2903871893014475E-3</v>
      </c>
      <c r="X101" s="58">
        <f t="shared" si="273"/>
        <v>0.42899258839210203</v>
      </c>
      <c r="Y101" s="31">
        <f>1-('MBal_Som_Saturated-Res'!F$8*X101)/(F101*(1-Data!D$8))</f>
        <v>0.1281635229535999</v>
      </c>
      <c r="Z101" s="31">
        <f t="shared" si="18"/>
        <v>0.1915559015023513</v>
      </c>
      <c r="AA101" s="51">
        <f>104192636.6824*EXP(-24.7967*(X101+Data!D$8))</f>
        <v>1.031456301868622E-2</v>
      </c>
      <c r="AB101" s="3">
        <f t="shared" si="14"/>
        <v>617.40375922850012</v>
      </c>
    </row>
    <row r="102" spans="1:28" ht="15.75" x14ac:dyDescent="0.25">
      <c r="A102" s="40"/>
      <c r="B102" s="39">
        <v>2200</v>
      </c>
      <c r="C102" s="26">
        <f t="shared" si="269"/>
        <v>2210</v>
      </c>
      <c r="D102">
        <f t="shared" si="256"/>
        <v>109.95614590000001</v>
      </c>
      <c r="E102" s="78">
        <f t="shared" si="257"/>
        <v>110.38470040000001</v>
      </c>
      <c r="F102" s="37">
        <f t="shared" si="258"/>
        <v>1.4182371500000002</v>
      </c>
      <c r="G102" s="36">
        <f t="shared" si="259"/>
        <v>1.41938195</v>
      </c>
      <c r="H102" s="76">
        <f t="shared" si="260"/>
        <v>7.6786505962058342E-3</v>
      </c>
      <c r="I102" s="77">
        <f t="shared" si="261"/>
        <v>7.6430549072720047E-3</v>
      </c>
      <c r="J102">
        <f t="shared" si="262"/>
        <v>0.59236542079999999</v>
      </c>
      <c r="K102" s="78">
        <f t="shared" si="263"/>
        <v>0.59269111879999992</v>
      </c>
      <c r="L102" s="75">
        <f t="shared" si="264"/>
        <v>1.7602039999999999E-2</v>
      </c>
      <c r="M102" s="77">
        <f t="shared" si="265"/>
        <v>1.7625640000000001E-2</v>
      </c>
      <c r="N102" s="16">
        <f t="shared" si="266"/>
        <v>33.653225467048138</v>
      </c>
      <c r="O102" s="32">
        <f t="shared" si="267"/>
        <v>33.626643843854744</v>
      </c>
      <c r="P102" s="46">
        <f t="shared" si="270"/>
        <v>2.3076703027387926E-4</v>
      </c>
      <c r="Q102" s="46">
        <f t="shared" si="271"/>
        <v>2.7121510085743182E-3</v>
      </c>
      <c r="R102" s="46">
        <f t="shared" si="272"/>
        <v>-4.593842710347345E-4</v>
      </c>
      <c r="S102" s="58">
        <f t="shared" si="274"/>
        <v>0.43113778198675279</v>
      </c>
      <c r="T102" s="50">
        <f>S102+Data!D$8</f>
        <v>0.93113778198675279</v>
      </c>
      <c r="U102" s="51">
        <f t="shared" si="268"/>
        <v>9.7802305749715521E-3</v>
      </c>
      <c r="V102" s="45">
        <f t="shared" si="121"/>
        <v>7</v>
      </c>
      <c r="W102" s="52">
        <f>(B$78-B102)*((S102*P102+S102*Q102*U102-R102*(1-S102-Data!D$8))/(1+U102*N102))</f>
        <v>4.2903871893016183E-3</v>
      </c>
      <c r="X102" s="58">
        <f t="shared" si="273"/>
        <v>0.42899258839210186</v>
      </c>
      <c r="Y102" s="31">
        <f>1-('MBal_Som_Saturated-Res'!F$8*X102)/(F102*(1-Data!D$8))</f>
        <v>0.12816352295360023</v>
      </c>
      <c r="Z102" s="31">
        <f t="shared" si="18"/>
        <v>0.19155590150235163</v>
      </c>
      <c r="AA102" s="51">
        <f>104192636.6824*EXP(-24.7967*(X102+Data!D$8))</f>
        <v>1.0314563018686256E-2</v>
      </c>
      <c r="AB102" s="3">
        <f t="shared" si="14"/>
        <v>617.40375922850012</v>
      </c>
    </row>
    <row r="103" spans="1:28" ht="15.75" x14ac:dyDescent="0.25">
      <c r="A103" s="40"/>
      <c r="B103" s="39">
        <v>2200</v>
      </c>
      <c r="C103" s="26">
        <f t="shared" si="269"/>
        <v>2210</v>
      </c>
      <c r="D103">
        <f t="shared" si="256"/>
        <v>109.95614590000001</v>
      </c>
      <c r="E103" s="78">
        <f t="shared" si="257"/>
        <v>110.38470040000001</v>
      </c>
      <c r="F103" s="37">
        <f t="shared" si="258"/>
        <v>1.4182371500000002</v>
      </c>
      <c r="G103" s="36">
        <f t="shared" si="259"/>
        <v>1.41938195</v>
      </c>
      <c r="H103" s="76">
        <f t="shared" si="260"/>
        <v>7.6786505962058342E-3</v>
      </c>
      <c r="I103" s="77">
        <f t="shared" si="261"/>
        <v>7.6430549072720047E-3</v>
      </c>
      <c r="J103">
        <f t="shared" si="262"/>
        <v>0.59236542079999999</v>
      </c>
      <c r="K103" s="78">
        <f t="shared" si="263"/>
        <v>0.59269111879999992</v>
      </c>
      <c r="L103" s="75">
        <f t="shared" si="264"/>
        <v>1.7602039999999999E-2</v>
      </c>
      <c r="M103" s="77">
        <f t="shared" si="265"/>
        <v>1.7625640000000001E-2</v>
      </c>
      <c r="N103" s="16">
        <f t="shared" si="266"/>
        <v>33.653225467048138</v>
      </c>
      <c r="O103" s="32">
        <f t="shared" si="267"/>
        <v>33.626643843854744</v>
      </c>
      <c r="P103" s="46">
        <f t="shared" si="270"/>
        <v>2.3076703027387926E-4</v>
      </c>
      <c r="Q103" s="46">
        <f t="shared" si="271"/>
        <v>2.7121510085743182E-3</v>
      </c>
      <c r="R103" s="46">
        <f t="shared" si="272"/>
        <v>-4.593842710347345E-4</v>
      </c>
      <c r="S103" s="58">
        <f>S$96-W102/2</f>
        <v>0.43113778198675268</v>
      </c>
      <c r="T103" s="50">
        <f>S103+Data!D$8</f>
        <v>0.93113778198675268</v>
      </c>
      <c r="U103" s="51">
        <f t="shared" si="268"/>
        <v>9.7802305749715868E-3</v>
      </c>
      <c r="V103" s="45">
        <f t="shared" si="121"/>
        <v>8</v>
      </c>
      <c r="W103" s="115">
        <f>(B$78-B103)*((S103*P103+S103*Q103*U103-R103*(1-S103-Data!D$8))/(1+U103*N103))</f>
        <v>4.2903871893016175E-3</v>
      </c>
      <c r="X103" s="49">
        <f t="shared" si="273"/>
        <v>0.42899258839210186</v>
      </c>
      <c r="Y103" s="31">
        <f>1-('MBal_Som_Saturated-Res'!F$8*X103)/(F103*(1-Data!D$8))</f>
        <v>0.12816352295360023</v>
      </c>
      <c r="Z103" s="53">
        <f t="shared" si="18"/>
        <v>0.19155590150235163</v>
      </c>
      <c r="AA103" s="51">
        <f>104192636.6824*EXP(-24.7967*(X103+Data!D$8))</f>
        <v>1.0314563018686256E-2</v>
      </c>
      <c r="AB103" s="86">
        <f t="shared" si="14"/>
        <v>617.40375922850012</v>
      </c>
    </row>
    <row r="105" spans="1:28" ht="15.75" x14ac:dyDescent="0.25">
      <c r="B105" s="39">
        <v>2100</v>
      </c>
      <c r="C105" s="26">
        <f>B$103-(B$103-B105)/2</f>
        <v>2150</v>
      </c>
      <c r="D105">
        <f t="shared" ref="D105:D112" si="275">0.04285545*B105 + 15.6741559</f>
        <v>105.67060090000001</v>
      </c>
      <c r="E105" s="78">
        <f t="shared" ref="E105:E112" si="276">0.04285545*C105 + 15.6741559</f>
        <v>107.8133734</v>
      </c>
      <c r="F105" s="37">
        <f t="shared" ref="F105:F112" si="277">0.00011448*B105 + 1.16638115</f>
        <v>1.40678915</v>
      </c>
      <c r="G105" s="36">
        <f t="shared" ref="G105:G112" si="278">0.00011448*C105 + 1.16638115</f>
        <v>1.4125131500000001</v>
      </c>
      <c r="H105" s="76">
        <f t="shared" ref="H105:H112" si="279">20.40472*B105^(-1.02454)</f>
        <v>8.0534892515873036E-3</v>
      </c>
      <c r="I105" s="77">
        <f t="shared" ref="I105:I112" si="280">20.40472*C105^(-1.02454)</f>
        <v>7.8616578697549323E-3</v>
      </c>
      <c r="J105">
        <f t="shared" ref="J105:J112" si="281">0.0000000907*B105^2 - 0.0003674172*B105 + 0.9616952608</f>
        <v>0.59010614080000001</v>
      </c>
      <c r="K105" s="78">
        <f t="shared" ref="K105:K112" si="282">0.0000000907*C105^2 - 0.0003674172*C105 + 0.9616952608</f>
        <v>0.5910090308</v>
      </c>
      <c r="L105" s="75">
        <f t="shared" ref="L105:L112" si="283">0.00000236*B105 + 0.01241004</f>
        <v>1.7366039999999999E-2</v>
      </c>
      <c r="M105" s="77">
        <f t="shared" ref="M105:M112" si="284">0.00000236*C105 + 0.01241004</f>
        <v>1.7484039999999999E-2</v>
      </c>
      <c r="N105" s="16">
        <f t="shared" ref="N105:N112" si="285">J105/L105</f>
        <v>33.98046651971319</v>
      </c>
      <c r="O105" s="32">
        <f t="shared" ref="O105:O112" si="286">K105/M105</f>
        <v>33.802772745887104</v>
      </c>
      <c r="P105" s="46">
        <f>I105*(E$103-E105)/(G105*(C$103-C105))</f>
        <v>2.3852159235076176E-4</v>
      </c>
      <c r="Q105" s="46">
        <f>O105*(G$103-G105)/(G105*(C$103-C105))</f>
        <v>2.7396144410755377E-3</v>
      </c>
      <c r="R105" s="46">
        <f>(I$103-I105)/(I105*(C$103-C105))</f>
        <v>-4.6343694528675367E-4</v>
      </c>
      <c r="S105" s="49">
        <f>X103</f>
        <v>0.42899258839210186</v>
      </c>
      <c r="T105" s="50">
        <f>S105+Data!D$8</f>
        <v>0.92899258839210186</v>
      </c>
      <c r="U105" s="51">
        <f t="shared" ref="U105:U112" si="287">104192636.6824*EXP(-24.7967*T105)</f>
        <v>1.0314563018686256E-2</v>
      </c>
      <c r="V105" s="45">
        <f t="shared" si="121"/>
        <v>1</v>
      </c>
      <c r="W105" s="52">
        <f>(B$78-B105)*((S105*P105+S105*Q105*U105-R105*(1-S105-Data!D$8))/(1+U105*N105))</f>
        <v>1.5275558644375105E-2</v>
      </c>
      <c r="X105" s="58">
        <f>S$105-W105</f>
        <v>0.41371702974772673</v>
      </c>
      <c r="Y105" s="31">
        <f>1-('MBal_Som_Saturated-Res'!F$8*X105)/(F105*(1-Data!D$8))</f>
        <v>0.15236575958950904</v>
      </c>
      <c r="Z105" s="31">
        <f t="shared" ref="Z105:Z112" si="288">Z$8+Y105*(1-Z$8)</f>
        <v>0.21399836163550653</v>
      </c>
      <c r="AA105" s="51">
        <f>104192636.6824*EXP(-24.7967*(X105+Data!D$8))</f>
        <v>1.5064488618290472E-2</v>
      </c>
      <c r="AB105" s="3">
        <f t="shared" ref="AB105:AB112" si="289">5.615*D105</f>
        <v>593.3404240535001</v>
      </c>
    </row>
    <row r="106" spans="1:28" ht="15.75" x14ac:dyDescent="0.25">
      <c r="B106" s="39">
        <v>2100</v>
      </c>
      <c r="C106" s="26">
        <f t="shared" ref="C106:C112" si="290">B$103-(B$103-B106)/2</f>
        <v>2150</v>
      </c>
      <c r="D106">
        <f t="shared" si="275"/>
        <v>105.67060090000001</v>
      </c>
      <c r="E106" s="78">
        <f t="shared" si="276"/>
        <v>107.8133734</v>
      </c>
      <c r="F106" s="37">
        <f t="shared" si="277"/>
        <v>1.40678915</v>
      </c>
      <c r="G106" s="36">
        <f t="shared" si="278"/>
        <v>1.4125131500000001</v>
      </c>
      <c r="H106" s="76">
        <f t="shared" si="279"/>
        <v>8.0534892515873036E-3</v>
      </c>
      <c r="I106" s="77">
        <f t="shared" si="280"/>
        <v>7.8616578697549323E-3</v>
      </c>
      <c r="J106">
        <f t="shared" si="281"/>
        <v>0.59010614080000001</v>
      </c>
      <c r="K106" s="78">
        <f t="shared" si="282"/>
        <v>0.5910090308</v>
      </c>
      <c r="L106" s="75">
        <f t="shared" si="283"/>
        <v>1.7366039999999999E-2</v>
      </c>
      <c r="M106" s="77">
        <f t="shared" si="284"/>
        <v>1.7484039999999999E-2</v>
      </c>
      <c r="N106" s="16">
        <f t="shared" si="285"/>
        <v>33.98046651971319</v>
      </c>
      <c r="O106" s="32">
        <f t="shared" si="286"/>
        <v>33.802772745887104</v>
      </c>
      <c r="P106" s="46">
        <f t="shared" ref="P106:P112" si="291">I106*(E$103-E106)/(G106*(C$103-C106))</f>
        <v>2.3852159235076176E-4</v>
      </c>
      <c r="Q106" s="46">
        <f t="shared" ref="Q106:Q112" si="292">O106*(G$103-G106)/(G106*(C$103-C106))</f>
        <v>2.7396144410755377E-3</v>
      </c>
      <c r="R106" s="46">
        <f t="shared" ref="R106:R112" si="293">(I$103-I106)/(I106*(C$103-C106))</f>
        <v>-4.6343694528675367E-4</v>
      </c>
      <c r="S106" s="58">
        <f>S$105-W105/2</f>
        <v>0.42135480906991429</v>
      </c>
      <c r="T106" s="50">
        <f>S106+Data!D$8</f>
        <v>0.92135480906991429</v>
      </c>
      <c r="U106" s="51">
        <f t="shared" si="287"/>
        <v>1.2465296514629663E-2</v>
      </c>
      <c r="V106" s="45">
        <f t="shared" si="121"/>
        <v>2</v>
      </c>
      <c r="W106" s="52">
        <f>(B$78-B106)*((S106*P106+S106*Q106*U106-R106*(1-S106-Data!D$8))/(1+U106*N106))</f>
        <v>1.4883222116882306E-2</v>
      </c>
      <c r="X106" s="58">
        <f t="shared" ref="X106:X112" si="294">S$105-W106</f>
        <v>0.41410936627521955</v>
      </c>
      <c r="Y106" s="31">
        <f>1-('MBal_Som_Saturated-Res'!F$8*X106)/(F106*(1-Data!D$8))</f>
        <v>0.1515619302797282</v>
      </c>
      <c r="Z106" s="31">
        <f t="shared" si="288"/>
        <v>0.2132529798135698</v>
      </c>
      <c r="AA106" s="51">
        <f>104192636.6824*EXP(-24.7967*(X106+Data!D$8))</f>
        <v>1.4918642058921924E-2</v>
      </c>
      <c r="AB106" s="3">
        <f t="shared" si="289"/>
        <v>593.3404240535001</v>
      </c>
    </row>
    <row r="107" spans="1:28" ht="15.75" x14ac:dyDescent="0.25">
      <c r="B107" s="39">
        <v>2100</v>
      </c>
      <c r="C107" s="26">
        <f t="shared" si="290"/>
        <v>2150</v>
      </c>
      <c r="D107">
        <f t="shared" si="275"/>
        <v>105.67060090000001</v>
      </c>
      <c r="E107" s="78">
        <f t="shared" si="276"/>
        <v>107.8133734</v>
      </c>
      <c r="F107" s="37">
        <f t="shared" si="277"/>
        <v>1.40678915</v>
      </c>
      <c r="G107" s="36">
        <f t="shared" si="278"/>
        <v>1.4125131500000001</v>
      </c>
      <c r="H107" s="76">
        <f t="shared" si="279"/>
        <v>8.0534892515873036E-3</v>
      </c>
      <c r="I107" s="77">
        <f t="shared" si="280"/>
        <v>7.8616578697549323E-3</v>
      </c>
      <c r="J107">
        <f t="shared" si="281"/>
        <v>0.59010614080000001</v>
      </c>
      <c r="K107" s="78">
        <f t="shared" si="282"/>
        <v>0.5910090308</v>
      </c>
      <c r="L107" s="75">
        <f t="shared" si="283"/>
        <v>1.7366039999999999E-2</v>
      </c>
      <c r="M107" s="77">
        <f t="shared" si="284"/>
        <v>1.7484039999999999E-2</v>
      </c>
      <c r="N107" s="16">
        <f t="shared" si="285"/>
        <v>33.98046651971319</v>
      </c>
      <c r="O107" s="32">
        <f t="shared" si="286"/>
        <v>33.802772745887104</v>
      </c>
      <c r="P107" s="46">
        <f t="shared" si="291"/>
        <v>2.3852159235076176E-4</v>
      </c>
      <c r="Q107" s="46">
        <f t="shared" si="292"/>
        <v>2.7396144410755377E-3</v>
      </c>
      <c r="R107" s="46">
        <f t="shared" si="293"/>
        <v>-4.6343694528675367E-4</v>
      </c>
      <c r="S107" s="58">
        <f t="shared" ref="S107:S112" si="295">S$105-W106/2</f>
        <v>0.4215509773336607</v>
      </c>
      <c r="T107" s="50">
        <f>S107+Data!D$8</f>
        <v>0.92155097733366076</v>
      </c>
      <c r="U107" s="51">
        <f t="shared" si="287"/>
        <v>1.2404808489854745E-2</v>
      </c>
      <c r="V107" s="45">
        <f t="shared" si="121"/>
        <v>3</v>
      </c>
      <c r="W107" s="52">
        <f>(B$78-B107)*((S107*P107+S107*Q107*U107-R107*(1-S107-Data!D$8))/(1+U107*N107))</f>
        <v>1.4894176644349074E-2</v>
      </c>
      <c r="X107" s="58">
        <f t="shared" si="294"/>
        <v>0.4140984117477528</v>
      </c>
      <c r="Y107" s="31">
        <f>1-('MBal_Som_Saturated-Res'!F$8*X107)/(F107*(1-Data!D$8))</f>
        <v>0.15158437420129944</v>
      </c>
      <c r="Z107" s="31">
        <f t="shared" si="288"/>
        <v>0.21327379180804254</v>
      </c>
      <c r="AA107" s="51">
        <f>104192636.6824*EXP(-24.7967*(X107+Data!D$8))</f>
        <v>1.4922695051578783E-2</v>
      </c>
      <c r="AB107" s="3">
        <f t="shared" si="289"/>
        <v>593.3404240535001</v>
      </c>
    </row>
    <row r="108" spans="1:28" ht="15.75" x14ac:dyDescent="0.25">
      <c r="B108" s="39">
        <v>2100</v>
      </c>
      <c r="C108" s="26">
        <f t="shared" si="290"/>
        <v>2150</v>
      </c>
      <c r="D108">
        <f t="shared" si="275"/>
        <v>105.67060090000001</v>
      </c>
      <c r="E108" s="78">
        <f t="shared" si="276"/>
        <v>107.8133734</v>
      </c>
      <c r="F108" s="37">
        <f t="shared" si="277"/>
        <v>1.40678915</v>
      </c>
      <c r="G108" s="36">
        <f t="shared" si="278"/>
        <v>1.4125131500000001</v>
      </c>
      <c r="H108" s="76">
        <f t="shared" si="279"/>
        <v>8.0534892515873036E-3</v>
      </c>
      <c r="I108" s="77">
        <f t="shared" si="280"/>
        <v>7.8616578697549323E-3</v>
      </c>
      <c r="J108">
        <f t="shared" si="281"/>
        <v>0.59010614080000001</v>
      </c>
      <c r="K108" s="78">
        <f t="shared" si="282"/>
        <v>0.5910090308</v>
      </c>
      <c r="L108" s="75">
        <f t="shared" si="283"/>
        <v>1.7366039999999999E-2</v>
      </c>
      <c r="M108" s="77">
        <f t="shared" si="284"/>
        <v>1.7484039999999999E-2</v>
      </c>
      <c r="N108" s="16">
        <f t="shared" si="285"/>
        <v>33.98046651971319</v>
      </c>
      <c r="O108" s="32">
        <f t="shared" si="286"/>
        <v>33.802772745887104</v>
      </c>
      <c r="P108" s="46">
        <f t="shared" si="291"/>
        <v>2.3852159235076176E-4</v>
      </c>
      <c r="Q108" s="46">
        <f t="shared" si="292"/>
        <v>2.7396144410755377E-3</v>
      </c>
      <c r="R108" s="46">
        <f t="shared" si="293"/>
        <v>-4.6343694528675367E-4</v>
      </c>
      <c r="S108" s="58">
        <f t="shared" si="295"/>
        <v>0.4215455000699273</v>
      </c>
      <c r="T108" s="50">
        <f>S108+Data!D$8</f>
        <v>0.9215455000699273</v>
      </c>
      <c r="U108" s="51">
        <f t="shared" si="287"/>
        <v>1.2406493401366377E-2</v>
      </c>
      <c r="V108" s="45">
        <f t="shared" si="121"/>
        <v>4</v>
      </c>
      <c r="W108" s="52">
        <f>(B$78-B108)*((S108*P108+S108*Q108*U108-R108*(1-S108-Data!D$8))/(1+U108*N108))</f>
        <v>1.4893871403894659E-2</v>
      </c>
      <c r="X108" s="58">
        <f t="shared" si="294"/>
        <v>0.41409871698820722</v>
      </c>
      <c r="Y108" s="31">
        <f>1-('MBal_Som_Saturated-Res'!F$8*X108)/(F108*(1-Data!D$8))</f>
        <v>0.15158374881669556</v>
      </c>
      <c r="Z108" s="31">
        <f t="shared" si="288"/>
        <v>0.21327321189597689</v>
      </c>
      <c r="AA108" s="51">
        <f>104192636.6824*EXP(-24.7967*(X108+Data!D$8))</f>
        <v>1.4922582102784351E-2</v>
      </c>
      <c r="AB108" s="3">
        <f t="shared" si="289"/>
        <v>593.3404240535001</v>
      </c>
    </row>
    <row r="109" spans="1:28" ht="15.75" x14ac:dyDescent="0.25">
      <c r="B109" s="39">
        <v>2100</v>
      </c>
      <c r="C109" s="26">
        <f t="shared" si="290"/>
        <v>2150</v>
      </c>
      <c r="D109">
        <f t="shared" si="275"/>
        <v>105.67060090000001</v>
      </c>
      <c r="E109" s="78">
        <f t="shared" si="276"/>
        <v>107.8133734</v>
      </c>
      <c r="F109" s="37">
        <f t="shared" si="277"/>
        <v>1.40678915</v>
      </c>
      <c r="G109" s="36">
        <f t="shared" si="278"/>
        <v>1.4125131500000001</v>
      </c>
      <c r="H109" s="76">
        <f t="shared" si="279"/>
        <v>8.0534892515873036E-3</v>
      </c>
      <c r="I109" s="77">
        <f t="shared" si="280"/>
        <v>7.8616578697549323E-3</v>
      </c>
      <c r="J109">
        <f t="shared" si="281"/>
        <v>0.59010614080000001</v>
      </c>
      <c r="K109" s="78">
        <f t="shared" si="282"/>
        <v>0.5910090308</v>
      </c>
      <c r="L109" s="75">
        <f t="shared" si="283"/>
        <v>1.7366039999999999E-2</v>
      </c>
      <c r="M109" s="77">
        <f t="shared" si="284"/>
        <v>1.7484039999999999E-2</v>
      </c>
      <c r="N109" s="16">
        <f t="shared" si="285"/>
        <v>33.98046651971319</v>
      </c>
      <c r="O109" s="32">
        <f t="shared" si="286"/>
        <v>33.802772745887104</v>
      </c>
      <c r="P109" s="46">
        <f t="shared" si="291"/>
        <v>2.3852159235076176E-4</v>
      </c>
      <c r="Q109" s="46">
        <f t="shared" si="292"/>
        <v>2.7396144410755377E-3</v>
      </c>
      <c r="R109" s="46">
        <f t="shared" si="293"/>
        <v>-4.6343694528675367E-4</v>
      </c>
      <c r="S109" s="58">
        <f t="shared" si="295"/>
        <v>0.42154565269015454</v>
      </c>
      <c r="T109" s="50">
        <f>S109+Data!D$8</f>
        <v>0.92154565269015454</v>
      </c>
      <c r="U109" s="51">
        <f t="shared" si="287"/>
        <v>1.2406446449354016E-2</v>
      </c>
      <c r="V109" s="45">
        <f t="shared" si="121"/>
        <v>5</v>
      </c>
      <c r="W109" s="52">
        <f>(B$78-B109)*((S109*P109+S109*Q109*U109-R109*(1-S109-Data!D$8))/(1+U109*N109))</f>
        <v>1.489387990969762E-2</v>
      </c>
      <c r="X109" s="58">
        <f t="shared" si="294"/>
        <v>0.41409870848240427</v>
      </c>
      <c r="Y109" s="31">
        <f>1-('MBal_Som_Saturated-Res'!F$8*X109)/(F109*(1-Data!D$8))</f>
        <v>0.15158376624360659</v>
      </c>
      <c r="Z109" s="31">
        <f t="shared" si="288"/>
        <v>0.21327322805575427</v>
      </c>
      <c r="AA109" s="51">
        <f>104192636.6824*EXP(-24.7967*(X109+Data!D$8))</f>
        <v>1.4922585250193668E-2</v>
      </c>
      <c r="AB109" s="3">
        <f t="shared" si="289"/>
        <v>593.3404240535001</v>
      </c>
    </row>
    <row r="110" spans="1:28" ht="15.75" x14ac:dyDescent="0.25">
      <c r="B110" s="39">
        <v>2100</v>
      </c>
      <c r="C110" s="26">
        <f t="shared" si="290"/>
        <v>2150</v>
      </c>
      <c r="D110">
        <f t="shared" si="275"/>
        <v>105.67060090000001</v>
      </c>
      <c r="E110" s="78">
        <f t="shared" si="276"/>
        <v>107.8133734</v>
      </c>
      <c r="F110" s="37">
        <f t="shared" si="277"/>
        <v>1.40678915</v>
      </c>
      <c r="G110" s="36">
        <f t="shared" si="278"/>
        <v>1.4125131500000001</v>
      </c>
      <c r="H110" s="76">
        <f t="shared" si="279"/>
        <v>8.0534892515873036E-3</v>
      </c>
      <c r="I110" s="77">
        <f t="shared" si="280"/>
        <v>7.8616578697549323E-3</v>
      </c>
      <c r="J110">
        <f t="shared" si="281"/>
        <v>0.59010614080000001</v>
      </c>
      <c r="K110" s="78">
        <f t="shared" si="282"/>
        <v>0.5910090308</v>
      </c>
      <c r="L110" s="75">
        <f t="shared" si="283"/>
        <v>1.7366039999999999E-2</v>
      </c>
      <c r="M110" s="77">
        <f t="shared" si="284"/>
        <v>1.7484039999999999E-2</v>
      </c>
      <c r="N110" s="16">
        <f t="shared" si="285"/>
        <v>33.98046651971319</v>
      </c>
      <c r="O110" s="32">
        <f t="shared" si="286"/>
        <v>33.802772745887104</v>
      </c>
      <c r="P110" s="46">
        <f t="shared" si="291"/>
        <v>2.3852159235076176E-4</v>
      </c>
      <c r="Q110" s="46">
        <f t="shared" si="292"/>
        <v>2.7396144410755377E-3</v>
      </c>
      <c r="R110" s="46">
        <f t="shared" si="293"/>
        <v>-4.6343694528675367E-4</v>
      </c>
      <c r="S110" s="58">
        <f t="shared" si="295"/>
        <v>0.42154564843725306</v>
      </c>
      <c r="T110" s="50">
        <f>S110+Data!D$8</f>
        <v>0.92154564843725306</v>
      </c>
      <c r="U110" s="51">
        <f t="shared" si="287"/>
        <v>1.2406447757712141E-2</v>
      </c>
      <c r="V110" s="45">
        <f t="shared" si="121"/>
        <v>6</v>
      </c>
      <c r="W110" s="52">
        <f>(B$78-B110)*((S110*P110+S110*Q110*U110-R110*(1-S110-Data!D$8))/(1+U110*N110))</f>
        <v>1.4893879672676059E-2</v>
      </c>
      <c r="X110" s="58">
        <f t="shared" si="294"/>
        <v>0.41409870871942578</v>
      </c>
      <c r="Y110" s="31">
        <f>1-('MBal_Som_Saturated-Res'!F$8*X110)/(F110*(1-Data!D$8))</f>
        <v>0.15158376575799071</v>
      </c>
      <c r="Z110" s="31">
        <f t="shared" si="288"/>
        <v>0.21327322760544815</v>
      </c>
      <c r="AA110" s="51">
        <f>104192636.6824*EXP(-24.7967*(X110+Data!D$8))</f>
        <v>1.492258516248841E-2</v>
      </c>
      <c r="AB110" s="3">
        <f t="shared" si="289"/>
        <v>593.3404240535001</v>
      </c>
    </row>
    <row r="111" spans="1:28" ht="15.75" x14ac:dyDescent="0.25">
      <c r="B111" s="39">
        <v>2100</v>
      </c>
      <c r="C111" s="26">
        <f t="shared" si="290"/>
        <v>2150</v>
      </c>
      <c r="D111">
        <f t="shared" si="275"/>
        <v>105.67060090000001</v>
      </c>
      <c r="E111" s="78">
        <f t="shared" si="276"/>
        <v>107.8133734</v>
      </c>
      <c r="F111" s="37">
        <f t="shared" si="277"/>
        <v>1.40678915</v>
      </c>
      <c r="G111" s="36">
        <f t="shared" si="278"/>
        <v>1.4125131500000001</v>
      </c>
      <c r="H111" s="76">
        <f t="shared" si="279"/>
        <v>8.0534892515873036E-3</v>
      </c>
      <c r="I111" s="77">
        <f t="shared" si="280"/>
        <v>7.8616578697549323E-3</v>
      </c>
      <c r="J111">
        <f t="shared" si="281"/>
        <v>0.59010614080000001</v>
      </c>
      <c r="K111" s="78">
        <f t="shared" si="282"/>
        <v>0.5910090308</v>
      </c>
      <c r="L111" s="75">
        <f t="shared" si="283"/>
        <v>1.7366039999999999E-2</v>
      </c>
      <c r="M111" s="77">
        <f t="shared" si="284"/>
        <v>1.7484039999999999E-2</v>
      </c>
      <c r="N111" s="16">
        <f t="shared" si="285"/>
        <v>33.98046651971319</v>
      </c>
      <c r="O111" s="32">
        <f t="shared" si="286"/>
        <v>33.802772745887104</v>
      </c>
      <c r="P111" s="46">
        <f t="shared" si="291"/>
        <v>2.3852159235076176E-4</v>
      </c>
      <c r="Q111" s="46">
        <f t="shared" si="292"/>
        <v>2.7396144410755377E-3</v>
      </c>
      <c r="R111" s="46">
        <f t="shared" si="293"/>
        <v>-4.6343694528675367E-4</v>
      </c>
      <c r="S111" s="58">
        <f t="shared" si="295"/>
        <v>0.42154564855576382</v>
      </c>
      <c r="T111" s="50">
        <f>S111+Data!D$8</f>
        <v>0.92154564855576382</v>
      </c>
      <c r="U111" s="51">
        <f t="shared" si="287"/>
        <v>1.2406447721253601E-2</v>
      </c>
      <c r="V111" s="45">
        <f t="shared" si="121"/>
        <v>7</v>
      </c>
      <c r="W111" s="52">
        <f>(B$78-B111)*((S111*P111+S111*Q111*U111-R111*(1-S111-Data!D$8))/(1+U111*N111))</f>
        <v>1.4893879679280872E-2</v>
      </c>
      <c r="X111" s="58">
        <f t="shared" si="294"/>
        <v>0.41409870871282101</v>
      </c>
      <c r="Y111" s="31">
        <f>1-('MBal_Som_Saturated-Res'!F$8*X111)/(F111*(1-Data!D$8))</f>
        <v>0.15158376577152266</v>
      </c>
      <c r="Z111" s="31">
        <f t="shared" si="288"/>
        <v>0.21327322761799619</v>
      </c>
      <c r="AA111" s="51">
        <f>104192636.6824*EXP(-24.7967*(X111+Data!D$8))</f>
        <v>1.4922585164932379E-2</v>
      </c>
      <c r="AB111" s="3">
        <f t="shared" si="289"/>
        <v>593.3404240535001</v>
      </c>
    </row>
    <row r="112" spans="1:28" ht="15.75" x14ac:dyDescent="0.25">
      <c r="B112" s="39">
        <v>2100</v>
      </c>
      <c r="C112" s="26">
        <f t="shared" si="290"/>
        <v>2150</v>
      </c>
      <c r="D112">
        <f t="shared" si="275"/>
        <v>105.67060090000001</v>
      </c>
      <c r="E112" s="78">
        <f t="shared" si="276"/>
        <v>107.8133734</v>
      </c>
      <c r="F112" s="37">
        <f t="shared" si="277"/>
        <v>1.40678915</v>
      </c>
      <c r="G112" s="36">
        <f t="shared" si="278"/>
        <v>1.4125131500000001</v>
      </c>
      <c r="H112" s="76">
        <f t="shared" si="279"/>
        <v>8.0534892515873036E-3</v>
      </c>
      <c r="I112" s="77">
        <f t="shared" si="280"/>
        <v>7.8616578697549323E-3</v>
      </c>
      <c r="J112">
        <f t="shared" si="281"/>
        <v>0.59010614080000001</v>
      </c>
      <c r="K112" s="78">
        <f t="shared" si="282"/>
        <v>0.5910090308</v>
      </c>
      <c r="L112" s="75">
        <f t="shared" si="283"/>
        <v>1.7366039999999999E-2</v>
      </c>
      <c r="M112" s="77">
        <f t="shared" si="284"/>
        <v>1.7484039999999999E-2</v>
      </c>
      <c r="N112" s="16">
        <f t="shared" si="285"/>
        <v>33.98046651971319</v>
      </c>
      <c r="O112" s="32">
        <f t="shared" si="286"/>
        <v>33.802772745887104</v>
      </c>
      <c r="P112" s="46">
        <f t="shared" si="291"/>
        <v>2.3852159235076176E-4</v>
      </c>
      <c r="Q112" s="46">
        <f t="shared" si="292"/>
        <v>2.7396144410755377E-3</v>
      </c>
      <c r="R112" s="46">
        <f t="shared" si="293"/>
        <v>-4.6343694528675367E-4</v>
      </c>
      <c r="S112" s="58">
        <f t="shared" si="295"/>
        <v>0.4215456485524614</v>
      </c>
      <c r="T112" s="50">
        <f>S112+Data!D$8</f>
        <v>0.92154564855246135</v>
      </c>
      <c r="U112" s="51">
        <f t="shared" si="287"/>
        <v>1.2406447722269566E-2</v>
      </c>
      <c r="V112" s="45">
        <f t="shared" si="121"/>
        <v>8</v>
      </c>
      <c r="W112" s="115">
        <f>(B$78-B112)*((S112*P112+S112*Q112*U112-R112*(1-S112-Data!D$8))/(1+U112*N112))</f>
        <v>1.4893879679096821E-2</v>
      </c>
      <c r="X112" s="49">
        <f t="shared" si="294"/>
        <v>0.41409870871300503</v>
      </c>
      <c r="Y112" s="31">
        <f>1-('MBal_Som_Saturated-Res'!F$8*X112)/(F112*(1-Data!D$8))</f>
        <v>0.15158376577114574</v>
      </c>
      <c r="Z112" s="53">
        <f t="shared" si="288"/>
        <v>0.21327322761764667</v>
      </c>
      <c r="AA112" s="51">
        <f>104192636.6824*EXP(-24.7967*(X112+Data!D$8))</f>
        <v>1.4922585164864308E-2</v>
      </c>
      <c r="AB112" s="86">
        <f t="shared" si="289"/>
        <v>593.3404240535001</v>
      </c>
    </row>
    <row r="114" spans="2:28" ht="15.75" x14ac:dyDescent="0.25">
      <c r="B114" s="39">
        <v>2000</v>
      </c>
      <c r="C114" s="26">
        <f>B$112-(B$112-B114)/2</f>
        <v>2050</v>
      </c>
      <c r="D114">
        <f t="shared" ref="D114:D121" si="296">0.04285545*B114 + 15.6741559</f>
        <v>101.38505590000001</v>
      </c>
      <c r="E114" s="78">
        <f t="shared" ref="E114:E121" si="297">0.04285545*C114 + 15.6741559</f>
        <v>103.5278284</v>
      </c>
      <c r="F114" s="37">
        <f t="shared" ref="F114:F121" si="298">0.00011448*B114 + 1.16638115</f>
        <v>1.3953411500000001</v>
      </c>
      <c r="G114" s="36">
        <f t="shared" ref="G114:G121" si="299">0.00011448*C114 + 1.16638115</f>
        <v>1.40106515</v>
      </c>
      <c r="H114" s="76">
        <f t="shared" ref="H114:H121" si="300">20.40472*B114^(-1.02454)</f>
        <v>8.4662944324579211E-3</v>
      </c>
      <c r="I114" s="77">
        <f t="shared" ref="I114:I121" si="301">20.40472*C114^(-1.02454)</f>
        <v>8.2547958815031002E-3</v>
      </c>
      <c r="J114">
        <f t="shared" ref="J114:J121" si="302">0.0000000907*B114^2 - 0.0003674172*B114 + 0.9616952608</f>
        <v>0.58966086080000002</v>
      </c>
      <c r="K114" s="78">
        <f t="shared" ref="K114:K121" si="303">0.0000000907*C114^2 - 0.0003674172*C114 + 0.9616952608</f>
        <v>0.58965675080000002</v>
      </c>
      <c r="L114" s="75">
        <f t="shared" ref="L114:L121" si="304">0.00000236*B114 + 0.01241004</f>
        <v>1.7130039999999999E-2</v>
      </c>
      <c r="M114" s="77">
        <f t="shared" ref="M114:M121" si="305">0.00000236*C114 + 0.01241004</f>
        <v>1.7248039999999999E-2</v>
      </c>
      <c r="N114" s="16">
        <f t="shared" ref="N114:N121" si="306">J114/L114</f>
        <v>34.42262019236383</v>
      </c>
      <c r="O114" s="32">
        <f t="shared" ref="O114:O121" si="307">K114/M114</f>
        <v>34.186884469191867</v>
      </c>
      <c r="P114" s="46">
        <f>I114*(E$112-E114)/(G114*(C$112-C114))</f>
        <v>2.5249574736760952E-4</v>
      </c>
      <c r="Q114" s="46">
        <f>O114*(G$112-G114)/(G114*(C$112-C114))</f>
        <v>2.7933851141990988E-3</v>
      </c>
      <c r="R114" s="46">
        <f>(I$112-I114)/(I114*(C$112-C114))</f>
        <v>-4.7625406780692214E-4</v>
      </c>
      <c r="S114" s="49">
        <f>X112</f>
        <v>0.41409870871300503</v>
      </c>
      <c r="T114" s="50">
        <f>S114+Data!D$8</f>
        <v>0.91409870871300503</v>
      </c>
      <c r="U114" s="51">
        <f t="shared" ref="U114:U121" si="308">104192636.6824*EXP(-24.7967*T114)</f>
        <v>1.4922585164864308E-2</v>
      </c>
      <c r="V114" s="45">
        <f t="shared" si="121"/>
        <v>1</v>
      </c>
      <c r="W114" s="52">
        <f>(B$78-B114)*((S114*P114+S114*Q114*U114-R114*(1-S114-Data!D$8))/(1+U114*N114))</f>
        <v>2.5801665537543289E-2</v>
      </c>
      <c r="X114" s="58">
        <f>S$114-W114</f>
        <v>0.38829704317546176</v>
      </c>
      <c r="Y114" s="31">
        <f>1-('MBal_Som_Saturated-Res'!F$8*X114)/(F114*(1-Data!D$8))</f>
        <v>0.19791981915370416</v>
      </c>
      <c r="Z114" s="31">
        <f t="shared" ref="Z114:Z121" si="309">Z$8+Y114*(1-Z$8)</f>
        <v>0.25624012552917752</v>
      </c>
      <c r="AA114" s="51">
        <f>104192636.6824*EXP(-24.7967*(X114+Data!D$8))</f>
        <v>2.8294629265188779E-2</v>
      </c>
      <c r="AB114" s="3">
        <f t="shared" ref="AB114:AB121" si="310">5.615*D114</f>
        <v>569.27708887850008</v>
      </c>
    </row>
    <row r="115" spans="2:28" ht="15.75" x14ac:dyDescent="0.25">
      <c r="B115" s="39">
        <v>2000</v>
      </c>
      <c r="C115" s="26">
        <f t="shared" ref="C115:C121" si="311">B$112-(B$112-B115)/2</f>
        <v>2050</v>
      </c>
      <c r="D115">
        <f t="shared" si="296"/>
        <v>101.38505590000001</v>
      </c>
      <c r="E115" s="78">
        <f t="shared" si="297"/>
        <v>103.5278284</v>
      </c>
      <c r="F115" s="37">
        <f t="shared" si="298"/>
        <v>1.3953411500000001</v>
      </c>
      <c r="G115" s="36">
        <f t="shared" si="299"/>
        <v>1.40106515</v>
      </c>
      <c r="H115" s="76">
        <f t="shared" si="300"/>
        <v>8.4662944324579211E-3</v>
      </c>
      <c r="I115" s="77">
        <f t="shared" si="301"/>
        <v>8.2547958815031002E-3</v>
      </c>
      <c r="J115">
        <f t="shared" si="302"/>
        <v>0.58966086080000002</v>
      </c>
      <c r="K115" s="78">
        <f t="shared" si="303"/>
        <v>0.58965675080000002</v>
      </c>
      <c r="L115" s="75">
        <f t="shared" si="304"/>
        <v>1.7130039999999999E-2</v>
      </c>
      <c r="M115" s="77">
        <f t="shared" si="305"/>
        <v>1.7248039999999999E-2</v>
      </c>
      <c r="N115" s="16">
        <f t="shared" si="306"/>
        <v>34.42262019236383</v>
      </c>
      <c r="O115" s="32">
        <f t="shared" si="307"/>
        <v>34.186884469191867</v>
      </c>
      <c r="P115" s="46">
        <f t="shared" ref="P115:P121" si="312">I115*(E$112-E115)/(G115*(C$112-C115))</f>
        <v>2.5249574736760952E-4</v>
      </c>
      <c r="Q115" s="46">
        <f t="shared" ref="Q115:Q121" si="313">O115*(G$112-G115)/(G115*(C$112-C115))</f>
        <v>2.7933851141990988E-3</v>
      </c>
      <c r="R115" s="46">
        <f t="shared" ref="R115:R121" si="314">(I$112-I115)/(I115*(C$112-C115))</f>
        <v>-4.7625406780692214E-4</v>
      </c>
      <c r="S115" s="58">
        <f>S$114-W114/2</f>
        <v>0.4011978759442334</v>
      </c>
      <c r="T115" s="50">
        <f>S115+Data!D$8</f>
        <v>0.9011978759442334</v>
      </c>
      <c r="U115" s="51">
        <f t="shared" si="308"/>
        <v>2.0548211964013807E-2</v>
      </c>
      <c r="V115" s="45">
        <f t="shared" si="121"/>
        <v>2</v>
      </c>
      <c r="W115" s="52">
        <f>(B$78-B115)*((S115*P115+S115*Q115*U115-R115*(1-S115-Data!D$8))/(1+U115*N115))</f>
        <v>2.4091613741375081E-2</v>
      </c>
      <c r="X115" s="58">
        <f t="shared" ref="X115:X121" si="315">S$114-W115</f>
        <v>0.39000709497162994</v>
      </c>
      <c r="Y115" s="31">
        <f>1-('MBal_Som_Saturated-Res'!F$8*X115)/(F115*(1-Data!D$8))</f>
        <v>0.19438747535136591</v>
      </c>
      <c r="Z115" s="31">
        <f t="shared" si="309"/>
        <v>0.25296462309718515</v>
      </c>
      <c r="AA115" s="51">
        <f>104192636.6824*EXP(-24.7967*(X115+Data!D$8))</f>
        <v>2.7119916025151153E-2</v>
      </c>
      <c r="AB115" s="3">
        <f t="shared" si="310"/>
        <v>569.27708887850008</v>
      </c>
    </row>
    <row r="116" spans="2:28" ht="15.75" x14ac:dyDescent="0.25">
      <c r="B116" s="39">
        <v>2000</v>
      </c>
      <c r="C116" s="26">
        <f t="shared" si="311"/>
        <v>2050</v>
      </c>
      <c r="D116">
        <f t="shared" si="296"/>
        <v>101.38505590000001</v>
      </c>
      <c r="E116" s="78">
        <f t="shared" si="297"/>
        <v>103.5278284</v>
      </c>
      <c r="F116" s="37">
        <f t="shared" si="298"/>
        <v>1.3953411500000001</v>
      </c>
      <c r="G116" s="36">
        <f t="shared" si="299"/>
        <v>1.40106515</v>
      </c>
      <c r="H116" s="76">
        <f t="shared" si="300"/>
        <v>8.4662944324579211E-3</v>
      </c>
      <c r="I116" s="77">
        <f t="shared" si="301"/>
        <v>8.2547958815031002E-3</v>
      </c>
      <c r="J116">
        <f t="shared" si="302"/>
        <v>0.58966086080000002</v>
      </c>
      <c r="K116" s="78">
        <f t="shared" si="303"/>
        <v>0.58965675080000002</v>
      </c>
      <c r="L116" s="75">
        <f t="shared" si="304"/>
        <v>1.7130039999999999E-2</v>
      </c>
      <c r="M116" s="77">
        <f t="shared" si="305"/>
        <v>1.7248039999999999E-2</v>
      </c>
      <c r="N116" s="16">
        <f t="shared" si="306"/>
        <v>34.42262019236383</v>
      </c>
      <c r="O116" s="32">
        <f t="shared" si="307"/>
        <v>34.186884469191867</v>
      </c>
      <c r="P116" s="46">
        <f t="shared" si="312"/>
        <v>2.5249574736760952E-4</v>
      </c>
      <c r="Q116" s="46">
        <f t="shared" si="313"/>
        <v>2.7933851141990988E-3</v>
      </c>
      <c r="R116" s="46">
        <f t="shared" si="314"/>
        <v>-4.7625406780692214E-4</v>
      </c>
      <c r="S116" s="58">
        <f t="shared" ref="S116:S121" si="316">S$114-W115/2</f>
        <v>0.40205290184231751</v>
      </c>
      <c r="T116" s="50">
        <f>S116+Data!D$8</f>
        <v>0.90205290184231757</v>
      </c>
      <c r="U116" s="51">
        <f t="shared" si="308"/>
        <v>2.0117138378737791E-2</v>
      </c>
      <c r="V116" s="45">
        <f t="shared" si="121"/>
        <v>3</v>
      </c>
      <c r="W116" s="52">
        <f>(B$78-B116)*((S116*P116+S116*Q116*U116-R116*(1-S116-Data!D$8))/(1+U116*N116))</f>
        <v>2.4214012332348423E-2</v>
      </c>
      <c r="X116" s="58">
        <f t="shared" si="315"/>
        <v>0.38988469638065659</v>
      </c>
      <c r="Y116" s="31">
        <f>1-('MBal_Som_Saturated-Res'!F$8*X116)/(F116*(1-Data!D$8))</f>
        <v>0.19464030623356987</v>
      </c>
      <c r="Z116" s="31">
        <f t="shared" si="309"/>
        <v>0.25319907031293853</v>
      </c>
      <c r="AA116" s="51">
        <f>104192636.6824*EXP(-24.7967*(X116+Data!D$8))</f>
        <v>2.7202352207788879E-2</v>
      </c>
      <c r="AB116" s="3">
        <f t="shared" si="310"/>
        <v>569.27708887850008</v>
      </c>
    </row>
    <row r="117" spans="2:28" ht="15.75" x14ac:dyDescent="0.25">
      <c r="B117" s="39">
        <v>2000</v>
      </c>
      <c r="C117" s="26">
        <f t="shared" si="311"/>
        <v>2050</v>
      </c>
      <c r="D117">
        <f t="shared" si="296"/>
        <v>101.38505590000001</v>
      </c>
      <c r="E117" s="78">
        <f t="shared" si="297"/>
        <v>103.5278284</v>
      </c>
      <c r="F117" s="37">
        <f t="shared" si="298"/>
        <v>1.3953411500000001</v>
      </c>
      <c r="G117" s="36">
        <f t="shared" si="299"/>
        <v>1.40106515</v>
      </c>
      <c r="H117" s="76">
        <f t="shared" si="300"/>
        <v>8.4662944324579211E-3</v>
      </c>
      <c r="I117" s="77">
        <f t="shared" si="301"/>
        <v>8.2547958815031002E-3</v>
      </c>
      <c r="J117">
        <f t="shared" si="302"/>
        <v>0.58966086080000002</v>
      </c>
      <c r="K117" s="78">
        <f t="shared" si="303"/>
        <v>0.58965675080000002</v>
      </c>
      <c r="L117" s="75">
        <f t="shared" si="304"/>
        <v>1.7130039999999999E-2</v>
      </c>
      <c r="M117" s="77">
        <f t="shared" si="305"/>
        <v>1.7248039999999999E-2</v>
      </c>
      <c r="N117" s="16">
        <f t="shared" si="306"/>
        <v>34.42262019236383</v>
      </c>
      <c r="O117" s="32">
        <f t="shared" si="307"/>
        <v>34.186884469191867</v>
      </c>
      <c r="P117" s="46">
        <f t="shared" si="312"/>
        <v>2.5249574736760952E-4</v>
      </c>
      <c r="Q117" s="46">
        <f t="shared" si="313"/>
        <v>2.7933851141990988E-3</v>
      </c>
      <c r="R117" s="46">
        <f t="shared" si="314"/>
        <v>-4.7625406780692214E-4</v>
      </c>
      <c r="S117" s="58">
        <f t="shared" si="316"/>
        <v>0.40199170254683081</v>
      </c>
      <c r="T117" s="50">
        <f>S117+Data!D$8</f>
        <v>0.90199170254683081</v>
      </c>
      <c r="U117" s="51">
        <f t="shared" si="308"/>
        <v>2.0147690128284323E-2</v>
      </c>
      <c r="V117" s="45">
        <f t="shared" si="121"/>
        <v>4</v>
      </c>
      <c r="W117" s="52">
        <f>(B$78-B117)*((S117*P117+S117*Q117*U117-R117*(1-S117-Data!D$8))/(1+U117*N117))</f>
        <v>2.4205290739159415E-2</v>
      </c>
      <c r="X117" s="58">
        <f t="shared" si="315"/>
        <v>0.38989341797384564</v>
      </c>
      <c r="Y117" s="31">
        <f>1-('MBal_Som_Saturated-Res'!F$8*X117)/(F117*(1-Data!D$8))</f>
        <v>0.19462229060052472</v>
      </c>
      <c r="Z117" s="31">
        <f t="shared" si="309"/>
        <v>0.25318236462030064</v>
      </c>
      <c r="AA117" s="51">
        <f>104192636.6824*EXP(-24.7967*(X117+Data!D$8))</f>
        <v>2.7196469880132048E-2</v>
      </c>
      <c r="AB117" s="3">
        <f t="shared" si="310"/>
        <v>569.27708887850008</v>
      </c>
    </row>
    <row r="118" spans="2:28" ht="15.75" x14ac:dyDescent="0.25">
      <c r="B118" s="39">
        <v>2000</v>
      </c>
      <c r="C118" s="26">
        <f t="shared" si="311"/>
        <v>2050</v>
      </c>
      <c r="D118">
        <f t="shared" si="296"/>
        <v>101.38505590000001</v>
      </c>
      <c r="E118" s="78">
        <f t="shared" si="297"/>
        <v>103.5278284</v>
      </c>
      <c r="F118" s="37">
        <f t="shared" si="298"/>
        <v>1.3953411500000001</v>
      </c>
      <c r="G118" s="36">
        <f t="shared" si="299"/>
        <v>1.40106515</v>
      </c>
      <c r="H118" s="76">
        <f t="shared" si="300"/>
        <v>8.4662944324579211E-3</v>
      </c>
      <c r="I118" s="77">
        <f t="shared" si="301"/>
        <v>8.2547958815031002E-3</v>
      </c>
      <c r="J118">
        <f t="shared" si="302"/>
        <v>0.58966086080000002</v>
      </c>
      <c r="K118" s="78">
        <f t="shared" si="303"/>
        <v>0.58965675080000002</v>
      </c>
      <c r="L118" s="75">
        <f t="shared" si="304"/>
        <v>1.7130039999999999E-2</v>
      </c>
      <c r="M118" s="77">
        <f t="shared" si="305"/>
        <v>1.7248039999999999E-2</v>
      </c>
      <c r="N118" s="16">
        <f t="shared" si="306"/>
        <v>34.42262019236383</v>
      </c>
      <c r="O118" s="32">
        <f t="shared" si="307"/>
        <v>34.186884469191867</v>
      </c>
      <c r="P118" s="46">
        <f t="shared" si="312"/>
        <v>2.5249574736760952E-4</v>
      </c>
      <c r="Q118" s="46">
        <f t="shared" si="313"/>
        <v>2.7933851141990988E-3</v>
      </c>
      <c r="R118" s="46">
        <f t="shared" si="314"/>
        <v>-4.7625406780692214E-4</v>
      </c>
      <c r="S118" s="58">
        <f t="shared" si="316"/>
        <v>0.4019960633434253</v>
      </c>
      <c r="T118" s="50">
        <f>S118+Data!D$8</f>
        <v>0.9019960633434253</v>
      </c>
      <c r="U118" s="51">
        <f t="shared" si="308"/>
        <v>2.0145511608542954E-2</v>
      </c>
      <c r="V118" s="45">
        <f t="shared" si="121"/>
        <v>5</v>
      </c>
      <c r="W118" s="52">
        <f>(B$78-B118)*((S118*P118+S118*Q118*U118-R118*(1-S118-Data!D$8))/(1+U118*N118))</f>
        <v>2.4205912403440569E-2</v>
      </c>
      <c r="X118" s="58">
        <f t="shared" si="315"/>
        <v>0.38989279630956447</v>
      </c>
      <c r="Y118" s="31">
        <f>1-('MBal_Som_Saturated-Res'!F$8*X118)/(F118*(1-Data!D$8))</f>
        <v>0.19462357473237135</v>
      </c>
      <c r="Z118" s="31">
        <f t="shared" si="309"/>
        <v>0.25318355538122939</v>
      </c>
      <c r="AA118" s="51">
        <f>104192636.6824*EXP(-24.7967*(X118+Data!D$8))</f>
        <v>2.7196889123002822E-2</v>
      </c>
      <c r="AB118" s="3">
        <f t="shared" si="310"/>
        <v>569.27708887850008</v>
      </c>
    </row>
    <row r="119" spans="2:28" ht="15.75" x14ac:dyDescent="0.25">
      <c r="B119" s="39">
        <v>2000</v>
      </c>
      <c r="C119" s="26">
        <f t="shared" si="311"/>
        <v>2050</v>
      </c>
      <c r="D119">
        <f t="shared" si="296"/>
        <v>101.38505590000001</v>
      </c>
      <c r="E119" s="78">
        <f t="shared" si="297"/>
        <v>103.5278284</v>
      </c>
      <c r="F119" s="37">
        <f t="shared" si="298"/>
        <v>1.3953411500000001</v>
      </c>
      <c r="G119" s="36">
        <f t="shared" si="299"/>
        <v>1.40106515</v>
      </c>
      <c r="H119" s="76">
        <f t="shared" si="300"/>
        <v>8.4662944324579211E-3</v>
      </c>
      <c r="I119" s="77">
        <f t="shared" si="301"/>
        <v>8.2547958815031002E-3</v>
      </c>
      <c r="J119">
        <f t="shared" si="302"/>
        <v>0.58966086080000002</v>
      </c>
      <c r="K119" s="78">
        <f t="shared" si="303"/>
        <v>0.58965675080000002</v>
      </c>
      <c r="L119" s="75">
        <f t="shared" si="304"/>
        <v>1.7130039999999999E-2</v>
      </c>
      <c r="M119" s="77">
        <f t="shared" si="305"/>
        <v>1.7248039999999999E-2</v>
      </c>
      <c r="N119" s="16">
        <f t="shared" si="306"/>
        <v>34.42262019236383</v>
      </c>
      <c r="O119" s="32">
        <f t="shared" si="307"/>
        <v>34.186884469191867</v>
      </c>
      <c r="P119" s="46">
        <f t="shared" si="312"/>
        <v>2.5249574736760952E-4</v>
      </c>
      <c r="Q119" s="46">
        <f t="shared" si="313"/>
        <v>2.7933851141990988E-3</v>
      </c>
      <c r="R119" s="46">
        <f t="shared" si="314"/>
        <v>-4.7625406780692214E-4</v>
      </c>
      <c r="S119" s="58">
        <f t="shared" si="316"/>
        <v>0.40199575251128472</v>
      </c>
      <c r="T119" s="50">
        <f>S119+Data!D$8</f>
        <v>0.90199575251128472</v>
      </c>
      <c r="U119" s="51">
        <f t="shared" si="308"/>
        <v>2.0145666882915043E-2</v>
      </c>
      <c r="V119" s="45">
        <f t="shared" si="121"/>
        <v>6</v>
      </c>
      <c r="W119" s="52">
        <f>(B$78-B119)*((S119*P119+S119*Q119*U119-R119*(1-S119-Data!D$8))/(1+U119*N119))</f>
        <v>2.4205868093008356E-2</v>
      </c>
      <c r="X119" s="58">
        <f t="shared" si="315"/>
        <v>0.38989284061999668</v>
      </c>
      <c r="Y119" s="31">
        <f>1-('MBal_Som_Saturated-Res'!F$8*X119)/(F119*(1-Data!D$8))</f>
        <v>0.19462348320316669</v>
      </c>
      <c r="Z119" s="31">
        <f t="shared" si="309"/>
        <v>0.25318347050723372</v>
      </c>
      <c r="AA119" s="51">
        <f>104192636.6824*EXP(-24.7967*(X119+Data!D$8))</f>
        <v>2.7196859240369454E-2</v>
      </c>
      <c r="AB119" s="3">
        <f t="shared" si="310"/>
        <v>569.27708887850008</v>
      </c>
    </row>
    <row r="120" spans="2:28" ht="15.75" x14ac:dyDescent="0.25">
      <c r="B120" s="39">
        <v>2000</v>
      </c>
      <c r="C120" s="26">
        <f t="shared" si="311"/>
        <v>2050</v>
      </c>
      <c r="D120">
        <f t="shared" si="296"/>
        <v>101.38505590000001</v>
      </c>
      <c r="E120" s="78">
        <f t="shared" si="297"/>
        <v>103.5278284</v>
      </c>
      <c r="F120" s="37">
        <f t="shared" si="298"/>
        <v>1.3953411500000001</v>
      </c>
      <c r="G120" s="36">
        <f t="shared" si="299"/>
        <v>1.40106515</v>
      </c>
      <c r="H120" s="76">
        <f t="shared" si="300"/>
        <v>8.4662944324579211E-3</v>
      </c>
      <c r="I120" s="77">
        <f t="shared" si="301"/>
        <v>8.2547958815031002E-3</v>
      </c>
      <c r="J120">
        <f t="shared" si="302"/>
        <v>0.58966086080000002</v>
      </c>
      <c r="K120" s="78">
        <f t="shared" si="303"/>
        <v>0.58965675080000002</v>
      </c>
      <c r="L120" s="75">
        <f t="shared" si="304"/>
        <v>1.7130039999999999E-2</v>
      </c>
      <c r="M120" s="77">
        <f t="shared" si="305"/>
        <v>1.7248039999999999E-2</v>
      </c>
      <c r="N120" s="16">
        <f t="shared" si="306"/>
        <v>34.42262019236383</v>
      </c>
      <c r="O120" s="32">
        <f t="shared" si="307"/>
        <v>34.186884469191867</v>
      </c>
      <c r="P120" s="46">
        <f t="shared" si="312"/>
        <v>2.5249574736760952E-4</v>
      </c>
      <c r="Q120" s="46">
        <f t="shared" si="313"/>
        <v>2.7933851141990988E-3</v>
      </c>
      <c r="R120" s="46">
        <f t="shared" si="314"/>
        <v>-4.7625406780692214E-4</v>
      </c>
      <c r="S120" s="58">
        <f t="shared" si="316"/>
        <v>0.40199577466650083</v>
      </c>
      <c r="T120" s="50">
        <f>S120+Data!D$8</f>
        <v>0.90199577466650083</v>
      </c>
      <c r="U120" s="51">
        <f t="shared" si="308"/>
        <v>2.0145655815367241E-2</v>
      </c>
      <c r="V120" s="45">
        <f t="shared" si="121"/>
        <v>7</v>
      </c>
      <c r="W120" s="52">
        <f>(B$78-B120)*((S120*P120+S120*Q120*U120-R120*(1-S120-Data!D$8))/(1+U120*N120))</f>
        <v>2.420587125133301E-2</v>
      </c>
      <c r="X120" s="58">
        <f t="shared" si="315"/>
        <v>0.38989283746167203</v>
      </c>
      <c r="Y120" s="31">
        <f>1-('MBal_Som_Saturated-Res'!F$8*X120)/(F120*(1-Data!D$8))</f>
        <v>0.19462348972711463</v>
      </c>
      <c r="Z120" s="31">
        <f t="shared" si="309"/>
        <v>0.25318347655681683</v>
      </c>
      <c r="AA120" s="51">
        <f>104192636.6824*EXP(-24.7967*(X120+Data!D$8))</f>
        <v>2.719686137031951E-2</v>
      </c>
      <c r="AB120" s="3">
        <f t="shared" si="310"/>
        <v>569.27708887850008</v>
      </c>
    </row>
    <row r="121" spans="2:28" ht="15.75" x14ac:dyDescent="0.25">
      <c r="B121" s="39">
        <v>2000</v>
      </c>
      <c r="C121" s="26">
        <f t="shared" si="311"/>
        <v>2050</v>
      </c>
      <c r="D121">
        <f t="shared" si="296"/>
        <v>101.38505590000001</v>
      </c>
      <c r="E121" s="78">
        <f t="shared" si="297"/>
        <v>103.5278284</v>
      </c>
      <c r="F121" s="37">
        <f t="shared" si="298"/>
        <v>1.3953411500000001</v>
      </c>
      <c r="G121" s="36">
        <f t="shared" si="299"/>
        <v>1.40106515</v>
      </c>
      <c r="H121" s="76">
        <f t="shared" si="300"/>
        <v>8.4662944324579211E-3</v>
      </c>
      <c r="I121" s="77">
        <f t="shared" si="301"/>
        <v>8.2547958815031002E-3</v>
      </c>
      <c r="J121">
        <f t="shared" si="302"/>
        <v>0.58966086080000002</v>
      </c>
      <c r="K121" s="78">
        <f t="shared" si="303"/>
        <v>0.58965675080000002</v>
      </c>
      <c r="L121" s="75">
        <f t="shared" si="304"/>
        <v>1.7130039999999999E-2</v>
      </c>
      <c r="M121" s="77">
        <f t="shared" si="305"/>
        <v>1.7248039999999999E-2</v>
      </c>
      <c r="N121" s="16">
        <f t="shared" si="306"/>
        <v>34.42262019236383</v>
      </c>
      <c r="O121" s="32">
        <f t="shared" si="307"/>
        <v>34.186884469191867</v>
      </c>
      <c r="P121" s="46">
        <f t="shared" si="312"/>
        <v>2.5249574736760952E-4</v>
      </c>
      <c r="Q121" s="46">
        <f t="shared" si="313"/>
        <v>2.7933851141990988E-3</v>
      </c>
      <c r="R121" s="46">
        <f t="shared" si="314"/>
        <v>-4.7625406780692214E-4</v>
      </c>
      <c r="S121" s="58">
        <f t="shared" si="316"/>
        <v>0.40199577308733853</v>
      </c>
      <c r="T121" s="50">
        <f>S121+Data!D$8</f>
        <v>0.90199577308733847</v>
      </c>
      <c r="U121" s="51">
        <f t="shared" si="308"/>
        <v>2.0145656604231125E-2</v>
      </c>
      <c r="V121" s="45">
        <f t="shared" si="121"/>
        <v>8</v>
      </c>
      <c r="W121" s="115">
        <f>(B$78-B121)*((S121*P121+S121*Q121*U121-R121*(1-S121-Data!D$8))/(1+U121*N121))</f>
        <v>2.4205871026216425E-2</v>
      </c>
      <c r="X121" s="49">
        <f t="shared" si="315"/>
        <v>0.38989283768678862</v>
      </c>
      <c r="Y121" s="31">
        <f>1-('MBal_Som_Saturated-Res'!F$8*X121)/(F121*(1-Data!D$8))</f>
        <v>0.19462348926210571</v>
      </c>
      <c r="Z121" s="53">
        <f t="shared" si="309"/>
        <v>0.25318347612561931</v>
      </c>
      <c r="AA121" s="51">
        <f>104192636.6824*EXP(-24.7967*(X121+Data!D$8))</f>
        <v>2.7196861218502608E-2</v>
      </c>
      <c r="AB121" s="86">
        <f t="shared" si="310"/>
        <v>569.27708887850008</v>
      </c>
    </row>
    <row r="123" spans="2:28" ht="15.75" x14ac:dyDescent="0.25">
      <c r="B123" s="39">
        <v>1900</v>
      </c>
      <c r="C123" s="26">
        <f>B$77-(B$77-B123)/2</f>
        <v>2070</v>
      </c>
      <c r="D123">
        <f t="shared" ref="D123:D130" si="317">0.04285545*B123 + 15.6741559</f>
        <v>97.099510900000013</v>
      </c>
      <c r="E123" s="78">
        <f t="shared" ref="E123:E130" si="318">0.04285545*C123 + 15.6741559</f>
        <v>104.38493740000001</v>
      </c>
      <c r="F123" s="37">
        <f t="shared" ref="F123:F130" si="319">0.00011448*B123 + 1.16638115</f>
        <v>1.38389315</v>
      </c>
      <c r="G123" s="36">
        <f t="shared" ref="G123:G130" si="320">0.00011448*C123 + 1.16638115</f>
        <v>1.4033547500000001</v>
      </c>
      <c r="H123" s="76">
        <f t="shared" ref="H123:H130" si="321">20.40472*B123^(-1.02454)</f>
        <v>8.9231136675497064E-3</v>
      </c>
      <c r="I123" s="77">
        <f t="shared" ref="I123:I130" si="322">20.40472*C123^(-1.02454)</f>
        <v>8.1730918932875016E-3</v>
      </c>
      <c r="J123">
        <f t="shared" ref="J123:J130" si="323">0.0000000907*B123^2 - 0.0003674172*B123 + 0.9616952608</f>
        <v>0.5910295807999999</v>
      </c>
      <c r="K123" s="78">
        <f t="shared" ref="K123:K130" si="324">0.0000000907*C123^2 - 0.0003674172*C123 + 0.9616952608</f>
        <v>0.5897820868000001</v>
      </c>
      <c r="L123" s="75">
        <f t="shared" ref="L123:L130" si="325">0.00000236*B123 + 0.01241004</f>
        <v>1.6894039999999999E-2</v>
      </c>
      <c r="M123" s="77">
        <f t="shared" ref="M123:M130" si="326">0.00000236*C123 + 0.01241004</f>
        <v>1.729524E-2</v>
      </c>
      <c r="N123" s="16">
        <f t="shared" ref="N123:N130" si="327">J123/L123</f>
        <v>34.984502274174794</v>
      </c>
      <c r="O123" s="32">
        <f t="shared" ref="O123:O130" si="328">K123/M123</f>
        <v>34.100832760921506</v>
      </c>
      <c r="P123" s="46">
        <f t="shared" ref="P123:P130" si="329">I123*(E$78-E123)/(G123*(C$78-C123))</f>
        <v>2.4958873084527489E-4</v>
      </c>
      <c r="Q123" s="46">
        <f t="shared" ref="Q123:Q130" si="330">O123*(G$78-G123)/(G123*(C$78-C123))</f>
        <v>2.7818079031480241E-3</v>
      </c>
      <c r="R123" s="46">
        <f t="shared" ref="R123:R130" si="331">(I$78-I123)/(I123*(C$78-C123))</f>
        <v>-4.5489202922577288E-4</v>
      </c>
      <c r="S123" s="49">
        <f>X$78</f>
        <v>0.44379853920595519</v>
      </c>
      <c r="T123" s="50">
        <f>S123+Data!D$8</f>
        <v>0.94379853920595513</v>
      </c>
      <c r="U123" s="51">
        <f t="shared" ref="U123:U130" si="332">104192636.6824*EXP(-24.7967*T123)</f>
        <v>7.1450375115095707E-3</v>
      </c>
      <c r="V123" s="45">
        <f t="shared" si="121"/>
        <v>1</v>
      </c>
      <c r="W123" s="52">
        <f>(B$78-B123)*((S123*P123+S123*Q123*U123-R123*(1-S123-Data!D$8))/(1+U123*N123))</f>
        <v>3.9482894798054877E-2</v>
      </c>
      <c r="X123" s="58">
        <f>S$96-W123</f>
        <v>0.3938000807833486</v>
      </c>
      <c r="Y123" s="31">
        <f>1-('MBal_Som_Saturated-Res'!F$8*X123)/(F123*(1-Data!D$8))</f>
        <v>0.17982345546032696</v>
      </c>
      <c r="Z123" s="31">
        <f t="shared" ref="Z123:Z130" si="333">Z$8+Y123*(1-Z$8)</f>
        <v>0.23945957227480927</v>
      </c>
      <c r="AA123" s="51">
        <f>104192636.6824*EXP(-24.7967*(X123+Data!D$8))</f>
        <v>2.4685470590967203E-2</v>
      </c>
      <c r="AB123" s="3">
        <f t="shared" ref="AB123:AB130" si="334">5.615*D123</f>
        <v>545.21375370350006</v>
      </c>
    </row>
    <row r="124" spans="2:28" ht="15.75" x14ac:dyDescent="0.25">
      <c r="B124" s="39">
        <v>1900</v>
      </c>
      <c r="C124" s="26">
        <f t="shared" ref="C124:C130" si="335">B$77-(B$77-B124)/2</f>
        <v>2070</v>
      </c>
      <c r="D124">
        <f t="shared" si="317"/>
        <v>97.099510900000013</v>
      </c>
      <c r="E124" s="78">
        <f t="shared" si="318"/>
        <v>104.38493740000001</v>
      </c>
      <c r="F124" s="37">
        <f t="shared" si="319"/>
        <v>1.38389315</v>
      </c>
      <c r="G124" s="36">
        <f t="shared" si="320"/>
        <v>1.4033547500000001</v>
      </c>
      <c r="H124" s="76">
        <f t="shared" si="321"/>
        <v>8.9231136675497064E-3</v>
      </c>
      <c r="I124" s="77">
        <f t="shared" si="322"/>
        <v>8.1730918932875016E-3</v>
      </c>
      <c r="J124">
        <f t="shared" si="323"/>
        <v>0.5910295807999999</v>
      </c>
      <c r="K124" s="78">
        <f t="shared" si="324"/>
        <v>0.5897820868000001</v>
      </c>
      <c r="L124" s="75">
        <f t="shared" si="325"/>
        <v>1.6894039999999999E-2</v>
      </c>
      <c r="M124" s="77">
        <f t="shared" si="326"/>
        <v>1.729524E-2</v>
      </c>
      <c r="N124" s="16">
        <f t="shared" si="327"/>
        <v>34.984502274174794</v>
      </c>
      <c r="O124" s="32">
        <f t="shared" si="328"/>
        <v>34.100832760921506</v>
      </c>
      <c r="P124" s="46">
        <f t="shared" si="329"/>
        <v>2.4958873084527489E-4</v>
      </c>
      <c r="Q124" s="46">
        <f t="shared" si="330"/>
        <v>2.7818079031480241E-3</v>
      </c>
      <c r="R124" s="46">
        <f t="shared" si="331"/>
        <v>-4.5489202922577288E-4</v>
      </c>
      <c r="S124" s="58">
        <f>S$96-W123/2</f>
        <v>0.41354152818237605</v>
      </c>
      <c r="T124" s="50">
        <f>S124+Data!D$8</f>
        <v>0.91354152818237599</v>
      </c>
      <c r="U124" s="51">
        <f t="shared" si="332"/>
        <v>1.5130190016631486E-2</v>
      </c>
      <c r="V124" s="45">
        <f t="shared" si="121"/>
        <v>2</v>
      </c>
      <c r="W124" s="52">
        <f>(B$78-B124)*((S124*P124+S124*Q124*U124-R124*(1-S124-Data!D$8))/(1+U124*N124))</f>
        <v>3.556025217363732E-2</v>
      </c>
      <c r="X124" s="58">
        <f t="shared" ref="X124:X130" si="336">S$96-W124</f>
        <v>0.39772272340776615</v>
      </c>
      <c r="Y124" s="31">
        <f>1-('MBal_Som_Saturated-Res'!F$8*X124)/(F124*(1-Data!D$8))</f>
        <v>0.17165367685906541</v>
      </c>
      <c r="Z124" s="31">
        <f t="shared" si="333"/>
        <v>0.23188382903612534</v>
      </c>
      <c r="AA124" s="51">
        <f>104192636.6824*EXP(-24.7967*(X124+Data!D$8))</f>
        <v>2.2397430512261233E-2</v>
      </c>
      <c r="AB124" s="3">
        <f t="shared" si="334"/>
        <v>545.21375370350006</v>
      </c>
    </row>
    <row r="125" spans="2:28" ht="15.75" x14ac:dyDescent="0.25">
      <c r="B125" s="39">
        <v>1900</v>
      </c>
      <c r="C125" s="26">
        <f t="shared" si="335"/>
        <v>2070</v>
      </c>
      <c r="D125">
        <f t="shared" si="317"/>
        <v>97.099510900000013</v>
      </c>
      <c r="E125" s="78">
        <f t="shared" si="318"/>
        <v>104.38493740000001</v>
      </c>
      <c r="F125" s="37">
        <f t="shared" si="319"/>
        <v>1.38389315</v>
      </c>
      <c r="G125" s="36">
        <f t="shared" si="320"/>
        <v>1.4033547500000001</v>
      </c>
      <c r="H125" s="76">
        <f t="shared" si="321"/>
        <v>8.9231136675497064E-3</v>
      </c>
      <c r="I125" s="77">
        <f t="shared" si="322"/>
        <v>8.1730918932875016E-3</v>
      </c>
      <c r="J125">
        <f t="shared" si="323"/>
        <v>0.5910295807999999</v>
      </c>
      <c r="K125" s="78">
        <f t="shared" si="324"/>
        <v>0.5897820868000001</v>
      </c>
      <c r="L125" s="75">
        <f t="shared" si="325"/>
        <v>1.6894039999999999E-2</v>
      </c>
      <c r="M125" s="77">
        <f t="shared" si="326"/>
        <v>1.729524E-2</v>
      </c>
      <c r="N125" s="16">
        <f t="shared" si="327"/>
        <v>34.984502274174794</v>
      </c>
      <c r="O125" s="32">
        <f t="shared" si="328"/>
        <v>34.100832760921506</v>
      </c>
      <c r="P125" s="46">
        <f t="shared" si="329"/>
        <v>2.4958873084527489E-4</v>
      </c>
      <c r="Q125" s="46">
        <f t="shared" si="330"/>
        <v>2.7818079031480241E-3</v>
      </c>
      <c r="R125" s="46">
        <f t="shared" si="331"/>
        <v>-4.5489202922577288E-4</v>
      </c>
      <c r="S125" s="58">
        <f t="shared" ref="S125:S129" si="337">S$96-W124/2</f>
        <v>0.41550284949458482</v>
      </c>
      <c r="T125" s="50">
        <f>S125+Data!D$8</f>
        <v>0.91550284949458482</v>
      </c>
      <c r="U125" s="51">
        <f t="shared" si="332"/>
        <v>1.4411950964470802E-2</v>
      </c>
      <c r="V125" s="45">
        <f t="shared" si="121"/>
        <v>3</v>
      </c>
      <c r="W125" s="52">
        <f>(B$78-B125)*((S125*P125+S125*Q125*U125-R125*(1-S125-Data!D$8))/(1+U125*N125))</f>
        <v>3.58942726227479E-2</v>
      </c>
      <c r="X125" s="58">
        <f t="shared" si="336"/>
        <v>0.39738870295865558</v>
      </c>
      <c r="Y125" s="31">
        <f>1-('MBal_Som_Saturated-Res'!F$8*X125)/(F125*(1-Data!D$8))</f>
        <v>0.17234934898084908</v>
      </c>
      <c r="Z125" s="31">
        <f t="shared" si="333"/>
        <v>0.23252891792165886</v>
      </c>
      <c r="AA125" s="51">
        <f>104192636.6824*EXP(-24.7967*(X125+Data!D$8))</f>
        <v>2.2583709953892982E-2</v>
      </c>
      <c r="AB125" s="3">
        <f t="shared" si="334"/>
        <v>545.21375370350006</v>
      </c>
    </row>
    <row r="126" spans="2:28" ht="15.75" x14ac:dyDescent="0.25">
      <c r="B126" s="39">
        <v>1900</v>
      </c>
      <c r="C126" s="26">
        <f t="shared" si="335"/>
        <v>2070</v>
      </c>
      <c r="D126">
        <f t="shared" si="317"/>
        <v>97.099510900000013</v>
      </c>
      <c r="E126" s="78">
        <f t="shared" si="318"/>
        <v>104.38493740000001</v>
      </c>
      <c r="F126" s="37">
        <f t="shared" si="319"/>
        <v>1.38389315</v>
      </c>
      <c r="G126" s="36">
        <f t="shared" si="320"/>
        <v>1.4033547500000001</v>
      </c>
      <c r="H126" s="76">
        <f t="shared" si="321"/>
        <v>8.9231136675497064E-3</v>
      </c>
      <c r="I126" s="77">
        <f t="shared" si="322"/>
        <v>8.1730918932875016E-3</v>
      </c>
      <c r="J126">
        <f t="shared" si="323"/>
        <v>0.5910295807999999</v>
      </c>
      <c r="K126" s="78">
        <f t="shared" si="324"/>
        <v>0.5897820868000001</v>
      </c>
      <c r="L126" s="75">
        <f t="shared" si="325"/>
        <v>1.6894039999999999E-2</v>
      </c>
      <c r="M126" s="77">
        <f t="shared" si="326"/>
        <v>1.729524E-2</v>
      </c>
      <c r="N126" s="16">
        <f t="shared" si="327"/>
        <v>34.984502274174794</v>
      </c>
      <c r="O126" s="32">
        <f t="shared" si="328"/>
        <v>34.100832760921506</v>
      </c>
      <c r="P126" s="46">
        <f t="shared" si="329"/>
        <v>2.4958873084527489E-4</v>
      </c>
      <c r="Q126" s="46">
        <f t="shared" si="330"/>
        <v>2.7818079031480241E-3</v>
      </c>
      <c r="R126" s="46">
        <f t="shared" si="331"/>
        <v>-4.5489202922577288E-4</v>
      </c>
      <c r="S126" s="58">
        <f t="shared" si="337"/>
        <v>0.41533583927002954</v>
      </c>
      <c r="T126" s="50">
        <f>S126+Data!D$8</f>
        <v>0.91533583927002948</v>
      </c>
      <c r="U126" s="51">
        <f t="shared" si="332"/>
        <v>1.4471758968134477E-2</v>
      </c>
      <c r="V126" s="45">
        <f t="shared" si="121"/>
        <v>4</v>
      </c>
      <c r="W126" s="52">
        <f>(B$78-B126)*((S126*P126+S126*Q126*U126-R126*(1-S126-Data!D$8))/(1+U126*N126))</f>
        <v>3.5866238287517463E-2</v>
      </c>
      <c r="X126" s="58">
        <f t="shared" si="336"/>
        <v>0.39741673729388605</v>
      </c>
      <c r="Y126" s="31">
        <f>1-('MBal_Som_Saturated-Res'!F$8*X126)/(F126*(1-Data!D$8))</f>
        <v>0.17229096122188248</v>
      </c>
      <c r="Z126" s="31">
        <f t="shared" si="333"/>
        <v>0.23247477561354971</v>
      </c>
      <c r="AA126" s="51">
        <f>104192636.6824*EXP(-24.7967*(X126+Data!D$8))</f>
        <v>2.2568016140135792E-2</v>
      </c>
      <c r="AB126" s="3">
        <f t="shared" si="334"/>
        <v>545.21375370350006</v>
      </c>
    </row>
    <row r="127" spans="2:28" ht="15.75" x14ac:dyDescent="0.25">
      <c r="B127" s="39">
        <v>1900</v>
      </c>
      <c r="C127" s="26">
        <f t="shared" si="335"/>
        <v>2070</v>
      </c>
      <c r="D127">
        <f t="shared" si="317"/>
        <v>97.099510900000013</v>
      </c>
      <c r="E127" s="78">
        <f t="shared" si="318"/>
        <v>104.38493740000001</v>
      </c>
      <c r="F127" s="37">
        <f t="shared" si="319"/>
        <v>1.38389315</v>
      </c>
      <c r="G127" s="36">
        <f t="shared" si="320"/>
        <v>1.4033547500000001</v>
      </c>
      <c r="H127" s="76">
        <f t="shared" si="321"/>
        <v>8.9231136675497064E-3</v>
      </c>
      <c r="I127" s="77">
        <f t="shared" si="322"/>
        <v>8.1730918932875016E-3</v>
      </c>
      <c r="J127">
        <f t="shared" si="323"/>
        <v>0.5910295807999999</v>
      </c>
      <c r="K127" s="78">
        <f t="shared" si="324"/>
        <v>0.5897820868000001</v>
      </c>
      <c r="L127" s="75">
        <f t="shared" si="325"/>
        <v>1.6894039999999999E-2</v>
      </c>
      <c r="M127" s="77">
        <f t="shared" si="326"/>
        <v>1.729524E-2</v>
      </c>
      <c r="N127" s="16">
        <f t="shared" si="327"/>
        <v>34.984502274174794</v>
      </c>
      <c r="O127" s="32">
        <f t="shared" si="328"/>
        <v>34.100832760921506</v>
      </c>
      <c r="P127" s="46">
        <f t="shared" si="329"/>
        <v>2.4958873084527489E-4</v>
      </c>
      <c r="Q127" s="46">
        <f t="shared" si="330"/>
        <v>2.7818079031480241E-3</v>
      </c>
      <c r="R127" s="46">
        <f t="shared" si="331"/>
        <v>-4.5489202922577288E-4</v>
      </c>
      <c r="S127" s="58">
        <f t="shared" si="337"/>
        <v>0.41534985643764477</v>
      </c>
      <c r="T127" s="50">
        <f>S127+Data!D$8</f>
        <v>0.91534985643764477</v>
      </c>
      <c r="U127" s="51">
        <f t="shared" si="332"/>
        <v>1.4466729755461457E-2</v>
      </c>
      <c r="V127" s="45">
        <f t="shared" si="121"/>
        <v>5</v>
      </c>
      <c r="W127" s="52">
        <f>(B$78-B127)*((S127*P127+S127*Q127*U127-R127*(1-S127-Data!D$8))/(1+U127*N127))</f>
        <v>3.5868594149738149E-2</v>
      </c>
      <c r="X127" s="58">
        <f t="shared" si="336"/>
        <v>0.39741438143166535</v>
      </c>
      <c r="Y127" s="31">
        <f>1-('MBal_Som_Saturated-Res'!F$8*X127)/(F127*(1-Data!D$8))</f>
        <v>0.17229586783066675</v>
      </c>
      <c r="Z127" s="31">
        <f t="shared" si="333"/>
        <v>0.23247932545634675</v>
      </c>
      <c r="AA127" s="51">
        <f>104192636.6824*EXP(-24.7967*(X127+Data!D$8))</f>
        <v>2.2569334548181243E-2</v>
      </c>
      <c r="AB127" s="3">
        <f t="shared" si="334"/>
        <v>545.21375370350006</v>
      </c>
    </row>
    <row r="128" spans="2:28" ht="15.75" x14ac:dyDescent="0.25">
      <c r="B128" s="39">
        <v>1900</v>
      </c>
      <c r="C128" s="26">
        <f t="shared" si="335"/>
        <v>2070</v>
      </c>
      <c r="D128">
        <f t="shared" si="317"/>
        <v>97.099510900000013</v>
      </c>
      <c r="E128" s="78">
        <f t="shared" si="318"/>
        <v>104.38493740000001</v>
      </c>
      <c r="F128" s="37">
        <f t="shared" si="319"/>
        <v>1.38389315</v>
      </c>
      <c r="G128" s="36">
        <f t="shared" si="320"/>
        <v>1.4033547500000001</v>
      </c>
      <c r="H128" s="76">
        <f t="shared" si="321"/>
        <v>8.9231136675497064E-3</v>
      </c>
      <c r="I128" s="77">
        <f t="shared" si="322"/>
        <v>8.1730918932875016E-3</v>
      </c>
      <c r="J128">
        <f t="shared" si="323"/>
        <v>0.5910295807999999</v>
      </c>
      <c r="K128" s="78">
        <f t="shared" si="324"/>
        <v>0.5897820868000001</v>
      </c>
      <c r="L128" s="75">
        <f t="shared" si="325"/>
        <v>1.6894039999999999E-2</v>
      </c>
      <c r="M128" s="77">
        <f t="shared" si="326"/>
        <v>1.729524E-2</v>
      </c>
      <c r="N128" s="16">
        <f t="shared" si="327"/>
        <v>34.984502274174794</v>
      </c>
      <c r="O128" s="32">
        <f t="shared" si="328"/>
        <v>34.100832760921506</v>
      </c>
      <c r="P128" s="46">
        <f t="shared" si="329"/>
        <v>2.4958873084527489E-4</v>
      </c>
      <c r="Q128" s="46">
        <f t="shared" si="330"/>
        <v>2.7818079031480241E-3</v>
      </c>
      <c r="R128" s="46">
        <f t="shared" si="331"/>
        <v>-4.5489202922577288E-4</v>
      </c>
      <c r="S128" s="58">
        <f t="shared" si="337"/>
        <v>0.4153486785065344</v>
      </c>
      <c r="T128" s="50">
        <f>S128+Data!D$8</f>
        <v>0.91534867850653434</v>
      </c>
      <c r="U128" s="51">
        <f t="shared" si="332"/>
        <v>1.4467152317511953E-2</v>
      </c>
      <c r="V128" s="45">
        <f t="shared" si="121"/>
        <v>6</v>
      </c>
      <c r="W128" s="52">
        <f>(B$78-B128)*((S128*P128+S128*Q128*U128-R128*(1-S128-Data!D$8))/(1+U128*N128))</f>
        <v>3.5868396195846308E-2</v>
      </c>
      <c r="X128" s="58">
        <f t="shared" si="336"/>
        <v>0.39741457938555719</v>
      </c>
      <c r="Y128" s="31">
        <f>1-('MBal_Som_Saturated-Res'!F$8*X128)/(F128*(1-Data!D$8))</f>
        <v>0.17229545554751358</v>
      </c>
      <c r="Z128" s="31">
        <f t="shared" si="333"/>
        <v>0.23247894315084466</v>
      </c>
      <c r="AA128" s="51">
        <f>104192636.6824*EXP(-24.7967*(X128+Data!D$8))</f>
        <v>2.2569223764543705E-2</v>
      </c>
      <c r="AB128" s="3">
        <f t="shared" si="334"/>
        <v>545.21375370350006</v>
      </c>
    </row>
    <row r="129" spans="2:28" ht="15.75" x14ac:dyDescent="0.25">
      <c r="B129" s="39">
        <v>1900</v>
      </c>
      <c r="C129" s="26">
        <f t="shared" si="335"/>
        <v>2070</v>
      </c>
      <c r="D129">
        <f t="shared" si="317"/>
        <v>97.099510900000013</v>
      </c>
      <c r="E129" s="78">
        <f t="shared" si="318"/>
        <v>104.38493740000001</v>
      </c>
      <c r="F129" s="37">
        <f t="shared" si="319"/>
        <v>1.38389315</v>
      </c>
      <c r="G129" s="36">
        <f t="shared" si="320"/>
        <v>1.4033547500000001</v>
      </c>
      <c r="H129" s="76">
        <f t="shared" si="321"/>
        <v>8.9231136675497064E-3</v>
      </c>
      <c r="I129" s="77">
        <f t="shared" si="322"/>
        <v>8.1730918932875016E-3</v>
      </c>
      <c r="J129">
        <f t="shared" si="323"/>
        <v>0.5910295807999999</v>
      </c>
      <c r="K129" s="78">
        <f t="shared" si="324"/>
        <v>0.5897820868000001</v>
      </c>
      <c r="L129" s="75">
        <f t="shared" si="325"/>
        <v>1.6894039999999999E-2</v>
      </c>
      <c r="M129" s="77">
        <f t="shared" si="326"/>
        <v>1.729524E-2</v>
      </c>
      <c r="N129" s="16">
        <f t="shared" si="327"/>
        <v>34.984502274174794</v>
      </c>
      <c r="O129" s="32">
        <f t="shared" si="328"/>
        <v>34.100832760921506</v>
      </c>
      <c r="P129" s="46">
        <f t="shared" si="329"/>
        <v>2.4958873084527489E-4</v>
      </c>
      <c r="Q129" s="46">
        <f t="shared" si="330"/>
        <v>2.7818079031480241E-3</v>
      </c>
      <c r="R129" s="46">
        <f t="shared" si="331"/>
        <v>-4.5489202922577288E-4</v>
      </c>
      <c r="S129" s="58">
        <f t="shared" si="337"/>
        <v>0.41534877748348031</v>
      </c>
      <c r="T129" s="50">
        <f>S129+Data!D$8</f>
        <v>0.91534877748348031</v>
      </c>
      <c r="U129" s="51">
        <f t="shared" si="332"/>
        <v>1.4467116810799914E-2</v>
      </c>
      <c r="V129" s="45">
        <f t="shared" si="121"/>
        <v>7</v>
      </c>
      <c r="W129" s="52">
        <f>(B$78-B129)*((S129*P129+S129*Q129*U129-R129*(1-S129-Data!D$8))/(1+U129*N129))</f>
        <v>3.5868412829284275E-2</v>
      </c>
      <c r="X129" s="58">
        <f t="shared" si="336"/>
        <v>0.39741456275211923</v>
      </c>
      <c r="Y129" s="31">
        <f>1-('MBal_Som_Saturated-Res'!F$8*X129)/(F129*(1-Data!D$8))</f>
        <v>0.17229549019035995</v>
      </c>
      <c r="Z129" s="31">
        <f t="shared" si="333"/>
        <v>0.23247897527476405</v>
      </c>
      <c r="AA129" s="51">
        <f>104192636.6824*EXP(-24.7967*(X129+Data!D$8))</f>
        <v>2.256923307332066E-2</v>
      </c>
      <c r="AB129" s="3">
        <f t="shared" si="334"/>
        <v>545.21375370350006</v>
      </c>
    </row>
    <row r="130" spans="2:28" ht="15.75" x14ac:dyDescent="0.25">
      <c r="B130" s="39">
        <v>1900</v>
      </c>
      <c r="C130" s="26">
        <f t="shared" si="335"/>
        <v>2070</v>
      </c>
      <c r="D130">
        <f t="shared" si="317"/>
        <v>97.099510900000013</v>
      </c>
      <c r="E130" s="78">
        <f t="shared" si="318"/>
        <v>104.38493740000001</v>
      </c>
      <c r="F130" s="37">
        <f t="shared" si="319"/>
        <v>1.38389315</v>
      </c>
      <c r="G130" s="36">
        <f t="shared" si="320"/>
        <v>1.4033547500000001</v>
      </c>
      <c r="H130" s="76">
        <f t="shared" si="321"/>
        <v>8.9231136675497064E-3</v>
      </c>
      <c r="I130" s="77">
        <f t="shared" si="322"/>
        <v>8.1730918932875016E-3</v>
      </c>
      <c r="J130">
        <f t="shared" si="323"/>
        <v>0.5910295807999999</v>
      </c>
      <c r="K130" s="78">
        <f t="shared" si="324"/>
        <v>0.5897820868000001</v>
      </c>
      <c r="L130" s="75">
        <f t="shared" si="325"/>
        <v>1.6894039999999999E-2</v>
      </c>
      <c r="M130" s="77">
        <f t="shared" si="326"/>
        <v>1.729524E-2</v>
      </c>
      <c r="N130" s="16">
        <f t="shared" si="327"/>
        <v>34.984502274174794</v>
      </c>
      <c r="O130" s="32">
        <f t="shared" si="328"/>
        <v>34.100832760921506</v>
      </c>
      <c r="P130" s="46">
        <f t="shared" si="329"/>
        <v>2.4958873084527489E-4</v>
      </c>
      <c r="Q130" s="46">
        <f t="shared" si="330"/>
        <v>2.7818079031480241E-3</v>
      </c>
      <c r="R130" s="46">
        <f t="shared" si="331"/>
        <v>-4.5489202922577288E-4</v>
      </c>
      <c r="S130" s="58">
        <f>S$96-W129/2</f>
        <v>0.41534876916676133</v>
      </c>
      <c r="T130" s="50">
        <f>S130+Data!D$8</f>
        <v>0.91534876916676133</v>
      </c>
      <c r="U130" s="51">
        <f t="shared" si="332"/>
        <v>1.4467119794313045E-2</v>
      </c>
      <c r="V130" s="45">
        <f t="shared" si="121"/>
        <v>8</v>
      </c>
      <c r="W130" s="115">
        <f>(B$78-B130)*((S130*P130+S130*Q130*U130-R130*(1-S130-Data!D$8))/(1+U130*N130))</f>
        <v>3.586841143163022E-2</v>
      </c>
      <c r="X130" s="49">
        <f t="shared" si="336"/>
        <v>0.39741456414977328</v>
      </c>
      <c r="Y130" s="31">
        <f>1-('MBal_Som_Saturated-Res'!F$8*X130)/(F130*(1-Data!D$8))</f>
        <v>0.17229548727943345</v>
      </c>
      <c r="Z130" s="53">
        <f t="shared" si="333"/>
        <v>0.23247897257549485</v>
      </c>
      <c r="AA130" s="51">
        <f>104192636.6824*EXP(-24.7967*(X130+Data!D$8))</f>
        <v>2.2569232291134052E-2</v>
      </c>
      <c r="AB130" s="86">
        <f t="shared" si="334"/>
        <v>545.21375370350006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C459-FB8C-4965-9B96-EDB351561BDD}">
  <dimension ref="A3:AL143"/>
  <sheetViews>
    <sheetView topLeftCell="A21" workbookViewId="0">
      <pane xSplit="2" topLeftCell="T1" activePane="topRight" state="frozen"/>
      <selection pane="topRight" activeCell="O98" sqref="O98"/>
    </sheetView>
  </sheetViews>
  <sheetFormatPr defaultColWidth="8.85546875" defaultRowHeight="15" x14ac:dyDescent="0.25"/>
  <cols>
    <col min="1" max="1" width="5.140625" customWidth="1"/>
    <col min="2" max="9" width="9.140625" style="1"/>
    <col min="10" max="10" width="22.28515625" style="1" customWidth="1"/>
    <col min="11" max="11" width="12.85546875" style="1" customWidth="1"/>
    <col min="12" max="12" width="11.140625" customWidth="1"/>
    <col min="13" max="17" width="8.85546875" customWidth="1"/>
    <col min="18" max="18" width="9.5703125" customWidth="1"/>
    <col min="19" max="19" width="13.7109375" customWidth="1"/>
    <col min="20" max="20" width="8.85546875" customWidth="1"/>
    <col min="21" max="21" width="14.85546875" customWidth="1"/>
    <col min="22" max="22" width="11.28515625" customWidth="1"/>
    <col min="23" max="23" width="8.85546875" customWidth="1"/>
    <col min="24" max="24" width="15.5703125" customWidth="1"/>
    <col min="25" max="25" width="10.140625" bestFit="1" customWidth="1"/>
    <col min="26" max="26" width="9.140625" bestFit="1" customWidth="1"/>
    <col min="27" max="29" width="9.140625" customWidth="1"/>
    <col min="30" max="31" width="11.5703125" bestFit="1" customWidth="1"/>
    <col min="32" max="33" width="9.140625" customWidth="1"/>
    <col min="34" max="34" width="13" bestFit="1" customWidth="1"/>
    <col min="35" max="37" width="13" customWidth="1"/>
  </cols>
  <sheetData>
    <row r="3" spans="1:38" ht="15.75" x14ac:dyDescent="0.25">
      <c r="B3" s="7" t="s">
        <v>0</v>
      </c>
      <c r="C3" s="7" t="s">
        <v>1</v>
      </c>
      <c r="D3" s="7" t="s">
        <v>2</v>
      </c>
      <c r="E3" s="7" t="s">
        <v>3</v>
      </c>
      <c r="F3" s="7" t="s">
        <v>5</v>
      </c>
      <c r="G3" s="7" t="s">
        <v>4</v>
      </c>
      <c r="H3" s="99" t="s">
        <v>19</v>
      </c>
      <c r="I3" s="132" t="s">
        <v>45</v>
      </c>
      <c r="J3" s="99" t="s">
        <v>46</v>
      </c>
      <c r="K3" s="127" t="s">
        <v>129</v>
      </c>
      <c r="L3" s="20" t="s">
        <v>47</v>
      </c>
      <c r="M3" s="21" t="s">
        <v>48</v>
      </c>
      <c r="N3" s="271" t="s">
        <v>49</v>
      </c>
      <c r="O3" s="266" t="s">
        <v>50</v>
      </c>
      <c r="P3" s="7" t="s">
        <v>51</v>
      </c>
      <c r="Q3" s="7" t="s">
        <v>52</v>
      </c>
      <c r="R3" s="55" t="s">
        <v>53</v>
      </c>
      <c r="S3" s="2" t="s">
        <v>55</v>
      </c>
      <c r="T3" s="2" t="s">
        <v>56</v>
      </c>
      <c r="U3" s="2" t="s">
        <v>124</v>
      </c>
      <c r="V3" s="2" t="s">
        <v>57</v>
      </c>
      <c r="W3" s="2" t="s">
        <v>58</v>
      </c>
      <c r="X3" s="7" t="s">
        <v>60</v>
      </c>
      <c r="Y3" s="24" t="s">
        <v>125</v>
      </c>
      <c r="Z3" s="24" t="s">
        <v>76</v>
      </c>
      <c r="AA3" s="20" t="s">
        <v>141</v>
      </c>
      <c r="AB3" s="20" t="s">
        <v>142</v>
      </c>
      <c r="AC3" s="1" t="s">
        <v>144</v>
      </c>
      <c r="AD3" s="1"/>
      <c r="AE3" s="1" t="s">
        <v>143</v>
      </c>
      <c r="AF3" s="1" t="s">
        <v>146</v>
      </c>
      <c r="AG3" s="24" t="s">
        <v>145</v>
      </c>
      <c r="AH3" s="161" t="s">
        <v>130</v>
      </c>
      <c r="AI3" s="161" t="s">
        <v>302</v>
      </c>
      <c r="AJ3" s="161" t="s">
        <v>303</v>
      </c>
      <c r="AK3" s="161" t="s">
        <v>298</v>
      </c>
      <c r="AL3" s="99" t="s">
        <v>55</v>
      </c>
    </row>
    <row r="4" spans="1:38" ht="15.75" x14ac:dyDescent="0.25">
      <c r="B4" s="7" t="s">
        <v>317</v>
      </c>
      <c r="C4" s="7"/>
      <c r="D4" s="7" t="s">
        <v>306</v>
      </c>
      <c r="E4" s="7"/>
      <c r="F4" s="7"/>
      <c r="G4" s="7"/>
      <c r="H4" s="99"/>
      <c r="I4" s="132"/>
      <c r="J4" s="99"/>
      <c r="K4" s="127"/>
      <c r="L4" s="20"/>
      <c r="M4" s="21"/>
      <c r="N4" s="263"/>
      <c r="O4" s="266"/>
      <c r="P4" s="7"/>
      <c r="Q4" s="7"/>
      <c r="R4" s="161" t="s">
        <v>306</v>
      </c>
      <c r="S4" s="2"/>
      <c r="T4" s="2"/>
      <c r="U4" s="2"/>
      <c r="V4" s="2"/>
      <c r="W4" s="2"/>
      <c r="X4" s="7"/>
      <c r="Y4" s="24"/>
      <c r="Z4" s="7" t="s">
        <v>63</v>
      </c>
      <c r="AA4" s="20"/>
      <c r="AB4" s="20"/>
      <c r="AC4" s="1"/>
      <c r="AD4" s="1"/>
      <c r="AE4" s="1"/>
      <c r="AF4" s="1"/>
      <c r="AG4" s="24"/>
      <c r="AH4" s="161"/>
      <c r="AI4" s="161"/>
      <c r="AJ4" s="161"/>
      <c r="AK4" s="161"/>
      <c r="AL4" s="99"/>
    </row>
    <row r="5" spans="1:38" x14ac:dyDescent="0.25">
      <c r="B5" s="7"/>
      <c r="C5" s="7"/>
      <c r="D5" s="7"/>
      <c r="E5" s="7"/>
      <c r="F5" s="7"/>
      <c r="G5" s="7"/>
      <c r="H5" s="7"/>
      <c r="I5" s="13"/>
      <c r="J5" s="99"/>
      <c r="K5" s="127"/>
      <c r="L5" s="20" t="s">
        <v>309</v>
      </c>
      <c r="M5" s="161" t="s">
        <v>310</v>
      </c>
      <c r="N5" s="20" t="s">
        <v>311</v>
      </c>
      <c r="O5" s="161" t="s">
        <v>313</v>
      </c>
      <c r="P5" s="161" t="s">
        <v>314</v>
      </c>
      <c r="Q5" s="161" t="s">
        <v>315</v>
      </c>
      <c r="R5" s="161" t="s">
        <v>312</v>
      </c>
      <c r="S5" s="2"/>
      <c r="T5" s="2"/>
      <c r="U5" s="2"/>
      <c r="V5" s="2"/>
      <c r="W5" s="2"/>
      <c r="X5" s="270" t="s">
        <v>316</v>
      </c>
      <c r="Y5" s="7"/>
      <c r="Z5" s="7"/>
      <c r="AA5" s="7"/>
      <c r="AB5" s="7"/>
      <c r="AC5" s="7"/>
      <c r="AD5" s="7"/>
      <c r="AE5" s="7"/>
      <c r="AF5" s="7"/>
      <c r="AG5" s="7"/>
      <c r="AH5" s="161"/>
      <c r="AI5" s="161"/>
      <c r="AJ5" s="161"/>
      <c r="AK5" s="161"/>
      <c r="AL5" s="7"/>
    </row>
    <row r="6" spans="1:38" x14ac:dyDescent="0.25">
      <c r="B6" s="7"/>
      <c r="C6" s="7"/>
      <c r="D6" s="7"/>
      <c r="E6" s="7"/>
      <c r="F6" s="7"/>
      <c r="G6" s="7"/>
      <c r="H6" s="7" t="s">
        <v>262</v>
      </c>
      <c r="I6" s="7" t="s">
        <v>263</v>
      </c>
      <c r="J6" s="7" t="s">
        <v>264</v>
      </c>
      <c r="K6" s="127"/>
      <c r="L6" s="7" t="s">
        <v>264</v>
      </c>
      <c r="M6" s="161" t="s">
        <v>254</v>
      </c>
      <c r="N6" s="263" t="s">
        <v>265</v>
      </c>
      <c r="O6" s="161" t="s">
        <v>251</v>
      </c>
      <c r="P6" s="161" t="s">
        <v>251</v>
      </c>
      <c r="Q6" s="161" t="s">
        <v>251</v>
      </c>
      <c r="R6" s="161" t="s">
        <v>251</v>
      </c>
      <c r="S6" s="2"/>
      <c r="T6" s="2"/>
      <c r="U6" s="2"/>
      <c r="V6" s="2"/>
      <c r="W6" s="2"/>
      <c r="X6" s="263" t="s">
        <v>252</v>
      </c>
      <c r="Y6" s="7"/>
      <c r="Z6" s="7"/>
      <c r="AA6" s="7"/>
      <c r="AB6" s="7"/>
      <c r="AC6" s="7"/>
      <c r="AD6" s="7"/>
      <c r="AE6" s="7"/>
      <c r="AF6" s="7"/>
      <c r="AG6" s="7"/>
      <c r="AH6" s="161"/>
      <c r="AI6" s="161"/>
      <c r="AJ6" s="161"/>
      <c r="AK6" s="161"/>
      <c r="AL6" s="7"/>
    </row>
    <row r="7" spans="1:38" x14ac:dyDescent="0.25">
      <c r="A7" t="s">
        <v>121</v>
      </c>
      <c r="B7" s="5">
        <v>2400</v>
      </c>
      <c r="C7" s="5">
        <f>0.00011448*B7 + 1.16638115</f>
        <v>1.4411331500000002</v>
      </c>
      <c r="D7" s="438">
        <f>0.04285545*B7 + 15.6741559</f>
        <v>118.52723590000001</v>
      </c>
      <c r="E7">
        <f>0.0000000907*B7^2 - 0.0003674172*B7 + 0.9616952608</f>
        <v>0.60232598079999999</v>
      </c>
      <c r="F7">
        <f>0.00000236*B7 + 0.01241004</f>
        <v>1.807404E-2</v>
      </c>
      <c r="G7" s="97">
        <f>20.40472*B7^(-1.02454)</f>
        <v>7.0237494976447892E-3</v>
      </c>
      <c r="H7" s="24">
        <f>'MBal_Som_Saturated-Res'!X$8</f>
        <v>0.5</v>
      </c>
      <c r="I7" s="131">
        <f>Data!D$8*(1-Data!D$16)+Data!D$10*Data!D$16</f>
        <v>0.49634854771784231</v>
      </c>
      <c r="J7" s="104">
        <f>'MBal_Undersaturated Reservoir'!I41</f>
        <v>5.1590410709887874E-2</v>
      </c>
      <c r="K7" s="128"/>
      <c r="L7" s="124">
        <f>1-I7</f>
        <v>0.50365145228215769</v>
      </c>
      <c r="M7" s="268">
        <f t="shared" ref="M7:M13" si="0">1-L7-I7</f>
        <v>0</v>
      </c>
      <c r="N7" s="263"/>
      <c r="O7" s="215">
        <f>M7/(1-Data!D18-I7)</f>
        <v>0</v>
      </c>
      <c r="P7" s="10">
        <f>O7*1</f>
        <v>0</v>
      </c>
      <c r="Q7" s="10">
        <f>(1-O7)</f>
        <v>1</v>
      </c>
      <c r="R7" s="309">
        <f>D7</f>
        <v>118.52723590000001</v>
      </c>
      <c r="S7" s="9"/>
      <c r="T7" s="1"/>
      <c r="U7" s="3"/>
      <c r="V7" s="3"/>
      <c r="W7" s="1"/>
      <c r="X7" s="10" t="e">
        <f>(S7-T7*U7)/W7</f>
        <v>#DIV/0!</v>
      </c>
      <c r="Y7" s="65">
        <f>'MBal_Undersaturated Reservoir'!I$41</f>
        <v>5.1590410709887874E-2</v>
      </c>
      <c r="Z7" s="134">
        <f>Y7*Data!$D$21</f>
        <v>6.6964353101434462E-2</v>
      </c>
      <c r="AA7" s="140">
        <f>'UNS RES'!$K$5*'UNS RES'!$J$5*'UNS RES'!$I$5*Q7/(E7*C7*1)</f>
        <v>0.12470163495198465</v>
      </c>
      <c r="AB7" s="141">
        <f>AA7*(B7-2000)</f>
        <v>49.880653980793859</v>
      </c>
      <c r="AC7" s="134">
        <f>Z7-'UNS RES'!H38</f>
        <v>1.7308710067309441E-3</v>
      </c>
      <c r="AD7" s="434">
        <f>AC7*1000000</f>
        <v>1730.8710067309441</v>
      </c>
      <c r="AE7" s="134">
        <f>365*('UNS RES'!L38-AB7)/(AD7)</f>
        <v>2.6307740026489683</v>
      </c>
      <c r="AF7" s="142">
        <f>(LN('UNS RES'!L38/AB7))/AE7</f>
        <v>8.4852574622831689E-2</v>
      </c>
      <c r="AG7" s="143">
        <f>AF7+'UNS RES'!Q38</f>
        <v>1.0064806248455791</v>
      </c>
      <c r="AH7" s="245">
        <f>5.615*R7</f>
        <v>665.53042957850005</v>
      </c>
      <c r="AI7" s="247">
        <f>(AB7*AH7)/10^6</f>
        <v>3.3197093071494259E-2</v>
      </c>
      <c r="AJ7" s="247">
        <f>365*AI7*AF7</f>
        <v>1.0281534682451703</v>
      </c>
      <c r="AK7" s="247">
        <f>'UNS RES'!T38+AJ7</f>
        <v>43.392351808135906</v>
      </c>
    </row>
    <row r="8" spans="1:38" x14ac:dyDescent="0.25">
      <c r="B8" s="1">
        <v>2399.9</v>
      </c>
      <c r="C8" s="1">
        <f t="shared" ref="C8:C96" si="1">0.00011448*B8 + 1.16638115</f>
        <v>1.4411217020000002</v>
      </c>
      <c r="D8" s="122">
        <f t="shared" ref="D8:D101" si="2">0.04285545*B8 + 15.6741559</f>
        <v>118.52295035500002</v>
      </c>
      <c r="E8">
        <f t="shared" ref="E8:E96" si="3">0.0000000907*B8^2 - 0.0003674172*B8 + 0.9616952608</f>
        <v>0.60231918742700008</v>
      </c>
      <c r="F8">
        <f t="shared" ref="F8:F96" si="4">0.00000236*B8 + 0.01241004</f>
        <v>1.8073803999999999E-2</v>
      </c>
      <c r="G8" s="97">
        <f t="shared" ref="G8:G96" si="5">20.40472*B8^(-1.02454)</f>
        <v>7.024049348304794E-3</v>
      </c>
      <c r="H8" s="24">
        <f>'MBal_Som_Saturated-Res'!X$8</f>
        <v>0.5</v>
      </c>
      <c r="I8" s="14">
        <f>Data!D$8*(1-Data!D$16)+Data!D$10*Data!D$16</f>
        <v>0.49634854771784231</v>
      </c>
      <c r="J8" s="105">
        <f>J7</f>
        <v>5.1590410709887874E-2</v>
      </c>
      <c r="K8" s="129">
        <f>(J8-J$7)/(1-J$7)</f>
        <v>0</v>
      </c>
      <c r="L8" s="125">
        <f>(1-J8)*(C8/C$7)*(1-I8)</f>
        <v>0.47766407253065518</v>
      </c>
      <c r="M8" s="268">
        <f t="shared" si="0"/>
        <v>2.598737975150256E-2</v>
      </c>
      <c r="N8" s="264">
        <f>(L8-H8*(1-Data!D$16))/Data!D16</f>
        <v>-1.9467993273236841</v>
      </c>
      <c r="O8" s="215">
        <f>(M8-Data!D$27)/(1-Data!D$27-Data!D$19-I8)</f>
        <v>8.5582925937580157E-2</v>
      </c>
      <c r="P8" s="10">
        <f>Data!D$28*O8</f>
        <v>8.5582925937580157E-2</v>
      </c>
      <c r="Q8" s="10">
        <f>Data!D$28*(1-O8)</f>
        <v>0.91441707406241979</v>
      </c>
      <c r="R8" s="310">
        <f>1*(D8+(P8*E8*C8)/(Q8*F8*G8))</f>
        <v>758.45378626016941</v>
      </c>
      <c r="S8" s="32">
        <f t="shared" ref="S8:S13" si="6">(1-J8)*((C8/G8-D8)-(C$7/G$7-D$7))</f>
        <v>-5.788375344849773E-3</v>
      </c>
      <c r="T8" s="26">
        <f>C$7*(1+Data!D$50)*((1/G8)-(1/G$7))</f>
        <v>-8.758960124806852E-3</v>
      </c>
      <c r="U8" s="106">
        <f>(1-Data!D$26)*Data!D$24+Data!D$26*Data!D$25</f>
        <v>4.9424036979969185E-6</v>
      </c>
      <c r="V8" s="107">
        <f>1+U8*(B$7-B8)</f>
        <v>1.0000004942403697</v>
      </c>
      <c r="W8" s="26">
        <f>((C8/G8)-D8)+(R8+R$7)/2*(1-Data!D$51)</f>
        <v>525.13720440758607</v>
      </c>
      <c r="X8" s="57">
        <f t="shared" ref="X8:X13" si="7">(S8-T8*V8)/W8</f>
        <v>5.6567866151093384E-6</v>
      </c>
      <c r="Y8" s="64">
        <f t="shared" ref="Y8:Y15" si="8">X8+Y$7</f>
        <v>5.159606749650298E-2</v>
      </c>
      <c r="Z8" s="134">
        <f>Y8*Data!$D$21</f>
        <v>6.6971695610460874E-2</v>
      </c>
      <c r="AA8" s="134"/>
      <c r="AB8" s="134"/>
      <c r="AC8" s="134"/>
      <c r="AD8" s="134"/>
      <c r="AE8" s="134"/>
      <c r="AF8" s="134"/>
      <c r="AG8" s="134"/>
      <c r="AH8" s="246">
        <f t="shared" ref="AH8:AH101" si="9">5.615*R8</f>
        <v>4258.7180098508516</v>
      </c>
      <c r="AI8" s="246"/>
      <c r="AJ8" s="246"/>
      <c r="AK8" s="246"/>
    </row>
    <row r="9" spans="1:38" x14ac:dyDescent="0.25">
      <c r="B9" s="1">
        <v>2399.9</v>
      </c>
      <c r="C9" s="1">
        <f t="shared" ref="C9:C10" si="10">0.00011448*B9 + 1.16638115</f>
        <v>1.4411217020000002</v>
      </c>
      <c r="D9" s="122">
        <f t="shared" si="2"/>
        <v>118.52295035500002</v>
      </c>
      <c r="E9">
        <f t="shared" ref="E9:E10" si="11">0.0000000907*B9^2 - 0.0003674172*B9 + 0.9616952608</f>
        <v>0.60231918742700008</v>
      </c>
      <c r="F9">
        <f t="shared" ref="F9:F10" si="12">0.00000236*B9 + 0.01241004</f>
        <v>1.8073803999999999E-2</v>
      </c>
      <c r="G9" s="97">
        <f t="shared" ref="G9:G10" si="13">20.40472*B9^(-1.02454)</f>
        <v>7.024049348304794E-3</v>
      </c>
      <c r="H9" s="24">
        <f>'MBal_Som_Saturated-Res'!X$8</f>
        <v>0.5</v>
      </c>
      <c r="I9" s="14">
        <f>Data!D$8*(1-Data!D$16)+Data!D$10*Data!D$16</f>
        <v>0.49634854771784231</v>
      </c>
      <c r="J9" s="108">
        <f>Y8</f>
        <v>5.159606749650298E-2</v>
      </c>
      <c r="K9" s="129">
        <f t="shared" ref="K9:K100" si="14">(J9-J$7)/(1-J$7)</f>
        <v>5.964497490309252E-6</v>
      </c>
      <c r="L9" s="125">
        <f>(1-K9)*(C9/C$7)*(1-I9)</f>
        <v>0.50364444739748404</v>
      </c>
      <c r="M9" s="268">
        <f>1-L9-I9</f>
        <v>7.0048846736447956E-6</v>
      </c>
      <c r="N9" s="264">
        <f>(L9-H9*(1-Data!D$16))/Data!D$16</f>
        <v>0.8992326467243863</v>
      </c>
      <c r="O9" s="215">
        <f>(M9-Data!D$27)/(1-Data!D$27-Data!D$19-I9)</f>
        <v>2.3068833101235249E-5</v>
      </c>
      <c r="P9" s="10">
        <f>Data!D$28*O9</f>
        <v>2.3068833101235249E-5</v>
      </c>
      <c r="Q9" s="10">
        <f>Data!D$28*(1-O9)</f>
        <v>0.99997693116689879</v>
      </c>
      <c r="R9" s="310">
        <f t="shared" ref="R9:R15" si="15">1*(D9+(P9*E9*C9)/(Q9*F9*G9))</f>
        <v>118.68068455953441</v>
      </c>
      <c r="S9" s="32">
        <f t="shared" si="6"/>
        <v>-5.7883408200995563E-3</v>
      </c>
      <c r="T9" s="26">
        <f>C$7*(1+Data!D$50)*((1/G9)-(1/G$7))</f>
        <v>-8.758960124806852E-3</v>
      </c>
      <c r="U9" s="106">
        <f>(1-Data!D$26)*Data!D$24+Data!D$26*Data!D$25</f>
        <v>4.9424036979969185E-6</v>
      </c>
      <c r="V9" s="107">
        <f t="shared" ref="V9:V13" si="16">1+U9*(B$7-B9)</f>
        <v>1.0000004942403697</v>
      </c>
      <c r="W9" s="26">
        <f>((C9/G9)-D9)+(R9+R$7)/2*(1-Data!D$51)</f>
        <v>205.25065355726849</v>
      </c>
      <c r="X9" s="57">
        <f t="shared" si="7"/>
        <v>1.4473150668483161E-5</v>
      </c>
      <c r="Y9" s="64">
        <f t="shared" si="8"/>
        <v>5.160488386055636E-2</v>
      </c>
      <c r="Z9" s="134">
        <f>Y9*Data!$D$21</f>
        <v>6.6983139251002161E-2</v>
      </c>
      <c r="AA9" s="134"/>
      <c r="AB9" s="134"/>
      <c r="AC9" s="134"/>
      <c r="AD9" s="134"/>
      <c r="AE9" s="134"/>
      <c r="AF9" s="134"/>
      <c r="AG9" s="134"/>
      <c r="AH9" s="246">
        <f t="shared" si="9"/>
        <v>666.3920438017858</v>
      </c>
      <c r="AI9" s="246"/>
      <c r="AJ9" s="246"/>
      <c r="AK9" s="246"/>
      <c r="AL9" s="5" t="s">
        <v>56</v>
      </c>
    </row>
    <row r="10" spans="1:38" x14ac:dyDescent="0.25">
      <c r="B10" s="1">
        <v>2399.9</v>
      </c>
      <c r="C10" s="1">
        <f t="shared" si="10"/>
        <v>1.4411217020000002</v>
      </c>
      <c r="D10" s="122">
        <f t="shared" si="2"/>
        <v>118.52295035500002</v>
      </c>
      <c r="E10">
        <f t="shared" si="11"/>
        <v>0.60231918742700008</v>
      </c>
      <c r="F10">
        <f t="shared" si="12"/>
        <v>1.8073803999999999E-2</v>
      </c>
      <c r="G10" s="97">
        <f t="shared" si="13"/>
        <v>7.024049348304794E-3</v>
      </c>
      <c r="H10" s="24">
        <f>'MBal_Som_Saturated-Res'!X$8</f>
        <v>0.5</v>
      </c>
      <c r="I10" s="14">
        <f>Data!D$8*(1-Data!D$16)+Data!D$10*Data!D$16</f>
        <v>0.49634854771784231</v>
      </c>
      <c r="J10" s="108">
        <f t="shared" ref="J10:J13" si="17">Y9</f>
        <v>5.160488386055636E-2</v>
      </c>
      <c r="K10" s="129">
        <f>(J10-J$7)/(1-J$7)</f>
        <v>1.5260443200831398E-5</v>
      </c>
      <c r="L10" s="125">
        <f t="shared" ref="L10:L64" si="18">(1-K10)*(C10/C$7)*(1-I10)</f>
        <v>0.50363976551811862</v>
      </c>
      <c r="M10" s="268">
        <f>1-L10-I10</f>
        <v>1.168676403906499E-5</v>
      </c>
      <c r="N10" s="264">
        <f>(L10-H10*(1-Data!D$16))/Data!D$16</f>
        <v>0.89871976812117438</v>
      </c>
      <c r="O10" s="215">
        <f>(M10-Data!D$27)/(1-Data!D$27-Data!D$19-I10)</f>
        <v>3.8487430082189967E-5</v>
      </c>
      <c r="P10" s="10">
        <f>Data!D$28*O10</f>
        <v>3.8487430082189967E-5</v>
      </c>
      <c r="Q10" s="10">
        <f>Data!D$28*(1-O10)</f>
        <v>0.99996151256991783</v>
      </c>
      <c r="R10" s="310">
        <f t="shared" si="15"/>
        <v>118.78611398137518</v>
      </c>
      <c r="S10" s="32">
        <f t="shared" si="6"/>
        <v>-5.7882870116765985E-3</v>
      </c>
      <c r="T10" s="26">
        <f>C$7*(1+Data!D$50)*((1/G10)-(1/G$7))</f>
        <v>-8.758960124806852E-3</v>
      </c>
      <c r="U10" s="106">
        <f>(1-Data!D$26)*Data!D$24+Data!D$26*Data!D$25</f>
        <v>4.9424036979969185E-6</v>
      </c>
      <c r="V10" s="107">
        <f t="shared" si="16"/>
        <v>1.0000004942403697</v>
      </c>
      <c r="W10" s="26">
        <f>((C10/G10)-D10)+(R10+R$7)/2*(1-Data!D$51)</f>
        <v>205.30336826818888</v>
      </c>
      <c r="X10" s="57">
        <f t="shared" si="7"/>
        <v>1.4469696562802284E-5</v>
      </c>
      <c r="Y10" s="64">
        <f t="shared" si="8"/>
        <v>5.1604880406450677E-2</v>
      </c>
      <c r="Z10" s="134">
        <f>Y10*Data!$D$21</f>
        <v>6.6983134767572977E-2</v>
      </c>
      <c r="AA10" s="134"/>
      <c r="AB10" s="134"/>
      <c r="AC10" s="134"/>
      <c r="AD10" s="134"/>
      <c r="AE10" s="134"/>
      <c r="AF10" s="134"/>
      <c r="AG10" s="134"/>
      <c r="AH10" s="246">
        <f t="shared" si="9"/>
        <v>666.98403000542169</v>
      </c>
      <c r="AI10" s="246"/>
      <c r="AJ10" s="246"/>
      <c r="AK10" s="246"/>
      <c r="AL10" s="1"/>
    </row>
    <row r="11" spans="1:38" x14ac:dyDescent="0.25">
      <c r="B11" s="1">
        <v>2399.9</v>
      </c>
      <c r="C11" s="1">
        <f t="shared" ref="C11:C12" si="19">0.00011448*B11 + 1.16638115</f>
        <v>1.4411217020000002</v>
      </c>
      <c r="D11" s="122">
        <f t="shared" si="2"/>
        <v>118.52295035500002</v>
      </c>
      <c r="E11">
        <f t="shared" ref="E11:E12" si="20">0.0000000907*B11^2 - 0.0003674172*B11 + 0.9616952608</f>
        <v>0.60231918742700008</v>
      </c>
      <c r="F11">
        <f t="shared" ref="F11:F12" si="21">0.00000236*B11 + 0.01241004</f>
        <v>1.8073803999999999E-2</v>
      </c>
      <c r="G11" s="97">
        <f t="shared" ref="G11:G12" si="22">20.40472*B11^(-1.02454)</f>
        <v>7.024049348304794E-3</v>
      </c>
      <c r="H11" s="24">
        <f>'MBal_Som_Saturated-Res'!X$8</f>
        <v>0.5</v>
      </c>
      <c r="I11" s="14">
        <f>Data!D$8*(1-Data!D$16)+Data!D$10*Data!D$16</f>
        <v>0.49634854771784231</v>
      </c>
      <c r="J11" s="108">
        <f t="shared" si="17"/>
        <v>5.1604880406450677E-2</v>
      </c>
      <c r="K11" s="129">
        <f t="shared" si="14"/>
        <v>1.5256801202984648E-5</v>
      </c>
      <c r="L11" s="125">
        <f t="shared" si="18"/>
        <v>0.50363976735240157</v>
      </c>
      <c r="M11" s="268">
        <f t="shared" si="0"/>
        <v>1.1684929756117235E-5</v>
      </c>
      <c r="N11" s="264">
        <f>(L11-H11*(1-Data!D$16))/Data!D$16</f>
        <v>0.89871996905853357</v>
      </c>
      <c r="O11" s="215">
        <f>(M11-Data!D$27)/(1-Data!D$27-Data!D$19-I11)</f>
        <v>3.8481389330749565E-5</v>
      </c>
      <c r="P11" s="10">
        <f>Data!D$28*O11</f>
        <v>3.8481389330749565E-5</v>
      </c>
      <c r="Q11" s="10">
        <f>Data!D$28*(1-O11)</f>
        <v>0.99996151861066929</v>
      </c>
      <c r="R11" s="310">
        <f t="shared" si="15"/>
        <v>118.78607267523371</v>
      </c>
      <c r="S11" s="32">
        <f t="shared" si="6"/>
        <v>-5.788287032757849E-3</v>
      </c>
      <c r="T11" s="26">
        <f>C$7*(1+Data!D$50)*((1/G11)-(1/G$7))</f>
        <v>-8.758960124806852E-3</v>
      </c>
      <c r="U11" s="106">
        <f>(1-Data!D$26)*Data!D$24+Data!D$26*Data!D$25</f>
        <v>4.9424036979969185E-6</v>
      </c>
      <c r="V11" s="107">
        <f t="shared" si="16"/>
        <v>1.0000004942403697</v>
      </c>
      <c r="W11" s="26">
        <f>((C11/G11)-D11)+(R11+R$7)/2*(1-Data!D$51)</f>
        <v>205.30334761511816</v>
      </c>
      <c r="X11" s="57">
        <f t="shared" si="7"/>
        <v>1.4469697915738896E-5</v>
      </c>
      <c r="Y11" s="64">
        <f t="shared" si="8"/>
        <v>5.1604880407803616E-2</v>
      </c>
      <c r="Z11" s="134">
        <f>Y11*Data!$D$21</f>
        <v>6.69831347693291E-2</v>
      </c>
      <c r="AA11" s="134"/>
      <c r="AB11" s="134"/>
      <c r="AC11" s="134"/>
      <c r="AD11" s="134"/>
      <c r="AE11" s="134"/>
      <c r="AF11" s="134"/>
      <c r="AG11" s="134"/>
      <c r="AH11" s="246">
        <f t="shared" si="9"/>
        <v>666.98379807143726</v>
      </c>
      <c r="AI11" s="246"/>
      <c r="AJ11" s="246"/>
      <c r="AK11" s="246"/>
      <c r="AL11" s="1"/>
    </row>
    <row r="12" spans="1:38" x14ac:dyDescent="0.25">
      <c r="B12" s="1">
        <v>2399.9</v>
      </c>
      <c r="C12" s="1">
        <f t="shared" si="19"/>
        <v>1.4411217020000002</v>
      </c>
      <c r="D12" s="122">
        <f t="shared" si="2"/>
        <v>118.52295035500002</v>
      </c>
      <c r="E12">
        <f t="shared" si="20"/>
        <v>0.60231918742700008</v>
      </c>
      <c r="F12">
        <f t="shared" si="21"/>
        <v>1.8073803999999999E-2</v>
      </c>
      <c r="G12" s="97">
        <f t="shared" si="22"/>
        <v>7.024049348304794E-3</v>
      </c>
      <c r="H12" s="24">
        <f>'MBal_Som_Saturated-Res'!X$8</f>
        <v>0.5</v>
      </c>
      <c r="I12" s="14">
        <f>Data!D$8*(1-Data!D$16)+Data!D$10*Data!D$16</f>
        <v>0.49634854771784231</v>
      </c>
      <c r="J12" s="108">
        <f t="shared" si="17"/>
        <v>5.1604880407803616E-2</v>
      </c>
      <c r="K12" s="129">
        <f t="shared" si="14"/>
        <v>1.5256802629518722E-5</v>
      </c>
      <c r="L12" s="125">
        <f t="shared" si="18"/>
        <v>0.50363976735168303</v>
      </c>
      <c r="M12" s="268">
        <f t="shared" si="0"/>
        <v>1.1684930474653576E-5</v>
      </c>
      <c r="N12" s="264">
        <f>(L12-H12*(1-Data!D$16))/Data!D$16</f>
        <v>0.8987199689798212</v>
      </c>
      <c r="O12" s="215">
        <f>(M12-Data!D$27)/(1-Data!D$27-Data!D$19-I12)</f>
        <v>3.8481391697069026E-5</v>
      </c>
      <c r="P12" s="10">
        <f>Data!D$28*O12</f>
        <v>3.8481391697069026E-5</v>
      </c>
      <c r="Q12" s="10">
        <f>Data!D$28*(1-O12)</f>
        <v>0.99996151860830296</v>
      </c>
      <c r="R12" s="310">
        <f t="shared" si="15"/>
        <v>118.7860726914144</v>
      </c>
      <c r="S12" s="32">
        <f t="shared" si="6"/>
        <v>-5.7882870327495917E-3</v>
      </c>
      <c r="T12" s="26">
        <f>C$7*(1+Data!D$50)*((1/G12)-(1/G$7))</f>
        <v>-8.758960124806852E-3</v>
      </c>
      <c r="U12" s="106">
        <f>(1-Data!D$26)*Data!D$24+Data!D$26*Data!D$25</f>
        <v>4.9424036979969185E-6</v>
      </c>
      <c r="V12" s="107">
        <f t="shared" si="16"/>
        <v>1.0000004942403697</v>
      </c>
      <c r="W12" s="26">
        <f>((C12/G12)-D12)+(R12+R$7)/2*(1-Data!D$51)</f>
        <v>205.30334762320848</v>
      </c>
      <c r="X12" s="57">
        <f t="shared" si="7"/>
        <v>1.4469697915208915E-5</v>
      </c>
      <c r="Y12" s="64">
        <f>X12+Y$7</f>
        <v>5.1604880407803082E-2</v>
      </c>
      <c r="Z12" s="134">
        <f>Y12*Data!$D$21</f>
        <v>6.6983134769328406E-2</v>
      </c>
      <c r="AA12" s="134"/>
      <c r="AB12" s="134"/>
      <c r="AC12" s="134"/>
      <c r="AD12" s="134"/>
      <c r="AE12" s="134"/>
      <c r="AF12" s="134"/>
      <c r="AG12" s="134"/>
      <c r="AH12" s="246">
        <f t="shared" si="9"/>
        <v>666.98379816229192</v>
      </c>
      <c r="AI12" s="246"/>
      <c r="AJ12" s="246"/>
      <c r="AK12" s="246"/>
      <c r="AL12" s="1"/>
    </row>
    <row r="13" spans="1:38" x14ac:dyDescent="0.25">
      <c r="B13" s="1">
        <v>2399.9</v>
      </c>
      <c r="C13" s="1">
        <f t="shared" ref="C13" si="23">0.00011448*B13 + 1.16638115</f>
        <v>1.4411217020000002</v>
      </c>
      <c r="D13" s="122">
        <f t="shared" si="2"/>
        <v>118.52295035500002</v>
      </c>
      <c r="E13">
        <f t="shared" ref="E13:E14" si="24">0.0000000907*B13^2 - 0.0003674172*B13 + 0.9616952608</f>
        <v>0.60231918742700008</v>
      </c>
      <c r="F13">
        <f t="shared" ref="F13:F14" si="25">0.00000236*B13 + 0.01241004</f>
        <v>1.8073803999999999E-2</v>
      </c>
      <c r="G13" s="97">
        <f t="shared" ref="G13:G14" si="26">20.40472*B13^(-1.02454)</f>
        <v>7.024049348304794E-3</v>
      </c>
      <c r="H13" s="24">
        <f>'MBal_Som_Saturated-Res'!X$8</f>
        <v>0.5</v>
      </c>
      <c r="I13" s="14">
        <f>Data!D$8*(1-Data!D$16)+Data!D$10*Data!D$16</f>
        <v>0.49634854771784231</v>
      </c>
      <c r="J13" s="108">
        <f t="shared" si="17"/>
        <v>5.1604880407803082E-2</v>
      </c>
      <c r="K13" s="129">
        <f>(J13-J$7)/(1-J$7)</f>
        <v>1.5256802628955362E-5</v>
      </c>
      <c r="L13" s="125">
        <f t="shared" si="18"/>
        <v>0.50363976735168337</v>
      </c>
      <c r="M13" s="268">
        <f t="shared" si="0"/>
        <v>1.168493047432051E-5</v>
      </c>
      <c r="N13" s="264">
        <f>(L13-H13*(1-Data!D$16))/Data!D$16</f>
        <v>0.89871996897985773</v>
      </c>
      <c r="O13" s="215">
        <f>(M13-Data!D$27)/(1-Data!D$27-Data!D$19-I13)</f>
        <v>3.8481391695972152E-5</v>
      </c>
      <c r="P13" s="10">
        <f>Data!D$28*O13</f>
        <v>3.8481391695972152E-5</v>
      </c>
      <c r="Q13" s="10">
        <f>Data!D$28*(1-O13)</f>
        <v>0.99996151860830407</v>
      </c>
      <c r="R13" s="310">
        <f t="shared" si="15"/>
        <v>118.7860726914069</v>
      </c>
      <c r="S13" s="32">
        <f t="shared" si="6"/>
        <v>-5.7882870327495952E-3</v>
      </c>
      <c r="T13" s="26">
        <f>C$7*(1+Data!D$50)*((1/G13)-(1/G$7))</f>
        <v>-8.758960124806852E-3</v>
      </c>
      <c r="U13" s="106">
        <f>(1-Data!D$26)*Data!D$24+Data!D$26*Data!D$25</f>
        <v>4.9424036979969185E-6</v>
      </c>
      <c r="V13" s="107">
        <f t="shared" si="16"/>
        <v>1.0000004942403697</v>
      </c>
      <c r="W13" s="26">
        <f>((C13/G13)-D13)+(R13+R$7)/2*(1-Data!D$51)</f>
        <v>205.30334762320473</v>
      </c>
      <c r="X13" s="57">
        <f t="shared" si="7"/>
        <v>1.4469697915209162E-5</v>
      </c>
      <c r="Y13" s="441">
        <f t="shared" si="8"/>
        <v>5.1604880407803082E-2</v>
      </c>
      <c r="Z13" s="134">
        <f>Y13*Data!$D$21</f>
        <v>6.6983134769328406E-2</v>
      </c>
      <c r="AA13" s="134"/>
      <c r="AB13" s="134"/>
      <c r="AC13" s="134"/>
      <c r="AD13" s="134"/>
      <c r="AE13" s="134"/>
      <c r="AF13" s="134"/>
      <c r="AG13" s="134"/>
      <c r="AH13" s="246">
        <f t="shared" si="9"/>
        <v>666.98379816224974</v>
      </c>
      <c r="AI13" s="246"/>
      <c r="AJ13" s="246"/>
      <c r="AK13" s="246"/>
      <c r="AL13" s="1"/>
    </row>
    <row r="14" spans="1:38" x14ac:dyDescent="0.25">
      <c r="B14" s="1">
        <v>2399.9</v>
      </c>
      <c r="C14" s="1">
        <f>0.00011448*B14 + 1.16638115</f>
        <v>1.4411217020000002</v>
      </c>
      <c r="D14" s="122">
        <f t="shared" ref="D14:D15" si="27">0.04285545*B14 + 15.6741559</f>
        <v>118.52295035500002</v>
      </c>
      <c r="E14">
        <f t="shared" si="24"/>
        <v>0.60231918742700008</v>
      </c>
      <c r="F14">
        <f t="shared" si="25"/>
        <v>1.8073803999999999E-2</v>
      </c>
      <c r="G14" s="97">
        <f t="shared" si="26"/>
        <v>7.024049348304794E-3</v>
      </c>
      <c r="H14" s="24">
        <f>'MBal_Som_Saturated-Res'!X$8</f>
        <v>0.5</v>
      </c>
      <c r="I14" s="14">
        <f>Data!D$8*(1-Data!D$16)+Data!D$10*Data!D$16</f>
        <v>0.49634854771784231</v>
      </c>
      <c r="J14" s="108">
        <f t="shared" ref="J14:J15" si="28">Y13</f>
        <v>5.1604880407803082E-2</v>
      </c>
      <c r="K14" s="129">
        <f t="shared" si="14"/>
        <v>1.5256802628955362E-5</v>
      </c>
      <c r="L14" s="125">
        <f t="shared" ref="L14:L15" si="29">(1-K14)*(C14/C$7)*(1-I14)</f>
        <v>0.50363976735168337</v>
      </c>
      <c r="M14" s="268">
        <f t="shared" ref="M14:M15" si="30">1-L14-I14</f>
        <v>1.168493047432051E-5</v>
      </c>
      <c r="N14" s="264">
        <f>(L14-H14*(1-Data!D$16))/Data!D$16</f>
        <v>0.89871996897985773</v>
      </c>
      <c r="O14" s="215">
        <f>(M14-Data!D$27)/(1-Data!D$27-Data!D$19-I14)</f>
        <v>3.8481391695972152E-5</v>
      </c>
      <c r="P14" s="10">
        <f>Data!D$28*O14</f>
        <v>3.8481391695972152E-5</v>
      </c>
      <c r="Q14" s="10">
        <f>Data!D$28*(1-O14)</f>
        <v>0.99996151860830407</v>
      </c>
      <c r="R14" s="310">
        <f t="shared" si="15"/>
        <v>118.7860726914069</v>
      </c>
      <c r="S14" s="32">
        <f t="shared" ref="S14:S15" si="31">(1-J14)*((C14/G14-D14)-(C$7/G$7-D$7))</f>
        <v>-5.7882870327495952E-3</v>
      </c>
      <c r="T14" s="26">
        <f>C$7*(1+Data!D$50)*((1/G14)-(1/G$7))</f>
        <v>-8.758960124806852E-3</v>
      </c>
      <c r="U14" s="106">
        <f>(1-Data!D$26)*Data!D$24+Data!D$26*Data!D$25</f>
        <v>4.9424036979969185E-6</v>
      </c>
      <c r="V14" s="107">
        <f t="shared" ref="V14:V15" si="32">1+U14*(B$7-B14)</f>
        <v>1.0000004942403697</v>
      </c>
      <c r="W14" s="26">
        <f>((C14/G14)-D14)+(R14+R$7)/2*(1-Data!D$51)</f>
        <v>205.30334762320473</v>
      </c>
      <c r="X14" s="57">
        <f t="shared" ref="X14:X15" si="33">(S14-T14*V14)/W14</f>
        <v>1.4469697915209162E-5</v>
      </c>
      <c r="Y14" s="64">
        <f t="shared" si="8"/>
        <v>5.1604880407803082E-2</v>
      </c>
      <c r="Z14" s="134">
        <f>Y14*Data!$D$21</f>
        <v>6.6983134769328406E-2</v>
      </c>
      <c r="AA14" s="134"/>
      <c r="AB14" s="134"/>
      <c r="AC14" s="134"/>
      <c r="AD14" s="134"/>
      <c r="AE14" s="134"/>
      <c r="AF14" s="134"/>
      <c r="AG14" s="134"/>
      <c r="AH14" s="246">
        <f t="shared" si="9"/>
        <v>666.98379816224974</v>
      </c>
      <c r="AI14" s="246"/>
      <c r="AJ14" s="246"/>
      <c r="AK14" s="246"/>
      <c r="AL14" s="5" t="s">
        <v>57</v>
      </c>
    </row>
    <row r="15" spans="1:38" x14ac:dyDescent="0.25">
      <c r="B15" s="1">
        <v>2399.9</v>
      </c>
      <c r="C15" s="1">
        <f t="shared" ref="C15" si="34">0.00011448*B15 + 1.16638115</f>
        <v>1.4411217020000002</v>
      </c>
      <c r="D15" s="122">
        <f t="shared" si="27"/>
        <v>118.52295035500002</v>
      </c>
      <c r="E15">
        <f t="shared" ref="E15" si="35">0.0000000907*B15^2 - 0.0003674172*B15 + 0.9616952608</f>
        <v>0.60231918742700008</v>
      </c>
      <c r="F15">
        <f t="shared" ref="F15" si="36">0.00000236*B15 + 0.01241004</f>
        <v>1.8073803999999999E-2</v>
      </c>
      <c r="G15" s="97">
        <f t="shared" ref="G15" si="37">20.40472*B15^(-1.02454)</f>
        <v>7.024049348304794E-3</v>
      </c>
      <c r="H15" s="24">
        <f>'MBal_Som_Saturated-Res'!X$8</f>
        <v>0.5</v>
      </c>
      <c r="I15" s="14">
        <f>Data!D$8*(1-Data!D$16)+Data!D$10*Data!D$16</f>
        <v>0.49634854771784231</v>
      </c>
      <c r="J15" s="108">
        <f t="shared" si="28"/>
        <v>5.1604880407803082E-2</v>
      </c>
      <c r="K15" s="129">
        <f t="shared" si="14"/>
        <v>1.5256802628955362E-5</v>
      </c>
      <c r="L15" s="125">
        <f t="shared" si="29"/>
        <v>0.50363976735168337</v>
      </c>
      <c r="M15" s="268">
        <f t="shared" si="30"/>
        <v>1.168493047432051E-5</v>
      </c>
      <c r="N15" s="264">
        <f>(L15-H15*(1-Data!D$16))/Data!D$16</f>
        <v>0.89871996897985773</v>
      </c>
      <c r="O15" s="215">
        <f>(M15-Data!D$27)/(1-Data!D$27-Data!D$19-I15)</f>
        <v>3.8481391695972152E-5</v>
      </c>
      <c r="P15" s="10">
        <f>Data!D$28*O15</f>
        <v>3.8481391695972152E-5</v>
      </c>
      <c r="Q15" s="10">
        <f>Data!D$28*(1-O15)</f>
        <v>0.99996151860830407</v>
      </c>
      <c r="R15" s="309">
        <f t="shared" si="15"/>
        <v>118.7860726914069</v>
      </c>
      <c r="S15" s="32">
        <f t="shared" si="31"/>
        <v>-5.7882870327495952E-3</v>
      </c>
      <c r="T15" s="26">
        <f>C$7*(1+Data!D$50)*((1/G15)-(1/G$7))</f>
        <v>-8.758960124806852E-3</v>
      </c>
      <c r="U15" s="106">
        <f>(1-Data!D$26)*Data!D$24+Data!D$26*Data!D$25</f>
        <v>4.9424036979969185E-6</v>
      </c>
      <c r="V15" s="107">
        <f t="shared" si="32"/>
        <v>1.0000004942403697</v>
      </c>
      <c r="W15" s="26">
        <f>((C15/G15)-D15)+(R15+R$7)/2*(1-Data!D$51)</f>
        <v>205.30334762320473</v>
      </c>
      <c r="X15" s="57">
        <f t="shared" si="33"/>
        <v>1.4469697915209162E-5</v>
      </c>
      <c r="Y15" s="441">
        <f t="shared" si="8"/>
        <v>5.1604880407803082E-2</v>
      </c>
      <c r="Z15" s="134">
        <f>Y15*Data!$D$21</f>
        <v>6.6983134769328406E-2</v>
      </c>
      <c r="AA15" s="134"/>
      <c r="AB15" s="134"/>
      <c r="AC15" s="134"/>
      <c r="AD15" s="134"/>
      <c r="AE15" s="134"/>
      <c r="AF15" s="134"/>
      <c r="AG15" s="134"/>
      <c r="AH15" s="246">
        <f t="shared" si="9"/>
        <v>666.98379816224974</v>
      </c>
      <c r="AI15" s="246"/>
      <c r="AJ15" s="246"/>
      <c r="AK15" s="246"/>
      <c r="AL15" s="1"/>
    </row>
    <row r="16" spans="1:38" x14ac:dyDescent="0.25">
      <c r="B16" s="1">
        <v>2399.9</v>
      </c>
      <c r="C16" s="1">
        <f t="shared" ref="C16" si="38">0.00011448*B16 + 1.16638115</f>
        <v>1.4411217020000002</v>
      </c>
      <c r="D16" s="122">
        <f t="shared" ref="D16" si="39">0.04285545*B16 + 15.6741559</f>
        <v>118.52295035500002</v>
      </c>
      <c r="E16">
        <f t="shared" ref="E16" si="40">0.0000000907*B16^2 - 0.0003674172*B16 + 0.9616952608</f>
        <v>0.60231918742700008</v>
      </c>
      <c r="F16">
        <f t="shared" ref="F16" si="41">0.00000236*B16 + 0.01241004</f>
        <v>1.8073803999999999E-2</v>
      </c>
      <c r="G16" s="97">
        <f t="shared" ref="G16" si="42">20.40472*B16^(-1.02454)</f>
        <v>7.024049348304794E-3</v>
      </c>
      <c r="H16" s="24">
        <f>'MBal_Som_Saturated-Res'!X$8</f>
        <v>0.5</v>
      </c>
      <c r="I16" s="14">
        <f>Data!D$8*(1-Data!D$16)+Data!D$10*Data!D$16</f>
        <v>0.49634854771784231</v>
      </c>
      <c r="J16" s="105">
        <f t="shared" ref="J16" si="43">Y15</f>
        <v>5.1604880407803082E-2</v>
      </c>
      <c r="K16" s="129">
        <f t="shared" si="14"/>
        <v>1.5256802628955362E-5</v>
      </c>
      <c r="L16" s="125">
        <f t="shared" ref="L16" si="44">(1-K16)*(C16/C$7)*(1-I16)</f>
        <v>0.50363976735168337</v>
      </c>
      <c r="M16" s="268">
        <f t="shared" ref="M16" si="45">1-L16-I16</f>
        <v>1.168493047432051E-5</v>
      </c>
      <c r="N16" s="264">
        <f>(L16-H16*(1-Data!D$16))/Data!D$16</f>
        <v>0.89871996897985773</v>
      </c>
      <c r="O16" s="215">
        <f>(M16-Data!D$27)/(1-Data!D$27-Data!D$19-I16)</f>
        <v>3.8481391695972152E-5</v>
      </c>
      <c r="P16" s="10">
        <f>Data!D$28*O16</f>
        <v>3.8481391695972152E-5</v>
      </c>
      <c r="Q16" s="10">
        <f>Data!D$28*(1-O16)</f>
        <v>0.99996151860830407</v>
      </c>
      <c r="R16" s="309">
        <f t="shared" ref="R16" si="46">1*(D16+(P16*E16*C16)/(Q16*F16*G16))</f>
        <v>118.7860726914069</v>
      </c>
      <c r="S16" s="32">
        <f t="shared" ref="S16" si="47">(1-J16)*((C16/G16-D16)-(C$7/G$7-D$7))</f>
        <v>-5.7882870327495952E-3</v>
      </c>
      <c r="T16" s="26">
        <f>C$7*(1+Data!D$50)*((1/G16)-(1/G$7))</f>
        <v>-8.758960124806852E-3</v>
      </c>
      <c r="U16" s="106">
        <f>(1-Data!D$26)*Data!D$24+Data!D$26*Data!D$25</f>
        <v>4.9424036979969185E-6</v>
      </c>
      <c r="V16" s="107">
        <f t="shared" ref="V16" si="48">1+U16*(B$7-B16)</f>
        <v>1.0000004942403697</v>
      </c>
      <c r="W16" s="26">
        <f>((C16/G16)-D16)+(R16+R$7)/2*(1-Data!D$51)</f>
        <v>205.30334762320473</v>
      </c>
      <c r="X16" s="57">
        <f t="shared" ref="X16" si="49">(S16-T16*V16)/W16</f>
        <v>1.4469697915209162E-5</v>
      </c>
      <c r="Y16" s="65">
        <f>X16+Y$7</f>
        <v>5.1604880407803082E-2</v>
      </c>
      <c r="Z16" s="133">
        <f>Y16*Data!$D$21</f>
        <v>6.6983134769328406E-2</v>
      </c>
      <c r="AA16" s="140">
        <f>'UNS RES'!$K$5*'UNS RES'!$J$5*'UNS RES'!$I$5*Q16/(E16*C16*1)</f>
        <v>0.12469923325622496</v>
      </c>
      <c r="AB16" s="141">
        <f>AA16*(B16-2000)</f>
        <v>49.867223379164372</v>
      </c>
      <c r="AC16" s="433">
        <f>Z16-Z7</f>
        <v>1.8781667893943976E-5</v>
      </c>
      <c r="AD16" s="434">
        <f>AC16*1000000</f>
        <v>18.781667893943975</v>
      </c>
      <c r="AE16" s="134">
        <f>365*(AB7-AB16)/AD16</f>
        <v>0.26100821409708186</v>
      </c>
      <c r="AF16" s="142">
        <f>(LN(AB7/AB16))/AE16</f>
        <v>1.0317337278715744E-3</v>
      </c>
      <c r="AG16" s="143">
        <f>AG7+AF16</f>
        <v>1.0075123585734507</v>
      </c>
      <c r="AH16" s="245">
        <f t="shared" ref="AH16" si="50">5.615*R16</f>
        <v>666.98379816224974</v>
      </c>
      <c r="AI16" s="247">
        <f>(AB16*AH16)/10^6</f>
        <v>3.3260630053240391E-2</v>
      </c>
      <c r="AJ16" s="247">
        <f>365*AI16*AF16</f>
        <v>1.2525381550208265E-2</v>
      </c>
      <c r="AK16" s="247">
        <f>AK7+AJ16</f>
        <v>43.404877189686111</v>
      </c>
      <c r="AL16" s="1"/>
    </row>
    <row r="17" spans="2:38" x14ac:dyDescent="0.25">
      <c r="D17" s="97"/>
      <c r="E17"/>
      <c r="F17"/>
      <c r="G17" s="97"/>
      <c r="H17" s="20"/>
      <c r="I17" s="14"/>
      <c r="J17" s="105"/>
      <c r="K17" s="128"/>
      <c r="L17" s="125"/>
      <c r="M17" s="268"/>
      <c r="N17" s="264"/>
      <c r="O17" s="215"/>
      <c r="P17" s="10"/>
      <c r="Q17" s="10"/>
      <c r="R17" s="309"/>
      <c r="S17" s="9"/>
      <c r="T17" s="1"/>
      <c r="U17" s="100"/>
      <c r="V17" s="8"/>
      <c r="W17" s="1"/>
      <c r="X17" s="10"/>
      <c r="Y17" s="103"/>
      <c r="Z17" s="103"/>
      <c r="AA17" s="109"/>
      <c r="AB17" s="109"/>
      <c r="AC17" s="103"/>
      <c r="AD17" s="103"/>
      <c r="AE17" s="103"/>
      <c r="AF17" s="103"/>
      <c r="AG17" s="103"/>
      <c r="AH17" s="191"/>
      <c r="AI17" s="191"/>
      <c r="AJ17" s="191"/>
      <c r="AK17" s="191"/>
      <c r="AL17" s="1"/>
    </row>
    <row r="18" spans="2:38" x14ac:dyDescent="0.25">
      <c r="B18" s="1">
        <v>2380</v>
      </c>
      <c r="C18" s="1">
        <f t="shared" ref="C18:C26" si="51">0.00011448*B18 + 1.16638115</f>
        <v>1.4388435500000001</v>
      </c>
      <c r="D18" s="439">
        <f t="shared" ref="D18:D25" si="52">0.04285545*B18 + 15.6741559</f>
        <v>117.67012690000001</v>
      </c>
      <c r="E18">
        <f t="shared" ref="E18:E26" si="53">0.0000000907*B18^2 - 0.0003674172*B18 + 0.9616952608</f>
        <v>0.60100340480000003</v>
      </c>
      <c r="F18">
        <f t="shared" ref="F18:F26" si="54">0.00000236*B18 + 0.01241004</f>
        <v>1.8026840000000002E-2</v>
      </c>
      <c r="G18" s="97">
        <f t="shared" ref="G18:G26" si="55">20.40472*B18^(-1.02454)</f>
        <v>7.08422724787168E-3</v>
      </c>
      <c r="H18" s="20">
        <f>'MBal_Som_Saturated-Res'!X$14</f>
        <v>0.49797120773496151</v>
      </c>
      <c r="I18" s="14">
        <f>Data!D$8*(1-Data!D$16)+Data!D$10*Data!D$16</f>
        <v>0.49634854771784231</v>
      </c>
      <c r="J18" s="108">
        <f>Y16</f>
        <v>5.1604880407803082E-2</v>
      </c>
      <c r="K18" s="129">
        <f>(J18-J$7)/(1-J$7)</f>
        <v>1.5256802628955362E-5</v>
      </c>
      <c r="L18" s="125">
        <f>(1-K18)*(C18/C$7)*(1-I18)</f>
        <v>0.50284360423674346</v>
      </c>
      <c r="M18" s="268">
        <f>1-L18-I18</f>
        <v>8.0784804541422783E-4</v>
      </c>
      <c r="N18" s="264">
        <f>(L18-H18*(1-Data!D$16))/Data!D$16</f>
        <v>1.031720097248344</v>
      </c>
      <c r="O18" s="215">
        <f>(M18-Data!D$27)/(1-Data!D$27-Data!D$19-I18)</f>
        <v>2.6604451891886973E-3</v>
      </c>
      <c r="P18" s="10">
        <f>Data!D$28*O18</f>
        <v>2.6604451891886973E-3</v>
      </c>
      <c r="Q18" s="10">
        <f>Data!D$28*(1-O18)</f>
        <v>0.99733955481081127</v>
      </c>
      <c r="R18" s="310">
        <f>1*(D18+(P18*E18*C18)/(Q18*F18*G18))</f>
        <v>135.73311895261995</v>
      </c>
      <c r="S18" s="32">
        <f>(1-J18)*((C18/G18-D18)-(C$16/G$16-D$16))</f>
        <v>-1.1490735617110208</v>
      </c>
      <c r="T18" s="26">
        <f>C$7*(1+Data!D$50)*((1/G18)-(1/G$16))</f>
        <v>-1.7428543522654898</v>
      </c>
      <c r="U18" s="106">
        <f>(1-Data!D$26)*Data!D$24+Data!D$26*Data!D$25</f>
        <v>4.9424036979969185E-6</v>
      </c>
      <c r="V18" s="107">
        <f>1+U18*(B$16-B18)</f>
        <v>1.0000983538335901</v>
      </c>
      <c r="W18" s="26">
        <f>((C18/G18)-D18)+(R18+R$16)/2*(1-Data!D$51)</f>
        <v>212.69469122163304</v>
      </c>
      <c r="X18" s="57">
        <f t="shared" ref="X18:X26" si="56">(S18-T18*V18)/W18</f>
        <v>2.7925107277007254E-3</v>
      </c>
      <c r="Y18" s="442">
        <f>X18+Y$16</f>
        <v>5.4397391135503806E-2</v>
      </c>
      <c r="Z18" s="135">
        <f>Y18*Data!$D$21</f>
        <v>7.0607813693883942E-2</v>
      </c>
      <c r="AA18" s="134"/>
      <c r="AB18" s="134"/>
      <c r="AC18" s="135"/>
      <c r="AD18" s="135"/>
      <c r="AE18" s="135"/>
      <c r="AF18" s="135"/>
      <c r="AG18" s="135"/>
      <c r="AH18" s="246">
        <f t="shared" ref="AH18:AH26" si="57">5.615*R18</f>
        <v>762.141462918961</v>
      </c>
      <c r="AI18" s="246"/>
      <c r="AJ18" s="246"/>
      <c r="AK18" s="246"/>
      <c r="AL18" s="1"/>
    </row>
    <row r="19" spans="2:38" x14ac:dyDescent="0.25">
      <c r="B19" s="1">
        <v>2380</v>
      </c>
      <c r="C19" s="1">
        <f t="shared" si="51"/>
        <v>1.4388435500000001</v>
      </c>
      <c r="D19" s="439">
        <f t="shared" si="52"/>
        <v>117.67012690000001</v>
      </c>
      <c r="E19">
        <f t="shared" si="53"/>
        <v>0.60100340480000003</v>
      </c>
      <c r="F19">
        <f t="shared" si="54"/>
        <v>1.8026840000000002E-2</v>
      </c>
      <c r="G19" s="97">
        <f t="shared" si="55"/>
        <v>7.08422724787168E-3</v>
      </c>
      <c r="H19" s="20">
        <f>'MBal_Som_Saturated-Res'!X$14</f>
        <v>0.49797120773496151</v>
      </c>
      <c r="I19" s="14">
        <f>Data!D$8*(1-Data!D$16)+Data!D$10*Data!D$16</f>
        <v>0.49634854771784231</v>
      </c>
      <c r="J19" s="108">
        <f>Y18</f>
        <v>5.4397391135503806E-2</v>
      </c>
      <c r="K19" s="129">
        <f>(J19-J$7)/(1-J$7)</f>
        <v>2.9596710717749771E-3</v>
      </c>
      <c r="L19" s="125">
        <f>(1-K19)*(C19/C$7)*(1-I19)</f>
        <v>0.50136300176402027</v>
      </c>
      <c r="M19" s="268">
        <f t="shared" ref="M19:M26" si="58">1-L19-I19</f>
        <v>2.2884505181374193E-3</v>
      </c>
      <c r="N19" s="264">
        <f>(L19-H19*(1-Data!D$16))/Data!D$16</f>
        <v>0.86952682637275802</v>
      </c>
      <c r="O19" s="215">
        <f>(M19-Data!D$27)/(1-Data!D$27-Data!D$19-I19)</f>
        <v>7.5364385743525277E-3</v>
      </c>
      <c r="P19" s="10">
        <f>Data!D$28*O19</f>
        <v>7.5364385743525277E-3</v>
      </c>
      <c r="Q19" s="10">
        <f>Data!D$28*(1-O19)</f>
        <v>0.99246356142564751</v>
      </c>
      <c r="R19" s="310">
        <f>1*(D19+(P19*E19*C19)/(Q19*F19*G19))</f>
        <v>169.08988294147218</v>
      </c>
      <c r="S19" s="32">
        <f t="shared" ref="S19:S26" si="59">(1-J19)*((C19/G19-D19)-(C$16/G$16-D$16))</f>
        <v>-1.1456901614997512</v>
      </c>
      <c r="T19" s="26">
        <f>C$7*(1+Data!D$50)*((1/G19)-(1/G$16))</f>
        <v>-1.7428543522654898</v>
      </c>
      <c r="U19" s="106">
        <f>(1-Data!D$26)*Data!D$24+Data!D$26*Data!D$25</f>
        <v>4.9424036979969185E-6</v>
      </c>
      <c r="V19" s="107">
        <f t="shared" ref="V19:V26" si="60">1+U19*(B$16-B19)</f>
        <v>1.0000983538335901</v>
      </c>
      <c r="W19" s="26">
        <f>((C19/G19)-D19)+(R19+R$16)/2*(1-Data!D$51)</f>
        <v>229.37307321605914</v>
      </c>
      <c r="X19" s="57">
        <f t="shared" si="56"/>
        <v>2.6042098089256093E-3</v>
      </c>
      <c r="Y19" s="442">
        <f>X19+Y$16</f>
        <v>5.4209090216728692E-2</v>
      </c>
      <c r="Z19" s="135">
        <f>Y19*Data!$D$21</f>
        <v>7.0363399101313839E-2</v>
      </c>
      <c r="AA19" s="134"/>
      <c r="AB19" s="134"/>
      <c r="AC19" s="135"/>
      <c r="AD19" s="135"/>
      <c r="AE19" s="135"/>
      <c r="AF19" s="135"/>
      <c r="AG19" s="135"/>
      <c r="AH19" s="246">
        <f t="shared" si="57"/>
        <v>949.43969271636638</v>
      </c>
      <c r="AI19" s="246"/>
      <c r="AJ19" s="246"/>
      <c r="AK19" s="246"/>
      <c r="AL19" s="5" t="s">
        <v>58</v>
      </c>
    </row>
    <row r="20" spans="2:38" x14ac:dyDescent="0.25">
      <c r="B20" s="1">
        <v>2380</v>
      </c>
      <c r="C20" s="1">
        <f t="shared" si="51"/>
        <v>1.4388435500000001</v>
      </c>
      <c r="D20" s="439">
        <f t="shared" si="52"/>
        <v>117.67012690000001</v>
      </c>
      <c r="E20">
        <f t="shared" si="53"/>
        <v>0.60100340480000003</v>
      </c>
      <c r="F20">
        <f t="shared" si="54"/>
        <v>1.8026840000000002E-2</v>
      </c>
      <c r="G20" s="97">
        <f t="shared" si="55"/>
        <v>7.08422724787168E-3</v>
      </c>
      <c r="H20" s="20">
        <f>'MBal_Som_Saturated-Res'!X$14</f>
        <v>0.49797120773496151</v>
      </c>
      <c r="I20" s="14">
        <f>Data!D$8*(1-Data!D$16)+Data!D$10*Data!D$16</f>
        <v>0.49634854771784231</v>
      </c>
      <c r="J20" s="108">
        <f t="shared" ref="J20:J26" si="61">Y19</f>
        <v>5.4209090216728692E-2</v>
      </c>
      <c r="K20" s="129">
        <f t="shared" ref="K20:K26" si="62">(J20-J$7)/(1-J$7)</f>
        <v>2.7611271927363247E-3</v>
      </c>
      <c r="L20" s="125">
        <f t="shared" ref="L20:L26" si="63">(1-K20)*(C20/C$7)*(1-I20)</f>
        <v>0.50146283980696449</v>
      </c>
      <c r="M20" s="268">
        <f t="shared" si="58"/>
        <v>2.1886124751931968E-3</v>
      </c>
      <c r="N20" s="264">
        <f>(L20-H20*(1-Data!D$16))/Data!D$16</f>
        <v>0.88046363016801155</v>
      </c>
      <c r="O20" s="215">
        <f>(M20-Data!D$27)/(1-Data!D$27-Data!D$19-I20)</f>
        <v>7.2076469871762824E-3</v>
      </c>
      <c r="P20" s="10">
        <f>Data!D$28*O20</f>
        <v>7.2076469871762824E-3</v>
      </c>
      <c r="Q20" s="10">
        <f>Data!D$28*(1-O20)</f>
        <v>0.99279235301282376</v>
      </c>
      <c r="R20" s="310">
        <f>1*(D20+(P20*E20*C20)/(Q20*F20*G20))</f>
        <v>166.83031126965972</v>
      </c>
      <c r="S20" s="32">
        <f t="shared" si="59"/>
        <v>-1.1459183065027574</v>
      </c>
      <c r="T20" s="26">
        <f>C$7*(1+Data!D$50)*((1/G20)-(1/G$16))</f>
        <v>-1.7428543522654898</v>
      </c>
      <c r="U20" s="106">
        <f>(1-Data!D$26)*Data!D$24+Data!D$26*Data!D$25</f>
        <v>4.9424036979969185E-6</v>
      </c>
      <c r="V20" s="107">
        <f t="shared" si="60"/>
        <v>1.0000983538335901</v>
      </c>
      <c r="W20" s="26">
        <f>((C20/G20)-D20)+(R20+R$16)/2*(1-Data!D$51)</f>
        <v>228.24328738015291</v>
      </c>
      <c r="X20" s="57">
        <f>(S20-T20*V20)/W20</f>
        <v>2.6161008677339486E-3</v>
      </c>
      <c r="Y20" s="442">
        <f>X20+Y$16</f>
        <v>5.4220981275537032E-2</v>
      </c>
      <c r="Z20" s="135">
        <f>Y20*Data!$D$21</f>
        <v>7.0378833695647069E-2</v>
      </c>
      <c r="AA20" s="134"/>
      <c r="AB20" s="134"/>
      <c r="AC20" s="135"/>
      <c r="AD20" s="135"/>
      <c r="AE20" s="135"/>
      <c r="AF20" s="135"/>
      <c r="AG20" s="135"/>
      <c r="AH20" s="246">
        <f t="shared" si="57"/>
        <v>936.75219777913935</v>
      </c>
      <c r="AI20" s="246"/>
      <c r="AJ20" s="246"/>
      <c r="AK20" s="246"/>
      <c r="AL20" s="1"/>
    </row>
    <row r="21" spans="2:38" x14ac:dyDescent="0.25">
      <c r="B21" s="1">
        <v>2380</v>
      </c>
      <c r="C21" s="1">
        <f t="shared" si="51"/>
        <v>1.4388435500000001</v>
      </c>
      <c r="D21" s="439">
        <f t="shared" si="52"/>
        <v>117.67012690000001</v>
      </c>
      <c r="E21">
        <f t="shared" si="53"/>
        <v>0.60100340480000003</v>
      </c>
      <c r="F21">
        <f t="shared" si="54"/>
        <v>1.8026840000000002E-2</v>
      </c>
      <c r="G21" s="97">
        <f t="shared" si="55"/>
        <v>7.08422724787168E-3</v>
      </c>
      <c r="H21" s="20">
        <f>'MBal_Som_Saturated-Res'!X$14</f>
        <v>0.49797120773496151</v>
      </c>
      <c r="I21" s="14">
        <f>Data!D$8*(1-Data!D$16)+Data!D$10*Data!D$16</f>
        <v>0.49634854771784231</v>
      </c>
      <c r="J21" s="108">
        <f t="shared" si="61"/>
        <v>5.4220981275537032E-2</v>
      </c>
      <c r="K21" s="129">
        <f t="shared" si="62"/>
        <v>2.773665086640625E-3</v>
      </c>
      <c r="L21" s="125">
        <f t="shared" si="63"/>
        <v>0.50145653511101462</v>
      </c>
      <c r="M21" s="268">
        <f t="shared" si="58"/>
        <v>2.1949171711430626E-3</v>
      </c>
      <c r="N21" s="264">
        <f>(L21-H21*(1-Data!D$16))/Data!D$16</f>
        <v>0.87977297938441257</v>
      </c>
      <c r="O21" s="215">
        <f>(M21-Data!D$27)/(1-Data!D$27-Data!D$19-I21)</f>
        <v>7.2284099240978138E-3</v>
      </c>
      <c r="P21" s="10">
        <f>Data!D$28*O21</f>
        <v>7.2284099240978138E-3</v>
      </c>
      <c r="Q21" s="10">
        <f>Data!D$28*(1-O21)</f>
        <v>0.99277159007590221</v>
      </c>
      <c r="R21" s="310">
        <f t="shared" ref="R21:R26" si="64">1*(D21+(P21*E21*C21)/(Q21*F21*G21))</f>
        <v>166.97295721751968</v>
      </c>
      <c r="S21" s="32">
        <f t="shared" si="59"/>
        <v>-1.145903899320545</v>
      </c>
      <c r="T21" s="26">
        <f>C$7*(1+Data!D$50)*((1/G21)-(1/G$16))</f>
        <v>-1.7428543522654898</v>
      </c>
      <c r="U21" s="106">
        <f>(1-Data!D$26)*Data!D$24+Data!D$26*Data!D$25</f>
        <v>4.9424036979969185E-6</v>
      </c>
      <c r="V21" s="107">
        <f t="shared" si="60"/>
        <v>1.0000983538335901</v>
      </c>
      <c r="W21" s="26">
        <f>((C21/G21)-D21)+(R21+R$16)/2*(1-Data!D$51)</f>
        <v>228.31461035408287</v>
      </c>
      <c r="X21" s="57">
        <f t="shared" si="56"/>
        <v>2.615346728909858E-3</v>
      </c>
      <c r="Y21" s="442">
        <f t="shared" ref="Y21:Y25" si="65">X21+Y$16</f>
        <v>5.4220227136712942E-2</v>
      </c>
      <c r="Z21" s="135">
        <f>Y21*Data!$D$21</f>
        <v>7.0377854823453406E-2</v>
      </c>
      <c r="AA21" s="134"/>
      <c r="AB21" s="134"/>
      <c r="AC21" s="135"/>
      <c r="AD21" s="135"/>
      <c r="AE21" s="135"/>
      <c r="AF21" s="135"/>
      <c r="AG21" s="135"/>
      <c r="AH21" s="246">
        <f t="shared" si="57"/>
        <v>937.55315477637305</v>
      </c>
      <c r="AI21" s="246"/>
      <c r="AJ21" s="246"/>
      <c r="AK21" s="246"/>
    </row>
    <row r="22" spans="2:38" x14ac:dyDescent="0.25">
      <c r="B22" s="1">
        <v>2380</v>
      </c>
      <c r="C22" s="1">
        <f t="shared" si="51"/>
        <v>1.4388435500000001</v>
      </c>
      <c r="D22" s="439">
        <f t="shared" si="52"/>
        <v>117.67012690000001</v>
      </c>
      <c r="E22">
        <f t="shared" si="53"/>
        <v>0.60100340480000003</v>
      </c>
      <c r="F22">
        <f t="shared" si="54"/>
        <v>1.8026840000000002E-2</v>
      </c>
      <c r="G22" s="97">
        <f t="shared" si="55"/>
        <v>7.08422724787168E-3</v>
      </c>
      <c r="H22" s="20">
        <f>'MBal_Som_Saturated-Res'!X$14</f>
        <v>0.49797120773496151</v>
      </c>
      <c r="I22" s="14">
        <f>Data!D$8*(1-Data!D$16)+Data!D$10*Data!D$16</f>
        <v>0.49634854771784231</v>
      </c>
      <c r="J22" s="108">
        <f t="shared" si="61"/>
        <v>5.4220227136712942E-2</v>
      </c>
      <c r="K22" s="129">
        <f t="shared" si="62"/>
        <v>2.7728699251064041E-3</v>
      </c>
      <c r="L22" s="125">
        <f t="shared" si="63"/>
        <v>0.50145693495900689</v>
      </c>
      <c r="M22" s="268">
        <f t="shared" si="58"/>
        <v>2.1945173231507908E-3</v>
      </c>
      <c r="N22" s="264">
        <f>(L22-H22*(1-Data!D$16))/Data!D$16</f>
        <v>0.87981678091447513</v>
      </c>
      <c r="O22" s="215">
        <f>(M22-Data!D$27)/(1-Data!D$27-Data!D$19-I22)</f>
        <v>7.227093124888501E-3</v>
      </c>
      <c r="P22" s="10">
        <f>Data!D$28*O22</f>
        <v>7.227093124888501E-3</v>
      </c>
      <c r="Q22" s="10">
        <f>Data!D$28*(1-O22)</f>
        <v>0.99277290687511155</v>
      </c>
      <c r="R22" s="310">
        <f t="shared" si="64"/>
        <v>166.96391033983852</v>
      </c>
      <c r="S22" s="32">
        <f t="shared" si="59"/>
        <v>-1.1459048130335816</v>
      </c>
      <c r="T22" s="26">
        <f>C$7*(1+Data!D$50)*((1/G22)-(1/G$16))</f>
        <v>-1.7428543522654898</v>
      </c>
      <c r="U22" s="106">
        <f>(1-Data!D$26)*Data!D$24+Data!D$26*Data!D$25</f>
        <v>4.9424036979969185E-6</v>
      </c>
      <c r="V22" s="107">
        <f t="shared" si="60"/>
        <v>1.0000983538335901</v>
      </c>
      <c r="W22" s="26">
        <f>((C22/G22)-D22)+(R22+R$16)/2*(1-Data!D$51)</f>
        <v>228.31008691524229</v>
      </c>
      <c r="X22" s="57">
        <f t="shared" si="56"/>
        <v>2.6153945439148191E-3</v>
      </c>
      <c r="Y22" s="442">
        <f t="shared" si="65"/>
        <v>5.4220274951717898E-2</v>
      </c>
      <c r="Z22" s="135">
        <f>Y22*Data!$D$21</f>
        <v>7.0377916887329833E-2</v>
      </c>
      <c r="AA22" s="134"/>
      <c r="AB22" s="134"/>
      <c r="AC22" s="135"/>
      <c r="AD22" s="135"/>
      <c r="AE22" s="135"/>
      <c r="AF22" s="135"/>
      <c r="AG22" s="135"/>
      <c r="AH22" s="246">
        <f t="shared" si="57"/>
        <v>937.50235655819336</v>
      </c>
      <c r="AI22" s="246"/>
      <c r="AJ22" s="246"/>
      <c r="AK22" s="246"/>
    </row>
    <row r="23" spans="2:38" x14ac:dyDescent="0.25">
      <c r="B23" s="1">
        <v>2380</v>
      </c>
      <c r="C23" s="1">
        <f t="shared" si="51"/>
        <v>1.4388435500000001</v>
      </c>
      <c r="D23" s="439">
        <f t="shared" si="52"/>
        <v>117.67012690000001</v>
      </c>
      <c r="E23">
        <f t="shared" si="53"/>
        <v>0.60100340480000003</v>
      </c>
      <c r="F23">
        <f t="shared" si="54"/>
        <v>1.8026840000000002E-2</v>
      </c>
      <c r="G23" s="97">
        <f t="shared" si="55"/>
        <v>7.08422724787168E-3</v>
      </c>
      <c r="H23" s="20">
        <f>'MBal_Som_Saturated-Res'!X$14</f>
        <v>0.49797120773496151</v>
      </c>
      <c r="I23" s="14">
        <f>Data!D$8*(1-Data!D$16)+Data!D$10*Data!D$16</f>
        <v>0.49634854771784231</v>
      </c>
      <c r="J23" s="108">
        <f t="shared" si="61"/>
        <v>5.4220274951717898E-2</v>
      </c>
      <c r="K23" s="129">
        <f t="shared" si="62"/>
        <v>2.7729203410928041E-3</v>
      </c>
      <c r="L23" s="125">
        <f t="shared" si="63"/>
        <v>0.50145690960726375</v>
      </c>
      <c r="M23" s="268">
        <f t="shared" si="58"/>
        <v>2.1945426748939401E-3</v>
      </c>
      <c r="N23" s="264">
        <f>(L23-H23*(1-Data!D$16))/Data!D$16</f>
        <v>0.8798140037462483</v>
      </c>
      <c r="O23" s="215">
        <f>(M23-Data!D$27)/(1-Data!D$27-Data!D$19-I23)</f>
        <v>7.2271766145045021E-3</v>
      </c>
      <c r="P23" s="10">
        <f>Data!D$28*O23</f>
        <v>7.2271766145045021E-3</v>
      </c>
      <c r="Q23" s="10">
        <f>Data!D$28*(1-O23)</f>
        <v>0.99277282338549555</v>
      </c>
      <c r="R23" s="310">
        <f t="shared" si="64"/>
        <v>166.96448394240446</v>
      </c>
      <c r="S23" s="32">
        <f t="shared" si="59"/>
        <v>-1.1459047551010206</v>
      </c>
      <c r="T23" s="26">
        <f>C$7*(1+Data!D$50)*((1/G23)-(1/G$16))</f>
        <v>-1.7428543522654898</v>
      </c>
      <c r="U23" s="106">
        <f>(1-Data!D$26)*Data!D$24+Data!D$26*Data!D$25</f>
        <v>4.9424036979969185E-6</v>
      </c>
      <c r="V23" s="107">
        <f t="shared" si="60"/>
        <v>1.0000983538335901</v>
      </c>
      <c r="W23" s="26">
        <f>((C23/G23)-D23)+(R23+R$16)/2*(1-Data!D$51)</f>
        <v>228.31037371652528</v>
      </c>
      <c r="X23" s="57">
        <f t="shared" si="56"/>
        <v>2.6153915122262522E-3</v>
      </c>
      <c r="Y23" s="442">
        <f>X23+Y$16</f>
        <v>5.4220271920029331E-2</v>
      </c>
      <c r="Z23" s="135">
        <f>Y23*Data!$D$21</f>
        <v>7.0377912952198071E-2</v>
      </c>
      <c r="AA23" s="134"/>
      <c r="AB23" s="134"/>
      <c r="AC23" s="135"/>
      <c r="AD23" s="135"/>
      <c r="AE23" s="135"/>
      <c r="AF23" s="135"/>
      <c r="AG23" s="135"/>
      <c r="AH23" s="246">
        <f t="shared" si="57"/>
        <v>937.50557733660105</v>
      </c>
      <c r="AI23" s="246"/>
      <c r="AJ23" s="246"/>
      <c r="AK23" s="246"/>
    </row>
    <row r="24" spans="2:38" x14ac:dyDescent="0.25">
      <c r="B24" s="1">
        <v>2380</v>
      </c>
      <c r="C24" s="1">
        <f t="shared" si="51"/>
        <v>1.4388435500000001</v>
      </c>
      <c r="D24" s="439">
        <f t="shared" si="52"/>
        <v>117.67012690000001</v>
      </c>
      <c r="E24">
        <f t="shared" si="53"/>
        <v>0.60100340480000003</v>
      </c>
      <c r="F24">
        <f t="shared" si="54"/>
        <v>1.8026840000000002E-2</v>
      </c>
      <c r="G24" s="97">
        <f t="shared" si="55"/>
        <v>7.08422724787168E-3</v>
      </c>
      <c r="H24" s="20">
        <f>'MBal_Som_Saturated-Res'!X$14</f>
        <v>0.49797120773496151</v>
      </c>
      <c r="I24" s="14">
        <f>Data!D$8*(1-Data!D$16)+Data!D$10*Data!D$16</f>
        <v>0.49634854771784231</v>
      </c>
      <c r="J24" s="108">
        <f t="shared" si="61"/>
        <v>5.4220271920029331E-2</v>
      </c>
      <c r="K24" s="129">
        <f t="shared" si="62"/>
        <v>2.7729171444901956E-3</v>
      </c>
      <c r="L24" s="125">
        <f t="shared" si="63"/>
        <v>0.5014569112146795</v>
      </c>
      <c r="M24" s="268">
        <f t="shared" si="58"/>
        <v>2.194541067478184E-3</v>
      </c>
      <c r="N24" s="264">
        <f>(L24-H24*(1-Data!D$16))/Data!D$16</f>
        <v>0.87981417983133792</v>
      </c>
      <c r="O24" s="215">
        <f>(M24-Data!D$27)/(1-Data!D$27-Data!D$19-I24)</f>
        <v>7.2271713208833322E-3</v>
      </c>
      <c r="P24" s="10">
        <f>Data!D$28*O24</f>
        <v>7.2271713208833322E-3</v>
      </c>
      <c r="Q24" s="10">
        <f>Data!D$28*(1-O24)</f>
        <v>0.99277282867911665</v>
      </c>
      <c r="R24" s="309">
        <f>1*(D24+(P24*E24*C24)/(Q24*F24*G24))</f>
        <v>166.96444757339151</v>
      </c>
      <c r="S24" s="32">
        <f t="shared" si="59"/>
        <v>-1.1459047587742082</v>
      </c>
      <c r="T24" s="26">
        <f>C$7*(1+Data!D$50)*((1/G24)-(1/G$16))</f>
        <v>-1.7428543522654898</v>
      </c>
      <c r="U24" s="106">
        <f>(1-Data!D$26)*Data!D$24+Data!D$26*Data!D$25</f>
        <v>4.9424036979969185E-6</v>
      </c>
      <c r="V24" s="107">
        <f t="shared" si="60"/>
        <v>1.0000983538335901</v>
      </c>
      <c r="W24" s="26">
        <f>((C24/G24)-D24)+(R24+R$16)/2*(1-Data!D$51)</f>
        <v>228.3103555320188</v>
      </c>
      <c r="X24" s="57">
        <f t="shared" si="56"/>
        <v>2.6153917044488793E-3</v>
      </c>
      <c r="Y24" s="442">
        <f>X24+Y$16</f>
        <v>5.4220272112251958E-2</v>
      </c>
      <c r="Z24" s="135">
        <f>Y24*Data!$D$21</f>
        <v>7.0377913201703043E-2</v>
      </c>
      <c r="AA24" s="134"/>
      <c r="AB24" s="134"/>
      <c r="AC24" s="135"/>
      <c r="AD24" s="135"/>
      <c r="AE24" s="135"/>
      <c r="AF24" s="135"/>
      <c r="AG24" s="135"/>
      <c r="AH24" s="246">
        <f t="shared" si="57"/>
        <v>937.50537312459335</v>
      </c>
      <c r="AI24" s="246"/>
      <c r="AJ24" s="246"/>
      <c r="AK24" s="246"/>
    </row>
    <row r="25" spans="2:38" x14ac:dyDescent="0.25">
      <c r="B25" s="1">
        <v>2380</v>
      </c>
      <c r="C25" s="1">
        <f t="shared" si="51"/>
        <v>1.4388435500000001</v>
      </c>
      <c r="D25" s="439">
        <f t="shared" si="52"/>
        <v>117.67012690000001</v>
      </c>
      <c r="E25">
        <f t="shared" si="53"/>
        <v>0.60100340480000003</v>
      </c>
      <c r="F25">
        <f t="shared" si="54"/>
        <v>1.8026840000000002E-2</v>
      </c>
      <c r="G25" s="97">
        <f t="shared" si="55"/>
        <v>7.08422724787168E-3</v>
      </c>
      <c r="H25" s="20">
        <f>'MBal_Som_Saturated-Res'!X$14</f>
        <v>0.49797120773496151</v>
      </c>
      <c r="I25" s="14">
        <f>Data!D$8*(1-Data!D$16)+Data!D$10*Data!D$16</f>
        <v>0.49634854771784231</v>
      </c>
      <c r="J25" s="108">
        <f t="shared" si="61"/>
        <v>5.4220272112251958E-2</v>
      </c>
      <c r="K25" s="129">
        <f t="shared" si="62"/>
        <v>2.7729173471691109E-3</v>
      </c>
      <c r="L25" s="125">
        <f t="shared" si="63"/>
        <v>0.50145691111276214</v>
      </c>
      <c r="M25" s="268">
        <f t="shared" si="58"/>
        <v>2.1945411693955474E-3</v>
      </c>
      <c r="N25" s="264">
        <f>(L25-H25*(1-Data!D$16))/Data!D$16</f>
        <v>0.87981416866675399</v>
      </c>
      <c r="O25" s="215">
        <f>(M25-Data!D$27)/(1-Data!D$27-Data!D$19-I25)</f>
        <v>7.2271716565226402E-3</v>
      </c>
      <c r="P25" s="10">
        <f>Data!D$28*O25</f>
        <v>7.2271716565226402E-3</v>
      </c>
      <c r="Q25" s="10">
        <f>Data!D$28*(1-O25)</f>
        <v>0.99277282834347735</v>
      </c>
      <c r="R25" s="310">
        <f t="shared" si="64"/>
        <v>166.96444987934993</v>
      </c>
      <c r="S25" s="32">
        <f t="shared" si="59"/>
        <v>-1.1459047585413116</v>
      </c>
      <c r="T25" s="26">
        <f>C$7*(1+Data!D$50)*((1/G25)-(1/G$16))</f>
        <v>-1.7428543522654898</v>
      </c>
      <c r="U25" s="106">
        <f>(1-Data!D$26)*Data!D$24+Data!D$26*Data!D$25</f>
        <v>4.9424036979969185E-6</v>
      </c>
      <c r="V25" s="107">
        <f t="shared" si="60"/>
        <v>1.0000983538335901</v>
      </c>
      <c r="W25" s="26">
        <f>((C25/G25)-D25)+(R25+R$16)/2*(1-Data!D$51)</f>
        <v>228.31035668499803</v>
      </c>
      <c r="X25" s="57">
        <f t="shared" si="56"/>
        <v>2.6153916922611021E-3</v>
      </c>
      <c r="Y25" s="442">
        <f t="shared" si="65"/>
        <v>5.4220272100064186E-2</v>
      </c>
      <c r="Z25" s="135">
        <f>Y25*Data!$D$21</f>
        <v>7.0377913185883309E-2</v>
      </c>
      <c r="AA25" s="134"/>
      <c r="AB25" s="134"/>
      <c r="AC25" s="135"/>
      <c r="AD25" s="135"/>
      <c r="AE25" s="135"/>
      <c r="AF25" s="135"/>
      <c r="AG25" s="135"/>
      <c r="AH25" s="246">
        <f t="shared" si="57"/>
        <v>937.50538607254987</v>
      </c>
      <c r="AI25" s="246"/>
      <c r="AJ25" s="246"/>
      <c r="AK25" s="246"/>
    </row>
    <row r="26" spans="2:38" x14ac:dyDescent="0.25">
      <c r="B26" s="5">
        <v>2380</v>
      </c>
      <c r="C26" s="1">
        <f t="shared" si="51"/>
        <v>1.4388435500000001</v>
      </c>
      <c r="D26" s="439">
        <f>0.04285545*B26 + 15.6741559</f>
        <v>117.67012690000001</v>
      </c>
      <c r="E26">
        <f t="shared" si="53"/>
        <v>0.60100340480000003</v>
      </c>
      <c r="F26">
        <f t="shared" si="54"/>
        <v>1.8026840000000002E-2</v>
      </c>
      <c r="G26" s="97">
        <f t="shared" si="55"/>
        <v>7.08422724787168E-3</v>
      </c>
      <c r="H26" s="24">
        <f>'MBal_Som_Saturated-Res'!X$14</f>
        <v>0.49797120773496151</v>
      </c>
      <c r="I26" s="14">
        <f>Data!D$8*(1-Data!D$16)+Data!D$10*Data!D$16</f>
        <v>0.49634854771784231</v>
      </c>
      <c r="J26" s="105">
        <f t="shared" si="61"/>
        <v>5.4220272100064186E-2</v>
      </c>
      <c r="K26" s="129">
        <f t="shared" si="62"/>
        <v>2.772917334318364E-3</v>
      </c>
      <c r="L26" s="124">
        <f t="shared" si="63"/>
        <v>0.50145691111922419</v>
      </c>
      <c r="M26" s="268">
        <f t="shared" si="58"/>
        <v>2.1945411629334943E-3</v>
      </c>
      <c r="N26" s="264">
        <f>(L26-H26*(1-Data!D$16))/Data!D$16</f>
        <v>0.87981416937464252</v>
      </c>
      <c r="O26" s="215">
        <f>(M26-Data!D$27)/(1-Data!D$27-Data!D$19-I26)</f>
        <v>7.2271716352414871E-3</v>
      </c>
      <c r="P26" s="10">
        <f>Data!D$28*O26</f>
        <v>7.2271716352414871E-3</v>
      </c>
      <c r="Q26" s="10">
        <f>Data!D$28*(1-O26)</f>
        <v>0.99277282836475855</v>
      </c>
      <c r="R26" s="309">
        <f t="shared" si="64"/>
        <v>166.96444973314104</v>
      </c>
      <c r="S26" s="32">
        <f t="shared" si="59"/>
        <v>-1.1459047585560784</v>
      </c>
      <c r="T26" s="26">
        <f>C$7*(1+Data!D$50)*((1/G26)-(1/G$16))</f>
        <v>-1.7428543522654898</v>
      </c>
      <c r="U26" s="106">
        <f>(1-Data!D$26)*Data!D$24+Data!D$26*Data!D$25</f>
        <v>4.9424036979969185E-6</v>
      </c>
      <c r="V26" s="107">
        <f t="shared" si="60"/>
        <v>1.0000983538335901</v>
      </c>
      <c r="W26" s="26">
        <f>((C26/G26)-D26)+(R26+R$16)/2*(1-Data!D$51)</f>
        <v>228.31035661189358</v>
      </c>
      <c r="X26" s="101">
        <f t="shared" si="56"/>
        <v>2.6153916930338659E-3</v>
      </c>
      <c r="Y26" s="105">
        <f>X26+Y$16</f>
        <v>5.422027210083695E-2</v>
      </c>
      <c r="Z26" s="133">
        <f>Y26*Data!$D$21</f>
        <v>7.0377913186886368E-2</v>
      </c>
      <c r="AA26" s="430">
        <f>'UNS RES'!$K$5*'UNS RES'!$J$5*'UNS RES'!$I$5*Q26/(E26*C26*1)</f>
        <v>0.12427026597057768</v>
      </c>
      <c r="AB26" s="431">
        <f>AA26*(B26-2000)</f>
        <v>47.222701068819518</v>
      </c>
      <c r="AC26" s="134">
        <f>Z26-Z16</f>
        <v>3.3947784175579615E-3</v>
      </c>
      <c r="AD26" s="434">
        <f>AC26*1000000</f>
        <v>3394.7784175579613</v>
      </c>
      <c r="AE26" s="134">
        <f>365*(AB16-AB26)/AD26</f>
        <v>0.2843339165477039</v>
      </c>
      <c r="AF26" s="142">
        <f>(LN(AB7/AB26))/AE26</f>
        <v>0.1925851852482231</v>
      </c>
      <c r="AG26" s="248">
        <f>AF26+AG16</f>
        <v>1.2000975438216739</v>
      </c>
      <c r="AH26" s="245">
        <f t="shared" si="57"/>
        <v>937.50538525158697</v>
      </c>
      <c r="AI26" s="247">
        <f>(AB26*AH26)/10^6</f>
        <v>4.427153655814417E-2</v>
      </c>
      <c r="AJ26" s="247">
        <f>365*AI26*AF26</f>
        <v>3.1120053552848921</v>
      </c>
      <c r="AK26" s="247">
        <f>AK16+AJ26</f>
        <v>46.516882544971004</v>
      </c>
    </row>
    <row r="27" spans="2:38" x14ac:dyDescent="0.25">
      <c r="D27" s="97"/>
      <c r="E27"/>
      <c r="F27"/>
      <c r="G27" s="97"/>
      <c r="H27" s="20"/>
      <c r="I27" s="14"/>
      <c r="J27" s="105"/>
      <c r="K27" s="128"/>
      <c r="L27" s="125"/>
      <c r="M27" s="268"/>
      <c r="N27" s="264"/>
      <c r="O27" s="215"/>
      <c r="P27" s="10"/>
      <c r="Q27" s="10"/>
      <c r="R27" s="309"/>
      <c r="S27" s="9"/>
      <c r="T27" s="1"/>
      <c r="U27" s="100"/>
      <c r="V27" s="8"/>
      <c r="W27" s="1"/>
      <c r="X27" s="57"/>
      <c r="Y27" s="103"/>
      <c r="Z27" s="103"/>
      <c r="AA27" s="109"/>
      <c r="AB27" s="109"/>
      <c r="AC27" s="103"/>
      <c r="AD27" s="103"/>
      <c r="AE27" s="103"/>
      <c r="AF27" s="103"/>
      <c r="AG27" s="436"/>
      <c r="AH27" s="191"/>
      <c r="AI27" s="191"/>
      <c r="AJ27" s="191"/>
      <c r="AK27" s="191"/>
    </row>
    <row r="28" spans="2:38" x14ac:dyDescent="0.25">
      <c r="B28" s="1">
        <v>2360</v>
      </c>
      <c r="C28" s="1">
        <f t="shared" ref="C28:C36" si="66">0.00011448*B28 + 1.16638115</f>
        <v>1.43655395</v>
      </c>
      <c r="D28" s="122">
        <f t="shared" ref="D28:D35" si="67">0.04285545*B28 + 15.6741559</f>
        <v>116.81301790000001</v>
      </c>
      <c r="E28">
        <f t="shared" ref="E28:E36" si="68">0.0000000907*B28^2 - 0.0003674172*B28 + 0.9616952608</f>
        <v>0.59975338879999995</v>
      </c>
      <c r="F28">
        <f t="shared" ref="F28:F36" si="69">0.00000236*B28 + 0.01241004</f>
        <v>1.7979640000000002E-2</v>
      </c>
      <c r="G28" s="97">
        <f t="shared" ref="G28:G36" si="70">20.40472*B28^(-1.02454)</f>
        <v>7.1457427294839039E-3</v>
      </c>
      <c r="H28" s="20">
        <f>'MBal_Som_Saturated-Res'!X$20</f>
        <v>0.49591769719624429</v>
      </c>
      <c r="I28" s="14">
        <f>Data!D$8*(1-Data!D$16)+Data!D$10*Data!D$16</f>
        <v>0.49634854771784231</v>
      </c>
      <c r="J28" s="105">
        <f>Y26</f>
        <v>5.422027210083695E-2</v>
      </c>
      <c r="K28" s="129">
        <f t="shared" ref="K28:K36" si="71">(J28-J$7)/(1-J$7)</f>
        <v>2.7729173351331636E-3</v>
      </c>
      <c r="L28" s="125">
        <f>(1-J28)*(C28/C$7)*(1-I28)</f>
        <v>0.47482975274632871</v>
      </c>
      <c r="M28" s="268">
        <f t="shared" ref="M28:M36" si="72">1-L28-I28</f>
        <v>2.8821699535828915E-2</v>
      </c>
      <c r="N28" s="264">
        <f>(L28-H28*(1-Data!D$16))/Data!D$16</f>
        <v>-1.814170762999054</v>
      </c>
      <c r="O28" s="215">
        <f>(M28-Data!D$27)/(1-Data!D$27-Data!D$19-I28)</f>
        <v>9.4917048211734995E-2</v>
      </c>
      <c r="P28" s="10">
        <f>Data!D$28*O28</f>
        <v>9.4917048211734995E-2</v>
      </c>
      <c r="Q28" s="10">
        <f>Data!D$28*(1-O28)</f>
        <v>0.90508295178826503</v>
      </c>
      <c r="R28" s="310">
        <f>1*(D28+(P28*E28*C28)/(Q28*F28*G28))</f>
        <v>820.08306781000465</v>
      </c>
      <c r="S28" s="32">
        <f>(1-J28)*((C28/G28-D28)-(C$26/G$26-D$26))</f>
        <v>-1.1460725959467464</v>
      </c>
      <c r="T28" s="26">
        <f>C$7*(1+Data!D$50)*((1/G28)-(1/G$26))</f>
        <v>-1.7512521303860995</v>
      </c>
      <c r="U28" s="106">
        <f>(1-Data!D$26)*Data!D$24+Data!D$26*Data!D$25</f>
        <v>4.9424036979969185E-6</v>
      </c>
      <c r="V28" s="107">
        <f>1+U28*(B$26-B28)</f>
        <v>1.0000988480739599</v>
      </c>
      <c r="W28" s="26">
        <f>((C28/G28)-D28)+(R28+R$26)/2*(1-Data!D$51)</f>
        <v>577.74707878402853</v>
      </c>
      <c r="X28" s="57">
        <f t="shared" ref="X28:X36" si="73">(S28-T28*V28)/W28</f>
        <v>1.0477813987628155E-3</v>
      </c>
      <c r="Y28" s="103">
        <f>X28+Y$26</f>
        <v>5.5268053499599762E-2</v>
      </c>
      <c r="Z28" s="135">
        <f>Y28*Data!$D$21</f>
        <v>7.1737933442480487E-2</v>
      </c>
      <c r="AA28" s="134"/>
      <c r="AB28" s="134"/>
      <c r="AC28" s="135"/>
      <c r="AD28" s="135"/>
      <c r="AE28" s="135"/>
      <c r="AF28" s="135"/>
      <c r="AG28" s="437"/>
      <c r="AH28" s="246">
        <f t="shared" ref="AH28:AH36" si="74">5.615*R28</f>
        <v>4604.766425753176</v>
      </c>
      <c r="AI28" s="246"/>
      <c r="AJ28" s="246"/>
      <c r="AK28" s="246"/>
      <c r="AL28" s="1"/>
    </row>
    <row r="29" spans="2:38" x14ac:dyDescent="0.25">
      <c r="B29" s="1">
        <v>2360</v>
      </c>
      <c r="C29" s="1">
        <f t="shared" si="66"/>
        <v>1.43655395</v>
      </c>
      <c r="D29" s="122">
        <f t="shared" si="67"/>
        <v>116.81301790000001</v>
      </c>
      <c r="E29">
        <f t="shared" si="68"/>
        <v>0.59975338879999995</v>
      </c>
      <c r="F29">
        <f t="shared" si="69"/>
        <v>1.7979640000000002E-2</v>
      </c>
      <c r="G29" s="97">
        <f t="shared" si="70"/>
        <v>7.1457427294839039E-3</v>
      </c>
      <c r="H29" s="20">
        <f>'MBal_Som_Saturated-Res'!X$20</f>
        <v>0.49591769719624429</v>
      </c>
      <c r="I29" s="14">
        <f>Data!D$8*(1-Data!D$16)+Data!D$10*Data!D$16</f>
        <v>0.49634854771784231</v>
      </c>
      <c r="J29" s="108">
        <f>Y28</f>
        <v>5.5268053499599762E-2</v>
      </c>
      <c r="K29" s="129">
        <f t="shared" si="71"/>
        <v>3.8776946492755484E-3</v>
      </c>
      <c r="L29" s="125">
        <f>(1-K29)*(C29/C$7)*(1-I29)</f>
        <v>0.50010429913255272</v>
      </c>
      <c r="M29" s="268">
        <f t="shared" si="72"/>
        <v>3.5471531496049646E-3</v>
      </c>
      <c r="N29" s="264">
        <f>(L29-H29*(1-Data!D$16))/Data!D$16</f>
        <v>0.95454090931003022</v>
      </c>
      <c r="O29" s="215">
        <f>(M29-Data!D$27)/(1-Data!D$27-Data!D$19-I29)</f>
        <v>1.1681660413429849E-2</v>
      </c>
      <c r="P29" s="10">
        <f>Data!D$28*O29</f>
        <v>1.1681660413429849E-2</v>
      </c>
      <c r="Q29" s="10">
        <f>Data!D$28*(1-O29)</f>
        <v>0.98831833958657012</v>
      </c>
      <c r="R29" s="310">
        <f t="shared" ref="R29:R36" si="75">1*(D29+(P29*E29*C29)/(Q29*F29*G29))</f>
        <v>196.07665674068306</v>
      </c>
      <c r="S29" s="32">
        <f t="shared" ref="S29:S36" si="76">(1-J29)*((C29/G29-D29)-(C$26/G$26-D$26))</f>
        <v>-1.1448029202365975</v>
      </c>
      <c r="T29" s="26">
        <f>C$7*(1+Data!D$50)*((1/G29)-(1/G$26))</f>
        <v>-1.7512521303860995</v>
      </c>
      <c r="U29" s="106">
        <f>(1-Data!D$26)*Data!D$24+Data!D$26*Data!D$25</f>
        <v>4.9424036979969185E-6</v>
      </c>
      <c r="V29" s="107">
        <f t="shared" ref="V29:V36" si="77">1+U29*(B$26-B29)</f>
        <v>1.0000988480739599</v>
      </c>
      <c r="W29" s="26">
        <f>((C29/G29)-D29)+(R29+R$26)/2*(1-Data!D$51)</f>
        <v>265.74387324936777</v>
      </c>
      <c r="X29" s="57">
        <f t="shared" si="73"/>
        <v>2.2827330340006329E-3</v>
      </c>
      <c r="Y29" s="103">
        <f t="shared" ref="Y29:Y36" si="78">X29+Y$26</f>
        <v>5.6503005134837581E-2</v>
      </c>
      <c r="Z29" s="135">
        <f>Y29*Data!$D$21</f>
        <v>7.3340900665019179E-2</v>
      </c>
      <c r="AA29" s="134"/>
      <c r="AB29" s="134"/>
      <c r="AC29" s="135"/>
      <c r="AD29" s="135"/>
      <c r="AE29" s="135"/>
      <c r="AF29" s="135"/>
      <c r="AG29" s="437"/>
      <c r="AH29" s="246">
        <f t="shared" si="74"/>
        <v>1100.9704275989354</v>
      </c>
      <c r="AI29" s="246"/>
      <c r="AJ29" s="246"/>
      <c r="AK29" s="246"/>
      <c r="AL29" s="5"/>
    </row>
    <row r="30" spans="2:38" x14ac:dyDescent="0.25">
      <c r="B30" s="1">
        <v>2360</v>
      </c>
      <c r="C30" s="1">
        <f t="shared" si="66"/>
        <v>1.43655395</v>
      </c>
      <c r="D30" s="122">
        <f t="shared" si="67"/>
        <v>116.81301790000001</v>
      </c>
      <c r="E30">
        <f t="shared" si="68"/>
        <v>0.59975338879999995</v>
      </c>
      <c r="F30">
        <f t="shared" si="69"/>
        <v>1.7979640000000002E-2</v>
      </c>
      <c r="G30" s="97">
        <f t="shared" si="70"/>
        <v>7.1457427294839039E-3</v>
      </c>
      <c r="H30" s="20">
        <f>'MBal_Som_Saturated-Res'!X$20</f>
        <v>0.49591769719624429</v>
      </c>
      <c r="I30" s="14">
        <f>Data!D$8*(1-Data!D$16)+Data!D$10*Data!D$16</f>
        <v>0.49634854771784231</v>
      </c>
      <c r="J30" s="108">
        <f t="shared" ref="J30:J36" si="79">Y29</f>
        <v>5.6503005134837581E-2</v>
      </c>
      <c r="K30" s="129">
        <f>(J30-J$7)/(1-J$7)</f>
        <v>5.1798236547004979E-3</v>
      </c>
      <c r="L30" s="125">
        <f t="shared" ref="L30:L35" si="80">(1-K30)*(C30/C$7)*(1-I30)</f>
        <v>0.49945056383304159</v>
      </c>
      <c r="M30" s="268">
        <f t="shared" si="72"/>
        <v>4.2008884491161469E-3</v>
      </c>
      <c r="N30" s="264">
        <f>(L30-H30*(1-Data!D$16))/Data!D$16</f>
        <v>0.88292717877267501</v>
      </c>
      <c r="O30" s="215">
        <f>(M30-Data!D$27)/(1-Data!D$27-Data!D$19-I30)</f>
        <v>1.3834573875881268E-2</v>
      </c>
      <c r="P30" s="10">
        <f>Data!D$28*O30</f>
        <v>1.3834573875881268E-2</v>
      </c>
      <c r="Q30" s="10">
        <f>Data!D$28*(1-O30)</f>
        <v>0.98616542612411873</v>
      </c>
      <c r="R30" s="310">
        <f t="shared" si="75"/>
        <v>210.88976612650714</v>
      </c>
      <c r="S30" s="32">
        <f t="shared" si="76"/>
        <v>-1.1433064362406784</v>
      </c>
      <c r="T30" s="26">
        <f>C$7*(1+Data!D$50)*((1/G30)-(1/G$26))</f>
        <v>-1.7512521303860995</v>
      </c>
      <c r="U30" s="106">
        <f>(1-Data!D$26)*Data!D$24+Data!D$26*Data!D$25</f>
        <v>4.9424036979969185E-6</v>
      </c>
      <c r="V30" s="107">
        <f t="shared" si="77"/>
        <v>1.0000988480739599</v>
      </c>
      <c r="W30" s="26">
        <f>((C30/G30)-D30)+(R30+R$26)/2*(1-Data!D$51)</f>
        <v>273.15042794227986</v>
      </c>
      <c r="X30" s="57">
        <f t="shared" si="73"/>
        <v>2.2263146597523587E-3</v>
      </c>
      <c r="Y30" s="103">
        <f t="shared" si="78"/>
        <v>5.6446586760589307E-2</v>
      </c>
      <c r="Z30" s="135">
        <f>Y30*Data!$D$21</f>
        <v>7.3267669615244918E-2</v>
      </c>
      <c r="AA30" s="134"/>
      <c r="AB30" s="134"/>
      <c r="AC30" s="135"/>
      <c r="AD30" s="135"/>
      <c r="AE30" s="135"/>
      <c r="AF30" s="135"/>
      <c r="AG30" s="437"/>
      <c r="AH30" s="246">
        <f t="shared" si="74"/>
        <v>1184.1460368003377</v>
      </c>
      <c r="AI30" s="246"/>
      <c r="AJ30" s="246"/>
      <c r="AK30" s="246"/>
      <c r="AL30" s="1"/>
    </row>
    <row r="31" spans="2:38" x14ac:dyDescent="0.25">
      <c r="B31" s="1">
        <v>2360</v>
      </c>
      <c r="C31" s="1">
        <f t="shared" si="66"/>
        <v>1.43655395</v>
      </c>
      <c r="D31" s="122">
        <f t="shared" si="67"/>
        <v>116.81301790000001</v>
      </c>
      <c r="E31">
        <f t="shared" si="68"/>
        <v>0.59975338879999995</v>
      </c>
      <c r="F31">
        <f t="shared" si="69"/>
        <v>1.7979640000000002E-2</v>
      </c>
      <c r="G31" s="97">
        <f t="shared" si="70"/>
        <v>7.1457427294839039E-3</v>
      </c>
      <c r="H31" s="20">
        <f>'MBal_Som_Saturated-Res'!X$20</f>
        <v>0.49591769719624429</v>
      </c>
      <c r="I31" s="14">
        <f>Data!D$8*(1-Data!D$16)+Data!D$10*Data!D$16</f>
        <v>0.49634854771784231</v>
      </c>
      <c r="J31" s="108">
        <f t="shared" si="79"/>
        <v>5.6446586760589307E-2</v>
      </c>
      <c r="K31" s="129">
        <f t="shared" si="71"/>
        <v>5.1203363035756495E-3</v>
      </c>
      <c r="L31" s="125">
        <f t="shared" si="80"/>
        <v>0.49948042952310973</v>
      </c>
      <c r="M31" s="268">
        <f t="shared" si="72"/>
        <v>4.1710227590480153E-3</v>
      </c>
      <c r="N31" s="264">
        <f>(L31-H31*(1-Data!D$16))/Data!D$16</f>
        <v>0.88619882936650207</v>
      </c>
      <c r="O31" s="215">
        <f>(M31-Data!D$27)/(1-Data!D$27-Data!D$19-I31)</f>
        <v>1.3736218706348341E-2</v>
      </c>
      <c r="P31" s="10">
        <f>Data!D$28*O31</f>
        <v>1.3736218706348341E-2</v>
      </c>
      <c r="Q31" s="10">
        <f>Data!D$28*(1-O31)</f>
        <v>0.98626378129365166</v>
      </c>
      <c r="R31" s="310">
        <f t="shared" si="75"/>
        <v>210.21162416629357</v>
      </c>
      <c r="S31" s="32">
        <f t="shared" si="76"/>
        <v>-1.1433748026379764</v>
      </c>
      <c r="T31" s="26">
        <f>C$7*(1+Data!D$50)*((1/G31)-(1/G$26))</f>
        <v>-1.7512521303860995</v>
      </c>
      <c r="U31" s="106">
        <f>(1-Data!D$26)*Data!D$24+Data!D$26*Data!D$25</f>
        <v>4.9424036979969185E-6</v>
      </c>
      <c r="V31" s="107">
        <f t="shared" si="77"/>
        <v>1.0000988480739599</v>
      </c>
      <c r="W31" s="26">
        <f>((C31/G31)-D31)+(R31+R$26)/2*(1-Data!D$51)</f>
        <v>272.81135696217302</v>
      </c>
      <c r="X31" s="57">
        <f t="shared" si="73"/>
        <v>2.2288310956663725E-3</v>
      </c>
      <c r="Y31" s="103">
        <f t="shared" si="78"/>
        <v>5.6449103196503321E-2</v>
      </c>
      <c r="Z31" s="135">
        <f>Y31*Data!$D$21</f>
        <v>7.3270935949061311E-2</v>
      </c>
      <c r="AA31" s="134"/>
      <c r="AB31" s="134"/>
      <c r="AC31" s="135"/>
      <c r="AD31" s="135"/>
      <c r="AE31" s="135"/>
      <c r="AF31" s="135"/>
      <c r="AG31" s="437"/>
      <c r="AH31" s="246">
        <f t="shared" si="74"/>
        <v>1180.3382696937385</v>
      </c>
      <c r="AI31" s="246"/>
      <c r="AJ31" s="246"/>
      <c r="AK31" s="246"/>
    </row>
    <row r="32" spans="2:38" x14ac:dyDescent="0.25">
      <c r="B32" s="1">
        <v>2360</v>
      </c>
      <c r="C32" s="1">
        <f t="shared" si="66"/>
        <v>1.43655395</v>
      </c>
      <c r="D32" s="122">
        <f t="shared" si="67"/>
        <v>116.81301790000001</v>
      </c>
      <c r="E32">
        <f t="shared" si="68"/>
        <v>0.59975338879999995</v>
      </c>
      <c r="F32">
        <f t="shared" si="69"/>
        <v>1.7979640000000002E-2</v>
      </c>
      <c r="G32" s="97">
        <f t="shared" si="70"/>
        <v>7.1457427294839039E-3</v>
      </c>
      <c r="H32" s="20">
        <f>'MBal_Som_Saturated-Res'!X$20</f>
        <v>0.49591769719624429</v>
      </c>
      <c r="I32" s="14">
        <f>Data!D$8*(1-Data!D$16)+Data!D$10*Data!D$16</f>
        <v>0.49634854771784231</v>
      </c>
      <c r="J32" s="108">
        <f t="shared" si="79"/>
        <v>5.6449103196503321E-2</v>
      </c>
      <c r="K32" s="129">
        <f t="shared" si="71"/>
        <v>5.1229896254551743E-3</v>
      </c>
      <c r="L32" s="125">
        <f t="shared" si="80"/>
        <v>0.49947909741994145</v>
      </c>
      <c r="M32" s="268">
        <f t="shared" si="72"/>
        <v>4.1723548622162321E-3</v>
      </c>
      <c r="N32" s="264">
        <f>(L32-H32*(1-Data!D$16))/Data!D$16</f>
        <v>0.88605290351943222</v>
      </c>
      <c r="O32" s="215">
        <f>(M32-Data!D$27)/(1-Data!D$27-Data!D$19-I32)</f>
        <v>1.374060565446996E-2</v>
      </c>
      <c r="P32" s="10">
        <f>Data!D$28*O32</f>
        <v>1.374060565446996E-2</v>
      </c>
      <c r="Q32" s="10">
        <f>Data!D$28*(1-O32)</f>
        <v>0.98625939434553</v>
      </c>
      <c r="R32" s="310">
        <f t="shared" si="75"/>
        <v>210.24186853641623</v>
      </c>
      <c r="S32" s="32">
        <f t="shared" si="76"/>
        <v>-1.1433717532828724</v>
      </c>
      <c r="T32" s="26">
        <f>C$7*(1+Data!D$50)*((1/G32)-(1/G$26))</f>
        <v>-1.7512521303860995</v>
      </c>
      <c r="U32" s="106">
        <f>(1-Data!D$26)*Data!D$24+Data!D$26*Data!D$25</f>
        <v>4.9424036979969185E-6</v>
      </c>
      <c r="V32" s="107">
        <f t="shared" si="77"/>
        <v>1.0000988480739599</v>
      </c>
      <c r="W32" s="26">
        <f>((C32/G32)-D32)+(R32+R$26)/2*(1-Data!D$51)</f>
        <v>272.82647914723441</v>
      </c>
      <c r="X32" s="57">
        <f t="shared" si="73"/>
        <v>2.2287187332545892E-3</v>
      </c>
      <c r="Y32" s="103">
        <f t="shared" si="78"/>
        <v>5.6448990834091536E-2</v>
      </c>
      <c r="Z32" s="135">
        <f>Y32*Data!$D$21</f>
        <v>7.3270790102650821E-2</v>
      </c>
      <c r="AA32" s="134"/>
      <c r="AB32" s="134"/>
      <c r="AC32" s="135"/>
      <c r="AD32" s="135"/>
      <c r="AE32" s="135"/>
      <c r="AF32" s="135"/>
      <c r="AG32" s="437"/>
      <c r="AH32" s="246">
        <f t="shared" si="74"/>
        <v>1180.5080918319773</v>
      </c>
      <c r="AI32" s="246"/>
      <c r="AJ32" s="246"/>
      <c r="AK32" s="246"/>
    </row>
    <row r="33" spans="2:38" x14ac:dyDescent="0.25">
      <c r="B33" s="1">
        <v>2360</v>
      </c>
      <c r="C33" s="1">
        <f t="shared" si="66"/>
        <v>1.43655395</v>
      </c>
      <c r="D33" s="122">
        <f t="shared" si="67"/>
        <v>116.81301790000001</v>
      </c>
      <c r="E33">
        <f t="shared" si="68"/>
        <v>0.59975338879999995</v>
      </c>
      <c r="F33">
        <f t="shared" si="69"/>
        <v>1.7979640000000002E-2</v>
      </c>
      <c r="G33" s="97">
        <f t="shared" si="70"/>
        <v>7.1457427294839039E-3</v>
      </c>
      <c r="H33" s="20">
        <f>'MBal_Som_Saturated-Res'!X$20</f>
        <v>0.49591769719624429</v>
      </c>
      <c r="I33" s="14">
        <f>Data!D$8*(1-Data!D$16)+Data!D$10*Data!D$16</f>
        <v>0.49634854771784231</v>
      </c>
      <c r="J33" s="108">
        <f t="shared" si="79"/>
        <v>5.6448990834091536E-2</v>
      </c>
      <c r="K33" s="129">
        <f t="shared" si="71"/>
        <v>5.1228711508920178E-3</v>
      </c>
      <c r="L33" s="125">
        <f t="shared" si="80"/>
        <v>0.49947915690022621</v>
      </c>
      <c r="M33" s="268">
        <f t="shared" si="72"/>
        <v>4.1722953819315345E-3</v>
      </c>
      <c r="N33" s="264">
        <f>(L33-H33*(1-Data!D$16))/Data!D$16</f>
        <v>0.88605941931426202</v>
      </c>
      <c r="O33" s="215">
        <f>(M33-Data!D$27)/(1-Data!D$27-Data!D$19-I33)</f>
        <v>1.3740409771050829E-2</v>
      </c>
      <c r="P33" s="10">
        <f>Data!D$28*O33</f>
        <v>1.3740409771050829E-2</v>
      </c>
      <c r="Q33" s="10">
        <f>Data!D$28*(1-O33)</f>
        <v>0.98625959022894916</v>
      </c>
      <c r="R33" s="310">
        <f t="shared" si="75"/>
        <v>210.24051807690768</v>
      </c>
      <c r="S33" s="32">
        <f t="shared" si="76"/>
        <v>-1.1433718894408775</v>
      </c>
      <c r="T33" s="26">
        <f>C$7*(1+Data!D$50)*((1/G33)-(1/G$26))</f>
        <v>-1.7512521303860995</v>
      </c>
      <c r="U33" s="106">
        <f>(1-Data!D$26)*Data!D$24+Data!D$26*Data!D$25</f>
        <v>4.9424036979969185E-6</v>
      </c>
      <c r="V33" s="107">
        <f t="shared" si="77"/>
        <v>1.0000988480739599</v>
      </c>
      <c r="W33" s="26">
        <f>((C33/G33)-D33)+(R33+R$26)/2*(1-Data!D$51)</f>
        <v>272.82580391748013</v>
      </c>
      <c r="X33" s="57">
        <f t="shared" si="73"/>
        <v>2.2287237501524703E-3</v>
      </c>
      <c r="Y33" s="103">
        <f t="shared" si="78"/>
        <v>5.644899585098942E-2</v>
      </c>
      <c r="Z33" s="135">
        <f>Y33*Data!$D$21</f>
        <v>7.3270796614584272E-2</v>
      </c>
      <c r="AA33" s="134"/>
      <c r="AB33" s="134"/>
      <c r="AC33" s="135"/>
      <c r="AD33" s="135"/>
      <c r="AE33" s="135"/>
      <c r="AF33" s="135"/>
      <c r="AG33" s="437"/>
      <c r="AH33" s="246">
        <f t="shared" si="74"/>
        <v>1180.5005090018367</v>
      </c>
      <c r="AI33" s="246"/>
      <c r="AJ33" s="246"/>
      <c r="AK33" s="246"/>
    </row>
    <row r="34" spans="2:38" x14ac:dyDescent="0.25">
      <c r="B34" s="1">
        <v>2360</v>
      </c>
      <c r="C34" s="1">
        <f t="shared" si="66"/>
        <v>1.43655395</v>
      </c>
      <c r="D34" s="122">
        <f t="shared" si="67"/>
        <v>116.81301790000001</v>
      </c>
      <c r="E34">
        <f t="shared" si="68"/>
        <v>0.59975338879999995</v>
      </c>
      <c r="F34">
        <f t="shared" si="69"/>
        <v>1.7979640000000002E-2</v>
      </c>
      <c r="G34" s="97">
        <f t="shared" si="70"/>
        <v>7.1457427294839039E-3</v>
      </c>
      <c r="H34" s="20">
        <f>'MBal_Som_Saturated-Res'!X$20</f>
        <v>0.49591769719624429</v>
      </c>
      <c r="I34" s="14">
        <f>Data!D$8*(1-Data!D$16)+Data!D$10*Data!D$16</f>
        <v>0.49634854771784231</v>
      </c>
      <c r="J34" s="108">
        <f t="shared" si="79"/>
        <v>5.644899585098942E-2</v>
      </c>
      <c r="K34" s="129">
        <f t="shared" si="71"/>
        <v>5.1228764406929016E-3</v>
      </c>
      <c r="L34" s="125">
        <f t="shared" si="80"/>
        <v>0.49947915424447592</v>
      </c>
      <c r="M34" s="268">
        <f t="shared" si="72"/>
        <v>4.1722980376818208E-3</v>
      </c>
      <c r="N34" s="264">
        <f>(L34-H34*(1-Data!D$16))/Data!D$16</f>
        <v>0.88605912838888978</v>
      </c>
      <c r="O34" s="215">
        <f>(M34-Data!D$27)/(1-Data!D$27-Data!D$19-I34)</f>
        <v>1.3740418517099189E-2</v>
      </c>
      <c r="P34" s="10">
        <f>Data!D$28*O34</f>
        <v>1.3740418517099189E-2</v>
      </c>
      <c r="Q34" s="10">
        <f>Data!D$28*(1-O34)</f>
        <v>0.98625958148290083</v>
      </c>
      <c r="R34" s="309">
        <f t="shared" si="75"/>
        <v>210.24057837390461</v>
      </c>
      <c r="S34" s="32">
        <f t="shared" si="76"/>
        <v>-1.1433718833615241</v>
      </c>
      <c r="T34" s="26">
        <f>C$7*(1+Data!D$50)*((1/G34)-(1/G$26))</f>
        <v>-1.7512521303860995</v>
      </c>
      <c r="U34" s="106">
        <f>(1-Data!D$26)*Data!D$24+Data!D$26*Data!D$25</f>
        <v>4.9424036979969185E-6</v>
      </c>
      <c r="V34" s="107">
        <f t="shared" si="77"/>
        <v>1.0000988480739599</v>
      </c>
      <c r="W34" s="26">
        <f>((C34/G34)-D34)+(R34+R$26)/2*(1-Data!D$51)</f>
        <v>272.8258340659786</v>
      </c>
      <c r="X34" s="57">
        <f t="shared" si="73"/>
        <v>2.2287235261512451E-3</v>
      </c>
      <c r="Y34" s="103">
        <f t="shared" si="78"/>
        <v>5.6448995626988192E-2</v>
      </c>
      <c r="Z34" s="135">
        <f>Y34*Data!$D$21</f>
        <v>7.327079632383067E-2</v>
      </c>
      <c r="AA34" s="134"/>
      <c r="AB34" s="134"/>
      <c r="AC34" s="135"/>
      <c r="AD34" s="135"/>
      <c r="AE34" s="135"/>
      <c r="AF34" s="135"/>
      <c r="AG34" s="437"/>
      <c r="AH34" s="246">
        <f t="shared" si="74"/>
        <v>1180.5008475694744</v>
      </c>
      <c r="AI34" s="246"/>
      <c r="AJ34" s="246"/>
      <c r="AK34" s="246"/>
    </row>
    <row r="35" spans="2:38" x14ac:dyDescent="0.25">
      <c r="B35" s="1">
        <v>2360</v>
      </c>
      <c r="C35" s="1">
        <f t="shared" si="66"/>
        <v>1.43655395</v>
      </c>
      <c r="D35" s="122">
        <f t="shared" si="67"/>
        <v>116.81301790000001</v>
      </c>
      <c r="E35">
        <f t="shared" si="68"/>
        <v>0.59975338879999995</v>
      </c>
      <c r="F35">
        <f t="shared" si="69"/>
        <v>1.7979640000000002E-2</v>
      </c>
      <c r="G35" s="97">
        <f t="shared" si="70"/>
        <v>7.1457427294839039E-3</v>
      </c>
      <c r="H35" s="20">
        <f>'MBal_Som_Saturated-Res'!X$20</f>
        <v>0.49591769719624429</v>
      </c>
      <c r="I35" s="14">
        <f>Data!D$8*(1-Data!D$16)+Data!D$10*Data!D$16</f>
        <v>0.49634854771784231</v>
      </c>
      <c r="J35" s="108">
        <f t="shared" si="79"/>
        <v>5.6448995626988192E-2</v>
      </c>
      <c r="K35" s="129">
        <f t="shared" si="71"/>
        <v>5.122876204506732E-3</v>
      </c>
      <c r="L35" s="125">
        <f t="shared" si="80"/>
        <v>0.4994791543630534</v>
      </c>
      <c r="M35" s="268">
        <f t="shared" si="72"/>
        <v>4.1722979191042286E-3</v>
      </c>
      <c r="N35" s="264">
        <f>(L35-H35*(1-Data!D$16))/Data!D$16</f>
        <v>0.88605914137851383</v>
      </c>
      <c r="O35" s="215">
        <f>(M35-Data!D$27)/(1-Data!D$27-Data!D$19-I35)</f>
        <v>1.3740418126593591E-2</v>
      </c>
      <c r="P35" s="10">
        <f>Data!D$28*O35</f>
        <v>1.3740418126593591E-2</v>
      </c>
      <c r="Q35" s="10">
        <f>Data!D$28*(1-O35)</f>
        <v>0.98625958187340645</v>
      </c>
      <c r="R35" s="310">
        <f t="shared" si="75"/>
        <v>210.24057568168132</v>
      </c>
      <c r="S35" s="32">
        <f t="shared" si="76"/>
        <v>-1.1433718836329632</v>
      </c>
      <c r="T35" s="26">
        <f>C$7*(1+Data!D$50)*((1/G35)-(1/G$26))</f>
        <v>-1.7512521303860995</v>
      </c>
      <c r="U35" s="106">
        <f>(1-Data!D$26)*Data!D$24+Data!D$26*Data!D$25</f>
        <v>4.9424036979969185E-6</v>
      </c>
      <c r="V35" s="107">
        <f t="shared" si="77"/>
        <v>1.0000988480739599</v>
      </c>
      <c r="W35" s="26">
        <f>((C35/G35)-D35)+(R35+R$26)/2*(1-Data!D$51)</f>
        <v>272.82583271986687</v>
      </c>
      <c r="X35" s="57">
        <f t="shared" si="73"/>
        <v>2.2287235361527604E-3</v>
      </c>
      <c r="Y35" s="103">
        <f t="shared" si="78"/>
        <v>5.6448995636989713E-2</v>
      </c>
      <c r="Z35" s="135">
        <f>Y35*Data!$D$21</f>
        <v>7.3270796336812646E-2</v>
      </c>
      <c r="AA35" s="134"/>
      <c r="AB35" s="134"/>
      <c r="AC35" s="135"/>
      <c r="AD35" s="135"/>
      <c r="AE35" s="135"/>
      <c r="AF35" s="135"/>
      <c r="AG35" s="437"/>
      <c r="AH35" s="246">
        <f t="shared" si="74"/>
        <v>1180.5008324526407</v>
      </c>
      <c r="AI35" s="246"/>
      <c r="AJ35" s="246"/>
      <c r="AK35" s="246"/>
    </row>
    <row r="36" spans="2:38" x14ac:dyDescent="0.25">
      <c r="B36" s="5">
        <v>2360</v>
      </c>
      <c r="C36" s="1">
        <f t="shared" si="66"/>
        <v>1.43655395</v>
      </c>
      <c r="D36" s="122">
        <f>0.04285545*B36 + 15.6741559</f>
        <v>116.81301790000001</v>
      </c>
      <c r="E36">
        <f t="shared" si="68"/>
        <v>0.59975338879999995</v>
      </c>
      <c r="F36">
        <f t="shared" si="69"/>
        <v>1.7979640000000002E-2</v>
      </c>
      <c r="G36" s="97">
        <f t="shared" si="70"/>
        <v>7.1457427294839039E-3</v>
      </c>
      <c r="H36" s="24">
        <f>'MBal_Som_Saturated-Res'!X$20</f>
        <v>0.49591769719624429</v>
      </c>
      <c r="I36" s="14">
        <f>Data!D$8*(1-Data!D$16)+Data!D$10*Data!D$16</f>
        <v>0.49634854771784231</v>
      </c>
      <c r="J36" s="249">
        <f t="shared" si="79"/>
        <v>5.6448995636989713E-2</v>
      </c>
      <c r="K36" s="250">
        <f t="shared" si="71"/>
        <v>5.1228762150523034E-3</v>
      </c>
      <c r="L36" s="124">
        <f>(1-K36)*(C36/C$7)*(1-I36)</f>
        <v>0.49947915435775903</v>
      </c>
      <c r="M36" s="268">
        <f t="shared" si="72"/>
        <v>4.1722979243986602E-3</v>
      </c>
      <c r="N36" s="264">
        <f>(L36-H36*(1-Data!D$16))/Data!D$16</f>
        <v>0.88605914079853898</v>
      </c>
      <c r="O36" s="215">
        <f>(M36-Data!D$27)/(1-Data!D$27-Data!D$19-I36)</f>
        <v>1.3740418144029475E-2</v>
      </c>
      <c r="P36" s="10">
        <f>Data!D$28*O36</f>
        <v>1.3740418144029475E-2</v>
      </c>
      <c r="Q36" s="10">
        <f>Data!D$28*(1-O36)</f>
        <v>0.98625958185597051</v>
      </c>
      <c r="R36" s="309">
        <f t="shared" si="75"/>
        <v>210.24057580188781</v>
      </c>
      <c r="S36" s="32">
        <f t="shared" si="76"/>
        <v>-1.1433718836208437</v>
      </c>
      <c r="T36" s="26">
        <f>C$7*(1+Data!D$50)*((1/G36)-(1/G$26))</f>
        <v>-1.7512521303860995</v>
      </c>
      <c r="U36" s="106">
        <f>(1-Data!D$26)*Data!D$24+Data!D$26*Data!D$25</f>
        <v>4.9424036979969185E-6</v>
      </c>
      <c r="V36" s="107">
        <f t="shared" si="77"/>
        <v>1.0000988480739599</v>
      </c>
      <c r="W36" s="26">
        <f>((C36/G36)-D36)+(R36+R$26)/2*(1-Data!D$51)</f>
        <v>272.82583277997014</v>
      </c>
      <c r="X36" s="101">
        <f t="shared" si="73"/>
        <v>2.2287235357061966E-3</v>
      </c>
      <c r="Y36" s="103">
        <f t="shared" si="78"/>
        <v>5.6448995636543146E-2</v>
      </c>
      <c r="Z36" s="252">
        <f>Y36*Data!$D$21</f>
        <v>7.3270796336233013E-2</v>
      </c>
      <c r="AA36" s="430">
        <f>'UNS RES'!$K$5*'UNS RES'!$J$5*'UNS RES'!$I$5*Q36/(E36*C36*1)</f>
        <v>0.1239094521001943</v>
      </c>
      <c r="AB36" s="431">
        <f>AA36*(B36-2000)</f>
        <v>44.607402756069945</v>
      </c>
      <c r="AC36" s="253">
        <f>Z36-Z26</f>
        <v>2.892883149346645E-3</v>
      </c>
      <c r="AD36" s="440">
        <f>AC36*1000000</f>
        <v>2892.883149346645</v>
      </c>
      <c r="AE36" s="253">
        <f>365*(AB26-AB36)/AD36</f>
        <v>0.32997664781904035</v>
      </c>
      <c r="AF36" s="254">
        <f>(LN(AB26/AB36))/AE36</f>
        <v>0.17266344713711196</v>
      </c>
      <c r="AG36" s="248">
        <f>AF36+AG26</f>
        <v>1.3727609909587859</v>
      </c>
      <c r="AH36" s="245">
        <f t="shared" si="74"/>
        <v>1180.5008331276001</v>
      </c>
      <c r="AI36" s="247">
        <f>(AB36*AH36)/10^6</f>
        <v>5.2659076117198972E-2</v>
      </c>
      <c r="AJ36" s="247">
        <f>365*AI36*AF36</f>
        <v>3.3186886259896657</v>
      </c>
      <c r="AK36" s="247">
        <f>AK26+AJ36</f>
        <v>49.835571170960669</v>
      </c>
    </row>
    <row r="37" spans="2:38" x14ac:dyDescent="0.25">
      <c r="D37" s="97"/>
      <c r="E37"/>
      <c r="F37"/>
      <c r="G37" s="97"/>
      <c r="H37" s="20"/>
      <c r="I37" s="14"/>
      <c r="J37" s="105"/>
      <c r="K37" s="128"/>
      <c r="L37" s="125"/>
      <c r="M37" s="268"/>
      <c r="N37" s="264"/>
      <c r="O37" s="215"/>
      <c r="P37" s="10"/>
      <c r="Q37" s="10"/>
      <c r="R37" s="309"/>
      <c r="S37" s="9"/>
      <c r="T37" s="1"/>
      <c r="U37" s="100"/>
      <c r="V37" s="8"/>
      <c r="W37" s="1"/>
      <c r="X37" s="57"/>
      <c r="Y37" s="103"/>
      <c r="Z37" s="103"/>
      <c r="AA37" s="109"/>
      <c r="AB37" s="109"/>
      <c r="AC37" s="103"/>
      <c r="AD37" s="103"/>
      <c r="AE37" s="103"/>
      <c r="AF37" s="103"/>
      <c r="AG37" s="436"/>
      <c r="AH37" s="191"/>
      <c r="AI37" s="191"/>
      <c r="AJ37" s="191"/>
      <c r="AK37" s="191"/>
    </row>
    <row r="38" spans="2:38" x14ac:dyDescent="0.25">
      <c r="B38" s="1">
        <v>2340</v>
      </c>
      <c r="C38" s="1">
        <f t="shared" ref="C38:C46" si="81">0.00011448*B38 + 1.16638115</f>
        <v>1.4342643500000001</v>
      </c>
      <c r="D38" s="122">
        <f t="shared" ref="D38:D45" si="82">0.04285545*B38 + 15.6741559</f>
        <v>115.95590890000001</v>
      </c>
      <c r="E38">
        <f t="shared" ref="E38:E46" si="83">0.0000000907*B38^2 - 0.0003674172*B38 + 0.9616952608</f>
        <v>0.59857593279999999</v>
      </c>
      <c r="F38">
        <f t="shared" ref="F38:F46" si="84">0.00000236*B38 + 0.01241004</f>
        <v>1.7932440000000001E-2</v>
      </c>
      <c r="G38" s="97">
        <f t="shared" ref="G38:G46" si="85">20.40472*B38^(-1.02454)</f>
        <v>7.2083227714336987E-3</v>
      </c>
      <c r="H38" s="20">
        <f>'MBal_Som_Saturated-Res'!X$27</f>
        <v>0.49383928916920833</v>
      </c>
      <c r="I38" s="14">
        <f>Data!D$8*(1-Data!D$16)+Data!D$10*Data!D$16</f>
        <v>0.49634854771784231</v>
      </c>
      <c r="J38" s="105">
        <f>Y36</f>
        <v>5.6448995636543146E-2</v>
      </c>
      <c r="K38" s="129">
        <f t="shared" ref="K38:K46" si="86">(J38-J$7)/(1-J$7)</f>
        <v>5.1228762145814448E-3</v>
      </c>
      <c r="L38" s="125">
        <f t="shared" ref="L38:L46" si="87">(1-K38)*(C38/C$7)*(1-I38)</f>
        <v>0.49868307741858214</v>
      </c>
      <c r="M38" s="268">
        <f t="shared" ref="M38:M46" si="88">1-L38-I38</f>
        <v>4.9683748635754865E-3</v>
      </c>
      <c r="N38" s="264">
        <f>(L38-H38*(1-Data!D$16))/Data!D$16</f>
        <v>1.024454274668791</v>
      </c>
      <c r="O38" s="215">
        <f>(M38-Data!D$27)/(1-Data!D$27-Data!D$19-I38)</f>
        <v>1.6362098143231647E-2</v>
      </c>
      <c r="P38" s="10">
        <f>Data!D$28*O38</f>
        <v>1.6362098143231647E-2</v>
      </c>
      <c r="Q38" s="10">
        <f>Data!D$28*(1-O38)</f>
        <v>0.98363790185676836</v>
      </c>
      <c r="R38" s="310">
        <f>1*(D38+(P38*E38*C38)/(Q38*F38*G38))</f>
        <v>226.43461565240247</v>
      </c>
      <c r="S38" s="32">
        <f>(1-J38)*((C38/G38-D38)-(C$36/G$36-D$36))</f>
        <v>-1.1377794240422985</v>
      </c>
      <c r="T38" s="26">
        <f>C$7*(1+Data!D$50)*((1/G38)-(1/G$36))</f>
        <v>-1.7508879628703082</v>
      </c>
      <c r="U38" s="106">
        <f>(1-Data!D$26)*Data!D$24+Data!D$26*Data!D$25</f>
        <v>4.9424036979969185E-6</v>
      </c>
      <c r="V38" s="107">
        <f>1+U38*(B$36-B38)</f>
        <v>1.0000988480739599</v>
      </c>
      <c r="W38" s="26">
        <f>((C38/G38)-D38)+(R38+R$13)/2*(1-Data!D$51)</f>
        <v>255.62781583193362</v>
      </c>
      <c r="X38" s="57">
        <f t="shared" ref="X38:X46" si="89">(S38-T38*V38)/W38</f>
        <v>2.3991192380021361E-3</v>
      </c>
      <c r="Y38" s="103">
        <f>X38+Y$36</f>
        <v>5.8848114874545283E-2</v>
      </c>
      <c r="Z38" s="135">
        <f>Y38*Data!$D$21</f>
        <v>7.6384853107159784E-2</v>
      </c>
      <c r="AA38" s="134"/>
      <c r="AB38" s="134"/>
      <c r="AC38" s="135"/>
      <c r="AD38" s="135"/>
      <c r="AE38" s="135"/>
      <c r="AF38" s="135"/>
      <c r="AG38" s="135"/>
      <c r="AH38" s="246">
        <f t="shared" ref="AH38:AH46" si="90">5.615*R38</f>
        <v>1271.4303668882399</v>
      </c>
      <c r="AI38" s="246"/>
      <c r="AJ38" s="246"/>
      <c r="AK38" s="246"/>
      <c r="AL38" s="1"/>
    </row>
    <row r="39" spans="2:38" x14ac:dyDescent="0.25">
      <c r="B39" s="1">
        <v>2340</v>
      </c>
      <c r="C39" s="1">
        <f t="shared" si="81"/>
        <v>1.4342643500000001</v>
      </c>
      <c r="D39" s="122">
        <f t="shared" si="82"/>
        <v>115.95590890000001</v>
      </c>
      <c r="E39">
        <f t="shared" si="83"/>
        <v>0.59857593279999999</v>
      </c>
      <c r="F39">
        <f t="shared" si="84"/>
        <v>1.7932440000000001E-2</v>
      </c>
      <c r="G39" s="97">
        <f t="shared" si="85"/>
        <v>7.2083227714336987E-3</v>
      </c>
      <c r="H39" s="20">
        <f>'MBal_Som_Saturated-Res'!X$27</f>
        <v>0.49383928916920833</v>
      </c>
      <c r="I39" s="14">
        <f>Data!D$8*(1-Data!D$16)+Data!D$10*Data!D$16</f>
        <v>0.49634854771784231</v>
      </c>
      <c r="J39" s="108">
        <f>Y38</f>
        <v>5.8848114874545283E-2</v>
      </c>
      <c r="K39" s="129">
        <f t="shared" si="86"/>
        <v>7.6524997707897767E-3</v>
      </c>
      <c r="L39" s="125">
        <f t="shared" si="87"/>
        <v>0.49741510127403005</v>
      </c>
      <c r="M39" s="268">
        <f t="shared" si="88"/>
        <v>6.2363510081276941E-3</v>
      </c>
      <c r="N39" s="264">
        <f>(L39-H39*(1-Data!D$16))/Data!D$16</f>
        <v>0.8855532515610387</v>
      </c>
      <c r="O39" s="215">
        <f>(M39-Data!D$27)/(1-Data!D$27-Data!D$19-I39)</f>
        <v>2.0537859974839767E-2</v>
      </c>
      <c r="P39" s="10">
        <f>Data!D$28*O39</f>
        <v>2.0537859974839767E-2</v>
      </c>
      <c r="Q39" s="10">
        <f>Data!D$28*(1-O39)</f>
        <v>0.97946214002516019</v>
      </c>
      <c r="R39" s="310">
        <f t="shared" ref="R39:R46" si="91">1*(D39+(P39*E39*C39)/(Q39*F39*G39))</f>
        <v>255.22103550346202</v>
      </c>
      <c r="S39" s="32">
        <f t="shared" ref="S39:S46" si="92">(1-J39)*((C39/G39-D39)-(C$36/G$36-D$36))</f>
        <v>-1.1348864500618783</v>
      </c>
      <c r="T39" s="26">
        <f>C$7*(1+Data!D$50)*((1/G39)-(1/G$36))</f>
        <v>-1.7508879628703082</v>
      </c>
      <c r="U39" s="106">
        <f>(1-Data!D$26)*Data!D$24+Data!D$26*Data!D$25</f>
        <v>4.9424036979969185E-6</v>
      </c>
      <c r="V39" s="107">
        <f t="shared" ref="V39:V46" si="93">1+U39*(B$36-B39)</f>
        <v>1.0000988480739599</v>
      </c>
      <c r="W39" s="26">
        <f>((C39/G39)-D39)+(R39+R$13)/2*(1-Data!D$51)</f>
        <v>270.02102575746341</v>
      </c>
      <c r="X39" s="57">
        <f t="shared" si="89"/>
        <v>2.2819503887994844E-3</v>
      </c>
      <c r="Y39" s="103">
        <f t="shared" ref="Y39:Y46" si="94">X39+Y$36</f>
        <v>5.873094602534263E-2</v>
      </c>
      <c r="Z39" s="135">
        <f>Y39*Data!$D$21</f>
        <v>7.623276794089473E-2</v>
      </c>
      <c r="AA39" s="134"/>
      <c r="AB39" s="134"/>
      <c r="AC39" s="135"/>
      <c r="AD39" s="135"/>
      <c r="AE39" s="135"/>
      <c r="AF39" s="135"/>
      <c r="AG39" s="135"/>
      <c r="AH39" s="246">
        <f t="shared" si="90"/>
        <v>1433.0661143519394</v>
      </c>
      <c r="AI39" s="246"/>
      <c r="AJ39" s="246"/>
      <c r="AK39" s="246"/>
      <c r="AL39" s="5"/>
    </row>
    <row r="40" spans="2:38" x14ac:dyDescent="0.25">
      <c r="B40" s="1">
        <v>2340</v>
      </c>
      <c r="C40" s="1">
        <f t="shared" si="81"/>
        <v>1.4342643500000001</v>
      </c>
      <c r="D40" s="122">
        <f t="shared" si="82"/>
        <v>115.95590890000001</v>
      </c>
      <c r="E40">
        <f t="shared" si="83"/>
        <v>0.59857593279999999</v>
      </c>
      <c r="F40">
        <f t="shared" si="84"/>
        <v>1.7932440000000001E-2</v>
      </c>
      <c r="G40" s="97">
        <f t="shared" si="85"/>
        <v>7.2083227714336987E-3</v>
      </c>
      <c r="H40" s="20">
        <f>'MBal_Som_Saturated-Res'!X$27</f>
        <v>0.49383928916920833</v>
      </c>
      <c r="I40" s="14">
        <f>Data!D$8*(1-Data!D$16)+Data!D$10*Data!D$16</f>
        <v>0.49634854771784231</v>
      </c>
      <c r="J40" s="108">
        <f t="shared" ref="J40:J46" si="95">Y39</f>
        <v>5.873094602534263E-2</v>
      </c>
      <c r="K40" s="129">
        <f t="shared" si="86"/>
        <v>7.5289573155828925E-3</v>
      </c>
      <c r="L40" s="125">
        <f t="shared" si="87"/>
        <v>0.49747702704383767</v>
      </c>
      <c r="M40" s="268">
        <f t="shared" si="88"/>
        <v>6.1744252383200138E-3</v>
      </c>
      <c r="N40" s="264">
        <f>(L40-H40*(1-Data!D$16))/Data!D$16</f>
        <v>0.89233693816269211</v>
      </c>
      <c r="O40" s="215">
        <f>(M40-Data!D$27)/(1-Data!D$27-Data!D$19-I40)</f>
        <v>2.0333922963038029E-2</v>
      </c>
      <c r="P40" s="10">
        <f>Data!D$28*O40</f>
        <v>2.0333922963038029E-2</v>
      </c>
      <c r="Q40" s="10">
        <f>Data!D$28*(1-O40)</f>
        <v>0.97966607703696196</v>
      </c>
      <c r="R40" s="310">
        <f t="shared" si="91"/>
        <v>253.8094565602716</v>
      </c>
      <c r="S40" s="32">
        <f t="shared" si="92"/>
        <v>-1.135027737925645</v>
      </c>
      <c r="T40" s="26">
        <f>C$7*(1+Data!D$50)*((1/G40)-(1/G$36))</f>
        <v>-1.7508879628703082</v>
      </c>
      <c r="U40" s="106">
        <f>(1-Data!D$26)*Data!D$24+Data!D$26*Data!D$25</f>
        <v>4.9424036979969185E-6</v>
      </c>
      <c r="V40" s="107">
        <f t="shared" si="93"/>
        <v>1.0000988480739599</v>
      </c>
      <c r="W40" s="26">
        <f>((C40/G40)-D40)+(R40+R$13)/2*(1-Data!D$51)</f>
        <v>269.3152362858682</v>
      </c>
      <c r="X40" s="57">
        <f t="shared" si="89"/>
        <v>2.2874060351847892E-3</v>
      </c>
      <c r="Y40" s="103">
        <f t="shared" si="94"/>
        <v>5.8736401671727938E-2</v>
      </c>
      <c r="Z40" s="135">
        <f>Y40*Data!$D$21</f>
        <v>7.6239849369902871E-2</v>
      </c>
      <c r="AA40" s="134"/>
      <c r="AB40" s="134"/>
      <c r="AC40" s="135"/>
      <c r="AD40" s="135"/>
      <c r="AE40" s="135"/>
      <c r="AF40" s="135"/>
      <c r="AG40" s="135"/>
      <c r="AH40" s="246">
        <f t="shared" si="90"/>
        <v>1425.140098585925</v>
      </c>
      <c r="AI40" s="246"/>
      <c r="AJ40" s="246"/>
      <c r="AK40" s="246"/>
      <c r="AL40" s="1"/>
    </row>
    <row r="41" spans="2:38" x14ac:dyDescent="0.25">
      <c r="B41" s="1">
        <v>2340</v>
      </c>
      <c r="C41" s="1">
        <f t="shared" si="81"/>
        <v>1.4342643500000001</v>
      </c>
      <c r="D41" s="122">
        <f t="shared" si="82"/>
        <v>115.95590890000001</v>
      </c>
      <c r="E41">
        <f t="shared" si="83"/>
        <v>0.59857593279999999</v>
      </c>
      <c r="F41">
        <f t="shared" si="84"/>
        <v>1.7932440000000001E-2</v>
      </c>
      <c r="G41" s="97">
        <f t="shared" si="85"/>
        <v>7.2083227714336987E-3</v>
      </c>
      <c r="H41" s="20">
        <f>'MBal_Som_Saturated-Res'!X$27</f>
        <v>0.49383928916920833</v>
      </c>
      <c r="I41" s="14">
        <f>Data!D$8*(1-Data!D$16)+Data!D$10*Data!D$16</f>
        <v>0.49634854771784231</v>
      </c>
      <c r="J41" s="108">
        <f t="shared" si="95"/>
        <v>5.8736401671727938E-2</v>
      </c>
      <c r="K41" s="129">
        <f t="shared" si="86"/>
        <v>7.5347097314661937E-3</v>
      </c>
      <c r="L41" s="125">
        <f t="shared" si="87"/>
        <v>0.49747414364006176</v>
      </c>
      <c r="M41" s="268">
        <f t="shared" si="88"/>
        <v>6.1773086420958689E-3</v>
      </c>
      <c r="N41" s="264">
        <f>(L41-H41*(1-Data!D$16))/Data!D$16</f>
        <v>0.89202107438542189</v>
      </c>
      <c r="O41" s="215">
        <f>(M41-Data!D$27)/(1-Data!D$27-Data!D$19-I41)</f>
        <v>2.0343418731143811E-2</v>
      </c>
      <c r="P41" s="10">
        <f>Data!D$28*O41</f>
        <v>2.0343418731143811E-2</v>
      </c>
      <c r="Q41" s="10">
        <f>Data!D$28*(1-O41)</f>
        <v>0.97965658126885624</v>
      </c>
      <c r="R41" s="310">
        <f t="shared" si="91"/>
        <v>253.87516982031991</v>
      </c>
      <c r="S41" s="32">
        <f t="shared" si="92"/>
        <v>-1.13502115924344</v>
      </c>
      <c r="T41" s="26">
        <f>C$7*(1+Data!D$50)*((1/G41)-(1/G$36))</f>
        <v>-1.7508879628703082</v>
      </c>
      <c r="U41" s="106">
        <f>(1-Data!D$26)*Data!D$24+Data!D$26*Data!D$25</f>
        <v>4.9424036979969185E-6</v>
      </c>
      <c r="V41" s="107">
        <f t="shared" si="93"/>
        <v>1.0000988480739599</v>
      </c>
      <c r="W41" s="26">
        <f>((C41/G41)-D41)+(R41+R$13)/2*(1-Data!D$51)</f>
        <v>269.34809291589238</v>
      </c>
      <c r="X41" s="57">
        <f t="shared" si="89"/>
        <v>2.2871514286981949E-3</v>
      </c>
      <c r="Y41" s="103">
        <f t="shared" si="94"/>
        <v>5.8736147065241343E-2</v>
      </c>
      <c r="Z41" s="135">
        <f>Y41*Data!$D$21</f>
        <v>7.6239518890683269E-2</v>
      </c>
      <c r="AA41" s="134"/>
      <c r="AB41" s="134"/>
      <c r="AC41" s="135"/>
      <c r="AD41" s="135"/>
      <c r="AE41" s="135"/>
      <c r="AF41" s="135"/>
      <c r="AG41" s="135"/>
      <c r="AH41" s="246">
        <f t="shared" si="90"/>
        <v>1425.5090785410964</v>
      </c>
      <c r="AI41" s="246"/>
      <c r="AJ41" s="246"/>
      <c r="AK41" s="246"/>
    </row>
    <row r="42" spans="2:38" x14ac:dyDescent="0.25">
      <c r="B42" s="1">
        <v>2340</v>
      </c>
      <c r="C42" s="1">
        <f t="shared" si="81"/>
        <v>1.4342643500000001</v>
      </c>
      <c r="D42" s="122">
        <f t="shared" si="82"/>
        <v>115.95590890000001</v>
      </c>
      <c r="E42">
        <f t="shared" si="83"/>
        <v>0.59857593279999999</v>
      </c>
      <c r="F42">
        <f t="shared" si="84"/>
        <v>1.7932440000000001E-2</v>
      </c>
      <c r="G42" s="97">
        <f t="shared" si="85"/>
        <v>7.2083227714336987E-3</v>
      </c>
      <c r="H42" s="20">
        <f>'MBal_Som_Saturated-Res'!X$27</f>
        <v>0.49383928916920833</v>
      </c>
      <c r="I42" s="14">
        <f>Data!D$8*(1-Data!D$16)+Data!D$10*Data!D$16</f>
        <v>0.49634854771784231</v>
      </c>
      <c r="J42" s="108">
        <f t="shared" si="95"/>
        <v>5.8736147065241343E-2</v>
      </c>
      <c r="K42" s="129">
        <f t="shared" si="86"/>
        <v>7.5344412752111432E-3</v>
      </c>
      <c r="L42" s="125">
        <f t="shared" si="87"/>
        <v>0.49747427820400764</v>
      </c>
      <c r="M42" s="268">
        <f t="shared" si="88"/>
        <v>6.177174078150105E-3</v>
      </c>
      <c r="N42" s="264">
        <f>(L42-H42*(1-Data!D$16))/Data!D$16</f>
        <v>0.89203581525403819</v>
      </c>
      <c r="O42" s="215">
        <f>(M42-Data!D$27)/(1-Data!D$27-Data!D$19-I42)</f>
        <v>2.0342975578493783E-2</v>
      </c>
      <c r="P42" s="10">
        <f>Data!D$28*O42</f>
        <v>2.0342975578493783E-2</v>
      </c>
      <c r="Q42" s="10">
        <f>Data!D$28*(1-O42)</f>
        <v>0.97965702442150626</v>
      </c>
      <c r="R42" s="310">
        <f t="shared" si="91"/>
        <v>253.87210305688347</v>
      </c>
      <c r="S42" s="32">
        <f t="shared" si="92"/>
        <v>-1.1350214662602522</v>
      </c>
      <c r="T42" s="26">
        <f>C$7*(1+Data!D$50)*((1/G42)-(1/G$36))</f>
        <v>-1.7508879628703082</v>
      </c>
      <c r="U42" s="106">
        <f>(1-Data!D$26)*Data!D$24+Data!D$26*Data!D$25</f>
        <v>4.9424036979969185E-6</v>
      </c>
      <c r="V42" s="107">
        <f t="shared" si="93"/>
        <v>1.0000988480739599</v>
      </c>
      <c r="W42" s="26">
        <f>((C42/G42)-D42)+(R42+R$13)/2*(1-Data!D$51)</f>
        <v>269.34655953417416</v>
      </c>
      <c r="X42" s="57">
        <f t="shared" si="89"/>
        <v>2.2871633095233328E-3</v>
      </c>
      <c r="Y42" s="103">
        <f t="shared" si="94"/>
        <v>5.8736158946066479E-2</v>
      </c>
      <c r="Z42" s="135">
        <f>Y42*Data!$D$21</f>
        <v>7.6239534311994289E-2</v>
      </c>
      <c r="AA42" s="134"/>
      <c r="AB42" s="134"/>
      <c r="AC42" s="135"/>
      <c r="AD42" s="135"/>
      <c r="AE42" s="135"/>
      <c r="AF42" s="135"/>
      <c r="AG42" s="135"/>
      <c r="AH42" s="246">
        <f t="shared" si="90"/>
        <v>1425.4918586644008</v>
      </c>
      <c r="AI42" s="246"/>
      <c r="AJ42" s="246"/>
      <c r="AK42" s="246"/>
    </row>
    <row r="43" spans="2:38" x14ac:dyDescent="0.25">
      <c r="B43" s="1">
        <v>2340</v>
      </c>
      <c r="C43" s="1">
        <f t="shared" si="81"/>
        <v>1.4342643500000001</v>
      </c>
      <c r="D43" s="122">
        <f t="shared" si="82"/>
        <v>115.95590890000001</v>
      </c>
      <c r="E43">
        <f t="shared" si="83"/>
        <v>0.59857593279999999</v>
      </c>
      <c r="F43">
        <f t="shared" si="84"/>
        <v>1.7932440000000001E-2</v>
      </c>
      <c r="G43" s="97">
        <f t="shared" si="85"/>
        <v>7.2083227714336987E-3</v>
      </c>
      <c r="H43" s="20">
        <f>'MBal_Som_Saturated-Res'!X$27</f>
        <v>0.49383928916920833</v>
      </c>
      <c r="I43" s="14">
        <f>Data!D$8*(1-Data!D$16)+Data!D$10*Data!D$16</f>
        <v>0.49634854771784231</v>
      </c>
      <c r="J43" s="108">
        <f t="shared" si="95"/>
        <v>5.8736158946066479E-2</v>
      </c>
      <c r="K43" s="129">
        <f t="shared" si="86"/>
        <v>7.5344538023146964E-3</v>
      </c>
      <c r="L43" s="125">
        <f t="shared" si="87"/>
        <v>0.49747427192478538</v>
      </c>
      <c r="M43" s="268">
        <f t="shared" si="88"/>
        <v>6.1771803573723583E-3</v>
      </c>
      <c r="N43" s="264">
        <f>(L43-H43*(1-Data!D$16))/Data!D$16</f>
        <v>0.89203512739378221</v>
      </c>
      <c r="O43" s="215">
        <f>(M43-Data!D$27)/(1-Data!D$27-Data!D$19-I43)</f>
        <v>2.0342996257539464E-2</v>
      </c>
      <c r="P43" s="10">
        <f>Data!D$28*O43</f>
        <v>2.0342996257539464E-2</v>
      </c>
      <c r="Q43" s="10">
        <f>Data!D$28*(1-O43)</f>
        <v>0.97965700374246056</v>
      </c>
      <c r="R43" s="310">
        <f t="shared" si="91"/>
        <v>253.87224616268202</v>
      </c>
      <c r="S43" s="32">
        <f t="shared" si="92"/>
        <v>-1.1350214519337789</v>
      </c>
      <c r="T43" s="26">
        <f>C$7*(1+Data!D$50)*((1/G43)-(1/G$36))</f>
        <v>-1.7508879628703082</v>
      </c>
      <c r="U43" s="106">
        <f>(1-Data!D$26)*Data!D$24+Data!D$26*Data!D$25</f>
        <v>4.9424036979969185E-6</v>
      </c>
      <c r="V43" s="107">
        <f t="shared" si="93"/>
        <v>1.0000988480739599</v>
      </c>
      <c r="W43" s="26">
        <f>((C43/G43)-D43)+(R43+R$13)/2*(1-Data!D$51)</f>
        <v>269.34663108707343</v>
      </c>
      <c r="X43" s="57">
        <f t="shared" si="89"/>
        <v>2.2871627551199164E-3</v>
      </c>
      <c r="Y43" s="103">
        <f t="shared" si="94"/>
        <v>5.873615839166306E-2</v>
      </c>
      <c r="Z43" s="135">
        <f>Y43*Data!$D$21</f>
        <v>7.6239533592378658E-2</v>
      </c>
      <c r="AA43" s="134"/>
      <c r="AB43" s="134"/>
      <c r="AC43" s="135"/>
      <c r="AD43" s="135"/>
      <c r="AE43" s="135"/>
      <c r="AF43" s="135"/>
      <c r="AG43" s="135"/>
      <c r="AH43" s="246">
        <f t="shared" si="90"/>
        <v>1425.4926622034595</v>
      </c>
      <c r="AI43" s="246"/>
      <c r="AJ43" s="246"/>
      <c r="AK43" s="246"/>
    </row>
    <row r="44" spans="2:38" x14ac:dyDescent="0.25">
      <c r="B44" s="1">
        <v>2340</v>
      </c>
      <c r="C44" s="1">
        <f t="shared" si="81"/>
        <v>1.4342643500000001</v>
      </c>
      <c r="D44" s="122">
        <f t="shared" si="82"/>
        <v>115.95590890000001</v>
      </c>
      <c r="E44">
        <f t="shared" si="83"/>
        <v>0.59857593279999999</v>
      </c>
      <c r="F44">
        <f t="shared" si="84"/>
        <v>1.7932440000000001E-2</v>
      </c>
      <c r="G44" s="97">
        <f t="shared" si="85"/>
        <v>7.2083227714336987E-3</v>
      </c>
      <c r="H44" s="20">
        <f>'MBal_Som_Saturated-Res'!X$27</f>
        <v>0.49383928916920833</v>
      </c>
      <c r="I44" s="14">
        <f>Data!D$8*(1-Data!D$16)+Data!D$10*Data!D$16</f>
        <v>0.49634854771784231</v>
      </c>
      <c r="J44" s="108">
        <f t="shared" si="95"/>
        <v>5.873615839166306E-2</v>
      </c>
      <c r="K44" s="129">
        <f t="shared" si="86"/>
        <v>7.534453217753527E-3</v>
      </c>
      <c r="L44" s="125">
        <f t="shared" si="87"/>
        <v>0.49747427221779728</v>
      </c>
      <c r="M44" s="268">
        <f t="shared" si="88"/>
        <v>6.1771800643604102E-3</v>
      </c>
      <c r="N44" s="264">
        <f>(L44-H44*(1-Data!D$16))/Data!D$16</f>
        <v>0.89203515949190315</v>
      </c>
      <c r="O44" s="215">
        <f>(M44-Data!D$27)/(1-Data!D$27-Data!D$19-I44)</f>
        <v>2.0342995292578006E-2</v>
      </c>
      <c r="P44" s="10">
        <f>Data!D$28*O44</f>
        <v>2.0342995292578006E-2</v>
      </c>
      <c r="Q44" s="10">
        <f>Data!D$28*(1-O44)</f>
        <v>0.97965700470742201</v>
      </c>
      <c r="R44" s="309">
        <f t="shared" si="91"/>
        <v>253.87223948483114</v>
      </c>
      <c r="S44" s="32">
        <f t="shared" si="92"/>
        <v>-1.1350214526023055</v>
      </c>
      <c r="T44" s="26">
        <f>C$7*(1+Data!D$50)*((1/G44)-(1/G$36))</f>
        <v>-1.7508879628703082</v>
      </c>
      <c r="U44" s="106">
        <f>(1-Data!D$26)*Data!D$24+Data!D$26*Data!D$25</f>
        <v>4.9424036979969185E-6</v>
      </c>
      <c r="V44" s="107">
        <f t="shared" si="93"/>
        <v>1.0000988480739599</v>
      </c>
      <c r="W44" s="26">
        <f>((C44/G44)-D44)+(R44+R$13)/2*(1-Data!D$51)</f>
        <v>269.34662774814797</v>
      </c>
      <c r="X44" s="57">
        <f t="shared" si="89"/>
        <v>2.2871627809904439E-3</v>
      </c>
      <c r="Y44" s="103">
        <f t="shared" si="94"/>
        <v>5.8736158417533588E-2</v>
      </c>
      <c r="Z44" s="135">
        <f>Y44*Data!$D$21</f>
        <v>7.6239533625958603E-2</v>
      </c>
      <c r="AA44" s="134"/>
      <c r="AB44" s="134"/>
      <c r="AC44" s="135"/>
      <c r="AD44" s="135"/>
      <c r="AE44" s="135"/>
      <c r="AF44" s="135"/>
      <c r="AG44" s="135"/>
      <c r="AH44" s="246">
        <f t="shared" si="90"/>
        <v>1425.492624707327</v>
      </c>
      <c r="AI44" s="246"/>
      <c r="AJ44" s="246"/>
      <c r="AK44" s="246"/>
    </row>
    <row r="45" spans="2:38" x14ac:dyDescent="0.25">
      <c r="B45" s="1">
        <v>2340</v>
      </c>
      <c r="C45" s="1">
        <f t="shared" si="81"/>
        <v>1.4342643500000001</v>
      </c>
      <c r="D45" s="122">
        <f t="shared" si="82"/>
        <v>115.95590890000001</v>
      </c>
      <c r="E45">
        <f t="shared" si="83"/>
        <v>0.59857593279999999</v>
      </c>
      <c r="F45">
        <f t="shared" si="84"/>
        <v>1.7932440000000001E-2</v>
      </c>
      <c r="G45" s="97">
        <f t="shared" si="85"/>
        <v>7.2083227714336987E-3</v>
      </c>
      <c r="H45" s="20">
        <f>'MBal_Som_Saturated-Res'!X$27</f>
        <v>0.49383928916920833</v>
      </c>
      <c r="I45" s="14">
        <f>Data!D$8*(1-Data!D$16)+Data!D$10*Data!D$16</f>
        <v>0.49634854771784231</v>
      </c>
      <c r="J45" s="108">
        <f t="shared" si="95"/>
        <v>5.8736158417533588E-2</v>
      </c>
      <c r="K45" s="129">
        <f t="shared" si="86"/>
        <v>7.5344532450313277E-3</v>
      </c>
      <c r="L45" s="125">
        <f t="shared" si="87"/>
        <v>0.49747427220412421</v>
      </c>
      <c r="M45" s="268">
        <f t="shared" si="88"/>
        <v>6.1771800780334729E-3</v>
      </c>
      <c r="N45" s="264">
        <f>(L45-H45*(1-Data!D$16))/Data!D$16</f>
        <v>0.89203515799408128</v>
      </c>
      <c r="O45" s="215">
        <f>(M45-Data!D$27)/(1-Data!D$27-Data!D$19-I45)</f>
        <v>2.0342995337606813E-2</v>
      </c>
      <c r="P45" s="10">
        <f>Data!D$28*O45</f>
        <v>2.0342995337606813E-2</v>
      </c>
      <c r="Q45" s="10">
        <f>Data!D$28*(1-O45)</f>
        <v>0.97965700466239314</v>
      </c>
      <c r="R45" s="310">
        <f t="shared" si="91"/>
        <v>253.87223979644534</v>
      </c>
      <c r="S45" s="32">
        <f t="shared" si="92"/>
        <v>-1.1350214525711095</v>
      </c>
      <c r="T45" s="26">
        <f>C$7*(1+Data!D$50)*((1/G45)-(1/G$36))</f>
        <v>-1.7508879628703082</v>
      </c>
      <c r="U45" s="106">
        <f>(1-Data!D$26)*Data!D$24+Data!D$26*Data!D$25</f>
        <v>4.9424036979969185E-6</v>
      </c>
      <c r="V45" s="107">
        <f t="shared" si="93"/>
        <v>1.0000988480739599</v>
      </c>
      <c r="W45" s="26">
        <f>((C45/G45)-D45)+(R45+R$13)/2*(1-Data!D$51)</f>
        <v>269.3466279039551</v>
      </c>
      <c r="X45" s="57">
        <f t="shared" si="89"/>
        <v>2.2871627797832251E-3</v>
      </c>
      <c r="Y45" s="103">
        <f t="shared" si="94"/>
        <v>5.8736158416326373E-2</v>
      </c>
      <c r="Z45" s="135">
        <f>Y45*Data!$D$21</f>
        <v>7.6239533624391634E-2</v>
      </c>
      <c r="AA45" s="134"/>
      <c r="AB45" s="134"/>
      <c r="AC45" s="135"/>
      <c r="AD45" s="135"/>
      <c r="AE45" s="135"/>
      <c r="AF45" s="135"/>
      <c r="AG45" s="437"/>
      <c r="AH45" s="246">
        <f t="shared" si="90"/>
        <v>1425.4926264570406</v>
      </c>
      <c r="AI45" s="246"/>
      <c r="AJ45" s="246"/>
      <c r="AK45" s="246"/>
    </row>
    <row r="46" spans="2:38" x14ac:dyDescent="0.25">
      <c r="B46" s="5">
        <v>2340</v>
      </c>
      <c r="C46" s="1">
        <f t="shared" si="81"/>
        <v>1.4342643500000001</v>
      </c>
      <c r="D46" s="122">
        <f>0.04285545*B46 + 15.6741559</f>
        <v>115.95590890000001</v>
      </c>
      <c r="E46">
        <f t="shared" si="83"/>
        <v>0.59857593279999999</v>
      </c>
      <c r="F46">
        <f t="shared" si="84"/>
        <v>1.7932440000000001E-2</v>
      </c>
      <c r="G46" s="97">
        <f t="shared" si="85"/>
        <v>7.2083227714336987E-3</v>
      </c>
      <c r="H46" s="24">
        <f>'MBal_Som_Saturated-Res'!X$27</f>
        <v>0.49383928916920833</v>
      </c>
      <c r="I46" s="14">
        <f>Data!D$8*(1-Data!D$16)+Data!D$10*Data!D$16</f>
        <v>0.49634854771784231</v>
      </c>
      <c r="J46" s="108">
        <f t="shared" si="95"/>
        <v>5.8736158416326373E-2</v>
      </c>
      <c r="K46" s="129">
        <f t="shared" si="86"/>
        <v>7.534453243758444E-3</v>
      </c>
      <c r="L46" s="124">
        <f t="shared" si="87"/>
        <v>0.4974742722047622</v>
      </c>
      <c r="M46" s="268">
        <f t="shared" si="88"/>
        <v>6.1771800773954277E-3</v>
      </c>
      <c r="N46" s="264">
        <f>(L46-H46*(1-Data!D$16))/Data!D$16</f>
        <v>0.89203515806397016</v>
      </c>
      <c r="O46" s="215">
        <f>(M46-Data!D$27)/(1-Data!D$27-Data!D$19-I46)</f>
        <v>2.0342995335505574E-2</v>
      </c>
      <c r="P46" s="10">
        <f>Data!D$28*O46</f>
        <v>2.0342995335505574E-2</v>
      </c>
      <c r="Q46" s="10">
        <f>Data!D$28*(1-O46)</f>
        <v>0.97965700466449446</v>
      </c>
      <c r="R46" s="309">
        <f t="shared" si="91"/>
        <v>253.87223978190406</v>
      </c>
      <c r="S46" s="32">
        <f t="shared" si="92"/>
        <v>-1.135021452572565</v>
      </c>
      <c r="T46" s="26">
        <f>C$7*(1+Data!D$50)*((1/G46)-(1/G$36))</f>
        <v>-1.7508879628703082</v>
      </c>
      <c r="U46" s="106">
        <f>(1-Data!D$26)*Data!D$24+Data!D$26*Data!D$25</f>
        <v>4.9424036979969185E-6</v>
      </c>
      <c r="V46" s="107">
        <f t="shared" si="93"/>
        <v>1.0000988480739599</v>
      </c>
      <c r="W46" s="26">
        <f>((C46/G46)-D46)+(R46+R$13)/2*(1-Data!D$51)</f>
        <v>269.34662789668442</v>
      </c>
      <c r="X46" s="101">
        <f t="shared" si="89"/>
        <v>2.2871627798395603E-3</v>
      </c>
      <c r="Y46" s="103">
        <f t="shared" si="94"/>
        <v>5.873615841638271E-2</v>
      </c>
      <c r="Z46" s="133">
        <f>Y46*Data!$D$21</f>
        <v>7.6239533624464756E-2</v>
      </c>
      <c r="AA46" s="430">
        <f>'UNS RES'!$K$5*'UNS RES'!$J$5*'UNS RES'!$I$5*Q46/(E46*C46*1)</f>
        <v>0.12351890859036854</v>
      </c>
      <c r="AB46" s="431">
        <f>AA46*(B46-2000)</f>
        <v>41.996428920725307</v>
      </c>
      <c r="AC46" s="134">
        <f>Z46-Z36</f>
        <v>2.9687372882317431E-3</v>
      </c>
      <c r="AD46" s="434">
        <f>AC46*1000000</f>
        <v>2968.7372882317432</v>
      </c>
      <c r="AE46" s="134">
        <f>365*(AB36-AB46)/AD46</f>
        <v>0.32101373660733296</v>
      </c>
      <c r="AF46" s="142">
        <f>(LN(AB36/AB46))/AE46</f>
        <v>0.18788989529379752</v>
      </c>
      <c r="AG46" s="248">
        <f>AF46+AG36</f>
        <v>1.5606508862525834</v>
      </c>
      <c r="AH46" s="245">
        <f t="shared" si="90"/>
        <v>1425.4926263753914</v>
      </c>
      <c r="AI46" s="247">
        <f>(AB46*AH46)/10^6</f>
        <v>5.9865599760592164E-2</v>
      </c>
      <c r="AJ46" s="247">
        <f>365*AI46*AF46</f>
        <v>4.105571563812088</v>
      </c>
      <c r="AK46" s="247">
        <f>AK36+AJ46</f>
        <v>53.941142734772754</v>
      </c>
    </row>
    <row r="47" spans="2:38" x14ac:dyDescent="0.25">
      <c r="D47" s="97"/>
      <c r="E47"/>
      <c r="F47"/>
      <c r="G47" s="97"/>
      <c r="H47" s="20"/>
      <c r="I47" s="14"/>
      <c r="J47" s="105"/>
      <c r="K47" s="128"/>
      <c r="L47" s="125"/>
      <c r="M47" s="268"/>
      <c r="N47" s="264"/>
      <c r="O47" s="215"/>
      <c r="P47" s="10"/>
      <c r="Q47" s="10"/>
      <c r="R47" s="309"/>
      <c r="S47" s="9"/>
      <c r="T47" s="1"/>
      <c r="U47" s="100"/>
      <c r="V47" s="8"/>
      <c r="W47" s="1"/>
      <c r="X47" s="57"/>
      <c r="Y47" s="103"/>
      <c r="Z47" s="103"/>
      <c r="AA47" s="430"/>
      <c r="AB47" s="432"/>
      <c r="AC47" s="103"/>
      <c r="AD47" s="103"/>
      <c r="AE47" s="103"/>
      <c r="AF47" s="103"/>
      <c r="AG47" s="436"/>
      <c r="AH47" s="191"/>
      <c r="AI47" s="191"/>
      <c r="AJ47" s="191"/>
      <c r="AK47" s="191"/>
    </row>
    <row r="48" spans="2:38" x14ac:dyDescent="0.25">
      <c r="B48" s="1">
        <v>2320</v>
      </c>
      <c r="C48" s="1">
        <f t="shared" ref="C48:C56" si="96">0.00011448*B48 + 1.16638115</f>
        <v>1.4319747500000002</v>
      </c>
      <c r="D48" s="122">
        <f t="shared" ref="D48:D55" si="97">0.04285545*B48 + 15.6741559</f>
        <v>115.0987999</v>
      </c>
      <c r="E48">
        <f t="shared" ref="E48:E56" si="98">0.0000000907*B48^2 - 0.0003674172*B48 + 0.9616952608</f>
        <v>0.59747103680000002</v>
      </c>
      <c r="F48">
        <f t="shared" ref="F48:F56" si="99">0.00000236*B48 + 0.01241004</f>
        <v>1.788524E-2</v>
      </c>
      <c r="G48" s="97">
        <f t="shared" ref="G48:G56" si="100">20.40472*B48^(-1.02454)</f>
        <v>7.2719951335830698E-3</v>
      </c>
      <c r="H48" s="20">
        <f>'MBal_Som_Saturated-Res'!X$35</f>
        <v>0.49173586334716513</v>
      </c>
      <c r="I48" s="14">
        <f>Data!D$8*(1-Data!D$16)+Data!D$10*Data!D$16</f>
        <v>0.49634854771784231</v>
      </c>
      <c r="J48" s="105">
        <f>Y46</f>
        <v>5.873615841638271E-2</v>
      </c>
      <c r="K48" s="129">
        <f t="shared" ref="K48:K56" si="101">(J48-J$7)/(1-J$7)</f>
        <v>7.5344532438178452E-3</v>
      </c>
      <c r="L48" s="125">
        <f t="shared" ref="L48:L56" si="102">(1-K48)*(C48/C$7)*(1-I48)</f>
        <v>0.49668012495172437</v>
      </c>
      <c r="M48" s="268">
        <f t="shared" ref="M48:M56" si="103">1-L48-I48</f>
        <v>6.9713273304333745E-3</v>
      </c>
      <c r="N48" s="264">
        <f>(L48-H48*(1-Data!D$16))/Data!D$16</f>
        <v>1.0333572482102413</v>
      </c>
      <c r="O48" s="215">
        <f>(M48-Data!D$27)/(1-Data!D$27-Data!D$19-I48)</f>
        <v>2.2958320396753797E-2</v>
      </c>
      <c r="P48" s="10">
        <f>Data!D$28*O48</f>
        <v>2.2958320396753797E-2</v>
      </c>
      <c r="Q48" s="10">
        <f>Data!D$28*(1-O48)</f>
        <v>0.97704167960324617</v>
      </c>
      <c r="R48" s="310">
        <f>1*(D48+(P48*E48*C48)/(Q48*F48*G48))</f>
        <v>269.67082156544507</v>
      </c>
      <c r="S48" s="32">
        <f>(1-J48)*((C48/G48-D48)-(C$46/G$46-D$46))</f>
        <v>-1.1294413434126314</v>
      </c>
      <c r="T48" s="26">
        <f>C$7*(1+Data!D$50)*((1/G48)-(1/G$46))</f>
        <v>-1.7505207594382841</v>
      </c>
      <c r="U48" s="106">
        <f>(1-Data!D$26)*Data!D$24+Data!D$26*Data!D$25</f>
        <v>4.9424036979969185E-6</v>
      </c>
      <c r="V48" s="107">
        <f>1+U48*(B$46-B48)</f>
        <v>1.0000988480739599</v>
      </c>
      <c r="W48" s="26">
        <f>((C48/G48)-D48)+(R48+R$46)/2*(1-Data!D$51)</f>
        <v>343.58908229692355</v>
      </c>
      <c r="X48" s="57">
        <f t="shared" ref="X48:X56" si="104">(S48-T48*V48)/W48</f>
        <v>1.8081262870112812E-3</v>
      </c>
      <c r="Y48" s="103">
        <f>X48+Y$46</f>
        <v>6.0544284703393993E-2</v>
      </c>
      <c r="Z48" s="135">
        <f>Y48*Data!$D$21</f>
        <v>7.8586481545005402E-2</v>
      </c>
      <c r="AA48" s="430"/>
      <c r="AB48" s="253"/>
      <c r="AC48" s="135"/>
      <c r="AD48" s="135"/>
      <c r="AE48" s="135"/>
      <c r="AF48" s="135"/>
      <c r="AG48" s="437"/>
      <c r="AH48" s="246">
        <f t="shared" ref="AH48:AH56" si="105">5.615*R48</f>
        <v>1514.2016630899741</v>
      </c>
      <c r="AI48" s="246"/>
      <c r="AJ48" s="246"/>
      <c r="AK48" s="246"/>
      <c r="AL48" s="1"/>
    </row>
    <row r="49" spans="2:38" x14ac:dyDescent="0.25">
      <c r="B49" s="1">
        <v>2320</v>
      </c>
      <c r="C49" s="1">
        <f t="shared" si="96"/>
        <v>1.4319747500000002</v>
      </c>
      <c r="D49" s="122">
        <f t="shared" si="97"/>
        <v>115.0987999</v>
      </c>
      <c r="E49">
        <f t="shared" si="98"/>
        <v>0.59747103680000002</v>
      </c>
      <c r="F49">
        <f t="shared" si="99"/>
        <v>1.788524E-2</v>
      </c>
      <c r="G49" s="97">
        <f t="shared" si="100"/>
        <v>7.2719951335830698E-3</v>
      </c>
      <c r="H49" s="20">
        <f>'MBal_Som_Saturated-Res'!X$35</f>
        <v>0.49173586334716513</v>
      </c>
      <c r="I49" s="14">
        <f>Data!D$8*(1-Data!D$16)+Data!D$10*Data!D$16</f>
        <v>0.49634854771784231</v>
      </c>
      <c r="J49" s="108">
        <f>Y48</f>
        <v>6.0544284703393993E-2</v>
      </c>
      <c r="K49" s="129">
        <f t="shared" si="101"/>
        <v>9.4409357461348788E-3</v>
      </c>
      <c r="L49" s="125">
        <f t="shared" si="102"/>
        <v>0.4957260243579415</v>
      </c>
      <c r="M49" s="268">
        <f t="shared" si="103"/>
        <v>7.925427924216133E-3</v>
      </c>
      <c r="N49" s="264">
        <f>(L49-H49*(1-Data!D$16))/Data!D$16</f>
        <v>0.92883986498220872</v>
      </c>
      <c r="O49" s="215">
        <f>(M49-Data!D$27)/(1-Data!D$27-Data!D$19-I49)</f>
        <v>2.6100411720908549E-2</v>
      </c>
      <c r="P49" s="10">
        <f>Data!D$28*O49</f>
        <v>2.6100411720908549E-2</v>
      </c>
      <c r="Q49" s="10">
        <f>Data!D$28*(1-O49)</f>
        <v>0.9738995882790914</v>
      </c>
      <c r="R49" s="310">
        <f t="shared" ref="R49:R56" si="106">1*(D49+(P49*E49*C49)/(Q49*F49*G49))</f>
        <v>291.39260082711752</v>
      </c>
      <c r="S49" s="32">
        <f t="shared" ref="S49:S56" si="107">(1-J49)*((C49/G49-D49)-(C$46/G$46-D$46))</f>
        <v>-1.1272717364518179</v>
      </c>
      <c r="T49" s="26">
        <f>C$7*(1+Data!D$50)*((1/G49)-(1/G$46))</f>
        <v>-1.7505207594382841</v>
      </c>
      <c r="U49" s="106">
        <f>(1-Data!D$26)*Data!D$24+Data!D$26*Data!D$25</f>
        <v>4.9424036979969185E-6</v>
      </c>
      <c r="V49" s="107">
        <f t="shared" ref="V49:V56" si="108">1+U49*(B$46-B49)</f>
        <v>1.0000988480739599</v>
      </c>
      <c r="W49" s="26">
        <f>((C49/G49)-D49)+(R49+R$46)/2*(1-Data!D$51)</f>
        <v>354.4499719277598</v>
      </c>
      <c r="X49" s="57">
        <f t="shared" si="104"/>
        <v>1.7588435829218308E-3</v>
      </c>
      <c r="Y49" s="103">
        <f t="shared" ref="Y49:Y56" si="109">X49+Y$46</f>
        <v>6.0495001999304542E-2</v>
      </c>
      <c r="Z49" s="135">
        <f>Y49*Data!$D$21</f>
        <v>7.8522512595097294E-2</v>
      </c>
      <c r="AA49" s="430"/>
      <c r="AB49" s="253"/>
      <c r="AC49" s="135"/>
      <c r="AD49" s="135"/>
      <c r="AE49" s="135"/>
      <c r="AF49" s="135"/>
      <c r="AG49" s="437"/>
      <c r="AH49" s="246">
        <f t="shared" si="105"/>
        <v>1636.1694536442649</v>
      </c>
      <c r="AI49" s="246"/>
      <c r="AJ49" s="246"/>
      <c r="AK49" s="246"/>
      <c r="AL49" s="5" t="s">
        <v>58</v>
      </c>
    </row>
    <row r="50" spans="2:38" x14ac:dyDescent="0.25">
      <c r="B50" s="1">
        <v>2320</v>
      </c>
      <c r="C50" s="1">
        <f t="shared" si="96"/>
        <v>1.4319747500000002</v>
      </c>
      <c r="D50" s="122">
        <f t="shared" si="97"/>
        <v>115.0987999</v>
      </c>
      <c r="E50">
        <f t="shared" si="98"/>
        <v>0.59747103680000002</v>
      </c>
      <c r="F50">
        <f t="shared" si="99"/>
        <v>1.788524E-2</v>
      </c>
      <c r="G50" s="97">
        <f t="shared" si="100"/>
        <v>7.2719951335830698E-3</v>
      </c>
      <c r="H50" s="20">
        <f>'MBal_Som_Saturated-Res'!X$35</f>
        <v>0.49173586334716513</v>
      </c>
      <c r="I50" s="14">
        <f>Data!D$8*(1-Data!D$16)+Data!D$10*Data!D$16</f>
        <v>0.49634854771784231</v>
      </c>
      <c r="J50" s="108">
        <f t="shared" ref="J50:J56" si="110">Y49</f>
        <v>6.0495001999304542E-2</v>
      </c>
      <c r="K50" s="129">
        <f t="shared" si="101"/>
        <v>9.3889722225202147E-3</v>
      </c>
      <c r="L50" s="125">
        <f t="shared" si="102"/>
        <v>0.49575202954218822</v>
      </c>
      <c r="M50" s="268">
        <f t="shared" si="103"/>
        <v>7.8994227399694639E-3</v>
      </c>
      <c r="N50" s="264">
        <f>(L50-H50*(1-Data!D$16))/Data!D$16</f>
        <v>0.93168861471105446</v>
      </c>
      <c r="O50" s="215">
        <f>(M50-Data!D$27)/(1-Data!D$27-Data!D$19-I50)</f>
        <v>2.601477016032578E-2</v>
      </c>
      <c r="P50" s="10">
        <f>Data!D$28*O50</f>
        <v>2.601477016032578E-2</v>
      </c>
      <c r="Q50" s="10">
        <f>Data!D$28*(1-O50)</f>
        <v>0.97398522983967417</v>
      </c>
      <c r="R50" s="310">
        <f t="shared" si="106"/>
        <v>290.79868912195769</v>
      </c>
      <c r="S50" s="32">
        <f t="shared" si="107"/>
        <v>-1.1273308717559216</v>
      </c>
      <c r="T50" s="26">
        <f>C$7*(1+Data!D$50)*((1/G50)-(1/G$46))</f>
        <v>-1.7505207594382841</v>
      </c>
      <c r="U50" s="106">
        <f>(1-Data!D$26)*Data!D$24+Data!D$26*Data!D$25</f>
        <v>4.9424036979969185E-6</v>
      </c>
      <c r="V50" s="107">
        <f t="shared" si="108"/>
        <v>1.0000988480739599</v>
      </c>
      <c r="W50" s="26">
        <f>((C50/G50)-D50)+(R50+R$46)/2*(1-Data!D$51)</f>
        <v>354.15301607517989</v>
      </c>
      <c r="X50" s="57">
        <f t="shared" si="104"/>
        <v>1.760151389351804E-3</v>
      </c>
      <c r="Y50" s="103">
        <f t="shared" si="109"/>
        <v>6.0496309805734512E-2</v>
      </c>
      <c r="Z50" s="135">
        <f>Y50*Data!$D$21</f>
        <v>7.85242101278434E-2</v>
      </c>
      <c r="AA50" s="430"/>
      <c r="AB50" s="253"/>
      <c r="AC50" s="135"/>
      <c r="AD50" s="135"/>
      <c r="AE50" s="135"/>
      <c r="AF50" s="135"/>
      <c r="AG50" s="437"/>
      <c r="AH50" s="246">
        <f t="shared" si="105"/>
        <v>1632.8346394197924</v>
      </c>
      <c r="AI50" s="246"/>
      <c r="AJ50" s="246"/>
      <c r="AK50" s="246"/>
      <c r="AL50" s="1"/>
    </row>
    <row r="51" spans="2:38" x14ac:dyDescent="0.25">
      <c r="B51" s="1">
        <v>2320</v>
      </c>
      <c r="C51" s="1">
        <f t="shared" si="96"/>
        <v>1.4319747500000002</v>
      </c>
      <c r="D51" s="122">
        <f t="shared" si="97"/>
        <v>115.0987999</v>
      </c>
      <c r="E51">
        <f t="shared" si="98"/>
        <v>0.59747103680000002</v>
      </c>
      <c r="F51">
        <f t="shared" si="99"/>
        <v>1.788524E-2</v>
      </c>
      <c r="G51" s="97">
        <f t="shared" si="100"/>
        <v>7.2719951335830698E-3</v>
      </c>
      <c r="H51" s="20">
        <f>'MBal_Som_Saturated-Res'!X$35</f>
        <v>0.49173586334716513</v>
      </c>
      <c r="I51" s="14">
        <f>Data!D$8*(1-Data!D$16)+Data!D$10*Data!D$16</f>
        <v>0.49634854771784231</v>
      </c>
      <c r="J51" s="108">
        <f t="shared" si="110"/>
        <v>6.0496309805734512E-2</v>
      </c>
      <c r="K51" s="129">
        <f t="shared" si="101"/>
        <v>9.3903511693853026E-3</v>
      </c>
      <c r="L51" s="125">
        <f t="shared" si="102"/>
        <v>0.49575133944719846</v>
      </c>
      <c r="M51" s="268">
        <f t="shared" si="103"/>
        <v>7.9001128349592831E-3</v>
      </c>
      <c r="N51" s="264">
        <f>(L51-H51*(1-Data!D$16))/Data!D$16</f>
        <v>0.93161301794172124</v>
      </c>
      <c r="O51" s="215">
        <f>(M51-Data!D$27)/(1-Data!D$27-Data!D$19-I51)</f>
        <v>2.6017042815320947E-2</v>
      </c>
      <c r="P51" s="10">
        <f>Data!D$28*O51</f>
        <v>2.6017042815320947E-2</v>
      </c>
      <c r="Q51" s="10">
        <f>Data!D$28*(1-O51)</f>
        <v>0.97398295718467909</v>
      </c>
      <c r="R51" s="310">
        <f t="shared" si="106"/>
        <v>290.81444830313887</v>
      </c>
      <c r="S51" s="32">
        <f t="shared" si="107"/>
        <v>-1.127329302492782</v>
      </c>
      <c r="T51" s="26">
        <f>C$7*(1+Data!D$50)*((1/G51)-(1/G$46))</f>
        <v>-1.7505207594382841</v>
      </c>
      <c r="U51" s="106">
        <f>(1-Data!D$26)*Data!D$24+Data!D$26*Data!D$25</f>
        <v>4.9424036979969185E-6</v>
      </c>
      <c r="V51" s="107">
        <f t="shared" si="108"/>
        <v>1.0000988480739599</v>
      </c>
      <c r="W51" s="26">
        <f>((C51/G51)-D51)+(R51+R$46)/2*(1-Data!D$51)</f>
        <v>354.16089566577051</v>
      </c>
      <c r="X51" s="57">
        <f t="shared" si="104"/>
        <v>1.7601166593481914E-3</v>
      </c>
      <c r="Y51" s="103">
        <f t="shared" si="109"/>
        <v>6.0496275075730903E-2</v>
      </c>
      <c r="Z51" s="135">
        <f>Y51*Data!$D$21</f>
        <v>7.8524165048298719E-2</v>
      </c>
      <c r="AA51" s="430"/>
      <c r="AB51" s="253"/>
      <c r="AC51" s="135"/>
      <c r="AD51" s="135"/>
      <c r="AE51" s="135"/>
      <c r="AF51" s="135"/>
      <c r="AG51" s="437"/>
      <c r="AH51" s="246">
        <f t="shared" si="105"/>
        <v>1632.9231272221248</v>
      </c>
      <c r="AI51" s="246"/>
      <c r="AJ51" s="246"/>
      <c r="AK51" s="246"/>
    </row>
    <row r="52" spans="2:38" x14ac:dyDescent="0.25">
      <c r="B52" s="1">
        <v>2320</v>
      </c>
      <c r="C52" s="1">
        <f t="shared" si="96"/>
        <v>1.4319747500000002</v>
      </c>
      <c r="D52" s="122">
        <f t="shared" si="97"/>
        <v>115.0987999</v>
      </c>
      <c r="E52">
        <f t="shared" si="98"/>
        <v>0.59747103680000002</v>
      </c>
      <c r="F52">
        <f t="shared" si="99"/>
        <v>1.788524E-2</v>
      </c>
      <c r="G52" s="97">
        <f t="shared" si="100"/>
        <v>7.2719951335830698E-3</v>
      </c>
      <c r="H52" s="20">
        <f>'MBal_Som_Saturated-Res'!X$35</f>
        <v>0.49173586334716513</v>
      </c>
      <c r="I52" s="14">
        <f>Data!D$8*(1-Data!D$16)+Data!D$10*Data!D$16</f>
        <v>0.49634854771784231</v>
      </c>
      <c r="J52" s="108">
        <f t="shared" si="110"/>
        <v>6.0496275075730903E-2</v>
      </c>
      <c r="K52" s="129">
        <f t="shared" si="101"/>
        <v>9.3903145501819524E-3</v>
      </c>
      <c r="L52" s="125">
        <f t="shared" si="102"/>
        <v>0.49575135777330626</v>
      </c>
      <c r="M52" s="268">
        <f t="shared" si="103"/>
        <v>7.9000945088514296E-3</v>
      </c>
      <c r="N52" s="264">
        <f>(L52-H52*(1-Data!D$16))/Data!D$16</f>
        <v>0.93161502548353003</v>
      </c>
      <c r="O52" s="215">
        <f>(M52-Data!D$27)/(1-Data!D$27-Data!D$19-I52)</f>
        <v>2.6016982462875024E-2</v>
      </c>
      <c r="P52" s="10">
        <f>Data!D$28*O52</f>
        <v>2.6016982462875024E-2</v>
      </c>
      <c r="Q52" s="10">
        <f>Data!D$28*(1-O52)</f>
        <v>0.97398301753712502</v>
      </c>
      <c r="R52" s="310">
        <f t="shared" si="106"/>
        <v>290.81402980262192</v>
      </c>
      <c r="S52" s="32">
        <f t="shared" si="107"/>
        <v>-1.1273293441660093</v>
      </c>
      <c r="T52" s="26">
        <f>C$7*(1+Data!D$50)*((1/G52)-(1/G$46))</f>
        <v>-1.7505207594382841</v>
      </c>
      <c r="U52" s="106">
        <f>(1-Data!D$26)*Data!D$24+Data!D$26*Data!D$25</f>
        <v>4.9424036979969185E-6</v>
      </c>
      <c r="V52" s="107">
        <f t="shared" si="108"/>
        <v>1.0000988480739599</v>
      </c>
      <c r="W52" s="26">
        <f>((C52/G52)-D52)+(R52+R$46)/2*(1-Data!D$51)</f>
        <v>354.16068641551198</v>
      </c>
      <c r="X52" s="57">
        <f t="shared" si="104"/>
        <v>1.760117581617803E-3</v>
      </c>
      <c r="Y52" s="103">
        <f t="shared" si="109"/>
        <v>6.0496275998000511E-2</v>
      </c>
      <c r="Z52" s="135">
        <f>Y52*Data!$D$21</f>
        <v>7.8524166245404661E-2</v>
      </c>
      <c r="AA52" s="430"/>
      <c r="AB52" s="253"/>
      <c r="AC52" s="135"/>
      <c r="AD52" s="135"/>
      <c r="AE52" s="135"/>
      <c r="AF52" s="135"/>
      <c r="AG52" s="437"/>
      <c r="AH52" s="246">
        <f t="shared" si="105"/>
        <v>1632.9207773417222</v>
      </c>
      <c r="AI52" s="246"/>
      <c r="AJ52" s="246"/>
      <c r="AK52" s="246"/>
    </row>
    <row r="53" spans="2:38" x14ac:dyDescent="0.25">
      <c r="B53" s="1">
        <v>2320</v>
      </c>
      <c r="C53" s="1">
        <f t="shared" si="96"/>
        <v>1.4319747500000002</v>
      </c>
      <c r="D53" s="122">
        <f t="shared" si="97"/>
        <v>115.0987999</v>
      </c>
      <c r="E53">
        <f t="shared" si="98"/>
        <v>0.59747103680000002</v>
      </c>
      <c r="F53">
        <f t="shared" si="99"/>
        <v>1.788524E-2</v>
      </c>
      <c r="G53" s="97">
        <f t="shared" si="100"/>
        <v>7.2719951335830698E-3</v>
      </c>
      <c r="H53" s="20">
        <f>'MBal_Som_Saturated-Res'!X$35</f>
        <v>0.49173586334716513</v>
      </c>
      <c r="I53" s="14">
        <f>Data!D$8*(1-Data!D$16)+Data!D$10*Data!D$16</f>
        <v>0.49634854771784231</v>
      </c>
      <c r="J53" s="108">
        <f t="shared" si="110"/>
        <v>6.0496275998000511E-2</v>
      </c>
      <c r="K53" s="129">
        <f t="shared" si="101"/>
        <v>9.3903155226200408E-3</v>
      </c>
      <c r="L53" s="125">
        <f t="shared" si="102"/>
        <v>0.49575135728664882</v>
      </c>
      <c r="M53" s="268">
        <f t="shared" si="103"/>
        <v>7.9000949955089217E-3</v>
      </c>
      <c r="N53" s="264">
        <f>(L53-H53*(1-Data!D$16))/Data!D$16</f>
        <v>0.93161497217241995</v>
      </c>
      <c r="O53" s="215">
        <f>(M53-Data!D$27)/(1-Data!D$27-Data!D$19-I53)</f>
        <v>2.6016984065559575E-2</v>
      </c>
      <c r="P53" s="10">
        <f>Data!D$28*O53</f>
        <v>2.6016984065559575E-2</v>
      </c>
      <c r="Q53" s="10">
        <f>Data!D$28*(1-O53)</f>
        <v>0.97398301593444048</v>
      </c>
      <c r="R53" s="310">
        <f t="shared" si="106"/>
        <v>290.81404091607823</v>
      </c>
      <c r="S53" s="32">
        <f t="shared" si="107"/>
        <v>-1.1273293430593594</v>
      </c>
      <c r="T53" s="26">
        <f>C$7*(1+Data!D$50)*((1/G53)-(1/G$46))</f>
        <v>-1.7505207594382841</v>
      </c>
      <c r="U53" s="106">
        <f>(1-Data!D$26)*Data!D$24+Data!D$26*Data!D$25</f>
        <v>4.9424036979969185E-6</v>
      </c>
      <c r="V53" s="107">
        <f t="shared" si="108"/>
        <v>1.0000988480739599</v>
      </c>
      <c r="W53" s="26">
        <f>((C53/G53)-D53)+(R53+R$46)/2*(1-Data!D$51)</f>
        <v>354.16069197224016</v>
      </c>
      <c r="X53" s="57">
        <f t="shared" si="104"/>
        <v>1.7601175571265331E-3</v>
      </c>
      <c r="Y53" s="103">
        <f t="shared" si="109"/>
        <v>6.0496275973509241E-2</v>
      </c>
      <c r="Z53" s="135">
        <f>Y53*Data!$D$21</f>
        <v>7.8524166213614993E-2</v>
      </c>
      <c r="AA53" s="430"/>
      <c r="AB53" s="253"/>
      <c r="AC53" s="135"/>
      <c r="AD53" s="135"/>
      <c r="AE53" s="135"/>
      <c r="AF53" s="135"/>
      <c r="AG53" s="437"/>
      <c r="AH53" s="246">
        <f t="shared" si="105"/>
        <v>1632.9208397437792</v>
      </c>
      <c r="AI53" s="246"/>
      <c r="AJ53" s="246"/>
      <c r="AK53" s="246"/>
    </row>
    <row r="54" spans="2:38" x14ac:dyDescent="0.25">
      <c r="B54" s="1">
        <v>2320</v>
      </c>
      <c r="C54" s="1">
        <f t="shared" si="96"/>
        <v>1.4319747500000002</v>
      </c>
      <c r="D54" s="122">
        <f t="shared" si="97"/>
        <v>115.0987999</v>
      </c>
      <c r="E54">
        <f t="shared" si="98"/>
        <v>0.59747103680000002</v>
      </c>
      <c r="F54">
        <f t="shared" si="99"/>
        <v>1.788524E-2</v>
      </c>
      <c r="G54" s="97">
        <f t="shared" si="100"/>
        <v>7.2719951335830698E-3</v>
      </c>
      <c r="H54" s="20">
        <f>'MBal_Som_Saturated-Res'!X$35</f>
        <v>0.49173586334716513</v>
      </c>
      <c r="I54" s="14">
        <f>Data!D$8*(1-Data!D$16)+Data!D$10*Data!D$16</f>
        <v>0.49634854771784231</v>
      </c>
      <c r="J54" s="108">
        <f t="shared" si="110"/>
        <v>6.0496275973509241E-2</v>
      </c>
      <c r="K54" s="129">
        <f t="shared" si="101"/>
        <v>9.3903154967965238E-3</v>
      </c>
      <c r="L54" s="125">
        <f t="shared" si="102"/>
        <v>0.49575135729957226</v>
      </c>
      <c r="M54" s="268">
        <f t="shared" si="103"/>
        <v>7.9000949825854816E-3</v>
      </c>
      <c r="N54" s="264">
        <f>(L54-H54*(1-Data!D$16))/Data!D$16</f>
        <v>0.93161497358812406</v>
      </c>
      <c r="O54" s="215">
        <f>(M54-Data!D$27)/(1-Data!D$27-Data!D$19-I54)</f>
        <v>2.6016984022999463E-2</v>
      </c>
      <c r="P54" s="10">
        <f>Data!D$28*O54</f>
        <v>2.6016984022999463E-2</v>
      </c>
      <c r="Q54" s="10">
        <f>Data!D$28*(1-O54)</f>
        <v>0.97398301597700054</v>
      </c>
      <c r="R54" s="309">
        <f t="shared" si="106"/>
        <v>290.8140406209547</v>
      </c>
      <c r="S54" s="32">
        <f t="shared" si="107"/>
        <v>-1.127329343088747</v>
      </c>
      <c r="T54" s="26">
        <f>C$7*(1+Data!D$50)*((1/G54)-(1/G$46))</f>
        <v>-1.7505207594382841</v>
      </c>
      <c r="U54" s="106">
        <f>(1-Data!D$26)*Data!D$24+Data!D$26*Data!D$25</f>
        <v>4.9424036979969185E-6</v>
      </c>
      <c r="V54" s="107">
        <f t="shared" si="108"/>
        <v>1.0000988480739599</v>
      </c>
      <c r="W54" s="26">
        <f>((C54/G54)-D54)+(R54+R$46)/2*(1-Data!D$51)</f>
        <v>354.16069182467839</v>
      </c>
      <c r="X54" s="57">
        <f t="shared" si="104"/>
        <v>1.7601175577769115E-3</v>
      </c>
      <c r="Y54" s="103">
        <f t="shared" si="109"/>
        <v>6.0496275974159623E-2</v>
      </c>
      <c r="Z54" s="135">
        <f>Y54*Data!$D$21</f>
        <v>7.8524166214459193E-2</v>
      </c>
      <c r="AA54" s="430"/>
      <c r="AB54" s="253"/>
      <c r="AC54" s="135"/>
      <c r="AD54" s="135"/>
      <c r="AE54" s="135"/>
      <c r="AF54" s="135"/>
      <c r="AG54" s="437"/>
      <c r="AH54" s="246">
        <f t="shared" si="105"/>
        <v>1632.9208380866608</v>
      </c>
      <c r="AI54" s="246"/>
      <c r="AJ54" s="246"/>
      <c r="AK54" s="246"/>
    </row>
    <row r="55" spans="2:38" x14ac:dyDescent="0.25">
      <c r="B55" s="1">
        <v>2320</v>
      </c>
      <c r="C55" s="1">
        <f t="shared" si="96"/>
        <v>1.4319747500000002</v>
      </c>
      <c r="D55" s="122">
        <f t="shared" si="97"/>
        <v>115.0987999</v>
      </c>
      <c r="E55">
        <f t="shared" si="98"/>
        <v>0.59747103680000002</v>
      </c>
      <c r="F55">
        <f t="shared" si="99"/>
        <v>1.788524E-2</v>
      </c>
      <c r="G55" s="97">
        <f t="shared" si="100"/>
        <v>7.2719951335830698E-3</v>
      </c>
      <c r="H55" s="20">
        <f>'MBal_Som_Saturated-Res'!X$35</f>
        <v>0.49173586334716513</v>
      </c>
      <c r="I55" s="14">
        <f>Data!D$8*(1-Data!D$16)+Data!D$10*Data!D$16</f>
        <v>0.49634854771784231</v>
      </c>
      <c r="J55" s="108">
        <f t="shared" si="110"/>
        <v>6.0496275974159623E-2</v>
      </c>
      <c r="K55" s="129">
        <f t="shared" si="101"/>
        <v>9.390315497482286E-3</v>
      </c>
      <c r="L55" s="125">
        <f t="shared" si="102"/>
        <v>0.49575135729922903</v>
      </c>
      <c r="M55" s="268">
        <f t="shared" si="103"/>
        <v>7.9000949829286515E-3</v>
      </c>
      <c r="N55" s="264">
        <f>(L55-H55*(1-Data!D$16))/Data!D$16</f>
        <v>0.93161497355052525</v>
      </c>
      <c r="O55" s="215">
        <f>(M55-Data!D$27)/(1-Data!D$27-Data!D$19-I55)</f>
        <v>2.6016984024129608E-2</v>
      </c>
      <c r="P55" s="10">
        <f>Data!D$28*O55</f>
        <v>2.6016984024129608E-2</v>
      </c>
      <c r="Q55" s="10">
        <f>Data!D$28*(1-O55)</f>
        <v>0.97398301597587045</v>
      </c>
      <c r="R55" s="310">
        <f t="shared" si="106"/>
        <v>290.81404062879147</v>
      </c>
      <c r="S55" s="32">
        <f t="shared" si="107"/>
        <v>-1.1273293430879667</v>
      </c>
      <c r="T55" s="26">
        <f>C$7*(1+Data!D$50)*((1/G55)-(1/G$46))</f>
        <v>-1.7505207594382841</v>
      </c>
      <c r="U55" s="106">
        <f>(1-Data!D$26)*Data!D$24+Data!D$26*Data!D$25</f>
        <v>4.9424036979969185E-6</v>
      </c>
      <c r="V55" s="107">
        <f t="shared" si="108"/>
        <v>1.0000988480739599</v>
      </c>
      <c r="W55" s="26">
        <f>((C55/G55)-D55)+(R55+R$46)/2*(1-Data!D$51)</f>
        <v>354.16069182859678</v>
      </c>
      <c r="X55" s="57">
        <f t="shared" si="104"/>
        <v>1.7601175577596408E-3</v>
      </c>
      <c r="Y55" s="103">
        <f t="shared" si="109"/>
        <v>6.0496275974142352E-2</v>
      </c>
      <c r="Z55" s="135">
        <f>Y55*Data!$D$21</f>
        <v>7.852416621443678E-2</v>
      </c>
      <c r="AA55" s="430"/>
      <c r="AB55" s="253"/>
      <c r="AC55" s="135"/>
      <c r="AD55" s="135"/>
      <c r="AE55" s="135"/>
      <c r="AF55" s="135"/>
      <c r="AG55" s="437"/>
      <c r="AH55" s="246">
        <f t="shared" si="105"/>
        <v>1632.9208381306642</v>
      </c>
      <c r="AI55" s="246"/>
      <c r="AJ55" s="246"/>
      <c r="AK55" s="246"/>
    </row>
    <row r="56" spans="2:38" x14ac:dyDescent="0.25">
      <c r="B56" s="5">
        <v>2320</v>
      </c>
      <c r="C56" s="1">
        <f t="shared" si="96"/>
        <v>1.4319747500000002</v>
      </c>
      <c r="D56" s="122">
        <f>0.04285545*B56 + 15.6741559</f>
        <v>115.0987999</v>
      </c>
      <c r="E56">
        <f t="shared" si="98"/>
        <v>0.59747103680000002</v>
      </c>
      <c r="F56">
        <f t="shared" si="99"/>
        <v>1.788524E-2</v>
      </c>
      <c r="G56" s="97">
        <f t="shared" si="100"/>
        <v>7.2719951335830698E-3</v>
      </c>
      <c r="H56" s="24">
        <f>'MBal_Som_Saturated-Res'!X$35</f>
        <v>0.49173586334716513</v>
      </c>
      <c r="I56" s="14">
        <f>Data!D$8*(1-Data!D$16)+Data!D$10*Data!D$16</f>
        <v>0.49634854771784231</v>
      </c>
      <c r="J56" s="108">
        <f t="shared" si="110"/>
        <v>6.0496275974142352E-2</v>
      </c>
      <c r="K56" s="129">
        <f t="shared" si="101"/>
        <v>9.3903154974640749E-3</v>
      </c>
      <c r="L56" s="124">
        <f t="shared" si="102"/>
        <v>0.49575135729923819</v>
      </c>
      <c r="M56" s="268">
        <f t="shared" si="103"/>
        <v>7.9000949829194367E-3</v>
      </c>
      <c r="N56" s="264">
        <f>(L56-H56*(1-Data!D$16))/Data!D$16</f>
        <v>0.93161497355152867</v>
      </c>
      <c r="O56" s="215">
        <f>(M56-Data!D$27)/(1-Data!D$27-Data!D$19-I56)</f>
        <v>2.6016984024099261E-2</v>
      </c>
      <c r="P56" s="10">
        <f>Data!D$28*O56</f>
        <v>2.6016984024099261E-2</v>
      </c>
      <c r="Q56" s="10">
        <f>Data!D$28*(1-O56)</f>
        <v>0.97398301597590076</v>
      </c>
      <c r="R56" s="309">
        <f t="shared" si="106"/>
        <v>290.81404062858104</v>
      </c>
      <c r="S56" s="32">
        <f t="shared" si="107"/>
        <v>-1.1273293430879874</v>
      </c>
      <c r="T56" s="26">
        <f>C$7*(1+Data!D$50)*((1/G56)-(1/G$46))</f>
        <v>-1.7505207594382841</v>
      </c>
      <c r="U56" s="106">
        <f>(1-Data!D$26)*Data!D$24+Data!D$26*Data!D$25</f>
        <v>4.9424036979969185E-6</v>
      </c>
      <c r="V56" s="107">
        <f t="shared" si="108"/>
        <v>1.0000988480739599</v>
      </c>
      <c r="W56" s="26">
        <f>((C56/G56)-D56)+(R56+R$46)/2*(1-Data!D$51)</f>
        <v>354.16069182849157</v>
      </c>
      <c r="X56" s="101">
        <f t="shared" si="104"/>
        <v>1.7601175577601055E-3</v>
      </c>
      <c r="Y56" s="103">
        <f t="shared" si="109"/>
        <v>6.0496275974142817E-2</v>
      </c>
      <c r="Z56" s="133">
        <f>Y56*Data!$D$21</f>
        <v>7.8524166214437377E-2</v>
      </c>
      <c r="AA56" s="430">
        <f>'UNS RES'!$K$5*'UNS RES'!$J$5*'UNS RES'!$I$5*Q56/(E56*C56*1)</f>
        <v>0.12322732439080118</v>
      </c>
      <c r="AB56" s="431">
        <f>AA56*(B56-2000)</f>
        <v>39.432743805056376</v>
      </c>
      <c r="AC56" s="134">
        <f>Z56-Z46</f>
        <v>2.2846325899726211E-3</v>
      </c>
      <c r="AD56" s="434">
        <f>AC56*1000000</f>
        <v>2284.6325899726212</v>
      </c>
      <c r="AE56" s="134">
        <f>365*(AB46-AB56)/AD56</f>
        <v>0.40958229840815408</v>
      </c>
      <c r="AF56" s="142">
        <f>(LN(AB46/AB56))/AE56</f>
        <v>0.15378608160156648</v>
      </c>
      <c r="AG56" s="248">
        <f>AF56+AG46</f>
        <v>1.7144369678541498</v>
      </c>
      <c r="AH56" s="245">
        <f t="shared" si="105"/>
        <v>1632.9208381294825</v>
      </c>
      <c r="AI56" s="247">
        <f>(AB56*AH56)/10^6</f>
        <v>6.4390549063897809E-2</v>
      </c>
      <c r="AJ56" s="247">
        <f>365*AI56*AF56</f>
        <v>3.6143651349392445</v>
      </c>
      <c r="AK56" s="247">
        <f>AK46+AJ56</f>
        <v>57.555507869711995</v>
      </c>
    </row>
    <row r="57" spans="2:38" x14ac:dyDescent="0.25">
      <c r="D57" s="97"/>
      <c r="E57"/>
      <c r="F57"/>
      <c r="G57" s="97"/>
      <c r="H57" s="20"/>
      <c r="I57" s="14"/>
      <c r="J57" s="105"/>
      <c r="K57" s="128"/>
      <c r="L57" s="125"/>
      <c r="M57" s="268"/>
      <c r="N57" s="264"/>
      <c r="O57" s="215"/>
      <c r="P57" s="10"/>
      <c r="Q57" s="10"/>
      <c r="R57" s="309"/>
      <c r="S57" s="9"/>
      <c r="T57" s="1"/>
      <c r="U57" s="100"/>
      <c r="V57" s="8"/>
      <c r="W57" s="1"/>
      <c r="X57" s="57"/>
      <c r="Y57" s="103"/>
      <c r="Z57" s="103"/>
      <c r="AA57" s="432"/>
      <c r="AB57" s="432"/>
      <c r="AC57" s="103"/>
      <c r="AD57" s="103"/>
      <c r="AE57" s="103"/>
      <c r="AF57" s="103"/>
      <c r="AG57" s="436"/>
      <c r="AH57" s="191"/>
      <c r="AI57" s="191"/>
      <c r="AJ57" s="191"/>
      <c r="AK57" s="191"/>
    </row>
    <row r="58" spans="2:38" x14ac:dyDescent="0.25">
      <c r="B58" s="1">
        <v>2300</v>
      </c>
      <c r="C58" s="1">
        <f t="shared" si="1"/>
        <v>1.4296851500000001</v>
      </c>
      <c r="D58" s="122">
        <f t="shared" si="2"/>
        <v>114.24169090000001</v>
      </c>
      <c r="E58">
        <f t="shared" si="3"/>
        <v>0.59643870079999994</v>
      </c>
      <c r="F58">
        <f t="shared" si="4"/>
        <v>1.7838039999999999E-2</v>
      </c>
      <c r="G58" s="97">
        <f t="shared" si="5"/>
        <v>7.3367885473810835E-3</v>
      </c>
      <c r="H58" s="20">
        <f>'MBal_Som_Saturated-Res'!X$42</f>
        <v>0.48960732710240129</v>
      </c>
      <c r="I58" s="14">
        <f>Data!D$8*(1-Data!D$16)+Data!D$10*Data!D$16</f>
        <v>0.49634854771784231</v>
      </c>
      <c r="J58" s="105">
        <f>Y56</f>
        <v>6.0496275974142817E-2</v>
      </c>
      <c r="K58" s="129">
        <f t="shared" si="14"/>
        <v>9.3903154974645658E-3</v>
      </c>
      <c r="L58" s="125">
        <f t="shared" si="18"/>
        <v>0.49495869506292933</v>
      </c>
      <c r="M58" s="268">
        <f t="shared" ref="M58:M64" si="111">1-L58-I58</f>
        <v>8.6927572192283531E-3</v>
      </c>
      <c r="N58" s="264">
        <f>(L58-H58*(1-Data!D$16))/Data!D$16</f>
        <v>1.0758253627784249</v>
      </c>
      <c r="O58" s="215">
        <f>(M58-Data!D$27)/(1-Data!D$27-Data!D$19-I58)</f>
        <v>2.8627418554714849E-2</v>
      </c>
      <c r="P58" s="10">
        <f>Data!D$28*O58</f>
        <v>2.8627418554714849E-2</v>
      </c>
      <c r="Q58" s="10">
        <f>Data!D$28*(1-O58)</f>
        <v>0.97137258144528515</v>
      </c>
      <c r="R58" s="310">
        <f>1*(D58+(P58*E58*C58)/(Q58*F58*G58))</f>
        <v>306.26300298777392</v>
      </c>
      <c r="S58" s="32">
        <f>(1-J58)*((C58/G58-D58)-(C$56/G$56-D$56))</f>
        <v>-1.1217584349831253</v>
      </c>
      <c r="T58" s="26">
        <f>C$7*(1+Data!D$50)*((1/G58)-(1/G$56))</f>
        <v>-1.7501504683926661</v>
      </c>
      <c r="U58" s="106">
        <f>(1-Data!D$26)*Data!D$24+Data!D$26*Data!D$25</f>
        <v>4.9424036979969185E-6</v>
      </c>
      <c r="V58" s="107">
        <f>1+U58*(B$56-B58)</f>
        <v>1.0000988480739599</v>
      </c>
      <c r="W58" s="26">
        <f>((C58/G58)-D58)+(R58+R$56)/2*(1-Data!D$51)</f>
        <v>379.16208302319666</v>
      </c>
      <c r="X58" s="57">
        <f t="shared" ref="X58:X64" si="112">(S58-T58*V58)/W58</f>
        <v>1.6577739720193133E-3</v>
      </c>
      <c r="Y58" s="103">
        <f>X58+Y$56</f>
        <v>6.2154049946162131E-2</v>
      </c>
      <c r="Z58" s="135">
        <f>Y58*Data!$D$21</f>
        <v>8.0675956830118453E-2</v>
      </c>
      <c r="AA58" s="134"/>
      <c r="AB58" s="134"/>
      <c r="AC58" s="135"/>
      <c r="AD58" s="135"/>
      <c r="AE58" s="135"/>
      <c r="AF58" s="135"/>
      <c r="AG58" s="437"/>
      <c r="AH58" s="246">
        <f t="shared" si="9"/>
        <v>1719.6667617763505</v>
      </c>
      <c r="AI58" s="246"/>
      <c r="AJ58" s="246"/>
      <c r="AK58" s="246"/>
      <c r="AL58" s="1"/>
    </row>
    <row r="59" spans="2:38" x14ac:dyDescent="0.25">
      <c r="B59" s="1">
        <v>2300</v>
      </c>
      <c r="C59" s="1">
        <f t="shared" ref="C59:C60" si="113">0.00011448*B59 + 1.16638115</f>
        <v>1.4296851500000001</v>
      </c>
      <c r="D59" s="122">
        <f t="shared" si="2"/>
        <v>114.24169090000001</v>
      </c>
      <c r="E59">
        <f t="shared" ref="E59:E60" si="114">0.0000000907*B59^2 - 0.0003674172*B59 + 0.9616952608</f>
        <v>0.59643870079999994</v>
      </c>
      <c r="F59">
        <f t="shared" ref="F59:F60" si="115">0.00000236*B59 + 0.01241004</f>
        <v>1.7838039999999999E-2</v>
      </c>
      <c r="G59" s="97">
        <f t="shared" ref="G59:G60" si="116">20.40472*B59^(-1.02454)</f>
        <v>7.3367885473810835E-3</v>
      </c>
      <c r="H59" s="20">
        <f>'MBal_Som_Saturated-Res'!X$42</f>
        <v>0.48960732710240129</v>
      </c>
      <c r="I59" s="14">
        <f>Data!D$8*(1-Data!D$16)+Data!D$10*Data!D$16</f>
        <v>0.49634854771784231</v>
      </c>
      <c r="J59" s="108">
        <f>Y58</f>
        <v>6.2154049946162131E-2</v>
      </c>
      <c r="K59" s="129">
        <f t="shared" si="14"/>
        <v>1.1138267005694426E-2</v>
      </c>
      <c r="L59" s="125">
        <f t="shared" si="18"/>
        <v>0.49408533009276839</v>
      </c>
      <c r="M59" s="268">
        <f t="shared" si="111"/>
        <v>9.5661221893893478E-3</v>
      </c>
      <c r="N59" s="264">
        <f>(L59-H59*(1-Data!D$16))/Data!D$16</f>
        <v>0.98015220013806748</v>
      </c>
      <c r="O59" s="215">
        <f>(M59-Data!D$27)/(1-Data!D$27-Data!D$19-I59)</f>
        <v>3.1503627324990881E-2</v>
      </c>
      <c r="P59" s="10">
        <f>Data!D$28*O59</f>
        <v>3.1503627324990881E-2</v>
      </c>
      <c r="Q59" s="10">
        <f>Data!D$28*(1-O59)</f>
        <v>0.9684963726750091</v>
      </c>
      <c r="R59" s="310">
        <f t="shared" ref="R59:R64" si="117">1*(D59+(P59*E59*C59)/(Q59*F59*G59))</f>
        <v>326.18301760978449</v>
      </c>
      <c r="S59" s="32">
        <f t="shared" ref="S59:S66" si="118">(1-J59)*((C59/G59-D59)-(C$56/G$56-D$56))</f>
        <v>-1.119779068761521</v>
      </c>
      <c r="T59" s="26">
        <f>C$7*(1+Data!D$50)*((1/G59)-(1/G$56))</f>
        <v>-1.7501504683926661</v>
      </c>
      <c r="U59" s="106">
        <f>(1-Data!D$26)*Data!D$24+Data!D$26*Data!D$25</f>
        <v>4.9424036979969185E-6</v>
      </c>
      <c r="V59" s="107">
        <f t="shared" ref="V59:V66" si="119">1+U59*(B$56-B59)</f>
        <v>1.0000988480739599</v>
      </c>
      <c r="W59" s="26">
        <f>((C59/G59)-D59)+(R59+R$56)/2*(1-Data!D$51)</f>
        <v>389.12209033420191</v>
      </c>
      <c r="X59" s="57">
        <f t="shared" si="112"/>
        <v>1.6204281748500465E-3</v>
      </c>
      <c r="Y59" s="103">
        <f t="shared" ref="Y59:Y66" si="120">X59+Y$56</f>
        <v>6.2116704148992861E-2</v>
      </c>
      <c r="Z59" s="135">
        <f>Y59*Data!$D$21</f>
        <v>8.062748198539274E-2</v>
      </c>
      <c r="AA59" s="134"/>
      <c r="AB59" s="134"/>
      <c r="AC59" s="135"/>
      <c r="AD59" s="135"/>
      <c r="AE59" s="135"/>
      <c r="AF59" s="135"/>
      <c r="AG59" s="437"/>
      <c r="AH59" s="246">
        <f t="shared" si="9"/>
        <v>1831.5176438789399</v>
      </c>
      <c r="AI59" s="246"/>
      <c r="AJ59" s="246"/>
      <c r="AK59" s="246"/>
      <c r="AL59" s="5" t="s">
        <v>58</v>
      </c>
    </row>
    <row r="60" spans="2:38" x14ac:dyDescent="0.25">
      <c r="B60" s="1">
        <v>2300</v>
      </c>
      <c r="C60" s="1">
        <f t="shared" si="113"/>
        <v>1.4296851500000001</v>
      </c>
      <c r="D60" s="122">
        <f t="shared" si="2"/>
        <v>114.24169090000001</v>
      </c>
      <c r="E60">
        <f t="shared" si="114"/>
        <v>0.59643870079999994</v>
      </c>
      <c r="F60">
        <f t="shared" si="115"/>
        <v>1.7838039999999999E-2</v>
      </c>
      <c r="G60" s="97">
        <f t="shared" si="116"/>
        <v>7.3367885473810835E-3</v>
      </c>
      <c r="H60" s="20">
        <f>'MBal_Som_Saturated-Res'!X$42</f>
        <v>0.48960732710240129</v>
      </c>
      <c r="I60" s="14">
        <f>Data!D$8*(1-Data!D$16)+Data!D$10*Data!D$16</f>
        <v>0.49634854771784231</v>
      </c>
      <c r="J60" s="108">
        <f t="shared" ref="J60:J61" si="121">Y59</f>
        <v>6.2116704148992861E-2</v>
      </c>
      <c r="K60" s="129">
        <f t="shared" si="14"/>
        <v>1.1098889718084731E-2</v>
      </c>
      <c r="L60" s="125">
        <f t="shared" si="18"/>
        <v>0.49410500497702936</v>
      </c>
      <c r="M60" s="268">
        <f t="shared" si="111"/>
        <v>9.546447305128325E-3</v>
      </c>
      <c r="N60" s="264">
        <f>(L60-H60*(1-Data!D$16))/Data!D$16</f>
        <v>0.98230749427756436</v>
      </c>
      <c r="O60" s="215">
        <f>(M60-Data!D$27)/(1-Data!D$27-Data!D$19-I60)</f>
        <v>3.1438833021808228E-2</v>
      </c>
      <c r="P60" s="10">
        <f>Data!D$28*O60</f>
        <v>3.1438833021808228E-2</v>
      </c>
      <c r="Q60" s="10">
        <f>Data!D$28*(1-O60)</f>
        <v>0.96856116697819172</v>
      </c>
      <c r="R60" s="310">
        <f t="shared" si="117"/>
        <v>325.73296336900887</v>
      </c>
      <c r="S60" s="32">
        <f t="shared" si="118"/>
        <v>-1.1198236592851289</v>
      </c>
      <c r="T60" s="26">
        <f>C$7*(1+Data!D$50)*((1/G60)-(1/G$56))</f>
        <v>-1.7501504683926661</v>
      </c>
      <c r="U60" s="106">
        <f>(1-Data!D$26)*Data!D$24+Data!D$26*Data!D$25</f>
        <v>4.9424036979969185E-6</v>
      </c>
      <c r="V60" s="107">
        <f t="shared" si="119"/>
        <v>1.0000988480739599</v>
      </c>
      <c r="W60" s="26">
        <f>((C60/G60)-D60)+(R60+R$56)/2*(1-Data!D$51)</f>
        <v>388.89706321381408</v>
      </c>
      <c r="X60" s="57">
        <f t="shared" si="112"/>
        <v>1.6212511426547632E-3</v>
      </c>
      <c r="Y60" s="103">
        <f t="shared" si="120"/>
        <v>6.2117527116797577E-2</v>
      </c>
      <c r="Z60" s="135">
        <f>Y60*Data!$D$21</f>
        <v>8.062855019760326E-2</v>
      </c>
      <c r="AA60" s="134"/>
      <c r="AB60" s="134"/>
      <c r="AC60" s="135"/>
      <c r="AD60" s="135"/>
      <c r="AE60" s="135"/>
      <c r="AF60" s="135"/>
      <c r="AG60" s="437"/>
      <c r="AH60" s="246">
        <f t="shared" si="9"/>
        <v>1828.9905893169848</v>
      </c>
      <c r="AI60" s="246"/>
      <c r="AJ60" s="246"/>
      <c r="AK60" s="246"/>
      <c r="AL60" s="1"/>
    </row>
    <row r="61" spans="2:38" x14ac:dyDescent="0.25">
      <c r="B61" s="1">
        <v>2300</v>
      </c>
      <c r="C61" s="1">
        <f t="shared" ref="C61:C62" si="122">0.00011448*B61 + 1.16638115</f>
        <v>1.4296851500000001</v>
      </c>
      <c r="D61" s="122">
        <f t="shared" si="2"/>
        <v>114.24169090000001</v>
      </c>
      <c r="E61">
        <f t="shared" ref="E61:E62" si="123">0.0000000907*B61^2 - 0.0003674172*B61 + 0.9616952608</f>
        <v>0.59643870079999994</v>
      </c>
      <c r="F61">
        <f t="shared" ref="F61:F62" si="124">0.00000236*B61 + 0.01241004</f>
        <v>1.7838039999999999E-2</v>
      </c>
      <c r="G61" s="97">
        <f t="shared" ref="G61:G62" si="125">20.40472*B61^(-1.02454)</f>
        <v>7.3367885473810835E-3</v>
      </c>
      <c r="H61" s="20">
        <f>'MBal_Som_Saturated-Res'!X$42</f>
        <v>0.48960732710240129</v>
      </c>
      <c r="I61" s="14">
        <f>Data!D$8*(1-Data!D$16)+Data!D$10*Data!D$16</f>
        <v>0.49634854771784231</v>
      </c>
      <c r="J61" s="108">
        <f t="shared" si="121"/>
        <v>6.2117527116797577E-2</v>
      </c>
      <c r="K61" s="129">
        <f t="shared" si="14"/>
        <v>1.1099757452673257E-2</v>
      </c>
      <c r="L61" s="125">
        <f t="shared" si="18"/>
        <v>0.49410457141294628</v>
      </c>
      <c r="M61" s="268">
        <f t="shared" si="111"/>
        <v>9.5468808692114049E-3</v>
      </c>
      <c r="N61" s="264">
        <f>(L61-H61*(1-Data!D$16))/Data!D$16</f>
        <v>0.98225999930300878</v>
      </c>
      <c r="O61" s="215">
        <f>(M61-Data!D$27)/(1-Data!D$27-Data!D$19-I61)</f>
        <v>3.1440260856517466E-2</v>
      </c>
      <c r="P61" s="10">
        <f>Data!D$28*O61</f>
        <v>3.1440260856517466E-2</v>
      </c>
      <c r="Q61" s="10">
        <f>Data!D$28*(1-O61)</f>
        <v>0.96855973914348259</v>
      </c>
      <c r="R61" s="310">
        <f t="shared" si="117"/>
        <v>325.74288030604157</v>
      </c>
      <c r="S61" s="32">
        <f t="shared" si="118"/>
        <v>-1.1198226766694639</v>
      </c>
      <c r="T61" s="26">
        <f>C$7*(1+Data!D$50)*((1/G61)-(1/G$56))</f>
        <v>-1.7501504683926661</v>
      </c>
      <c r="U61" s="106">
        <f>(1-Data!D$26)*Data!D$24+Data!D$26*Data!D$25</f>
        <v>4.9424036979969185E-6</v>
      </c>
      <c r="V61" s="107">
        <f t="shared" si="119"/>
        <v>1.0000988480739599</v>
      </c>
      <c r="W61" s="26">
        <f>((C61/G61)-D61)+(R61+R$56)/2*(1-Data!D$51)</f>
        <v>388.90202168233048</v>
      </c>
      <c r="X61" s="57">
        <f t="shared" si="112"/>
        <v>1.621232998477851E-3</v>
      </c>
      <c r="Y61" s="103">
        <f t="shared" si="120"/>
        <v>6.2117508972620666E-2</v>
      </c>
      <c r="Z61" s="135">
        <f>Y61*Data!$D$21</f>
        <v>8.0628526646461626E-2</v>
      </c>
      <c r="AA61" s="134"/>
      <c r="AB61" s="134"/>
      <c r="AC61" s="135"/>
      <c r="AD61" s="135"/>
      <c r="AE61" s="135"/>
      <c r="AF61" s="135"/>
      <c r="AG61" s="437"/>
      <c r="AH61" s="246">
        <f t="shared" si="9"/>
        <v>1829.0462729184235</v>
      </c>
      <c r="AI61" s="246"/>
      <c r="AJ61" s="246"/>
      <c r="AK61" s="246"/>
    </row>
    <row r="62" spans="2:38" x14ac:dyDescent="0.25">
      <c r="B62" s="1">
        <v>2300</v>
      </c>
      <c r="C62" s="1">
        <f t="shared" si="122"/>
        <v>1.4296851500000001</v>
      </c>
      <c r="D62" s="122">
        <f t="shared" si="2"/>
        <v>114.24169090000001</v>
      </c>
      <c r="E62">
        <f t="shared" si="123"/>
        <v>0.59643870079999994</v>
      </c>
      <c r="F62">
        <f t="shared" si="124"/>
        <v>1.7838039999999999E-2</v>
      </c>
      <c r="G62" s="97">
        <f t="shared" si="125"/>
        <v>7.3367885473810835E-3</v>
      </c>
      <c r="H62" s="20">
        <f>'MBal_Som_Saturated-Res'!X$42</f>
        <v>0.48960732710240129</v>
      </c>
      <c r="I62" s="14">
        <f>Data!D$8*(1-Data!D$16)+Data!D$10*Data!D$16</f>
        <v>0.49634854771784231</v>
      </c>
      <c r="J62" s="108">
        <f t="shared" ref="J62:J63" si="126">Y61</f>
        <v>6.2117508972620666E-2</v>
      </c>
      <c r="K62" s="129">
        <f t="shared" si="14"/>
        <v>1.1099738321511872E-2</v>
      </c>
      <c r="L62" s="125">
        <f t="shared" si="18"/>
        <v>0.49410458097184196</v>
      </c>
      <c r="M62" s="268">
        <f t="shared" si="111"/>
        <v>9.5468713103157299E-3</v>
      </c>
      <c r="N62" s="264">
        <f>(L62-H62*(1-Data!D$16))/Data!D$16</f>
        <v>0.98226104643658041</v>
      </c>
      <c r="O62" s="215">
        <f>(M62-Data!D$27)/(1-Data!D$27-Data!D$19-I62)</f>
        <v>3.1440229376688854E-2</v>
      </c>
      <c r="P62" s="10">
        <f>Data!D$28*O62</f>
        <v>3.1440229376688854E-2</v>
      </c>
      <c r="Q62" s="10">
        <f>Data!D$28*(1-O62)</f>
        <v>0.96855977062331111</v>
      </c>
      <c r="R62" s="310">
        <f t="shared" si="117"/>
        <v>325.74266166453765</v>
      </c>
      <c r="S62" s="32">
        <f t="shared" si="118"/>
        <v>-1.1198226983334369</v>
      </c>
      <c r="T62" s="26">
        <f>C$7*(1+Data!D$50)*((1/G62)-(1/G$56))</f>
        <v>-1.7501504683926661</v>
      </c>
      <c r="U62" s="106">
        <f>(1-Data!D$26)*Data!D$24+Data!D$26*Data!D$25</f>
        <v>4.9424036979969185E-6</v>
      </c>
      <c r="V62" s="107">
        <f t="shared" si="119"/>
        <v>1.0000988480739599</v>
      </c>
      <c r="W62" s="26">
        <f>((C62/G62)-D62)+(R62+R$56)/2*(1-Data!D$51)</f>
        <v>388.90191236157847</v>
      </c>
      <c r="X62" s="57">
        <f t="shared" si="112"/>
        <v>1.6212333985027225E-3</v>
      </c>
      <c r="Y62" s="103">
        <f t="shared" si="120"/>
        <v>6.2117509372645541E-2</v>
      </c>
      <c r="Z62" s="135">
        <f>Y62*Data!$D$21</f>
        <v>8.0628527165693908E-2</v>
      </c>
      <c r="AA62" s="134"/>
      <c r="AB62" s="134"/>
      <c r="AC62" s="135"/>
      <c r="AD62" s="135"/>
      <c r="AE62" s="135"/>
      <c r="AF62" s="135"/>
      <c r="AG62" s="437"/>
      <c r="AH62" s="246">
        <f t="shared" si="9"/>
        <v>1829.045045246379</v>
      </c>
      <c r="AI62" s="246"/>
      <c r="AJ62" s="246"/>
      <c r="AK62" s="246"/>
    </row>
    <row r="63" spans="2:38" x14ac:dyDescent="0.25">
      <c r="B63" s="1">
        <v>2300</v>
      </c>
      <c r="C63" s="1">
        <f t="shared" ref="C63:C64" si="127">0.00011448*B63 + 1.16638115</f>
        <v>1.4296851500000001</v>
      </c>
      <c r="D63" s="122">
        <f t="shared" si="2"/>
        <v>114.24169090000001</v>
      </c>
      <c r="E63">
        <f t="shared" ref="E63:E64" si="128">0.0000000907*B63^2 - 0.0003674172*B63 + 0.9616952608</f>
        <v>0.59643870079999994</v>
      </c>
      <c r="F63">
        <f t="shared" ref="F63:F64" si="129">0.00000236*B63 + 0.01241004</f>
        <v>1.7838039999999999E-2</v>
      </c>
      <c r="G63" s="97">
        <f t="shared" ref="G63:G64" si="130">20.40472*B63^(-1.02454)</f>
        <v>7.3367885473810835E-3</v>
      </c>
      <c r="H63" s="20">
        <f>'MBal_Som_Saturated-Res'!X$42</f>
        <v>0.48960732710240129</v>
      </c>
      <c r="I63" s="14">
        <f>Data!D$8*(1-Data!D$16)+Data!D$10*Data!D$16</f>
        <v>0.49634854771784231</v>
      </c>
      <c r="J63" s="108">
        <f t="shared" si="126"/>
        <v>6.2117509372645541E-2</v>
      </c>
      <c r="K63" s="129">
        <f t="shared" si="14"/>
        <v>1.1099738743296804E-2</v>
      </c>
      <c r="L63" s="125">
        <f t="shared" si="18"/>
        <v>0.49410458076109687</v>
      </c>
      <c r="M63" s="268">
        <f t="shared" si="111"/>
        <v>9.5468715210608179E-3</v>
      </c>
      <c r="N63" s="264">
        <f>(L63-H63*(1-Data!D$16))/Data!D$16</f>
        <v>0.98226102335041399</v>
      </c>
      <c r="O63" s="215">
        <f>(M63-Data!D$27)/(1-Data!D$27-Data!D$19-I63)</f>
        <v>3.1440230070725016E-2</v>
      </c>
      <c r="P63" s="10">
        <f>Data!D$28*O63</f>
        <v>3.1440230070725016E-2</v>
      </c>
      <c r="Q63" s="10">
        <f>Data!D$28*(1-O63)</f>
        <v>0.96855976992927495</v>
      </c>
      <c r="R63" s="310">
        <f t="shared" si="117"/>
        <v>325.74266648492937</v>
      </c>
      <c r="S63" s="32">
        <f t="shared" si="118"/>
        <v>-1.119822697855811</v>
      </c>
      <c r="T63" s="26">
        <f>C$7*(1+Data!D$50)*((1/G63)-(1/G$56))</f>
        <v>-1.7501504683926661</v>
      </c>
      <c r="U63" s="106">
        <f>(1-Data!D$26)*Data!D$24+Data!D$26*Data!D$25</f>
        <v>4.9424036979969185E-6</v>
      </c>
      <c r="V63" s="107">
        <f t="shared" si="119"/>
        <v>1.0000988480739599</v>
      </c>
      <c r="W63" s="26">
        <f>((C63/G63)-D63)+(R63+R$56)/2*(1-Data!D$51)</f>
        <v>388.90191477177433</v>
      </c>
      <c r="X63" s="57">
        <f t="shared" si="112"/>
        <v>1.6212333896833673E-3</v>
      </c>
      <c r="Y63" s="103">
        <f t="shared" si="120"/>
        <v>6.2117509363826186E-2</v>
      </c>
      <c r="Z63" s="135">
        <f>Y63*Data!$D$21</f>
        <v>8.0628527154246385E-2</v>
      </c>
      <c r="AA63" s="134"/>
      <c r="AB63" s="134"/>
      <c r="AC63" s="135"/>
      <c r="AD63" s="135"/>
      <c r="AE63" s="135"/>
      <c r="AF63" s="135"/>
      <c r="AG63" s="437"/>
      <c r="AH63" s="246">
        <f t="shared" si="9"/>
        <v>1829.0450723128786</v>
      </c>
      <c r="AI63" s="246"/>
      <c r="AJ63" s="246"/>
      <c r="AK63" s="246"/>
    </row>
    <row r="64" spans="2:38" x14ac:dyDescent="0.25">
      <c r="B64" s="1">
        <v>2300</v>
      </c>
      <c r="C64" s="1">
        <f t="shared" si="127"/>
        <v>1.4296851500000001</v>
      </c>
      <c r="D64" s="122">
        <f t="shared" si="2"/>
        <v>114.24169090000001</v>
      </c>
      <c r="E64">
        <f t="shared" si="128"/>
        <v>0.59643870079999994</v>
      </c>
      <c r="F64">
        <f t="shared" si="129"/>
        <v>1.7838039999999999E-2</v>
      </c>
      <c r="G64" s="97">
        <f t="shared" si="130"/>
        <v>7.3367885473810835E-3</v>
      </c>
      <c r="H64" s="24">
        <f>'MBal_Som_Saturated-Res'!X$42</f>
        <v>0.48960732710240129</v>
      </c>
      <c r="I64" s="14">
        <f>Data!D$8*(1-Data!D$16)+Data!D$10*Data!D$16</f>
        <v>0.49634854771784231</v>
      </c>
      <c r="J64" s="108">
        <f t="shared" ref="J64:J65" si="131">Y63</f>
        <v>6.2117509363826186E-2</v>
      </c>
      <c r="K64" s="129">
        <f t="shared" si="14"/>
        <v>1.1099738733997704E-2</v>
      </c>
      <c r="L64" s="125">
        <f t="shared" si="18"/>
        <v>0.49410458076574315</v>
      </c>
      <c r="M64" s="268">
        <f t="shared" si="111"/>
        <v>9.5468715164145346E-3</v>
      </c>
      <c r="N64" s="264">
        <f>(L64-H64*(1-Data!D$16))/Data!D$16</f>
        <v>0.98226102385939318</v>
      </c>
      <c r="O64" s="215">
        <f>(M64-Data!D$27)/(1-Data!D$27-Data!D$19-I64)</f>
        <v>3.1440230055423644E-2</v>
      </c>
      <c r="P64" s="10">
        <f>Data!D$28*O64</f>
        <v>3.1440230055423644E-2</v>
      </c>
      <c r="Q64" s="10">
        <f>Data!D$28*(1-O64)</f>
        <v>0.96855976994457638</v>
      </c>
      <c r="R64" s="309">
        <f t="shared" si="117"/>
        <v>325.74266637865446</v>
      </c>
      <c r="S64" s="32">
        <f t="shared" si="118"/>
        <v>-1.1198226978663413</v>
      </c>
      <c r="T64" s="26">
        <f>C$7*(1+Data!D$50)*((1/G64)-(1/G$56))</f>
        <v>-1.7501504683926661</v>
      </c>
      <c r="U64" s="106">
        <f>(1-Data!D$26)*Data!D$24+Data!D$26*Data!D$25</f>
        <v>4.9424036979969185E-6</v>
      </c>
      <c r="V64" s="107">
        <f t="shared" si="119"/>
        <v>1.0000988480739599</v>
      </c>
      <c r="W64" s="26">
        <f>((C64/G64)-D64)+(R64+R$56)/2*(1-Data!D$51)</f>
        <v>388.90191471863687</v>
      </c>
      <c r="X64" s="57">
        <f t="shared" si="112"/>
        <v>1.621233389877807E-3</v>
      </c>
      <c r="Y64" s="103">
        <f t="shared" si="120"/>
        <v>6.2117509364020627E-2</v>
      </c>
      <c r="Z64" s="135">
        <f>Y64*Data!$D$21</f>
        <v>8.062852715449878E-2</v>
      </c>
      <c r="AA64" s="134"/>
      <c r="AB64" s="134"/>
      <c r="AC64" s="135"/>
      <c r="AD64" s="135"/>
      <c r="AE64" s="135"/>
      <c r="AF64" s="135"/>
      <c r="AG64" s="437"/>
      <c r="AH64" s="246">
        <f t="shared" si="9"/>
        <v>1829.0450717161448</v>
      </c>
      <c r="AI64" s="246"/>
      <c r="AJ64" s="246"/>
      <c r="AK64" s="246"/>
    </row>
    <row r="65" spans="2:37" x14ac:dyDescent="0.25">
      <c r="B65" s="1">
        <v>2300</v>
      </c>
      <c r="C65" s="1">
        <f t="shared" ref="C65" si="132">0.00011448*B65 + 1.16638115</f>
        <v>1.4296851500000001</v>
      </c>
      <c r="D65" s="122">
        <f t="shared" ref="D65" si="133">0.04285545*B65 + 15.6741559</f>
        <v>114.24169090000001</v>
      </c>
      <c r="E65">
        <f t="shared" ref="E65" si="134">0.0000000907*B65^2 - 0.0003674172*B65 + 0.9616952608</f>
        <v>0.59643870079999994</v>
      </c>
      <c r="F65">
        <f t="shared" ref="F65" si="135">0.00000236*B65 + 0.01241004</f>
        <v>1.7838039999999999E-2</v>
      </c>
      <c r="G65" s="97">
        <f t="shared" ref="G65:G66" si="136">20.40472*B65^(-1.02454)</f>
        <v>7.3367885473810835E-3</v>
      </c>
      <c r="H65" s="20">
        <f>'MBal_Som_Saturated-Res'!X$42</f>
        <v>0.48960732710240129</v>
      </c>
      <c r="I65" s="14">
        <f>Data!D$8*(1-Data!D$16)+Data!D$10*Data!D$16</f>
        <v>0.49634854771784231</v>
      </c>
      <c r="J65" s="108">
        <f t="shared" si="131"/>
        <v>6.2117509364020627E-2</v>
      </c>
      <c r="K65" s="129">
        <f t="shared" si="14"/>
        <v>1.1099738734202723E-2</v>
      </c>
      <c r="L65" s="125">
        <f t="shared" ref="L65:L66" si="137">(1-K65)*(C65/C$7)*(1-I65)</f>
        <v>0.49410458076564079</v>
      </c>
      <c r="M65" s="268">
        <f t="shared" ref="M65:M66" si="138">1-L65-I65</f>
        <v>9.5468715165168971E-3</v>
      </c>
      <c r="N65" s="264">
        <f>(L65-H65*(1-Data!D$16))/Data!D$16</f>
        <v>0.98226102384817982</v>
      </c>
      <c r="O65" s="215">
        <f>(M65-Data!D$27)/(1-Data!D$27-Data!D$19-I65)</f>
        <v>3.144023005576075E-2</v>
      </c>
      <c r="P65" s="10">
        <f>Data!D$28*O65</f>
        <v>3.144023005576075E-2</v>
      </c>
      <c r="Q65" s="10">
        <f>Data!D$28*(1-O65)</f>
        <v>0.9685597699442392</v>
      </c>
      <c r="R65" s="310">
        <f t="shared" ref="R65:R66" si="139">1*(D65+(P65*E65*C65)/(Q65*F65*G65))</f>
        <v>325.74266638099584</v>
      </c>
      <c r="S65" s="32">
        <f t="shared" si="118"/>
        <v>-1.1198226978661092</v>
      </c>
      <c r="T65" s="26">
        <f>C$7*(1+Data!D$50)*((1/G65)-(1/G$56))</f>
        <v>-1.7501504683926661</v>
      </c>
      <c r="U65" s="106">
        <f>(1-Data!D$26)*Data!D$24+Data!D$26*Data!D$25</f>
        <v>4.9424036979969185E-6</v>
      </c>
      <c r="V65" s="107">
        <f t="shared" si="119"/>
        <v>1.0000988480739599</v>
      </c>
      <c r="W65" s="26">
        <f>((C65/G65)-D65)+(R65+R$56)/2*(1-Data!D$51)</f>
        <v>388.90191471980762</v>
      </c>
      <c r="X65" s="57">
        <f t="shared" ref="X65:X66" si="140">(S65-T65*V65)/W65</f>
        <v>1.6212333898735231E-3</v>
      </c>
      <c r="Y65" s="103">
        <f t="shared" si="120"/>
        <v>6.2117509364016339E-2</v>
      </c>
      <c r="Z65" s="135">
        <f>Y65*Data!$D$21</f>
        <v>8.0628527154493215E-2</v>
      </c>
      <c r="AA65" s="134"/>
      <c r="AB65" s="134"/>
      <c r="AC65" s="135"/>
      <c r="AD65" s="135"/>
      <c r="AE65" s="135"/>
      <c r="AF65" s="135"/>
      <c r="AG65" s="437"/>
      <c r="AH65" s="246">
        <f t="shared" ref="AH65:AH66" si="141">5.615*R65</f>
        <v>1829.0450717292917</v>
      </c>
      <c r="AI65" s="246"/>
      <c r="AJ65" s="246"/>
      <c r="AK65" s="246"/>
    </row>
    <row r="66" spans="2:37" x14ac:dyDescent="0.25">
      <c r="B66" s="5">
        <v>2300</v>
      </c>
      <c r="C66" s="1">
        <f>0.00011448*B66 + 1.16638115</f>
        <v>1.4296851500000001</v>
      </c>
      <c r="D66" s="122">
        <f>0.04285545*B66 + 15.6741559</f>
        <v>114.24169090000001</v>
      </c>
      <c r="E66">
        <f>0.0000000907*B66^2 - 0.0003674172*B66 + 0.9616952608</f>
        <v>0.59643870079999994</v>
      </c>
      <c r="F66">
        <f>0.00000236*B66 + 0.01241004</f>
        <v>1.7838039999999999E-2</v>
      </c>
      <c r="G66" s="97">
        <f t="shared" si="136"/>
        <v>7.3367885473810835E-3</v>
      </c>
      <c r="H66" s="24">
        <f>'MBal_Som_Saturated-Res'!X$42</f>
        <v>0.48960732710240129</v>
      </c>
      <c r="I66" s="14">
        <f>Data!D$8*(1-Data!D$16)+Data!D$10*Data!D$16</f>
        <v>0.49634854771784231</v>
      </c>
      <c r="J66" s="108">
        <f t="shared" ref="J66" si="142">Y65</f>
        <v>6.2117509364016339E-2</v>
      </c>
      <c r="K66" s="129">
        <f t="shared" si="14"/>
        <v>1.1099738734198202E-2</v>
      </c>
      <c r="L66" s="124">
        <f t="shared" si="137"/>
        <v>0.49410458076564301</v>
      </c>
      <c r="M66" s="268">
        <f t="shared" si="138"/>
        <v>9.5468715165146767E-3</v>
      </c>
      <c r="N66" s="264">
        <f>(L66-H66*(1-Data!D$16))/Data!D$16</f>
        <v>0.98226102384842306</v>
      </c>
      <c r="O66" s="215">
        <f>(M66-Data!D$27)/(1-Data!D$27-Data!D$19-I66)</f>
        <v>3.1440230055753436E-2</v>
      </c>
      <c r="P66" s="10">
        <f>Data!D$28*O66</f>
        <v>3.1440230055753436E-2</v>
      </c>
      <c r="Q66" s="10">
        <f>Data!D$28*(1-O66)</f>
        <v>0.96855976994424653</v>
      </c>
      <c r="R66" s="309">
        <f t="shared" si="139"/>
        <v>325.74266638094502</v>
      </c>
      <c r="S66" s="32">
        <f t="shared" si="118"/>
        <v>-1.1198226978661143</v>
      </c>
      <c r="T66" s="26">
        <f>C$7*(1+Data!D$50)*((1/G66)-(1/G$56))</f>
        <v>-1.7501504683926661</v>
      </c>
      <c r="U66" s="106">
        <f>(1-Data!D$26)*Data!D$24+Data!D$26*Data!D$25</f>
        <v>4.9424036979969185E-6</v>
      </c>
      <c r="V66" s="107">
        <f t="shared" si="119"/>
        <v>1.0000988480739599</v>
      </c>
      <c r="W66" s="26">
        <f>((C66/G66)-D66)+(R66+R$56)/2*(1-Data!D$51)</f>
        <v>388.90191471978216</v>
      </c>
      <c r="X66" s="101">
        <f t="shared" si="140"/>
        <v>1.6212333898736162E-3</v>
      </c>
      <c r="Y66" s="103">
        <f t="shared" si="120"/>
        <v>6.2117509364016436E-2</v>
      </c>
      <c r="Z66" s="133">
        <f>Y66*Data!$D$21</f>
        <v>8.062852715449334E-2</v>
      </c>
      <c r="AA66" s="430">
        <f>'UNS RES'!$K$5*'UNS RES'!$J$5*'UNS RES'!$I$5*Q66/(E66*C66*1)</f>
        <v>0.12294986514900133</v>
      </c>
      <c r="AB66" s="431">
        <f>AA66*(B66-2000)</f>
        <v>36.884959544700401</v>
      </c>
      <c r="AC66" s="134">
        <f>Z66-Z56</f>
        <v>2.1043609400559632E-3</v>
      </c>
      <c r="AD66" s="434">
        <f>AC66*1000000</f>
        <v>2104.3609400559631</v>
      </c>
      <c r="AE66" s="134">
        <f>365*(AB56-AB66)/AD66</f>
        <v>0.44191147883841647</v>
      </c>
      <c r="AF66" s="142">
        <f>(LN(AB56/AB66))/AE66</f>
        <v>0.15114489635174536</v>
      </c>
      <c r="AG66" s="248">
        <f>AF66+AG56</f>
        <v>1.8655818642058952</v>
      </c>
      <c r="AH66" s="245">
        <f t="shared" si="141"/>
        <v>1829.0450717290064</v>
      </c>
      <c r="AI66" s="247">
        <f>(AB66*AH66)/10^6</f>
        <v>6.7464253476158045E-2</v>
      </c>
      <c r="AJ66" s="247">
        <f>365*AI66*AF66</f>
        <v>3.7218603236721512</v>
      </c>
      <c r="AK66" s="247">
        <f>AK56+AJ66</f>
        <v>61.277368193384149</v>
      </c>
    </row>
    <row r="67" spans="2:37" x14ac:dyDescent="0.25">
      <c r="D67" s="97"/>
      <c r="E67"/>
      <c r="F67"/>
      <c r="G67" s="97"/>
      <c r="H67" s="20"/>
      <c r="I67" s="14"/>
      <c r="J67" s="105"/>
      <c r="K67" s="128"/>
      <c r="L67" s="125"/>
      <c r="M67" s="268"/>
      <c r="N67" s="264"/>
      <c r="O67" s="215"/>
      <c r="P67" s="10"/>
      <c r="Q67" s="10"/>
      <c r="R67" s="309"/>
      <c r="S67" s="9"/>
      <c r="T67" s="1"/>
      <c r="U67" s="100"/>
      <c r="V67" s="8"/>
      <c r="W67" s="1"/>
      <c r="X67" s="57"/>
      <c r="Y67" s="103"/>
      <c r="Z67" s="103"/>
      <c r="AA67" s="109"/>
      <c r="AB67" s="109"/>
      <c r="AC67" s="103"/>
      <c r="AD67" s="103"/>
      <c r="AE67" s="103"/>
      <c r="AF67" s="103"/>
      <c r="AG67" s="436"/>
      <c r="AH67" s="191"/>
      <c r="AI67" s="191"/>
      <c r="AJ67" s="191"/>
      <c r="AK67" s="191"/>
    </row>
    <row r="68" spans="2:37" x14ac:dyDescent="0.25">
      <c r="B68" s="7">
        <v>2280</v>
      </c>
      <c r="C68" s="7">
        <f t="shared" si="1"/>
        <v>1.42739555</v>
      </c>
      <c r="D68" s="122">
        <f t="shared" si="2"/>
        <v>113.38458190000001</v>
      </c>
      <c r="E68">
        <f t="shared" si="3"/>
        <v>0.59547892480000009</v>
      </c>
      <c r="F68">
        <f t="shared" si="4"/>
        <v>1.7790840000000002E-2</v>
      </c>
      <c r="G68" s="97">
        <f t="shared" si="5"/>
        <v>7.4027327586910279E-3</v>
      </c>
      <c r="H68" s="20">
        <f>'MBal_Som_Saturated-Res'!X$55</f>
        <v>0.47664242935708595</v>
      </c>
      <c r="I68" s="14">
        <f>Data!D$8*(1-Data!D$16)+Data!D$10*Data!D$16</f>
        <v>0.49634854771784231</v>
      </c>
      <c r="J68" s="105">
        <f>Y66</f>
        <v>6.2117509364016436E-2</v>
      </c>
      <c r="K68" s="129">
        <f t="shared" si="14"/>
        <v>1.1099738734198304E-2</v>
      </c>
      <c r="L68" s="125">
        <f t="shared" ref="L68:L73" si="143">(1-K68)*(C68/C$7)*(1-I68)</f>
        <v>0.49331328636902627</v>
      </c>
      <c r="M68" s="268">
        <f t="shared" ref="M68:M73" si="144">1-L68-I68</f>
        <v>1.0338165913131414E-2</v>
      </c>
      <c r="N68" s="264">
        <f>(L68-H68*(1-Data!D$16))/Data!D$16</f>
        <v>2.3028590383923659</v>
      </c>
      <c r="O68" s="215">
        <f>(M68-Data!D$27)/(1-Data!D$27-Data!D$19-I68)</f>
        <v>3.4046159948956961E-2</v>
      </c>
      <c r="P68" s="10">
        <f>Data!D$28*O68</f>
        <v>3.4046159948956961E-2</v>
      </c>
      <c r="Q68" s="10">
        <f>Data!D$28*(1-O68)</f>
        <v>0.96595384005104301</v>
      </c>
      <c r="R68" s="310">
        <f>1*(D68+(P68*E68*C68)/(Q68*F68*G68))</f>
        <v>340.85973732121238</v>
      </c>
      <c r="S68" s="32">
        <f t="shared" ref="S68:S73" si="145">(1-J68)*((C68/G68-D68)-(C$64/G$64-D$64))</f>
        <v>-1.1142601408600881</v>
      </c>
      <c r="T68" s="26">
        <f>C$7*(1+Data!D$50)*((1/G68)-(1/G$64))</f>
        <v>-1.749777036697989</v>
      </c>
      <c r="U68" s="106">
        <f>(1-Data!D$26)*Data!D$24+Data!D$26*Data!D$25</f>
        <v>4.9424036979969185E-6</v>
      </c>
      <c r="V68" s="107">
        <f t="shared" ref="V68:V73" si="146">1+U68*(B$64-B68)</f>
        <v>1.0000988480739599</v>
      </c>
      <c r="W68" s="26">
        <f>((C68/G68)-D68)+(R68+R$64)/2*(1-Data!D$51)</f>
        <v>412.73670363108414</v>
      </c>
      <c r="X68" s="57">
        <f t="shared" ref="X68:X73" si="147">(S68-T68*V68)/W68</f>
        <v>1.5401825239560851E-3</v>
      </c>
      <c r="Y68" s="103">
        <f>X68+Y$66</f>
        <v>6.3657691887972517E-2</v>
      </c>
      <c r="Z68" s="134">
        <f>Y68*Data!$D$21</f>
        <v>8.2627684070588334E-2</v>
      </c>
      <c r="AA68" s="134"/>
      <c r="AB68" s="134"/>
      <c r="AC68" s="134"/>
      <c r="AD68" s="134"/>
      <c r="AE68" s="134"/>
      <c r="AF68" s="134"/>
      <c r="AG68" s="253"/>
      <c r="AH68" s="246">
        <f t="shared" si="9"/>
        <v>1913.9274250586075</v>
      </c>
      <c r="AI68" s="246"/>
      <c r="AJ68" s="246"/>
      <c r="AK68" s="246"/>
    </row>
    <row r="69" spans="2:37" x14ac:dyDescent="0.25">
      <c r="B69" s="7">
        <v>2280</v>
      </c>
      <c r="C69" s="7">
        <f t="shared" ref="C69:C70" si="148">0.00011448*B69 + 1.16638115</f>
        <v>1.42739555</v>
      </c>
      <c r="D69" s="122">
        <f t="shared" si="2"/>
        <v>113.38458190000001</v>
      </c>
      <c r="E69">
        <f t="shared" ref="E69:E70" si="149">0.0000000907*B69^2 - 0.0003674172*B69 + 0.9616952608</f>
        <v>0.59547892480000009</v>
      </c>
      <c r="F69">
        <f t="shared" ref="F69:F70" si="150">0.00000236*B69 + 0.01241004</f>
        <v>1.7790840000000002E-2</v>
      </c>
      <c r="G69" s="97">
        <f t="shared" ref="G69:G70" si="151">20.40472*B69^(-1.02454)</f>
        <v>7.4027327586910279E-3</v>
      </c>
      <c r="H69" s="20">
        <f>'MBal_Som_Saturated-Res'!X$55</f>
        <v>0.47664242935708595</v>
      </c>
      <c r="I69" s="14">
        <f>Data!D$8*(1-Data!D$16)+Data!D$10*Data!D$16</f>
        <v>0.49634854771784231</v>
      </c>
      <c r="J69" s="108">
        <f>Y68</f>
        <v>6.3657691887972517E-2</v>
      </c>
      <c r="K69" s="129">
        <f t="shared" si="14"/>
        <v>1.2723702200351059E-2</v>
      </c>
      <c r="L69" s="125">
        <f t="shared" si="143"/>
        <v>0.49250317155177914</v>
      </c>
      <c r="M69" s="268">
        <f t="shared" si="144"/>
        <v>1.1148280730378546E-2</v>
      </c>
      <c r="N69" s="264">
        <f>(L69-H69*(1-Data!D$16))/Data!D$16</f>
        <v>2.2141146425030214</v>
      </c>
      <c r="O69" s="215">
        <f>(M69-Data!D$27)/(1-Data!D$27-Data!D$19-I69)</f>
        <v>3.6714070183400234E-2</v>
      </c>
      <c r="P69" s="10">
        <f>Data!D$28*O69</f>
        <v>3.6714070183400234E-2</v>
      </c>
      <c r="Q69" s="10">
        <f>Data!D$28*(1-O69)</f>
        <v>0.96328592981659977</v>
      </c>
      <c r="R69" s="310">
        <f t="shared" ref="R69:R73" si="152">1*(D69+(P69*E69*C69)/(Q69*F69*G69))</f>
        <v>359.36442806873498</v>
      </c>
      <c r="S69" s="32">
        <f t="shared" si="145"/>
        <v>-1.1124303124826227</v>
      </c>
      <c r="T69" s="26">
        <f>C$7*(1+Data!D$50)*((1/G69)-(1/G$64))</f>
        <v>-1.749777036697989</v>
      </c>
      <c r="U69" s="106">
        <f>(1-Data!D$26)*Data!D$24+Data!D$26*Data!D$25</f>
        <v>4.9424036979969185E-6</v>
      </c>
      <c r="V69" s="107">
        <f t="shared" si="146"/>
        <v>1.0000988480739599</v>
      </c>
      <c r="W69" s="26">
        <f>((C69/G69)-D69)+(R69+R$64)/2*(1-Data!D$51)</f>
        <v>421.98904900484547</v>
      </c>
      <c r="X69" s="57">
        <f t="shared" si="147"/>
        <v>1.5107493614081508E-3</v>
      </c>
      <c r="Y69" s="103">
        <f t="shared" ref="Y69:Y72" si="153">X69+Y$66</f>
        <v>6.3628258725424588E-2</v>
      </c>
      <c r="Z69" s="134">
        <f>Y69*Data!$D$21</f>
        <v>8.2589479825601123E-2</v>
      </c>
      <c r="AA69" s="134"/>
      <c r="AB69" s="134"/>
      <c r="AC69" s="134"/>
      <c r="AD69" s="134"/>
      <c r="AE69" s="134"/>
      <c r="AF69" s="134"/>
      <c r="AG69" s="253"/>
      <c r="AH69" s="246">
        <f t="shared" si="9"/>
        <v>2017.831263605947</v>
      </c>
      <c r="AI69" s="246"/>
      <c r="AJ69" s="246"/>
      <c r="AK69" s="246"/>
    </row>
    <row r="70" spans="2:37" x14ac:dyDescent="0.25">
      <c r="B70" s="7">
        <v>2280</v>
      </c>
      <c r="C70" s="7">
        <f t="shared" si="148"/>
        <v>1.42739555</v>
      </c>
      <c r="D70" s="122">
        <f t="shared" si="2"/>
        <v>113.38458190000001</v>
      </c>
      <c r="E70">
        <f t="shared" si="149"/>
        <v>0.59547892480000009</v>
      </c>
      <c r="F70">
        <f t="shared" si="150"/>
        <v>1.7790840000000002E-2</v>
      </c>
      <c r="G70" s="97">
        <f t="shared" si="151"/>
        <v>7.4027327586910279E-3</v>
      </c>
      <c r="H70" s="20">
        <f>'MBal_Som_Saturated-Res'!X$55</f>
        <v>0.47664242935708595</v>
      </c>
      <c r="I70" s="14">
        <f>Data!D$8*(1-Data!D$16)+Data!D$10*Data!D$16</f>
        <v>0.49634854771784231</v>
      </c>
      <c r="J70" s="108">
        <f t="shared" ref="J70:J73" si="154">Y69</f>
        <v>6.3628258725424588E-2</v>
      </c>
      <c r="K70" s="129">
        <f t="shared" si="14"/>
        <v>1.2692667969065017E-2</v>
      </c>
      <c r="L70" s="125">
        <f t="shared" si="143"/>
        <v>0.49251865299032788</v>
      </c>
      <c r="M70" s="268">
        <f t="shared" si="144"/>
        <v>1.1132799291829865E-2</v>
      </c>
      <c r="N70" s="264">
        <f>(L70-H70*(1-Data!D$16))/Data!D$16</f>
        <v>2.21581056372586</v>
      </c>
      <c r="O70" s="215">
        <f>(M70-Data!D$27)/(1-Data!D$27-Data!D$19-I70)</f>
        <v>3.6663085943304141E-2</v>
      </c>
      <c r="P70" s="10">
        <f>Data!D$28*O70</f>
        <v>3.6663085943304141E-2</v>
      </c>
      <c r="Q70" s="10">
        <f>Data!D$28*(1-O70)</f>
        <v>0.96333691405669586</v>
      </c>
      <c r="R70" s="310">
        <f t="shared" si="152"/>
        <v>359.00983949225849</v>
      </c>
      <c r="S70" s="32">
        <f t="shared" si="145"/>
        <v>-1.1124652808290565</v>
      </c>
      <c r="T70" s="26">
        <f>C$7*(1+Data!D$50)*((1/G70)-(1/G$64))</f>
        <v>-1.749777036697989</v>
      </c>
      <c r="U70" s="106">
        <f>(1-Data!D$26)*Data!D$24+Data!D$26*Data!D$25</f>
        <v>4.9424036979969185E-6</v>
      </c>
      <c r="V70" s="107">
        <f t="shared" si="146"/>
        <v>1.0000988480739599</v>
      </c>
      <c r="W70" s="26">
        <f>((C70/G70)-D70)+(R70+R$64)/2*(1-Data!D$51)</f>
        <v>421.8117547166072</v>
      </c>
      <c r="X70" s="57">
        <f t="shared" si="147"/>
        <v>1.5113014533868583E-3</v>
      </c>
      <c r="Y70" s="103">
        <f t="shared" si="153"/>
        <v>6.3628810817403292E-2</v>
      </c>
      <c r="Z70" s="134">
        <f>Y70*Data!$D$21</f>
        <v>8.2590196440989472E-2</v>
      </c>
      <c r="AA70" s="134"/>
      <c r="AB70" s="134"/>
      <c r="AC70" s="134"/>
      <c r="AD70" s="134"/>
      <c r="AE70" s="134"/>
      <c r="AF70" s="134"/>
      <c r="AG70" s="253"/>
      <c r="AH70" s="246">
        <f t="shared" si="9"/>
        <v>2015.8402487490316</v>
      </c>
      <c r="AI70" s="246"/>
      <c r="AJ70" s="246"/>
      <c r="AK70" s="246"/>
    </row>
    <row r="71" spans="2:37" x14ac:dyDescent="0.25">
      <c r="B71" s="7">
        <v>2280</v>
      </c>
      <c r="C71" s="7">
        <f t="shared" ref="C71:C72" si="155">0.00011448*B71 + 1.16638115</f>
        <v>1.42739555</v>
      </c>
      <c r="D71" s="122">
        <f t="shared" si="2"/>
        <v>113.38458190000001</v>
      </c>
      <c r="E71">
        <f t="shared" ref="E71:E72" si="156">0.0000000907*B71^2 - 0.0003674172*B71 + 0.9616952608</f>
        <v>0.59547892480000009</v>
      </c>
      <c r="F71">
        <f t="shared" ref="F71:F72" si="157">0.00000236*B71 + 0.01241004</f>
        <v>1.7790840000000002E-2</v>
      </c>
      <c r="G71" s="97">
        <f t="shared" ref="G71:G72" si="158">20.40472*B71^(-1.02454)</f>
        <v>7.4027327586910279E-3</v>
      </c>
      <c r="H71" s="20">
        <f>'MBal_Som_Saturated-Res'!X$55</f>
        <v>0.47664242935708595</v>
      </c>
      <c r="I71" s="14">
        <f>Data!D$8*(1-Data!D$16)+Data!D$10*Data!D$16</f>
        <v>0.49634854771784231</v>
      </c>
      <c r="J71" s="108">
        <f t="shared" si="154"/>
        <v>6.3628810817403292E-2</v>
      </c>
      <c r="K71" s="129">
        <f t="shared" si="14"/>
        <v>1.269325009305969E-2</v>
      </c>
      <c r="L71" s="125">
        <f t="shared" si="143"/>
        <v>0.49251836259754295</v>
      </c>
      <c r="M71" s="268">
        <f t="shared" si="144"/>
        <v>1.1133089684614794E-2</v>
      </c>
      <c r="N71" s="264">
        <f>(L71-H71*(1-Data!D$16))/Data!D$16</f>
        <v>2.2157787525162385</v>
      </c>
      <c r="O71" s="215">
        <f>(M71-Data!D$27)/(1-Data!D$27-Data!D$19-I71)</f>
        <v>3.6664042279204223E-2</v>
      </c>
      <c r="P71" s="10">
        <f>Data!D$28*O71</f>
        <v>3.6664042279204223E-2</v>
      </c>
      <c r="Q71" s="10">
        <f>Data!D$28*(1-O71)</f>
        <v>0.96333595772079583</v>
      </c>
      <c r="R71" s="310">
        <f t="shared" si="152"/>
        <v>359.01649033523239</v>
      </c>
      <c r="S71" s="32">
        <f t="shared" si="145"/>
        <v>-1.1124646249109729</v>
      </c>
      <c r="T71" s="26">
        <f>C$7*(1+Data!D$50)*((1/G71)-(1/G$64))</f>
        <v>-1.749777036697989</v>
      </c>
      <c r="U71" s="106">
        <f>(1-Data!D$26)*Data!D$24+Data!D$26*Data!D$25</f>
        <v>4.9424036979969185E-6</v>
      </c>
      <c r="V71" s="107">
        <f t="shared" si="146"/>
        <v>1.0000988480739599</v>
      </c>
      <c r="W71" s="26">
        <f>((C71/G71)-D71)+(R71+R$64)/2*(1-Data!D$51)</f>
        <v>421.81508013809412</v>
      </c>
      <c r="X71" s="57">
        <f t="shared" si="147"/>
        <v>1.5112910938799358E-3</v>
      </c>
      <c r="Y71" s="103">
        <f t="shared" si="153"/>
        <v>6.3628800457896373E-2</v>
      </c>
      <c r="Z71" s="134">
        <f>Y71*Data!$D$21</f>
        <v>8.259018299434949E-2</v>
      </c>
      <c r="AA71" s="134"/>
      <c r="AB71" s="134"/>
      <c r="AC71" s="134"/>
      <c r="AD71" s="134"/>
      <c r="AE71" s="134"/>
      <c r="AF71" s="134"/>
      <c r="AG71" s="253"/>
      <c r="AH71" s="246">
        <f t="shared" si="9"/>
        <v>2015.8775932323299</v>
      </c>
      <c r="AI71" s="246"/>
      <c r="AJ71" s="246"/>
      <c r="AK71" s="246"/>
    </row>
    <row r="72" spans="2:37" x14ac:dyDescent="0.25">
      <c r="B72" s="7">
        <v>2280</v>
      </c>
      <c r="C72" s="7">
        <f t="shared" si="155"/>
        <v>1.42739555</v>
      </c>
      <c r="D72" s="122">
        <f t="shared" si="2"/>
        <v>113.38458190000001</v>
      </c>
      <c r="E72">
        <f t="shared" si="156"/>
        <v>0.59547892480000009</v>
      </c>
      <c r="F72">
        <f t="shared" si="157"/>
        <v>1.7790840000000002E-2</v>
      </c>
      <c r="G72" s="97">
        <f t="shared" si="158"/>
        <v>7.4027327586910279E-3</v>
      </c>
      <c r="H72" s="20">
        <f>'MBal_Som_Saturated-Res'!X$55</f>
        <v>0.47664242935708595</v>
      </c>
      <c r="I72" s="14">
        <f>Data!D$8*(1-Data!D$16)+Data!D$10*Data!D$16</f>
        <v>0.49634854771784231</v>
      </c>
      <c r="J72" s="108">
        <f t="shared" si="154"/>
        <v>6.3628800457896373E-2</v>
      </c>
      <c r="K72" s="129">
        <f t="shared" si="14"/>
        <v>1.2693239170029139E-2</v>
      </c>
      <c r="L72" s="125">
        <f t="shared" si="143"/>
        <v>0.49251836804650101</v>
      </c>
      <c r="M72" s="268">
        <f t="shared" si="144"/>
        <v>1.1133084235656621E-2</v>
      </c>
      <c r="N72" s="264">
        <f>(L72-H72*(1-Data!D$16))/Data!D$16</f>
        <v>2.2157793494248259</v>
      </c>
      <c r="O72" s="215">
        <f>(M72-Data!D$27)/(1-Data!D$27-Data!D$19-I72)</f>
        <v>3.6664024334425324E-2</v>
      </c>
      <c r="P72" s="10">
        <f>Data!D$28*O72</f>
        <v>3.6664024334425324E-2</v>
      </c>
      <c r="Q72" s="10">
        <f>Data!D$28*(1-O72)</f>
        <v>0.96333597566557472</v>
      </c>
      <c r="R72" s="310">
        <f t="shared" si="152"/>
        <v>359.01636553805298</v>
      </c>
      <c r="S72" s="32">
        <f t="shared" si="145"/>
        <v>-1.1124646372186826</v>
      </c>
      <c r="T72" s="26">
        <f>C$7*(1+Data!D$50)*((1/G72)-(1/G$64))</f>
        <v>-1.749777036697989</v>
      </c>
      <c r="U72" s="106">
        <f>(1-Data!D$26)*Data!D$24+Data!D$26*Data!D$25</f>
        <v>4.9424036979969185E-6</v>
      </c>
      <c r="V72" s="107">
        <f t="shared" si="146"/>
        <v>1.0000988480739599</v>
      </c>
      <c r="W72" s="26">
        <f>((C72/G72)-D72)+(R72+R$64)/2*(1-Data!D$51)</f>
        <v>421.81501773950447</v>
      </c>
      <c r="X72" s="57">
        <f t="shared" si="147"/>
        <v>1.5112912882654357E-3</v>
      </c>
      <c r="Y72" s="103">
        <f t="shared" si="153"/>
        <v>6.3628800652281867E-2</v>
      </c>
      <c r="Z72" s="134">
        <f>Y72*Data!$D$21</f>
        <v>8.2590183246661869E-2</v>
      </c>
      <c r="AA72" s="134"/>
      <c r="AB72" s="134"/>
      <c r="AC72" s="134"/>
      <c r="AD72" s="134"/>
      <c r="AE72" s="134"/>
      <c r="AF72" s="134"/>
      <c r="AG72" s="253"/>
      <c r="AH72" s="246">
        <f t="shared" si="9"/>
        <v>2015.8768924961676</v>
      </c>
      <c r="AI72" s="246"/>
      <c r="AJ72" s="246"/>
      <c r="AK72" s="246"/>
    </row>
    <row r="73" spans="2:37" x14ac:dyDescent="0.25">
      <c r="B73" s="7">
        <v>2280</v>
      </c>
      <c r="C73" s="7">
        <f t="shared" ref="C73" si="159">0.00011448*B73 + 1.16638115</f>
        <v>1.42739555</v>
      </c>
      <c r="D73" s="122">
        <f t="shared" si="2"/>
        <v>113.38458190000001</v>
      </c>
      <c r="E73">
        <f t="shared" ref="E73" si="160">0.0000000907*B73^2 - 0.0003674172*B73 + 0.9616952608</f>
        <v>0.59547892480000009</v>
      </c>
      <c r="F73">
        <f t="shared" ref="F73" si="161">0.00000236*B73 + 0.01241004</f>
        <v>1.7790840000000002E-2</v>
      </c>
      <c r="G73" s="97">
        <f t="shared" ref="G73" si="162">20.40472*B73^(-1.02454)</f>
        <v>7.4027327586910279E-3</v>
      </c>
      <c r="H73" s="20">
        <f>'MBal_Som_Saturated-Res'!X$55</f>
        <v>0.47664242935708595</v>
      </c>
      <c r="I73" s="14">
        <f>Data!D$8*(1-Data!D$16)+Data!D$10*Data!D$16</f>
        <v>0.49634854771784231</v>
      </c>
      <c r="J73" s="108">
        <f t="shared" si="154"/>
        <v>6.3628800652281867E-2</v>
      </c>
      <c r="K73" s="129">
        <f t="shared" si="14"/>
        <v>1.2693239374988573E-2</v>
      </c>
      <c r="L73" s="124">
        <f t="shared" si="143"/>
        <v>0.49251836794425691</v>
      </c>
      <c r="M73" s="268">
        <f t="shared" si="144"/>
        <v>1.1133084337900834E-2</v>
      </c>
      <c r="N73" s="264">
        <f>(L73-H73*(1-Data!D$16))/Data!D$16</f>
        <v>2.2157793382244493</v>
      </c>
      <c r="O73" s="215">
        <f>(M73-Data!D$27)/(1-Data!D$27-Data!D$19-I73)</f>
        <v>3.6664024671141028E-2</v>
      </c>
      <c r="P73" s="10">
        <f>Data!D$28*O73</f>
        <v>3.6664024671141028E-2</v>
      </c>
      <c r="Q73" s="10">
        <f>Data!D$28*(1-O73)</f>
        <v>0.96333597532885895</v>
      </c>
      <c r="R73" s="309">
        <f t="shared" si="152"/>
        <v>359.01636787974633</v>
      </c>
      <c r="S73" s="32">
        <f t="shared" si="145"/>
        <v>-1.1124646369877413</v>
      </c>
      <c r="T73" s="26">
        <f>C$7*(1+Data!D$50)*((1/G73)-(1/G$64))</f>
        <v>-1.749777036697989</v>
      </c>
      <c r="U73" s="106">
        <f>(1-Data!D$26)*Data!D$24+Data!D$26*Data!D$25</f>
        <v>4.9424036979969185E-6</v>
      </c>
      <c r="V73" s="107">
        <f t="shared" si="146"/>
        <v>1.0000988480739599</v>
      </c>
      <c r="W73" s="26">
        <f>((C73/G73)-D73)+(R73+R$64)/2*(1-Data!D$51)</f>
        <v>421.81501891035111</v>
      </c>
      <c r="X73" s="101">
        <f t="shared" si="147"/>
        <v>1.511291284617986E-3</v>
      </c>
      <c r="Y73" s="102">
        <f>X73+Y$66</f>
        <v>6.3628800648634423E-2</v>
      </c>
      <c r="Z73" s="133">
        <f>Y73*Data!$D$21</f>
        <v>8.2590183241927489E-2</v>
      </c>
      <c r="AA73" s="140">
        <f>'UNS RES'!$K$5*'UNS RES'!$J$5*'UNS RES'!$I$5*Q73/(E73*C73*1)</f>
        <v>0.12268031921418592</v>
      </c>
      <c r="AB73" s="141">
        <f>AA73*(B73-2000)</f>
        <v>34.350489379972053</v>
      </c>
      <c r="AC73" s="134">
        <f>Z73-Z66</f>
        <v>1.9616560874341493E-3</v>
      </c>
      <c r="AD73" s="434">
        <f>AC73*1000000</f>
        <v>1961.6560874341494</v>
      </c>
      <c r="AE73" s="134">
        <f>365*(AB66-AB73)/AD73</f>
        <v>0.47158195366235456</v>
      </c>
      <c r="AF73" s="142">
        <f>(LN(AB66/AB73))/AE73</f>
        <v>0.15095489034486784</v>
      </c>
      <c r="AG73" s="248">
        <f>AF73+AG66</f>
        <v>2.0165367545507631</v>
      </c>
      <c r="AH73" s="245">
        <f t="shared" si="9"/>
        <v>2015.8769056447757</v>
      </c>
      <c r="AI73" s="247">
        <f>(AB73*AH73)/10^6</f>
        <v>6.9246358238681791E-2</v>
      </c>
      <c r="AJ73" s="247">
        <f>365*AI73*AF73</f>
        <v>3.8153728913661005</v>
      </c>
      <c r="AK73" s="247">
        <f>AK66+AJ73</f>
        <v>65.092741084750244</v>
      </c>
    </row>
    <row r="74" spans="2:37" ht="16.5" customHeight="1" x14ac:dyDescent="0.25">
      <c r="B74" s="7"/>
      <c r="C74" s="7"/>
      <c r="D74" s="97"/>
      <c r="E74"/>
      <c r="F74"/>
      <c r="G74" s="97"/>
      <c r="I74" s="13"/>
      <c r="K74" s="130"/>
      <c r="L74" s="126"/>
      <c r="M74" s="269"/>
      <c r="N74" s="265"/>
      <c r="O74" s="267"/>
      <c r="R74" s="309"/>
      <c r="AH74" s="191"/>
      <c r="AI74" s="191"/>
      <c r="AJ74" s="191"/>
      <c r="AK74" s="191"/>
    </row>
    <row r="75" spans="2:37" x14ac:dyDescent="0.25">
      <c r="B75" s="7">
        <v>2260</v>
      </c>
      <c r="C75" s="7">
        <f t="shared" ref="C75:C80" si="163">0.00011448*B75 + 1.16638115</f>
        <v>1.4251059500000001</v>
      </c>
      <c r="D75" s="122">
        <f t="shared" ref="D75:D80" si="164">0.04285545*B75 + 15.6741559</f>
        <v>112.52747290000001</v>
      </c>
      <c r="E75">
        <f t="shared" ref="E75:E80" si="165">0.0000000907*B75^2 - 0.0003674172*B75 + 0.9616952608</f>
        <v>0.5945917087999999</v>
      </c>
      <c r="F75">
        <f t="shared" ref="F75:F80" si="166">0.00000236*B75 + 0.01241004</f>
        <v>1.7743640000000001E-2</v>
      </c>
      <c r="G75" s="97">
        <f t="shared" ref="G75:G80" si="167">20.40472*B75^(-1.02454)</f>
        <v>7.4698585729011625E-3</v>
      </c>
      <c r="H75" s="20">
        <f>'MBal_Som_Saturated-Res'!X$68</f>
        <v>0.46131891820468951</v>
      </c>
      <c r="I75" s="14">
        <f>Data!D$8*(1-Data!D$16)+Data!D$10*Data!D$16</f>
        <v>0.49634854771784231</v>
      </c>
      <c r="J75" s="105">
        <f>Y73</f>
        <v>6.3628800648634423E-2</v>
      </c>
      <c r="K75" s="129">
        <f t="shared" ref="K75:K80" si="168">(J75-J$7)/(1-J$7)</f>
        <v>1.2693239371142721E-2</v>
      </c>
      <c r="L75" s="125">
        <f t="shared" ref="L75:L80" si="169">(1-K75)*(C75/C$7)*(1-I75)</f>
        <v>0.49172834863075193</v>
      </c>
      <c r="M75" s="268">
        <f t="shared" ref="M75:M80" si="170">1-L75-I75</f>
        <v>1.1923103651405698E-2</v>
      </c>
      <c r="N75" s="264">
        <f>(L75-H75*(1-Data!D$16))/Data!D$16</f>
        <v>3.7925337966960719</v>
      </c>
      <c r="O75" s="215">
        <f>(M75-Data!D$27)/(1-Data!D$27-Data!D$19-I75)</f>
        <v>3.9265755397496209E-2</v>
      </c>
      <c r="P75" s="10">
        <f>Data!D$28*O75</f>
        <v>3.9265755397496209E-2</v>
      </c>
      <c r="Q75" s="10">
        <f>Data!D$28*(1-O75)</f>
        <v>0.96073424460250378</v>
      </c>
      <c r="R75" s="310">
        <f>1*(D75+(P75*E75*C75)/(Q75*F75*G75))</f>
        <v>373.81675231685887</v>
      </c>
      <c r="S75" s="32">
        <f>(1-J75)*((C75/G75-D75)-(C$73/G$73-D$73))</f>
        <v>-1.1069097515356421</v>
      </c>
      <c r="T75" s="26">
        <f>C$7*(1+Data!D$50)*((1/G75)-(1/G$73))</f>
        <v>-1.7494004099348075</v>
      </c>
      <c r="U75" s="106">
        <f>(1-Data!D$26)*Data!D$24+Data!D$26*Data!D$25</f>
        <v>4.9424036979969185E-6</v>
      </c>
      <c r="V75" s="107">
        <f>1+U75*(B$73-B75)</f>
        <v>1.0000988480739599</v>
      </c>
      <c r="W75" s="26">
        <f>((C75/G75)-D75)+(R75+R$73)/2*(1-Data!D$51)</f>
        <v>444.6699347996132</v>
      </c>
      <c r="X75" s="57">
        <f t="shared" ref="X75:X80" si="171">(S75-T75*V75)/W75</f>
        <v>1.4452598050054431E-3</v>
      </c>
      <c r="Y75" s="103">
        <f>X75+Y$73</f>
        <v>6.5074060453639865E-2</v>
      </c>
      <c r="Z75" s="134">
        <f>Y75*Data!$D$21</f>
        <v>8.4466130468824549E-2</v>
      </c>
      <c r="AA75" s="134"/>
      <c r="AB75" s="134"/>
      <c r="AC75" s="134"/>
      <c r="AD75" s="134"/>
      <c r="AE75" s="134"/>
      <c r="AF75" s="134"/>
      <c r="AG75" s="253"/>
      <c r="AH75" s="246">
        <f t="shared" ref="AH75:AH80" si="172">5.615*R75</f>
        <v>2098.9810642591624</v>
      </c>
      <c r="AI75" s="246"/>
      <c r="AJ75" s="246"/>
      <c r="AK75" s="246"/>
    </row>
    <row r="76" spans="2:37" x14ac:dyDescent="0.25">
      <c r="B76" s="7">
        <v>2260</v>
      </c>
      <c r="C76" s="7">
        <f t="shared" si="163"/>
        <v>1.4251059500000001</v>
      </c>
      <c r="D76" s="122">
        <f t="shared" si="164"/>
        <v>112.52747290000001</v>
      </c>
      <c r="E76">
        <f t="shared" si="165"/>
        <v>0.5945917087999999</v>
      </c>
      <c r="F76">
        <f t="shared" si="166"/>
        <v>1.7743640000000001E-2</v>
      </c>
      <c r="G76" s="97">
        <f t="shared" si="167"/>
        <v>7.4698585729011625E-3</v>
      </c>
      <c r="H76" s="20">
        <f>'MBal_Som_Saturated-Res'!X$68</f>
        <v>0.46131891820468951</v>
      </c>
      <c r="I76" s="14">
        <f>Data!D$8*(1-Data!D$16)+Data!D$10*Data!D$16</f>
        <v>0.49634854771784231</v>
      </c>
      <c r="J76" s="108">
        <f>Y75</f>
        <v>6.5074060453639865E-2</v>
      </c>
      <c r="K76" s="129">
        <f t="shared" si="168"/>
        <v>1.421711662979341E-2</v>
      </c>
      <c r="L76" s="125">
        <f t="shared" si="169"/>
        <v>0.49096938122792066</v>
      </c>
      <c r="M76" s="268">
        <f t="shared" si="170"/>
        <v>1.2682071054237021E-2</v>
      </c>
      <c r="N76" s="264">
        <f>(L76-H76*(1-Data!D$16))/Data!D$16</f>
        <v>3.7093923675677374</v>
      </c>
      <c r="O76" s="215">
        <f>(M76-Data!D$27)/(1-Data!D$27-Data!D$19-I76)</f>
        <v>4.1765224433877035E-2</v>
      </c>
      <c r="P76" s="10">
        <f>Data!D$28*O76</f>
        <v>4.1765224433877035E-2</v>
      </c>
      <c r="Q76" s="10">
        <f>Data!D$28*(1-O76)</f>
        <v>0.95823477556612291</v>
      </c>
      <c r="R76" s="310">
        <f t="shared" ref="R76:R80" si="173">1*(D76+(P76*E76*C76)/(Q76*F76*G76))</f>
        <v>391.1741041807025</v>
      </c>
      <c r="S76" s="32">
        <f t="shared" ref="S76:S80" si="174">(1-J76)*((C76/G76-D76)-(C$73/G$73-D$73))</f>
        <v>-1.1052012707827408</v>
      </c>
      <c r="T76" s="26">
        <f>C$7*(1+Data!D$50)*((1/G76)-(1/G$73))</f>
        <v>-1.7494004099348075</v>
      </c>
      <c r="U76" s="106">
        <f>(1-Data!D$26)*Data!D$24+Data!D$26*Data!D$25</f>
        <v>4.9424036979969185E-6</v>
      </c>
      <c r="V76" s="107">
        <f t="shared" ref="V76:V80" si="175">1+U76*(B$73-B76)</f>
        <v>1.0000988480739599</v>
      </c>
      <c r="W76" s="26">
        <f>((C76/G76)-D76)+(R76+R$73)/2*(1-Data!D$51)</f>
        <v>453.34861073153502</v>
      </c>
      <c r="X76" s="57">
        <f t="shared" si="171"/>
        <v>1.4213610646636769E-3</v>
      </c>
      <c r="Y76" s="103">
        <f t="shared" ref="Y76:Y80" si="176">X76+Y$73</f>
        <v>6.5050161713298096E-2</v>
      </c>
      <c r="Z76" s="134">
        <f>Y76*Data!$D$21</f>
        <v>8.4435109903860939E-2</v>
      </c>
      <c r="AA76" s="134"/>
      <c r="AB76" s="134"/>
      <c r="AC76" s="134"/>
      <c r="AD76" s="134"/>
      <c r="AE76" s="134"/>
      <c r="AF76" s="134"/>
      <c r="AG76" s="253"/>
      <c r="AH76" s="246">
        <f t="shared" si="172"/>
        <v>2196.4425949746446</v>
      </c>
      <c r="AI76" s="246"/>
      <c r="AJ76" s="246"/>
      <c r="AK76" s="246"/>
    </row>
    <row r="77" spans="2:37" x14ac:dyDescent="0.25">
      <c r="B77" s="7">
        <v>2260</v>
      </c>
      <c r="C77" s="7">
        <f t="shared" si="163"/>
        <v>1.4251059500000001</v>
      </c>
      <c r="D77" s="122">
        <f t="shared" si="164"/>
        <v>112.52747290000001</v>
      </c>
      <c r="E77">
        <f t="shared" si="165"/>
        <v>0.5945917087999999</v>
      </c>
      <c r="F77">
        <f t="shared" si="166"/>
        <v>1.7743640000000001E-2</v>
      </c>
      <c r="G77" s="97">
        <f t="shared" si="167"/>
        <v>7.4698585729011625E-3</v>
      </c>
      <c r="H77" s="20">
        <f>'MBal_Som_Saturated-Res'!X$68</f>
        <v>0.46131891820468951</v>
      </c>
      <c r="I77" s="14">
        <f>Data!D$8*(1-Data!D$16)+Data!D$10*Data!D$16</f>
        <v>0.49634854771784231</v>
      </c>
      <c r="J77" s="108">
        <f t="shared" ref="J77:J80" si="177">Y76</f>
        <v>6.5050161713298096E-2</v>
      </c>
      <c r="K77" s="129">
        <f t="shared" si="168"/>
        <v>1.4191917875361101E-2</v>
      </c>
      <c r="L77" s="125">
        <f t="shared" si="169"/>
        <v>0.49098193147309133</v>
      </c>
      <c r="M77" s="268">
        <f t="shared" si="170"/>
        <v>1.2669520809066359E-2</v>
      </c>
      <c r="N77" s="264">
        <f>(L77-H77*(1-Data!D$16))/Data!D$16</f>
        <v>3.7107671898796144</v>
      </c>
      <c r="O77" s="215">
        <f>(M77-Data!D$27)/(1-Data!D$27-Data!D$19-I77)</f>
        <v>4.1723893344971195E-2</v>
      </c>
      <c r="P77" s="10">
        <f>Data!D$28*O77</f>
        <v>4.1723893344971195E-2</v>
      </c>
      <c r="Q77" s="10">
        <f>Data!D$28*(1-O77)</f>
        <v>0.95827610665502883</v>
      </c>
      <c r="R77" s="310">
        <f t="shared" si="173"/>
        <v>390.88634766574387</v>
      </c>
      <c r="S77" s="32">
        <f t="shared" si="174"/>
        <v>-1.1052295221308728</v>
      </c>
      <c r="T77" s="26">
        <f>C$7*(1+Data!D$50)*((1/G77)-(1/G$73))</f>
        <v>-1.7494004099348075</v>
      </c>
      <c r="U77" s="106">
        <f>(1-Data!D$26)*Data!D$24+Data!D$26*Data!D$25</f>
        <v>4.9424036979969185E-6</v>
      </c>
      <c r="V77" s="107">
        <f t="shared" si="175"/>
        <v>1.0000988480739599</v>
      </c>
      <c r="W77" s="26">
        <f>((C77/G77)-D77)+(R77+R$73)/2*(1-Data!D$51)</f>
        <v>453.20473247405567</v>
      </c>
      <c r="X77" s="57">
        <f t="shared" si="171"/>
        <v>1.4217499652917408E-3</v>
      </c>
      <c r="Y77" s="103">
        <f t="shared" si="176"/>
        <v>6.5050550613926159E-2</v>
      </c>
      <c r="Z77" s="134">
        <f>Y77*Data!$D$21</f>
        <v>8.443561469687616E-2</v>
      </c>
      <c r="AA77" s="134"/>
      <c r="AB77" s="134"/>
      <c r="AC77" s="134"/>
      <c r="AD77" s="134"/>
      <c r="AE77" s="134"/>
      <c r="AF77" s="134"/>
      <c r="AG77" s="253"/>
      <c r="AH77" s="246">
        <f t="shared" si="172"/>
        <v>2194.8268421431521</v>
      </c>
      <c r="AI77" s="246"/>
      <c r="AJ77" s="246"/>
      <c r="AK77" s="246"/>
    </row>
    <row r="78" spans="2:37" x14ac:dyDescent="0.25">
      <c r="B78" s="7">
        <v>2260</v>
      </c>
      <c r="C78" s="7">
        <f t="shared" si="163"/>
        <v>1.4251059500000001</v>
      </c>
      <c r="D78" s="122">
        <f t="shared" si="164"/>
        <v>112.52747290000001</v>
      </c>
      <c r="E78">
        <f t="shared" si="165"/>
        <v>0.5945917087999999</v>
      </c>
      <c r="F78">
        <f t="shared" si="166"/>
        <v>1.7743640000000001E-2</v>
      </c>
      <c r="G78" s="97">
        <f t="shared" si="167"/>
        <v>7.4698585729011625E-3</v>
      </c>
      <c r="H78" s="20">
        <f>'MBal_Som_Saturated-Res'!X$68</f>
        <v>0.46131891820468951</v>
      </c>
      <c r="I78" s="14">
        <f>Data!D$8*(1-Data!D$16)+Data!D$10*Data!D$16</f>
        <v>0.49634854771784231</v>
      </c>
      <c r="J78" s="108">
        <f t="shared" si="177"/>
        <v>6.5050550613926159E-2</v>
      </c>
      <c r="K78" s="129">
        <f t="shared" si="168"/>
        <v>1.4192327930924072E-2</v>
      </c>
      <c r="L78" s="125">
        <f t="shared" si="169"/>
        <v>0.49098172724482825</v>
      </c>
      <c r="M78" s="268">
        <f t="shared" si="170"/>
        <v>1.2669725037329438E-2</v>
      </c>
      <c r="N78" s="264">
        <f>(L78-H78*(1-Data!D$16))/Data!D$16</f>
        <v>3.7107448176017046</v>
      </c>
      <c r="O78" s="215">
        <f>(M78-Data!D$27)/(1-Data!D$27-Data!D$19-I78)</f>
        <v>4.1724565919600901E-2</v>
      </c>
      <c r="P78" s="10">
        <f>Data!D$28*O78</f>
        <v>4.1724565919600901E-2</v>
      </c>
      <c r="Q78" s="10">
        <f>Data!D$28*(1-O78)</f>
        <v>0.95827543408039906</v>
      </c>
      <c r="R78" s="310">
        <f t="shared" si="173"/>
        <v>390.89103008580673</v>
      </c>
      <c r="S78" s="32">
        <f t="shared" si="174"/>
        <v>-1.1052290624009089</v>
      </c>
      <c r="T78" s="26">
        <f>C$7*(1+Data!D$50)*((1/G78)-(1/G$73))</f>
        <v>-1.7494004099348075</v>
      </c>
      <c r="U78" s="106">
        <f>(1-Data!D$26)*Data!D$24+Data!D$26*Data!D$25</f>
        <v>4.9424036979969185E-6</v>
      </c>
      <c r="V78" s="107">
        <f t="shared" si="175"/>
        <v>1.0000988480739599</v>
      </c>
      <c r="W78" s="26">
        <f>((C78/G78)-D78)+(R78+R$73)/2*(1-Data!D$51)</f>
        <v>453.20707368408711</v>
      </c>
      <c r="X78" s="57">
        <f t="shared" si="171"/>
        <v>1.4217436351052022E-3</v>
      </c>
      <c r="Y78" s="103">
        <f t="shared" si="176"/>
        <v>6.5050544283739631E-2</v>
      </c>
      <c r="Z78" s="134">
        <f>Y78*Data!$D$21</f>
        <v>8.4435606480294037E-2</v>
      </c>
      <c r="AA78" s="134"/>
      <c r="AB78" s="134"/>
      <c r="AC78" s="134"/>
      <c r="AD78" s="134"/>
      <c r="AE78" s="134"/>
      <c r="AF78" s="134"/>
      <c r="AG78" s="253"/>
      <c r="AH78" s="246">
        <f t="shared" si="172"/>
        <v>2194.8531339318047</v>
      </c>
      <c r="AI78" s="246"/>
      <c r="AJ78" s="246"/>
      <c r="AK78" s="246"/>
    </row>
    <row r="79" spans="2:37" x14ac:dyDescent="0.25">
      <c r="B79" s="7">
        <v>2260</v>
      </c>
      <c r="C79" s="7">
        <f t="shared" si="163"/>
        <v>1.4251059500000001</v>
      </c>
      <c r="D79" s="122">
        <f t="shared" si="164"/>
        <v>112.52747290000001</v>
      </c>
      <c r="E79">
        <f t="shared" si="165"/>
        <v>0.5945917087999999</v>
      </c>
      <c r="F79">
        <f t="shared" si="166"/>
        <v>1.7743640000000001E-2</v>
      </c>
      <c r="G79" s="97">
        <f t="shared" si="167"/>
        <v>7.4698585729011625E-3</v>
      </c>
      <c r="H79" s="20">
        <f>'MBal_Som_Saturated-Res'!X$68</f>
        <v>0.46131891820468951</v>
      </c>
      <c r="I79" s="14">
        <f>Data!D$8*(1-Data!D$16)+Data!D$10*Data!D$16</f>
        <v>0.49634854771784231</v>
      </c>
      <c r="J79" s="108">
        <f t="shared" si="177"/>
        <v>6.5050544283739631E-2</v>
      </c>
      <c r="K79" s="129">
        <f t="shared" si="168"/>
        <v>1.4192321256395893E-2</v>
      </c>
      <c r="L79" s="125">
        <f t="shared" si="169"/>
        <v>0.49098173056907851</v>
      </c>
      <c r="M79" s="268">
        <f t="shared" si="170"/>
        <v>1.2669721713079229E-2</v>
      </c>
      <c r="N79" s="264">
        <f>(L79-H79*(1-Data!D$16))/Data!D$16</f>
        <v>3.7107451817582109</v>
      </c>
      <c r="O79" s="215">
        <f>(M79-Data!D$27)/(1-Data!D$27-Data!D$19-I79)</f>
        <v>4.1724554972015493E-2</v>
      </c>
      <c r="P79" s="10">
        <f>Data!D$28*O79</f>
        <v>4.1724554972015493E-2</v>
      </c>
      <c r="Q79" s="10">
        <f>Data!D$28*(1-O79)</f>
        <v>0.95827544502798445</v>
      </c>
      <c r="R79" s="310">
        <f t="shared" si="173"/>
        <v>390.89095386938902</v>
      </c>
      <c r="S79" s="32">
        <f t="shared" si="174"/>
        <v>-1.1052290698839937</v>
      </c>
      <c r="T79" s="26">
        <f>C$7*(1+Data!D$50)*((1/G79)-(1/G$73))</f>
        <v>-1.7494004099348075</v>
      </c>
      <c r="U79" s="106">
        <f>(1-Data!D$26)*Data!D$24+Data!D$26*Data!D$25</f>
        <v>4.9424036979969185E-6</v>
      </c>
      <c r="V79" s="107">
        <f t="shared" si="175"/>
        <v>1.0000988480739599</v>
      </c>
      <c r="W79" s="26">
        <f>((C79/G79)-D79)+(R79+R$73)/2*(1-Data!D$51)</f>
        <v>453.20703557587825</v>
      </c>
      <c r="X79" s="57">
        <f t="shared" si="171"/>
        <v>1.4217437381420373E-3</v>
      </c>
      <c r="Y79" s="103">
        <f t="shared" si="176"/>
        <v>6.505054438677646E-2</v>
      </c>
      <c r="Z79" s="134">
        <f>Y79*Data!$D$21</f>
        <v>8.4435606614035846E-2</v>
      </c>
      <c r="AA79" s="134"/>
      <c r="AB79" s="134"/>
      <c r="AC79" s="134"/>
      <c r="AD79" s="134"/>
      <c r="AE79" s="134"/>
      <c r="AF79" s="134"/>
      <c r="AG79" s="253"/>
      <c r="AH79" s="246">
        <f t="shared" si="172"/>
        <v>2194.8527059766193</v>
      </c>
      <c r="AI79" s="246"/>
      <c r="AJ79" s="246"/>
      <c r="AK79" s="246"/>
    </row>
    <row r="80" spans="2:37" x14ac:dyDescent="0.25">
      <c r="B80" s="99">
        <v>2260</v>
      </c>
      <c r="C80" s="7">
        <f t="shared" si="163"/>
        <v>1.4251059500000001</v>
      </c>
      <c r="D80" s="122">
        <f t="shared" si="164"/>
        <v>112.52747290000001</v>
      </c>
      <c r="E80">
        <f t="shared" si="165"/>
        <v>0.5945917087999999</v>
      </c>
      <c r="F80">
        <f t="shared" si="166"/>
        <v>1.7743640000000001E-2</v>
      </c>
      <c r="G80" s="97">
        <f t="shared" si="167"/>
        <v>7.4698585729011625E-3</v>
      </c>
      <c r="H80" s="24">
        <f>'MBal_Som_Saturated-Res'!X$68</f>
        <v>0.46131891820468951</v>
      </c>
      <c r="I80" s="14">
        <f>Data!D$8*(1-Data!D$16)+Data!D$10*Data!D$16</f>
        <v>0.49634854771784231</v>
      </c>
      <c r="J80" s="108">
        <f t="shared" si="177"/>
        <v>6.505054438677646E-2</v>
      </c>
      <c r="K80" s="129">
        <f t="shared" si="168"/>
        <v>1.4192321365037593E-2</v>
      </c>
      <c r="L80" s="124">
        <f t="shared" si="169"/>
        <v>0.49098173051496952</v>
      </c>
      <c r="M80" s="268">
        <f t="shared" si="170"/>
        <v>1.2669721767188169E-2</v>
      </c>
      <c r="N80" s="264">
        <f>(L80-H80*(1-Data!D$16))/Data!D$16</f>
        <v>3.7107451758308163</v>
      </c>
      <c r="O80" s="215">
        <f>(M80-Data!D$27)/(1-Data!D$27-Data!D$19-I80)</f>
        <v>4.172455515020973E-2</v>
      </c>
      <c r="P80" s="10">
        <f>Data!D$28*O80</f>
        <v>4.172455515020973E-2</v>
      </c>
      <c r="Q80" s="10">
        <f>Data!D$28*(1-O80)</f>
        <v>0.95827544484979033</v>
      </c>
      <c r="R80" s="309">
        <f t="shared" si="173"/>
        <v>390.8909551099664</v>
      </c>
      <c r="S80" s="32">
        <f t="shared" si="174"/>
        <v>-1.1052290697621912</v>
      </c>
      <c r="T80" s="26">
        <f>C$7*(1+Data!D$50)*((1/G80)-(1/G$73))</f>
        <v>-1.7494004099348075</v>
      </c>
      <c r="U80" s="106">
        <f>(1-Data!D$26)*Data!D$24+Data!D$26*Data!D$25</f>
        <v>4.9424036979969185E-6</v>
      </c>
      <c r="V80" s="107">
        <f t="shared" si="175"/>
        <v>1.0000988480739599</v>
      </c>
      <c r="W80" s="26">
        <f>((C80/G80)-D80)+(R80+R$73)/2*(1-Data!D$51)</f>
        <v>453.20703619616694</v>
      </c>
      <c r="X80" s="101">
        <f t="shared" si="171"/>
        <v>1.4217437364649032E-3</v>
      </c>
      <c r="Y80" s="103">
        <f t="shared" si="176"/>
        <v>6.5050544385099329E-2</v>
      </c>
      <c r="Z80" s="133">
        <f>Y80*Data!$D$21</f>
        <v>8.4435606611858935E-2</v>
      </c>
      <c r="AA80" s="140">
        <f>'UNS RES'!$K$5*'UNS RES'!$J$5*'UNS RES'!$I$5*Q80/(E80*C80*1)</f>
        <v>0.12241431586075373</v>
      </c>
      <c r="AB80" s="141">
        <f>AA80*(B80-2000)</f>
        <v>31.827722123795969</v>
      </c>
      <c r="AC80" s="134">
        <f>Z80-Z73</f>
        <v>1.8454233699314454E-3</v>
      </c>
      <c r="AD80" s="434">
        <f>AC80*1000000</f>
        <v>1845.4233699314454</v>
      </c>
      <c r="AE80" s="134">
        <f>365*(AB73-AB80)/AD80</f>
        <v>0.49896953918952353</v>
      </c>
      <c r="AF80" s="142">
        <f>(LN(AB73/AB80))/AE80</f>
        <v>0.15287223873697536</v>
      </c>
      <c r="AG80" s="248">
        <f>AF80+AG73</f>
        <v>2.1694089932877385</v>
      </c>
      <c r="AH80" s="245">
        <f t="shared" si="172"/>
        <v>2194.8527129424615</v>
      </c>
      <c r="AI80" s="247">
        <f>(AB80*AH80)/10^6</f>
        <v>6.9857162250192381E-2</v>
      </c>
      <c r="AJ80" s="247">
        <f>365*AI80*AF80</f>
        <v>3.8979155865246473</v>
      </c>
      <c r="AK80" s="247">
        <f>AK73+AJ80</f>
        <v>68.990656671274891</v>
      </c>
    </row>
    <row r="81" spans="2:37" x14ac:dyDescent="0.25">
      <c r="B81" s="99"/>
      <c r="C81" s="7"/>
      <c r="D81" s="122"/>
      <c r="E81"/>
      <c r="F81"/>
      <c r="G81" s="97"/>
      <c r="H81" s="24"/>
      <c r="I81" s="14"/>
      <c r="J81" s="108"/>
      <c r="K81" s="129"/>
      <c r="L81" s="124"/>
      <c r="M81" s="268"/>
      <c r="N81" s="264"/>
      <c r="O81" s="215"/>
      <c r="P81" s="10"/>
      <c r="Q81" s="10"/>
      <c r="R81" s="309"/>
      <c r="S81" s="32"/>
      <c r="T81" s="26"/>
      <c r="U81" s="106"/>
      <c r="V81" s="107"/>
      <c r="W81" s="26"/>
      <c r="X81" s="101"/>
      <c r="Y81" s="102"/>
      <c r="Z81" s="133"/>
      <c r="AA81" s="140"/>
      <c r="AB81" s="141"/>
      <c r="AC81" s="134"/>
      <c r="AD81" s="134"/>
      <c r="AE81" s="134"/>
      <c r="AF81" s="142"/>
      <c r="AG81" s="248"/>
      <c r="AH81" s="245"/>
      <c r="AI81" s="247"/>
      <c r="AJ81" s="247"/>
      <c r="AK81" s="247"/>
    </row>
    <row r="82" spans="2:37" x14ac:dyDescent="0.25">
      <c r="B82" s="7">
        <v>2240</v>
      </c>
      <c r="C82" s="7">
        <f t="shared" ref="C82:C87" si="178">0.00011448*B82 + 1.16638115</f>
        <v>1.4228163500000002</v>
      </c>
      <c r="D82" s="122">
        <f t="shared" ref="D82:D87" si="179">0.04285545*B82 + 15.6741559</f>
        <v>111.67036390000001</v>
      </c>
      <c r="E82">
        <f t="shared" ref="E82:E87" si="180">0.0000000907*B82^2 - 0.0003674172*B82 + 0.9616952608</f>
        <v>0.59377705280000004</v>
      </c>
      <c r="F82">
        <f t="shared" ref="F82:F87" si="181">0.00000236*B82 + 0.01241004</f>
        <v>1.7696440000000001E-2</v>
      </c>
      <c r="G82" s="97">
        <f t="shared" ref="G82:G87" si="182">20.40472*B82^(-1.02454)</f>
        <v>7.5381979024622767E-3</v>
      </c>
      <c r="H82" s="20">
        <f>'MBal_Som_Saturated-Res'!X$68</f>
        <v>0.46131891820468951</v>
      </c>
      <c r="I82" s="14">
        <f>Data!D$8*(1-Data!D$16)+Data!D$10*Data!D$16</f>
        <v>0.49634854771784231</v>
      </c>
      <c r="J82" s="105">
        <f>Y80</f>
        <v>6.5050544385099329E-2</v>
      </c>
      <c r="K82" s="129">
        <f t="shared" ref="K82:K87" si="183">(J82-J$7)/(1-J$7)</f>
        <v>1.4192321363269231E-2</v>
      </c>
      <c r="L82" s="125">
        <f t="shared" ref="L82:L87" si="184">(1-K82)*(C82/C$7)*(1-I82)</f>
        <v>0.49019291073007293</v>
      </c>
      <c r="M82" s="268">
        <f t="shared" ref="M82:M87" si="185">1-L82-I82</f>
        <v>1.3458541552084813E-2</v>
      </c>
      <c r="N82" s="264">
        <f>(L82-H82*(1-Data!D$16))/Data!D$16</f>
        <v>3.6243335539398718</v>
      </c>
      <c r="O82" s="215">
        <f>(M82-Data!D$27)/(1-Data!D$27-Data!D$19-I82)</f>
        <v>4.4322335529549596E-2</v>
      </c>
      <c r="P82" s="10">
        <f>Data!D$28*O82</f>
        <v>4.4322335529549596E-2</v>
      </c>
      <c r="Q82" s="10">
        <f>Data!D$28*(1-O82)</f>
        <v>0.95567766447045044</v>
      </c>
      <c r="R82" s="310">
        <f>1*(D82+(P82*E82*C82)/(Q82*F82*G82))</f>
        <v>405.38799381417755</v>
      </c>
      <c r="S82" s="32">
        <f>(1-J82)*((C82/G82-D82)-(C$80/G$80-D$80))</f>
        <v>-1.0996812961054194</v>
      </c>
      <c r="T82" s="26">
        <f>C$7*(1+Data!D$50)*((1/G82)-(1/G$80))</f>
        <v>-1.749020532251488</v>
      </c>
      <c r="U82" s="106">
        <f>(1-Data!D$26)*Data!D$24+Data!D$26*Data!D$25</f>
        <v>4.9424036979969185E-6</v>
      </c>
      <c r="V82" s="107">
        <f>1+U82*(B$80-B82)</f>
        <v>1.0000988480739599</v>
      </c>
      <c r="W82" s="26">
        <f>((C82/G82)-D82)+(R82+R$80)/2*(1-Data!D$51)</f>
        <v>475.21665585207444</v>
      </c>
      <c r="X82" s="57">
        <f t="shared" ref="X82:X87" si="186">(S82-T82*V82)/W82</f>
        <v>1.3667705360461484E-3</v>
      </c>
      <c r="Y82" s="103">
        <f>X82+Y$80</f>
        <v>6.6417314921145484E-2</v>
      </c>
      <c r="Z82" s="134">
        <f>Y82*Data!$D$21</f>
        <v>8.6209674767646835E-2</v>
      </c>
      <c r="AA82" s="134"/>
      <c r="AB82" s="134"/>
      <c r="AC82" s="134"/>
      <c r="AD82" s="134"/>
      <c r="AE82" s="134"/>
      <c r="AF82" s="134"/>
      <c r="AG82" s="253"/>
      <c r="AH82" s="246">
        <f t="shared" ref="AH82:AH87" si="187">5.615*R82</f>
        <v>2276.2535852666069</v>
      </c>
      <c r="AI82" s="246"/>
      <c r="AJ82" s="246"/>
      <c r="AK82" s="246"/>
    </row>
    <row r="83" spans="2:37" x14ac:dyDescent="0.25">
      <c r="B83" s="7">
        <v>2240</v>
      </c>
      <c r="C83" s="7">
        <f t="shared" si="178"/>
        <v>1.4228163500000002</v>
      </c>
      <c r="D83" s="122">
        <f t="shared" si="179"/>
        <v>111.67036390000001</v>
      </c>
      <c r="E83">
        <f t="shared" si="180"/>
        <v>0.59377705280000004</v>
      </c>
      <c r="F83">
        <f t="shared" si="181"/>
        <v>1.7696440000000001E-2</v>
      </c>
      <c r="G83" s="97">
        <f t="shared" si="182"/>
        <v>7.5381979024622767E-3</v>
      </c>
      <c r="H83" s="20">
        <f>'MBal_Som_Saturated-Res'!X$68</f>
        <v>0.46131891820468951</v>
      </c>
      <c r="I83" s="14">
        <f>Data!D$8*(1-Data!D$16)+Data!D$10*Data!D$16</f>
        <v>0.49634854771784231</v>
      </c>
      <c r="J83" s="108">
        <f>Y82</f>
        <v>6.6417314921145484E-2</v>
      </c>
      <c r="K83" s="129">
        <f t="shared" si="183"/>
        <v>1.5633439790877272E-2</v>
      </c>
      <c r="L83" s="125">
        <f t="shared" si="184"/>
        <v>0.48947631452977464</v>
      </c>
      <c r="M83" s="268">
        <f t="shared" si="185"/>
        <v>1.4175137752382994E-2</v>
      </c>
      <c r="N83" s="264">
        <f>(L83-H83*(1-Data!D$16))/Data!D$16</f>
        <v>3.5458336974526499</v>
      </c>
      <c r="O83" s="215">
        <f>(M83-Data!D$27)/(1-Data!D$27-Data!D$19-I83)</f>
        <v>4.6682265623453144E-2</v>
      </c>
      <c r="P83" s="10">
        <f>Data!D$28*O83</f>
        <v>4.6682265623453144E-2</v>
      </c>
      <c r="Q83" s="10">
        <f>Data!D$28*(1-O83)</f>
        <v>0.95331773437654688</v>
      </c>
      <c r="R83" s="310">
        <f t="shared" ref="R83:R87" si="188">1*(D83+(P83*E83*C83)/(Q83*F83*G83))</f>
        <v>421.79271464944043</v>
      </c>
      <c r="S83" s="32">
        <f t="shared" ref="S83:S87" si="189">(1-J83)*((C83/G83-D83)-(C$80/G$80-D$80))</f>
        <v>-1.0980737097428288</v>
      </c>
      <c r="T83" s="26">
        <f>C$7*(1+Data!D$50)*((1/G83)-(1/G$80))</f>
        <v>-1.749020532251488</v>
      </c>
      <c r="U83" s="106">
        <f>(1-Data!D$26)*Data!D$24+Data!D$26*Data!D$25</f>
        <v>4.9424036979969185E-6</v>
      </c>
      <c r="V83" s="107">
        <f t="shared" ref="V83:V87" si="190">1+U83*(B$80-B83)</f>
        <v>1.0000988480739599</v>
      </c>
      <c r="W83" s="26">
        <f>((C83/G83)-D83)+(R83+R$80)/2*(1-Data!D$51)</f>
        <v>483.41901626970588</v>
      </c>
      <c r="X83" s="57">
        <f t="shared" si="186"/>
        <v>1.3469054544935819E-3</v>
      </c>
      <c r="Y83" s="103">
        <f t="shared" ref="Y83:Y87" si="191">X83+Y$80</f>
        <v>6.6397449839592906E-2</v>
      </c>
      <c r="Z83" s="134">
        <f>Y83*Data!$D$21</f>
        <v>8.6183889891791599E-2</v>
      </c>
      <c r="AA83" s="134"/>
      <c r="AB83" s="134"/>
      <c r="AC83" s="134"/>
      <c r="AD83" s="134"/>
      <c r="AE83" s="134"/>
      <c r="AF83" s="134"/>
      <c r="AG83" s="253"/>
      <c r="AH83" s="246">
        <f t="shared" si="187"/>
        <v>2368.3660927566079</v>
      </c>
      <c r="AI83" s="246"/>
      <c r="AJ83" s="246"/>
      <c r="AK83" s="246"/>
    </row>
    <row r="84" spans="2:37" x14ac:dyDescent="0.25">
      <c r="B84" s="7">
        <v>2240</v>
      </c>
      <c r="C84" s="7">
        <f t="shared" si="178"/>
        <v>1.4228163500000002</v>
      </c>
      <c r="D84" s="122">
        <f t="shared" si="179"/>
        <v>111.67036390000001</v>
      </c>
      <c r="E84">
        <f t="shared" si="180"/>
        <v>0.59377705280000004</v>
      </c>
      <c r="F84">
        <f t="shared" si="181"/>
        <v>1.7696440000000001E-2</v>
      </c>
      <c r="G84" s="97">
        <f t="shared" si="182"/>
        <v>7.5381979024622767E-3</v>
      </c>
      <c r="H84" s="20">
        <f>'MBal_Som_Saturated-Res'!X$68</f>
        <v>0.46131891820468951</v>
      </c>
      <c r="I84" s="14">
        <f>Data!D$8*(1-Data!D$16)+Data!D$10*Data!D$16</f>
        <v>0.49634854771784231</v>
      </c>
      <c r="J84" s="108">
        <f t="shared" ref="J84:J87" si="192">Y83</f>
        <v>6.6397449839592906E-2</v>
      </c>
      <c r="K84" s="129">
        <f t="shared" si="183"/>
        <v>1.5612494113211311E-2</v>
      </c>
      <c r="L84" s="125">
        <f t="shared" si="184"/>
        <v>0.48948672976889762</v>
      </c>
      <c r="M84" s="268">
        <f t="shared" si="185"/>
        <v>1.4164722513260064E-2</v>
      </c>
      <c r="N84" s="264">
        <f>(L84-H84*(1-Data!D$16))/Data!D$16</f>
        <v>3.5469746395565771</v>
      </c>
      <c r="O84" s="215">
        <f>(M84-Data!D$27)/(1-Data!D$27-Data!D$19-I84)</f>
        <v>4.6647965642192875E-2</v>
      </c>
      <c r="P84" s="10">
        <f>Data!D$28*O84</f>
        <v>4.6647965642192875E-2</v>
      </c>
      <c r="Q84" s="10">
        <f>Data!D$28*(1-O84)</f>
        <v>0.95335203435780713</v>
      </c>
      <c r="R84" s="310">
        <f t="shared" si="188"/>
        <v>421.55370153719048</v>
      </c>
      <c r="S84" s="32">
        <f t="shared" si="189"/>
        <v>-1.0980970749188796</v>
      </c>
      <c r="T84" s="26">
        <f>C$7*(1+Data!D$50)*((1/G84)-(1/G$80))</f>
        <v>-1.749020532251488</v>
      </c>
      <c r="U84" s="106">
        <f>(1-Data!D$26)*Data!D$24+Data!D$26*Data!D$25</f>
        <v>4.9424036979969185E-6</v>
      </c>
      <c r="V84" s="107">
        <f t="shared" si="190"/>
        <v>1.0000988480739599</v>
      </c>
      <c r="W84" s="26">
        <f>((C84/G84)-D84)+(R84+R$80)/2*(1-Data!D$51)</f>
        <v>483.2995097135809</v>
      </c>
      <c r="X84" s="57">
        <f t="shared" si="186"/>
        <v>1.3471901617061407E-3</v>
      </c>
      <c r="Y84" s="103">
        <f t="shared" si="191"/>
        <v>6.6397734546805476E-2</v>
      </c>
      <c r="Z84" s="134">
        <f>Y84*Data!$D$21</f>
        <v>8.6184259441753508E-2</v>
      </c>
      <c r="AA84" s="134"/>
      <c r="AB84" s="134"/>
      <c r="AC84" s="134"/>
      <c r="AD84" s="134"/>
      <c r="AE84" s="134"/>
      <c r="AF84" s="134"/>
      <c r="AG84" s="253"/>
      <c r="AH84" s="246">
        <f t="shared" si="187"/>
        <v>2367.0240341313247</v>
      </c>
      <c r="AI84" s="246"/>
      <c r="AJ84" s="246"/>
      <c r="AK84" s="246"/>
    </row>
    <row r="85" spans="2:37" x14ac:dyDescent="0.25">
      <c r="B85" s="7">
        <v>2240</v>
      </c>
      <c r="C85" s="7">
        <f t="shared" si="178"/>
        <v>1.4228163500000002</v>
      </c>
      <c r="D85" s="122">
        <f t="shared" si="179"/>
        <v>111.67036390000001</v>
      </c>
      <c r="E85">
        <f t="shared" si="180"/>
        <v>0.59377705280000004</v>
      </c>
      <c r="F85">
        <f t="shared" si="181"/>
        <v>1.7696440000000001E-2</v>
      </c>
      <c r="G85" s="97">
        <f t="shared" si="182"/>
        <v>7.5381979024622767E-3</v>
      </c>
      <c r="H85" s="20">
        <f>'MBal_Som_Saturated-Res'!X$68</f>
        <v>0.46131891820468951</v>
      </c>
      <c r="I85" s="14">
        <f>Data!D$8*(1-Data!D$16)+Data!D$10*Data!D$16</f>
        <v>0.49634854771784231</v>
      </c>
      <c r="J85" s="108">
        <f t="shared" si="192"/>
        <v>6.6397734546805476E-2</v>
      </c>
      <c r="K85" s="129">
        <f t="shared" si="183"/>
        <v>1.5612794307574363E-2</v>
      </c>
      <c r="L85" s="125">
        <f t="shared" si="184"/>
        <v>0.48948658049723764</v>
      </c>
      <c r="M85" s="268">
        <f t="shared" si="185"/>
        <v>1.4164871784919986E-2</v>
      </c>
      <c r="N85" s="264">
        <f>(L85-H85*(1-Data!D$16))/Data!D$16</f>
        <v>3.5469582875247339</v>
      </c>
      <c r="O85" s="215">
        <f>(M85-Data!D$27)/(1-Data!D$27-Data!D$19-I85)</f>
        <v>4.6648457231015523E-2</v>
      </c>
      <c r="P85" s="10">
        <f>Data!D$28*O85</f>
        <v>4.6648457231015523E-2</v>
      </c>
      <c r="Q85" s="10">
        <f>Data!D$28*(1-O85)</f>
        <v>0.95335154276898448</v>
      </c>
      <c r="R85" s="310">
        <f t="shared" si="188"/>
        <v>421.55712696202761</v>
      </c>
      <c r="S85" s="32">
        <f t="shared" si="189"/>
        <v>-1.0980967400481605</v>
      </c>
      <c r="T85" s="26">
        <f>C$7*(1+Data!D$50)*((1/G85)-(1/G$80))</f>
        <v>-1.749020532251488</v>
      </c>
      <c r="U85" s="106">
        <f>(1-Data!D$26)*Data!D$24+Data!D$26*Data!D$25</f>
        <v>4.9424036979969185E-6</v>
      </c>
      <c r="V85" s="107">
        <f t="shared" si="190"/>
        <v>1.0000988480739599</v>
      </c>
      <c r="W85" s="26">
        <f>((C85/G85)-D85)+(R85+R$80)/2*(1-Data!D$51)</f>
        <v>483.30122242599947</v>
      </c>
      <c r="X85" s="57">
        <f t="shared" si="186"/>
        <v>1.3471860804447878E-3</v>
      </c>
      <c r="Y85" s="103">
        <f t="shared" si="191"/>
        <v>6.6397730465544119E-2</v>
      </c>
      <c r="Z85" s="134">
        <f>Y85*Data!$D$21</f>
        <v>8.6184254144276273E-2</v>
      </c>
      <c r="AA85" s="134"/>
      <c r="AB85" s="134"/>
      <c r="AC85" s="134"/>
      <c r="AD85" s="134"/>
      <c r="AE85" s="134"/>
      <c r="AF85" s="134"/>
      <c r="AG85" s="253"/>
      <c r="AH85" s="246">
        <f t="shared" si="187"/>
        <v>2367.043267891785</v>
      </c>
      <c r="AI85" s="246"/>
      <c r="AJ85" s="246"/>
      <c r="AK85" s="246"/>
    </row>
    <row r="86" spans="2:37" x14ac:dyDescent="0.25">
      <c r="B86" s="7">
        <v>2240</v>
      </c>
      <c r="C86" s="7">
        <f t="shared" si="178"/>
        <v>1.4228163500000002</v>
      </c>
      <c r="D86" s="122">
        <f t="shared" si="179"/>
        <v>111.67036390000001</v>
      </c>
      <c r="E86">
        <f t="shared" si="180"/>
        <v>0.59377705280000004</v>
      </c>
      <c r="F86">
        <f t="shared" si="181"/>
        <v>1.7696440000000001E-2</v>
      </c>
      <c r="G86" s="97">
        <f t="shared" si="182"/>
        <v>7.5381979024622767E-3</v>
      </c>
      <c r="H86" s="20">
        <f>'MBal_Som_Saturated-Res'!X$68</f>
        <v>0.46131891820468951</v>
      </c>
      <c r="I86" s="14">
        <f>Data!D$8*(1-Data!D$16)+Data!D$10*Data!D$16</f>
        <v>0.49634854771784231</v>
      </c>
      <c r="J86" s="108">
        <f t="shared" si="192"/>
        <v>6.6397730465544119E-2</v>
      </c>
      <c r="K86" s="129">
        <f t="shared" si="183"/>
        <v>1.5612790004305604E-2</v>
      </c>
      <c r="L86" s="125">
        <f t="shared" si="184"/>
        <v>0.48948658263703826</v>
      </c>
      <c r="M86" s="268">
        <f t="shared" si="185"/>
        <v>1.4164869645119427E-2</v>
      </c>
      <c r="N86" s="264">
        <f>(L86-H86*(1-Data!D$16))/Data!D$16</f>
        <v>3.5469585219301649</v>
      </c>
      <c r="O86" s="215">
        <f>(M86-Data!D$27)/(1-Data!D$27-Data!D$19-I86)</f>
        <v>4.6648450184118354E-2</v>
      </c>
      <c r="P86" s="10">
        <f>Data!D$28*O86</f>
        <v>4.6648450184118354E-2</v>
      </c>
      <c r="Q86" s="10">
        <f>Data!D$28*(1-O86)</f>
        <v>0.95335154981588166</v>
      </c>
      <c r="R86" s="310">
        <f t="shared" si="188"/>
        <v>421.55707785873699</v>
      </c>
      <c r="S86" s="32">
        <f t="shared" si="189"/>
        <v>-1.0980967448485128</v>
      </c>
      <c r="T86" s="26">
        <f>C$7*(1+Data!D$50)*((1/G86)-(1/G$80))</f>
        <v>-1.749020532251488</v>
      </c>
      <c r="U86" s="106">
        <f>(1-Data!D$26)*Data!D$24+Data!D$26*Data!D$25</f>
        <v>4.9424036979969185E-6</v>
      </c>
      <c r="V86" s="107">
        <f t="shared" si="190"/>
        <v>1.0000988480739599</v>
      </c>
      <c r="W86" s="26">
        <f>((C86/G86)-D86)+(R86+R$80)/2*(1-Data!D$51)</f>
        <v>483.30119787435416</v>
      </c>
      <c r="X86" s="57">
        <f t="shared" si="186"/>
        <v>1.347186138949262E-3</v>
      </c>
      <c r="Y86" s="103">
        <f t="shared" si="191"/>
        <v>6.6397730524048598E-2</v>
      </c>
      <c r="Z86" s="134">
        <f>Y86*Data!$D$21</f>
        <v>8.6184254220215084E-2</v>
      </c>
      <c r="AA86" s="134"/>
      <c r="AB86" s="134"/>
      <c r="AC86" s="134"/>
      <c r="AD86" s="134"/>
      <c r="AE86" s="134"/>
      <c r="AF86" s="134"/>
      <c r="AG86" s="253"/>
      <c r="AH86" s="246">
        <f t="shared" si="187"/>
        <v>2367.0429921768082</v>
      </c>
      <c r="AI86" s="246"/>
      <c r="AJ86" s="246"/>
      <c r="AK86" s="246"/>
    </row>
    <row r="87" spans="2:37" x14ac:dyDescent="0.25">
      <c r="B87" s="99">
        <v>2240</v>
      </c>
      <c r="C87" s="7">
        <f t="shared" si="178"/>
        <v>1.4228163500000002</v>
      </c>
      <c r="D87" s="122">
        <f t="shared" si="179"/>
        <v>111.67036390000001</v>
      </c>
      <c r="E87">
        <f t="shared" si="180"/>
        <v>0.59377705280000004</v>
      </c>
      <c r="F87">
        <f t="shared" si="181"/>
        <v>1.7696440000000001E-2</v>
      </c>
      <c r="G87" s="97">
        <f t="shared" si="182"/>
        <v>7.5381979024622767E-3</v>
      </c>
      <c r="H87" s="24">
        <f>'MBal_Som_Saturated-Res'!X$68</f>
        <v>0.46131891820468951</v>
      </c>
      <c r="I87" s="14">
        <f>Data!D$8*(1-Data!D$16)+Data!D$10*Data!D$16</f>
        <v>0.49634854771784231</v>
      </c>
      <c r="J87" s="108">
        <f t="shared" si="192"/>
        <v>6.6397730524048598E-2</v>
      </c>
      <c r="K87" s="129">
        <f t="shared" si="183"/>
        <v>1.5612790065992537E-2</v>
      </c>
      <c r="L87" s="124">
        <f t="shared" si="184"/>
        <v>0.48948658260636441</v>
      </c>
      <c r="M87" s="268">
        <f t="shared" si="185"/>
        <v>1.4164869675793335E-2</v>
      </c>
      <c r="N87" s="264">
        <f>(L87-H87*(1-Data!D$16))/Data!D$16</f>
        <v>3.5469585185699839</v>
      </c>
      <c r="O87" s="215">
        <f>(M87-Data!D$27)/(1-Data!D$27-Data!D$19-I87)</f>
        <v>4.6648450285135187E-2</v>
      </c>
      <c r="P87" s="10">
        <f>Data!D$28*O87</f>
        <v>4.6648450285135187E-2</v>
      </c>
      <c r="Q87" s="10">
        <f>Data!D$28*(1-O87)</f>
        <v>0.9533515497148648</v>
      </c>
      <c r="R87" s="309">
        <f t="shared" si="188"/>
        <v>421.55707856262961</v>
      </c>
      <c r="S87" s="32">
        <f t="shared" si="189"/>
        <v>-1.0980967447797001</v>
      </c>
      <c r="T87" s="26">
        <f>C$7*(1+Data!D$50)*((1/G87)-(1/G$80))</f>
        <v>-1.749020532251488</v>
      </c>
      <c r="U87" s="106">
        <f>(1-Data!D$26)*Data!D$24+Data!D$26*Data!D$25</f>
        <v>4.9424036979969185E-6</v>
      </c>
      <c r="V87" s="107">
        <f t="shared" si="190"/>
        <v>1.0000988480739599</v>
      </c>
      <c r="W87" s="26">
        <f>((C87/G87)-D87)+(R87+R$80)/2*(1-Data!D$51)</f>
        <v>483.30119822630047</v>
      </c>
      <c r="X87" s="101">
        <f t="shared" si="186"/>
        <v>1.3471861381106039E-3</v>
      </c>
      <c r="Y87" s="103">
        <f t="shared" si="191"/>
        <v>6.6397730523209936E-2</v>
      </c>
      <c r="Z87" s="133">
        <f>Y87*Data!$D$21</f>
        <v>8.6184254219126497E-2</v>
      </c>
      <c r="AA87" s="140">
        <f>'UNS RES'!$K$5*'UNS RES'!$J$5*'UNS RES'!$I$5*Q87/(E87*C87*1)</f>
        <v>0.12214865020556213</v>
      </c>
      <c r="AB87" s="141">
        <f>AA87*(B87-2000)</f>
        <v>29.315676049334911</v>
      </c>
      <c r="AC87" s="134">
        <f>Z87-Z80</f>
        <v>1.7486476072675616E-3</v>
      </c>
      <c r="AD87" s="434">
        <f>AC87*1000000</f>
        <v>1748.6476072675616</v>
      </c>
      <c r="AE87" s="134">
        <f>365*(AB80-AB87)/AD87</f>
        <v>0.52434625099280574</v>
      </c>
      <c r="AF87" s="142">
        <f>(LN(AB80/AB87))/AE87</f>
        <v>0.15679578725552443</v>
      </c>
      <c r="AG87" s="248">
        <f>AF87+AG80</f>
        <v>2.3262047805432631</v>
      </c>
      <c r="AH87" s="245">
        <f t="shared" si="187"/>
        <v>2367.0429961291652</v>
      </c>
      <c r="AI87" s="247">
        <f>(AB87*AH87)/10^6</f>
        <v>6.9391465669369712E-2</v>
      </c>
      <c r="AJ87" s="247">
        <f>365*AI87*AF87</f>
        <v>3.9713056632818851</v>
      </c>
      <c r="AK87" s="247">
        <f>AK80+AJ87</f>
        <v>72.961962334556773</v>
      </c>
    </row>
    <row r="88" spans="2:37" x14ac:dyDescent="0.25">
      <c r="B88" s="99"/>
      <c r="C88" s="7"/>
      <c r="D88" s="122"/>
      <c r="E88"/>
      <c r="F88"/>
      <c r="G88" s="97"/>
      <c r="H88" s="24"/>
      <c r="I88" s="14"/>
      <c r="J88" s="108"/>
      <c r="K88" s="129"/>
      <c r="L88" s="124"/>
      <c r="M88" s="268"/>
      <c r="N88" s="264"/>
      <c r="O88" s="215"/>
      <c r="P88" s="10"/>
      <c r="Q88" s="10"/>
      <c r="R88" s="309"/>
      <c r="S88" s="32"/>
      <c r="T88" s="26"/>
      <c r="U88" s="106"/>
      <c r="V88" s="107"/>
      <c r="W88" s="26"/>
      <c r="X88" s="101"/>
      <c r="Y88" s="102"/>
      <c r="Z88" s="133"/>
      <c r="AA88" s="140"/>
      <c r="AB88" s="141"/>
      <c r="AC88" s="134"/>
      <c r="AD88" s="134"/>
      <c r="AE88" s="134"/>
      <c r="AF88" s="142"/>
      <c r="AG88" s="248"/>
      <c r="AH88" s="245"/>
      <c r="AI88" s="247"/>
      <c r="AJ88" s="247"/>
      <c r="AK88" s="247"/>
    </row>
    <row r="89" spans="2:37" x14ac:dyDescent="0.25">
      <c r="B89" s="7">
        <v>2220</v>
      </c>
      <c r="C89" s="7">
        <f t="shared" ref="C89:C94" si="193">0.00011448*B89 + 1.16638115</f>
        <v>1.4205267500000001</v>
      </c>
      <c r="D89" s="122">
        <f t="shared" ref="D89:D94" si="194">0.04285545*B89 + 15.6741559</f>
        <v>110.8132549</v>
      </c>
      <c r="E89">
        <f t="shared" ref="E89:E94" si="195">0.0000000907*B89^2 - 0.0003674172*B89 + 0.9616952608</f>
        <v>0.59303495679999996</v>
      </c>
      <c r="F89">
        <f t="shared" ref="F89:F94" si="196">0.00000236*B89 + 0.01241004</f>
        <v>1.764924E-2</v>
      </c>
      <c r="G89" s="97">
        <f t="shared" ref="G89:G94" si="197">20.40472*B89^(-1.02454)</f>
        <v>7.6077838170055803E-3</v>
      </c>
      <c r="H89" s="20">
        <f>'MBal_Som_Saturated-Res'!X$68</f>
        <v>0.46131891820468951</v>
      </c>
      <c r="I89" s="14">
        <f>Data!D$8*(1-Data!D$16)+Data!D$10*Data!D$16</f>
        <v>0.49634854771784231</v>
      </c>
      <c r="J89" s="105">
        <f>Y87</f>
        <v>6.6397730523209936E-2</v>
      </c>
      <c r="K89" s="129">
        <f t="shared" ref="K89:K94" si="198">(J89-J$7)/(1-J$7)</f>
        <v>1.5612790065108254E-2</v>
      </c>
      <c r="L89" s="125">
        <f t="shared" ref="L89:L94" si="199">(1-K89)*(C89/C$7)*(1-I89)</f>
        <v>0.48869889944619338</v>
      </c>
      <c r="M89" s="268">
        <f t="shared" ref="M89:M94" si="200">1-L89-I89</f>
        <v>1.4952552835964306E-2</v>
      </c>
      <c r="N89" s="264">
        <f>(L89-H89*(1-Data!D$16))/Data!D$16</f>
        <v>3.4606714087512485</v>
      </c>
      <c r="O89" s="215">
        <f>(M89-Data!D$27)/(1-Data!D$27-Data!D$19-I89)</f>
        <v>4.9242487475640848E-2</v>
      </c>
      <c r="P89" s="10">
        <f>Data!D$28*O89</f>
        <v>4.9242487475640848E-2</v>
      </c>
      <c r="Q89" s="10">
        <f>Data!D$28*(1-O89)</f>
        <v>0.95075751252435914</v>
      </c>
      <c r="R89" s="310">
        <f>1*(D89+(P89*E89*C89)/(Q89*F89*G89))</f>
        <v>435.76266702804224</v>
      </c>
      <c r="S89" s="32">
        <f>(1-J89)*((C89/G89-D89)-(C$87/G$87-D$87))</f>
        <v>-1.0925556109527244</v>
      </c>
      <c r="T89" s="26">
        <f>C$7*(1+Data!D$50)*((1/G89)-(1/G$87))</f>
        <v>-1.7486373463119438</v>
      </c>
      <c r="U89" s="106">
        <f>(1-Data!D$26)*Data!D$24+Data!D$26*Data!D$25</f>
        <v>4.9424036979969185E-6</v>
      </c>
      <c r="V89" s="107">
        <f>1+U89*(B$87-B89)</f>
        <v>1.0000988480739599</v>
      </c>
      <c r="W89" s="26">
        <f>((C89/G89)-D89)+(R89+R$87)/2*(1-Data!D$51)</f>
        <v>504.5667960929228</v>
      </c>
      <c r="X89" s="57">
        <f t="shared" ref="X89:X94" si="201">(S89-T89*V89)/W89</f>
        <v>1.300629747883962E-3</v>
      </c>
      <c r="Y89" s="103">
        <f>X89+Y$87</f>
        <v>6.7698360271093896E-2</v>
      </c>
      <c r="Z89" s="134">
        <f>Y89*Data!$D$21</f>
        <v>8.7872471631879875E-2</v>
      </c>
      <c r="AA89" s="134"/>
      <c r="AB89" s="134"/>
      <c r="AC89" s="134"/>
      <c r="AD89" s="134"/>
      <c r="AE89" s="134"/>
      <c r="AF89" s="134"/>
      <c r="AG89" s="253"/>
      <c r="AH89" s="246">
        <f t="shared" ref="AH89:AH94" si="202">5.615*R89</f>
        <v>2446.8073753624572</v>
      </c>
      <c r="AI89" s="246"/>
      <c r="AJ89" s="246"/>
      <c r="AK89" s="246"/>
    </row>
    <row r="90" spans="2:37" x14ac:dyDescent="0.25">
      <c r="B90" s="7">
        <v>2220</v>
      </c>
      <c r="C90" s="7">
        <f t="shared" si="193"/>
        <v>1.4205267500000001</v>
      </c>
      <c r="D90" s="122">
        <f t="shared" si="194"/>
        <v>110.8132549</v>
      </c>
      <c r="E90">
        <f t="shared" si="195"/>
        <v>0.59303495679999996</v>
      </c>
      <c r="F90">
        <f t="shared" si="196"/>
        <v>1.764924E-2</v>
      </c>
      <c r="G90" s="97">
        <f t="shared" si="197"/>
        <v>7.6077838170055803E-3</v>
      </c>
      <c r="H90" s="20">
        <f>'MBal_Som_Saturated-Res'!X$68</f>
        <v>0.46131891820468951</v>
      </c>
      <c r="I90" s="14">
        <f>Data!D$8*(1-Data!D$16)+Data!D$10*Data!D$16</f>
        <v>0.49634854771784231</v>
      </c>
      <c r="J90" s="108">
        <f>Y89</f>
        <v>6.7698360271093896E-2</v>
      </c>
      <c r="K90" s="129">
        <f t="shared" si="198"/>
        <v>1.6984169859841757E-2</v>
      </c>
      <c r="L90" s="125">
        <f t="shared" si="199"/>
        <v>0.48801807812949494</v>
      </c>
      <c r="M90" s="268">
        <f t="shared" si="200"/>
        <v>1.5633374152662749E-2</v>
      </c>
      <c r="N90" s="264">
        <f>(L90-H90*(1-Data!D$16))/Data!D$16</f>
        <v>3.3860905281492828</v>
      </c>
      <c r="O90" s="215">
        <f>(M90-Data!D$27)/(1-Data!D$27-Data!D$19-I90)</f>
        <v>5.148460195123971E-2</v>
      </c>
      <c r="P90" s="10">
        <f>Data!D$28*O90</f>
        <v>5.148460195123971E-2</v>
      </c>
      <c r="Q90" s="10">
        <f>Data!D$28*(1-O90)</f>
        <v>0.94851539804876028</v>
      </c>
      <c r="R90" s="310">
        <f t="shared" ref="R90:R94" si="203">1*(D90+(P90*E90*C90)/(Q90*F90*G90))</f>
        <v>451.36139446502386</v>
      </c>
      <c r="S90" s="32">
        <f t="shared" ref="S90:S94" si="204">(1-J90)*((C90/G90-D90)-(C$87/G$87-D$87))</f>
        <v>-1.0910335384650269</v>
      </c>
      <c r="T90" s="26">
        <f>C$7*(1+Data!D$50)*((1/G90)-(1/G$87))</f>
        <v>-1.7486373463119438</v>
      </c>
      <c r="U90" s="106">
        <f>(1-Data!D$26)*Data!D$24+Data!D$26*Data!D$25</f>
        <v>4.9424036979969185E-6</v>
      </c>
      <c r="V90" s="107">
        <f t="shared" ref="V90:V94" si="205">1+U90*(B$87-B90)</f>
        <v>1.0000988480739599</v>
      </c>
      <c r="W90" s="26">
        <f>((C90/G90)-D90)+(R90+R$87)/2*(1-Data!D$51)</f>
        <v>512.3661598114137</v>
      </c>
      <c r="X90" s="57">
        <f t="shared" si="201"/>
        <v>1.283801915260683E-3</v>
      </c>
      <c r="Y90" s="103">
        <f t="shared" ref="Y90:Y94" si="206">X90+Y$87</f>
        <v>6.7681532438470624E-2</v>
      </c>
      <c r="Z90" s="134">
        <f>Y90*Data!$D$21</f>
        <v>8.7850629105134873E-2</v>
      </c>
      <c r="AA90" s="134"/>
      <c r="AB90" s="134"/>
      <c r="AC90" s="134"/>
      <c r="AD90" s="134"/>
      <c r="AE90" s="134"/>
      <c r="AF90" s="134"/>
      <c r="AG90" s="253"/>
      <c r="AH90" s="246">
        <f t="shared" si="202"/>
        <v>2534.3942299211089</v>
      </c>
      <c r="AI90" s="246"/>
      <c r="AJ90" s="246"/>
      <c r="AK90" s="246"/>
    </row>
    <row r="91" spans="2:37" x14ac:dyDescent="0.25">
      <c r="B91" s="7">
        <v>2220</v>
      </c>
      <c r="C91" s="7">
        <f t="shared" si="193"/>
        <v>1.4205267500000001</v>
      </c>
      <c r="D91" s="122">
        <f t="shared" si="194"/>
        <v>110.8132549</v>
      </c>
      <c r="E91">
        <f t="shared" si="195"/>
        <v>0.59303495679999996</v>
      </c>
      <c r="F91">
        <f t="shared" si="196"/>
        <v>1.764924E-2</v>
      </c>
      <c r="G91" s="97">
        <f t="shared" si="197"/>
        <v>7.6077838170055803E-3</v>
      </c>
      <c r="H91" s="20">
        <f>'MBal_Som_Saturated-Res'!X$68</f>
        <v>0.46131891820468951</v>
      </c>
      <c r="I91" s="14">
        <f>Data!D$8*(1-Data!D$16)+Data!D$10*Data!D$16</f>
        <v>0.49634854771784231</v>
      </c>
      <c r="J91" s="108">
        <f t="shared" ref="J91:J94" si="207">Y90</f>
        <v>6.7681532438470624E-2</v>
      </c>
      <c r="K91" s="129">
        <f t="shared" si="198"/>
        <v>1.6966426647612252E-2</v>
      </c>
      <c r="L91" s="125">
        <f t="shared" si="199"/>
        <v>0.48802688674484634</v>
      </c>
      <c r="M91" s="268">
        <f t="shared" si="200"/>
        <v>1.5624565537311397E-2</v>
      </c>
      <c r="N91" s="264">
        <f>(L91-H91*(1-Data!D$16))/Data!D$16</f>
        <v>3.3870554719218688</v>
      </c>
      <c r="O91" s="215">
        <f>(M91-Data!D$27)/(1-Data!D$27-Data!D$19-I91)</f>
        <v>5.1455592982946788E-2</v>
      </c>
      <c r="P91" s="10">
        <f>Data!D$28*O91</f>
        <v>5.1455592982946788E-2</v>
      </c>
      <c r="Q91" s="10">
        <f>Data!D$28*(1-O91)</f>
        <v>0.94854440701705323</v>
      </c>
      <c r="R91" s="310">
        <f t="shared" si="203"/>
        <v>451.15910383434095</v>
      </c>
      <c r="S91" s="32">
        <f t="shared" si="204"/>
        <v>-1.091053231372332</v>
      </c>
      <c r="T91" s="26">
        <f>C$7*(1+Data!D$50)*((1/G91)-(1/G$87))</f>
        <v>-1.7486373463119438</v>
      </c>
      <c r="U91" s="106">
        <f>(1-Data!D$26)*Data!D$24+Data!D$26*Data!D$25</f>
        <v>4.9424036979969185E-6</v>
      </c>
      <c r="V91" s="107">
        <f t="shared" si="205"/>
        <v>1.0000988480739599</v>
      </c>
      <c r="W91" s="26">
        <f>((C91/G91)-D91)+(R91+R$87)/2*(1-Data!D$51)</f>
        <v>512.26501449607224</v>
      </c>
      <c r="X91" s="57">
        <f t="shared" si="201"/>
        <v>1.2840169555994386E-3</v>
      </c>
      <c r="Y91" s="103">
        <f t="shared" si="206"/>
        <v>6.7681747478809368E-2</v>
      </c>
      <c r="Z91" s="134">
        <f>Y91*Data!$D$21</f>
        <v>8.7850908227494556E-2</v>
      </c>
      <c r="AA91" s="134"/>
      <c r="AB91" s="134"/>
      <c r="AC91" s="134"/>
      <c r="AD91" s="134"/>
      <c r="AE91" s="134"/>
      <c r="AF91" s="134"/>
      <c r="AG91" s="253"/>
      <c r="AH91" s="246">
        <f t="shared" si="202"/>
        <v>2533.2583680298244</v>
      </c>
      <c r="AI91" s="246"/>
      <c r="AJ91" s="246"/>
      <c r="AK91" s="246"/>
    </row>
    <row r="92" spans="2:37" x14ac:dyDescent="0.25">
      <c r="B92" s="7">
        <v>2220</v>
      </c>
      <c r="C92" s="7">
        <f t="shared" si="193"/>
        <v>1.4205267500000001</v>
      </c>
      <c r="D92" s="122">
        <f t="shared" si="194"/>
        <v>110.8132549</v>
      </c>
      <c r="E92">
        <f t="shared" si="195"/>
        <v>0.59303495679999996</v>
      </c>
      <c r="F92">
        <f t="shared" si="196"/>
        <v>1.764924E-2</v>
      </c>
      <c r="G92" s="97">
        <f t="shared" si="197"/>
        <v>7.6077838170055803E-3</v>
      </c>
      <c r="H92" s="20">
        <f>'MBal_Som_Saturated-Res'!X$68</f>
        <v>0.46131891820468951</v>
      </c>
      <c r="I92" s="14">
        <f>Data!D$8*(1-Data!D$16)+Data!D$10*Data!D$16</f>
        <v>0.49634854771784231</v>
      </c>
      <c r="J92" s="108">
        <f t="shared" si="207"/>
        <v>6.7681747478809368E-2</v>
      </c>
      <c r="K92" s="129">
        <f t="shared" si="198"/>
        <v>1.6966653385449126E-2</v>
      </c>
      <c r="L92" s="125">
        <f t="shared" si="199"/>
        <v>0.48802677418087748</v>
      </c>
      <c r="M92" s="268">
        <f t="shared" si="200"/>
        <v>1.5624678101280209E-2</v>
      </c>
      <c r="N92" s="264">
        <f>(L92-H92*(1-Data!D$16))/Data!D$16</f>
        <v>3.3870431410507336</v>
      </c>
      <c r="O92" s="215">
        <f>(M92-Data!D$27)/(1-Data!D$27-Data!D$19-I92)</f>
        <v>5.1455963684183245E-2</v>
      </c>
      <c r="P92" s="10">
        <f>Data!D$28*O92</f>
        <v>5.1455963684183245E-2</v>
      </c>
      <c r="Q92" s="10">
        <f>Data!D$28*(1-O92)</f>
        <v>0.94854403631581674</v>
      </c>
      <c r="R92" s="310">
        <f t="shared" si="203"/>
        <v>451.16168879779417</v>
      </c>
      <c r="S92" s="32">
        <f t="shared" si="204"/>
        <v>-1.0910529797196356</v>
      </c>
      <c r="T92" s="26">
        <f>C$7*(1+Data!D$50)*((1/G92)-(1/G$87))</f>
        <v>-1.7486373463119438</v>
      </c>
      <c r="U92" s="106">
        <f>(1-Data!D$26)*Data!D$24+Data!D$26*Data!D$25</f>
        <v>4.9424036979969185E-6</v>
      </c>
      <c r="V92" s="107">
        <f t="shared" si="205"/>
        <v>1.0000988480739599</v>
      </c>
      <c r="W92" s="26">
        <f>((C92/G92)-D92)+(R92+R$87)/2*(1-Data!D$51)</f>
        <v>512.26630697779876</v>
      </c>
      <c r="X92" s="57">
        <f t="shared" si="201"/>
        <v>1.28401420719351E-3</v>
      </c>
      <c r="Y92" s="103">
        <f t="shared" si="206"/>
        <v>6.7681744730403448E-2</v>
      </c>
      <c r="Z92" s="134">
        <f>Y92*Data!$D$21</f>
        <v>8.7850904660063678E-2</v>
      </c>
      <c r="AA92" s="134"/>
      <c r="AB92" s="134"/>
      <c r="AC92" s="134"/>
      <c r="AD92" s="134"/>
      <c r="AE92" s="134"/>
      <c r="AF92" s="134"/>
      <c r="AG92" s="253"/>
      <c r="AH92" s="246">
        <f t="shared" si="202"/>
        <v>2533.2728825996141</v>
      </c>
      <c r="AI92" s="246"/>
      <c r="AJ92" s="246"/>
      <c r="AK92" s="246"/>
    </row>
    <row r="93" spans="2:37" x14ac:dyDescent="0.25">
      <c r="B93" s="7">
        <v>2220</v>
      </c>
      <c r="C93" s="7">
        <f t="shared" si="193"/>
        <v>1.4205267500000001</v>
      </c>
      <c r="D93" s="122">
        <f t="shared" si="194"/>
        <v>110.8132549</v>
      </c>
      <c r="E93">
        <f t="shared" si="195"/>
        <v>0.59303495679999996</v>
      </c>
      <c r="F93">
        <f t="shared" si="196"/>
        <v>1.764924E-2</v>
      </c>
      <c r="G93" s="97">
        <f t="shared" si="197"/>
        <v>7.6077838170055803E-3</v>
      </c>
      <c r="H93" s="20">
        <f>'MBal_Som_Saturated-Res'!X$68</f>
        <v>0.46131891820468951</v>
      </c>
      <c r="I93" s="14">
        <f>Data!D$8*(1-Data!D$16)+Data!D$10*Data!D$16</f>
        <v>0.49634854771784231</v>
      </c>
      <c r="J93" s="108">
        <f t="shared" si="207"/>
        <v>6.7681744730403448E-2</v>
      </c>
      <c r="K93" s="129">
        <f t="shared" si="198"/>
        <v>1.6966650487538822E-2</v>
      </c>
      <c r="L93" s="125">
        <f t="shared" si="199"/>
        <v>0.48802677561954461</v>
      </c>
      <c r="M93" s="268">
        <f t="shared" si="200"/>
        <v>1.5624676662613024E-2</v>
      </c>
      <c r="N93" s="264">
        <f>(L93-H93*(1-Data!D$16))/Data!D$16</f>
        <v>3.3870432986501786</v>
      </c>
      <c r="O93" s="215">
        <f>(M93-Data!D$27)/(1-Data!D$27-Data!D$19-I93)</f>
        <v>5.145595894629322E-2</v>
      </c>
      <c r="P93" s="10">
        <f>Data!D$28*O93</f>
        <v>5.145595894629322E-2</v>
      </c>
      <c r="Q93" s="10">
        <f>Data!D$28*(1-O93)</f>
        <v>0.94854404105370682</v>
      </c>
      <c r="R93" s="310">
        <f t="shared" si="203"/>
        <v>451.16165575965965</v>
      </c>
      <c r="S93" s="32">
        <f t="shared" si="204"/>
        <v>-1.0910529829359799</v>
      </c>
      <c r="T93" s="26">
        <f>C$7*(1+Data!D$50)*((1/G93)-(1/G$87))</f>
        <v>-1.7486373463119438</v>
      </c>
      <c r="U93" s="106">
        <f>(1-Data!D$26)*Data!D$24+Data!D$26*Data!D$25</f>
        <v>4.9424036979969185E-6</v>
      </c>
      <c r="V93" s="107">
        <f t="shared" si="205"/>
        <v>1.0000988480739599</v>
      </c>
      <c r="W93" s="26">
        <f>((C93/G93)-D93)+(R93+R$87)/2*(1-Data!D$51)</f>
        <v>512.26629045873153</v>
      </c>
      <c r="X93" s="57">
        <f t="shared" si="201"/>
        <v>1.2840142423204996E-3</v>
      </c>
      <c r="Y93" s="103">
        <f t="shared" si="206"/>
        <v>6.7681744765530433E-2</v>
      </c>
      <c r="Z93" s="134">
        <f>Y93*Data!$D$21</f>
        <v>8.7850904705658511E-2</v>
      </c>
      <c r="AA93" s="134"/>
      <c r="AB93" s="134"/>
      <c r="AC93" s="134"/>
      <c r="AD93" s="134"/>
      <c r="AE93" s="134"/>
      <c r="AF93" s="134"/>
      <c r="AG93" s="253"/>
      <c r="AH93" s="246">
        <f t="shared" si="202"/>
        <v>2533.2726970904891</v>
      </c>
      <c r="AI93" s="246"/>
      <c r="AJ93" s="246"/>
      <c r="AK93" s="246"/>
    </row>
    <row r="94" spans="2:37" x14ac:dyDescent="0.25">
      <c r="B94" s="99">
        <v>2220</v>
      </c>
      <c r="C94" s="7">
        <f t="shared" si="193"/>
        <v>1.4205267500000001</v>
      </c>
      <c r="D94" s="122">
        <f t="shared" si="194"/>
        <v>110.8132549</v>
      </c>
      <c r="E94">
        <f t="shared" si="195"/>
        <v>0.59303495679999996</v>
      </c>
      <c r="F94">
        <f t="shared" si="196"/>
        <v>1.764924E-2</v>
      </c>
      <c r="G94" s="97">
        <f t="shared" si="197"/>
        <v>7.6077838170055803E-3</v>
      </c>
      <c r="H94" s="24">
        <f>'MBal_Som_Saturated-Res'!X$68</f>
        <v>0.46131891820468951</v>
      </c>
      <c r="I94" s="14">
        <f>Data!D$8*(1-Data!D$16)+Data!D$10*Data!D$16</f>
        <v>0.49634854771784231</v>
      </c>
      <c r="J94" s="108">
        <f t="shared" si="207"/>
        <v>6.7681744765530433E-2</v>
      </c>
      <c r="K94" s="129">
        <f t="shared" si="198"/>
        <v>1.6966650524576601E-2</v>
      </c>
      <c r="L94" s="124">
        <f t="shared" si="199"/>
        <v>0.4880267756011572</v>
      </c>
      <c r="M94" s="268">
        <f t="shared" si="200"/>
        <v>1.5624676681000538E-2</v>
      </c>
      <c r="N94" s="264">
        <f>(L94-H94*(1-Data!D$16))/Data!D$16</f>
        <v>3.3870432966359219</v>
      </c>
      <c r="O94" s="215">
        <f>(M94-Data!D$27)/(1-Data!D$27-Data!D$19-I94)</f>
        <v>5.1455959006847893E-2</v>
      </c>
      <c r="P94" s="10">
        <f>Data!D$28*O94</f>
        <v>5.1455959006847893E-2</v>
      </c>
      <c r="Q94" s="10">
        <f>Data!D$28*(1-O94)</f>
        <v>0.94854404099315215</v>
      </c>
      <c r="R94" s="309">
        <f t="shared" si="203"/>
        <v>451.16165618191798</v>
      </c>
      <c r="S94" s="32">
        <f t="shared" si="204"/>
        <v>-1.0910529828948721</v>
      </c>
      <c r="T94" s="26">
        <f>C$7*(1+Data!D$50)*((1/G94)-(1/G$87))</f>
        <v>-1.7486373463119438</v>
      </c>
      <c r="U94" s="106">
        <f>(1-Data!D$26)*Data!D$24+Data!D$26*Data!D$25</f>
        <v>4.9424036979969185E-6</v>
      </c>
      <c r="V94" s="107">
        <f t="shared" si="205"/>
        <v>1.0000988480739599</v>
      </c>
      <c r="W94" s="26">
        <f>((C94/G94)-D94)+(R94+R$87)/2*(1-Data!D$51)</f>
        <v>512.26629066986072</v>
      </c>
      <c r="X94" s="101">
        <f t="shared" si="201"/>
        <v>1.2840142418715434E-3</v>
      </c>
      <c r="Y94" s="103">
        <f t="shared" si="206"/>
        <v>6.7681744765081472E-2</v>
      </c>
      <c r="Z94" s="133">
        <f>Y94*Data!$D$21</f>
        <v>8.7850904705075755E-2</v>
      </c>
      <c r="AA94" s="140">
        <f>'UNS RES'!$K$5*'UNS RES'!$J$5*'UNS RES'!$I$5*Q94/(E94*C94*1)</f>
        <v>0.12188089706768755</v>
      </c>
      <c r="AB94" s="141">
        <f>AA94*(B94-2000)</f>
        <v>26.81379735489126</v>
      </c>
      <c r="AC94" s="134">
        <f>Z94-Z87</f>
        <v>1.6666504859492587E-3</v>
      </c>
      <c r="AD94" s="434">
        <f>AC94*1000000</f>
        <v>1666.6504859492586</v>
      </c>
      <c r="AE94" s="134">
        <f>365*(AB87-AB94)/AD94</f>
        <v>0.54791675349485036</v>
      </c>
      <c r="AF94" s="142">
        <f>(LN(AB87/AB94))/AE94</f>
        <v>0.16280905706402576</v>
      </c>
      <c r="AG94" s="143">
        <f>AF94+AG87</f>
        <v>2.4890138376072888</v>
      </c>
      <c r="AH94" s="245">
        <f t="shared" si="202"/>
        <v>2533.2726994614695</v>
      </c>
      <c r="AI94" s="247">
        <f>(AB94*AH94)/10^6</f>
        <v>6.7926660808038206E-2</v>
      </c>
      <c r="AJ94" s="247">
        <f>365*AI94*AF94</f>
        <v>4.0365625924175843</v>
      </c>
      <c r="AK94" s="247">
        <f>AK87+AJ94</f>
        <v>76.998524926974355</v>
      </c>
    </row>
    <row r="95" spans="2:37" x14ac:dyDescent="0.25">
      <c r="B95" s="99"/>
      <c r="C95" s="7"/>
      <c r="D95" s="122"/>
      <c r="E95"/>
      <c r="F95"/>
      <c r="G95" s="97"/>
      <c r="H95" s="24"/>
      <c r="I95" s="14"/>
      <c r="J95" s="108"/>
      <c r="K95" s="129"/>
      <c r="L95" s="124"/>
      <c r="M95" s="268"/>
      <c r="N95" s="264"/>
      <c r="O95" s="215"/>
      <c r="P95" s="10"/>
      <c r="Q95" s="10"/>
      <c r="R95" s="309"/>
      <c r="S95" s="32"/>
      <c r="T95" s="26"/>
      <c r="U95" s="106"/>
      <c r="V95" s="107"/>
      <c r="W95" s="26"/>
      <c r="X95" s="101"/>
      <c r="Y95" s="102"/>
      <c r="Z95" s="133"/>
      <c r="AA95" s="140"/>
      <c r="AB95" s="141"/>
      <c r="AC95" s="134"/>
      <c r="AD95" s="134"/>
      <c r="AE95" s="134"/>
      <c r="AF95" s="142"/>
      <c r="AG95" s="143"/>
      <c r="AH95" s="245"/>
      <c r="AI95" s="247"/>
      <c r="AJ95" s="247"/>
      <c r="AK95" s="247"/>
    </row>
    <row r="96" spans="2:37" x14ac:dyDescent="0.25">
      <c r="B96" s="1">
        <v>2200</v>
      </c>
      <c r="C96" s="1">
        <f t="shared" si="1"/>
        <v>1.4182371500000002</v>
      </c>
      <c r="D96" s="122">
        <f t="shared" si="2"/>
        <v>109.95614590000001</v>
      </c>
      <c r="E96">
        <f t="shared" si="3"/>
        <v>0.59236542079999999</v>
      </c>
      <c r="F96">
        <f t="shared" si="4"/>
        <v>1.7602039999999999E-2</v>
      </c>
      <c r="G96" s="97">
        <f t="shared" si="5"/>
        <v>7.6786505962058342E-3</v>
      </c>
      <c r="H96" s="20">
        <f>'MBal_Som_Saturated-Res'!X$103</f>
        <v>0.42899258839210186</v>
      </c>
      <c r="I96" s="14">
        <f>Data!D$8*(1-Data!D$16)+Data!D$10*Data!D$16</f>
        <v>0.49634854771784231</v>
      </c>
      <c r="J96" s="105">
        <f>Y73</f>
        <v>6.3628800648634423E-2</v>
      </c>
      <c r="K96" s="129">
        <f t="shared" si="14"/>
        <v>1.2693239371142721E-2</v>
      </c>
      <c r="L96" s="125">
        <f t="shared" ref="L96:L101" si="208">(1-K96)*(C96/C$7)*(1-I96)</f>
        <v>0.4893582906844815</v>
      </c>
      <c r="M96" s="268">
        <f t="shared" ref="M96:M101" si="209">1-L96-I96</f>
        <v>1.4293161597676129E-2</v>
      </c>
      <c r="N96" s="264">
        <f>(L96-H96*(1-Data!D$16))/Data!D$16</f>
        <v>7.0417808849664159</v>
      </c>
      <c r="O96" s="215">
        <f>(M96-Data!D$27)/(1-Data!D$27-Data!D$19-I96)</f>
        <v>4.7070947595517172E-2</v>
      </c>
      <c r="P96" s="10">
        <f>Data!D$28*O96</f>
        <v>4.7070947595517172E-2</v>
      </c>
      <c r="Q96" s="10">
        <f>Data!D$28*(1-O96)</f>
        <v>0.95292905240448278</v>
      </c>
      <c r="R96" s="310">
        <f>1*(D96+(P96*E96*C96)/(Q96*F96*G96))</f>
        <v>416.98770633957162</v>
      </c>
      <c r="S96" s="32">
        <f>(1-J96)*((C96/G96-D96)-(C$94/G$94-D$94))</f>
        <v>-1.0902370128725272</v>
      </c>
      <c r="T96" s="26">
        <f>C$7*(1+Data!D$50)*((1/G96)-(1/G$94))</f>
        <v>-1.7482507932436164</v>
      </c>
      <c r="U96" s="106">
        <f>(1-Data!D$26)*Data!D$24+Data!D$26*Data!D$25</f>
        <v>4.9424036979969185E-6</v>
      </c>
      <c r="V96" s="107">
        <f>1+U96*(B$94-B96)</f>
        <v>1.0000988480739599</v>
      </c>
      <c r="W96" s="26">
        <f>((C96/G96)-D96)+(R96+R$94)/2*(1-Data!D$51)</f>
        <v>508.81728317208263</v>
      </c>
      <c r="X96" s="57">
        <f t="shared" ref="X96:X101" si="210">(S96-T96*V96)/W96</f>
        <v>1.2935617821224848E-3</v>
      </c>
      <c r="Y96" s="103">
        <f>X96+Y$94</f>
        <v>6.8975306547203963E-2</v>
      </c>
      <c r="Z96" s="134">
        <f>Y96*Data!$D$21</f>
        <v>8.9529947898270748E-2</v>
      </c>
      <c r="AA96" s="134"/>
      <c r="AB96" s="134"/>
      <c r="AC96" s="134"/>
      <c r="AD96" s="134"/>
      <c r="AE96" s="134"/>
      <c r="AF96" s="134"/>
      <c r="AG96" s="134"/>
      <c r="AH96" s="246">
        <f t="shared" si="9"/>
        <v>2341.3859710966949</v>
      </c>
      <c r="AI96" s="246"/>
      <c r="AJ96" s="246"/>
      <c r="AK96" s="246"/>
    </row>
    <row r="97" spans="2:38" x14ac:dyDescent="0.25">
      <c r="B97" s="1">
        <v>2200</v>
      </c>
      <c r="C97" s="1">
        <f t="shared" ref="C97:C98" si="211">0.00011448*B97 + 1.16638115</f>
        <v>1.4182371500000002</v>
      </c>
      <c r="D97" s="122">
        <f t="shared" si="2"/>
        <v>109.95614590000001</v>
      </c>
      <c r="E97">
        <f t="shared" ref="E97:E98" si="212">0.0000000907*B97^2 - 0.0003674172*B97 + 0.9616952608</f>
        <v>0.59236542079999999</v>
      </c>
      <c r="F97">
        <f t="shared" ref="F97:F98" si="213">0.00000236*B97 + 0.01241004</f>
        <v>1.7602039999999999E-2</v>
      </c>
      <c r="G97" s="97">
        <f t="shared" ref="G97:G98" si="214">20.40472*B97^(-1.02454)</f>
        <v>7.6786505962058342E-3</v>
      </c>
      <c r="H97" s="20">
        <f>'MBal_Som_Saturated-Res'!X$103</f>
        <v>0.42899258839210186</v>
      </c>
      <c r="I97" s="14">
        <f>Data!D$8*(1-Data!D$16)+Data!D$10*Data!D$16</f>
        <v>0.49634854771784231</v>
      </c>
      <c r="J97" s="108">
        <f>Y96</f>
        <v>6.8975306547203963E-2</v>
      </c>
      <c r="K97" s="129">
        <f t="shared" si="14"/>
        <v>1.8330577878623879E-2</v>
      </c>
      <c r="L97" s="125">
        <f t="shared" si="208"/>
        <v>0.48656414559600497</v>
      </c>
      <c r="M97" s="268">
        <f t="shared" si="209"/>
        <v>1.7087306686152659E-2</v>
      </c>
      <c r="N97" s="264">
        <f>(L97-H97*(1-Data!D$16))/Data!D$16</f>
        <v>6.7356949911833048</v>
      </c>
      <c r="O97" s="215">
        <f>(M97-Data!D$27)/(1-Data!D$27-Data!D$19-I97)</f>
        <v>5.6272764571779037E-2</v>
      </c>
      <c r="P97" s="10">
        <f>Data!D$28*O97</f>
        <v>5.6272764571779037E-2</v>
      </c>
      <c r="Q97" s="10">
        <f>Data!D$28*(1-O97)</f>
        <v>0.94372723542822101</v>
      </c>
      <c r="R97" s="310">
        <f t="shared" ref="R97:R101" si="215">1*(D97+(P97*E97*C97)/(Q97*F97*G97))</f>
        <v>480.58771587596323</v>
      </c>
      <c r="S97" s="32">
        <f t="shared" ref="S97:S100" si="216">(1-J97)*((C97/G97-D97)-(C$94/G$94-D$94))</f>
        <v>-1.0840119617131156</v>
      </c>
      <c r="T97" s="26">
        <f>C$7*(1+Data!D$50)*((1/G97)-(1/G$94))</f>
        <v>-1.7482507932436164</v>
      </c>
      <c r="U97" s="106">
        <f>(1-Data!D$26)*Data!D$24+Data!D$26*Data!D$25</f>
        <v>4.9424036979969185E-6</v>
      </c>
      <c r="V97" s="107">
        <f t="shared" ref="V97:V100" si="217">1+U97*(B$94-B97)</f>
        <v>1.0000988480739599</v>
      </c>
      <c r="W97" s="26">
        <f>((C97/G97)-D97)+(R97+R$94)/2*(1-Data!D$51)</f>
        <v>540.6172879402784</v>
      </c>
      <c r="X97" s="57">
        <f t="shared" si="210"/>
        <v>1.2289870442093757E-3</v>
      </c>
      <c r="Y97" s="103">
        <f t="shared" ref="Y97:Y101" si="218">X97+Y$94</f>
        <v>6.8910731809290846E-2</v>
      </c>
      <c r="Z97" s="134">
        <f>Y97*Data!$D$21</f>
        <v>8.9446129888459514E-2</v>
      </c>
      <c r="AA97" s="134"/>
      <c r="AB97" s="134"/>
      <c r="AC97" s="134"/>
      <c r="AD97" s="134"/>
      <c r="AE97" s="134"/>
      <c r="AF97" s="134"/>
      <c r="AG97" s="134"/>
      <c r="AH97" s="246">
        <f t="shared" si="9"/>
        <v>2698.5000246435338</v>
      </c>
      <c r="AI97" s="246"/>
      <c r="AJ97" s="246"/>
      <c r="AK97" s="246"/>
    </row>
    <row r="98" spans="2:38" x14ac:dyDescent="0.25">
      <c r="B98" s="1">
        <v>2200</v>
      </c>
      <c r="C98" s="1">
        <f t="shared" si="211"/>
        <v>1.4182371500000002</v>
      </c>
      <c r="D98" s="122">
        <f t="shared" si="2"/>
        <v>109.95614590000001</v>
      </c>
      <c r="E98">
        <f t="shared" si="212"/>
        <v>0.59236542079999999</v>
      </c>
      <c r="F98">
        <f t="shared" si="213"/>
        <v>1.7602039999999999E-2</v>
      </c>
      <c r="G98" s="97">
        <f t="shared" si="214"/>
        <v>7.6786505962058342E-3</v>
      </c>
      <c r="H98" s="20">
        <f>'MBal_Som_Saturated-Res'!X$103</f>
        <v>0.42899258839210186</v>
      </c>
      <c r="I98" s="14">
        <f>Data!D$8*(1-Data!D$16)+Data!D$10*Data!D$16</f>
        <v>0.49634854771784231</v>
      </c>
      <c r="J98" s="108">
        <f t="shared" ref="J98:J99" si="219">Y97</f>
        <v>6.8910731809290846E-2</v>
      </c>
      <c r="K98" s="129">
        <f t="shared" si="14"/>
        <v>1.8262490484061103E-2</v>
      </c>
      <c r="L98" s="125">
        <f t="shared" si="208"/>
        <v>0.48659789309207113</v>
      </c>
      <c r="M98" s="268">
        <f t="shared" si="209"/>
        <v>1.7053559190086554E-2</v>
      </c>
      <c r="N98" s="264">
        <f>(L98-H98*(1-Data!D$16))/Data!D$16</f>
        <v>6.7393918759796438</v>
      </c>
      <c r="O98" s="215">
        <f>(M98-Data!D$27)/(1-Data!D$27-Data!D$19-I98)</f>
        <v>5.6161625646499846E-2</v>
      </c>
      <c r="P98" s="10">
        <f>Data!D$28*O98</f>
        <v>5.6161625646499846E-2</v>
      </c>
      <c r="Q98" s="10">
        <f>Data!D$28*(1-O98)</f>
        <v>0.94383837435350015</v>
      </c>
      <c r="R98" s="310">
        <f t="shared" si="215"/>
        <v>479.8121606661922</v>
      </c>
      <c r="S98" s="32">
        <f t="shared" si="216"/>
        <v>-1.0840871474614793</v>
      </c>
      <c r="T98" s="26">
        <f>C$7*(1+Data!D$50)*((1/G98)-(1/G$94))</f>
        <v>-1.7482507932436164</v>
      </c>
      <c r="U98" s="106">
        <f>(1-Data!D$26)*Data!D$24+Data!D$26*Data!D$25</f>
        <v>4.9424036979969185E-6</v>
      </c>
      <c r="V98" s="107">
        <f t="shared" si="217"/>
        <v>1.0000988480739599</v>
      </c>
      <c r="W98" s="26">
        <f>((C98/G98)-D98)+(R98+R$94)/2*(1-Data!D$51)</f>
        <v>540.22951033539289</v>
      </c>
      <c r="X98" s="57">
        <f t="shared" si="210"/>
        <v>1.2297300393556904E-3</v>
      </c>
      <c r="Y98" s="103">
        <f t="shared" si="218"/>
        <v>6.8911474804437156E-2</v>
      </c>
      <c r="Z98" s="134">
        <f>Y98*Data!$D$21</f>
        <v>8.9447094296159435E-2</v>
      </c>
      <c r="AA98" s="134"/>
      <c r="AB98" s="134"/>
      <c r="AC98" s="134"/>
      <c r="AD98" s="134"/>
      <c r="AE98" s="134"/>
      <c r="AF98" s="134"/>
      <c r="AG98" s="134"/>
      <c r="AH98" s="246">
        <f t="shared" si="9"/>
        <v>2694.1452821406692</v>
      </c>
      <c r="AI98" s="246"/>
      <c r="AJ98" s="246"/>
      <c r="AK98" s="246"/>
    </row>
    <row r="99" spans="2:38" x14ac:dyDescent="0.25">
      <c r="B99" s="1">
        <v>2200</v>
      </c>
      <c r="C99" s="1">
        <f t="shared" ref="C99:C100" si="220">0.00011448*B99 + 1.16638115</f>
        <v>1.4182371500000002</v>
      </c>
      <c r="D99" s="122">
        <f t="shared" si="2"/>
        <v>109.95614590000001</v>
      </c>
      <c r="E99">
        <f t="shared" ref="E99:E100" si="221">0.0000000907*B99^2 - 0.0003674172*B99 + 0.9616952608</f>
        <v>0.59236542079999999</v>
      </c>
      <c r="F99">
        <f t="shared" ref="F99:F100" si="222">0.00000236*B99 + 0.01241004</f>
        <v>1.7602039999999999E-2</v>
      </c>
      <c r="G99" s="97">
        <f t="shared" ref="G99:G100" si="223">20.40472*B99^(-1.02454)</f>
        <v>7.6786505962058342E-3</v>
      </c>
      <c r="H99" s="20">
        <f>'MBal_Som_Saturated-Res'!X$103</f>
        <v>0.42899258839210186</v>
      </c>
      <c r="I99" s="14">
        <f>Data!D$8*(1-Data!D$16)+Data!D$10*Data!D$16</f>
        <v>0.49634854771784231</v>
      </c>
      <c r="J99" s="108">
        <f t="shared" si="219"/>
        <v>6.8911474804437156E-2</v>
      </c>
      <c r="K99" s="129">
        <f t="shared" si="14"/>
        <v>1.8263273895737557E-2</v>
      </c>
      <c r="L99" s="125">
        <f t="shared" si="208"/>
        <v>0.4865975047943159</v>
      </c>
      <c r="M99" s="268">
        <f t="shared" si="209"/>
        <v>1.7053947487841836E-2</v>
      </c>
      <c r="N99" s="264">
        <f>(L99-H99*(1-Data!D$16))/Data!D$16</f>
        <v>6.7393493397255479</v>
      </c>
      <c r="O99" s="215">
        <f>(M99-Data!D$27)/(1-Data!D$27-Data!D$19-I99)</f>
        <v>5.6162904407896716E-2</v>
      </c>
      <c r="P99" s="10">
        <f>Data!D$28*O99</f>
        <v>5.6162904407896716E-2</v>
      </c>
      <c r="Q99" s="10">
        <f>Data!D$28*(1-O99)</f>
        <v>0.94383709559210327</v>
      </c>
      <c r="R99" s="310">
        <f t="shared" si="215"/>
        <v>479.82108314428694</v>
      </c>
      <c r="S99" s="32">
        <f t="shared" si="216"/>
        <v>-1.0840862823763406</v>
      </c>
      <c r="T99" s="26">
        <f>C$7*(1+Data!D$50)*((1/G99)-(1/G$94))</f>
        <v>-1.7482507932436164</v>
      </c>
      <c r="U99" s="106">
        <f>(1-Data!D$26)*Data!D$24+Data!D$26*Data!D$25</f>
        <v>4.9424036979969185E-6</v>
      </c>
      <c r="V99" s="107">
        <f t="shared" si="217"/>
        <v>1.0000988480739599</v>
      </c>
      <c r="W99" s="26">
        <f>((C99/G99)-D99)+(R99+R$94)/2*(1-Data!D$51)</f>
        <v>540.23397157444026</v>
      </c>
      <c r="X99" s="57">
        <f t="shared" si="210"/>
        <v>1.2297214855905188E-3</v>
      </c>
      <c r="Y99" s="103">
        <f t="shared" si="218"/>
        <v>6.8911466250671988E-2</v>
      </c>
      <c r="Z99" s="134">
        <f>Y99*Data!$D$21</f>
        <v>8.9447083193372245E-2</v>
      </c>
      <c r="AA99" s="134"/>
      <c r="AB99" s="134"/>
      <c r="AC99" s="134"/>
      <c r="AD99" s="134"/>
      <c r="AE99" s="134"/>
      <c r="AF99" s="134"/>
      <c r="AG99" s="134"/>
      <c r="AH99" s="246">
        <f t="shared" si="9"/>
        <v>2694.1953818551715</v>
      </c>
      <c r="AI99" s="246"/>
      <c r="AJ99" s="246"/>
      <c r="AK99" s="246"/>
    </row>
    <row r="100" spans="2:38" x14ac:dyDescent="0.25">
      <c r="B100" s="1">
        <v>2200</v>
      </c>
      <c r="C100" s="1">
        <f t="shared" si="220"/>
        <v>1.4182371500000002</v>
      </c>
      <c r="D100" s="122">
        <f t="shared" si="2"/>
        <v>109.95614590000001</v>
      </c>
      <c r="E100">
        <f t="shared" si="221"/>
        <v>0.59236542079999999</v>
      </c>
      <c r="F100">
        <f t="shared" si="222"/>
        <v>1.7602039999999999E-2</v>
      </c>
      <c r="G100" s="97">
        <f t="shared" si="223"/>
        <v>7.6786505962058342E-3</v>
      </c>
      <c r="H100" s="20">
        <f>'MBal_Som_Saturated-Res'!X$103</f>
        <v>0.42899258839210186</v>
      </c>
      <c r="I100" s="14">
        <f>Data!D$8*(1-Data!D$16)+Data!D$10*Data!D$16</f>
        <v>0.49634854771784231</v>
      </c>
      <c r="J100" s="108">
        <f t="shared" ref="J100:J101" si="224">Y99</f>
        <v>6.8911466250671988E-2</v>
      </c>
      <c r="K100" s="129">
        <f t="shared" si="14"/>
        <v>1.8263264876675261E-2</v>
      </c>
      <c r="L100" s="125">
        <f t="shared" si="208"/>
        <v>0.48659750926461132</v>
      </c>
      <c r="M100" s="268">
        <f t="shared" si="209"/>
        <v>1.7053943017546369E-2</v>
      </c>
      <c r="N100" s="264">
        <f>(L100-H100*(1-Data!D$16))/Data!D$16</f>
        <v>6.7393498294260912</v>
      </c>
      <c r="O100" s="215">
        <f>(M100-Data!D$27)/(1-Data!D$27-Data!D$19-I100)</f>
        <v>5.6162889686098311E-2</v>
      </c>
      <c r="P100" s="10">
        <f>Data!D$28*O100</f>
        <v>5.6162889686098311E-2</v>
      </c>
      <c r="Q100" s="10">
        <f>Data!D$28*(1-O100)</f>
        <v>0.94383711031390172</v>
      </c>
      <c r="R100" s="310">
        <f t="shared" si="215"/>
        <v>479.82098042371689</v>
      </c>
      <c r="S100" s="32">
        <f t="shared" si="216"/>
        <v>-1.0840862923356722</v>
      </c>
      <c r="T100" s="26">
        <f>C$7*(1+Data!D$50)*((1/G100)-(1/G$94))</f>
        <v>-1.7482507932436164</v>
      </c>
      <c r="U100" s="106">
        <f>(1-Data!D$26)*Data!D$24+Data!D$26*Data!D$25</f>
        <v>4.9424036979969185E-6</v>
      </c>
      <c r="V100" s="107">
        <f t="shared" si="217"/>
        <v>1.0000988480739599</v>
      </c>
      <c r="W100" s="26">
        <f>((C100/G100)-D100)+(R100+R$94)/2*(1-Data!D$51)</f>
        <v>540.23392021415521</v>
      </c>
      <c r="X100" s="57">
        <f t="shared" si="210"/>
        <v>1.22972158406548E-3</v>
      </c>
      <c r="Y100" s="103">
        <f t="shared" si="218"/>
        <v>6.8911466349146952E-2</v>
      </c>
      <c r="Z100" s="134">
        <f>Y100*Data!$D$21</f>
        <v>8.944708332119275E-2</v>
      </c>
      <c r="AA100" s="134"/>
      <c r="AB100" s="134"/>
      <c r="AC100" s="134"/>
      <c r="AD100" s="134"/>
      <c r="AE100" s="134"/>
      <c r="AF100" s="134"/>
      <c r="AG100" s="134"/>
      <c r="AH100" s="246">
        <f t="shared" si="9"/>
        <v>2694.1948050791702</v>
      </c>
      <c r="AI100" s="246"/>
      <c r="AJ100" s="246"/>
      <c r="AK100" s="246"/>
    </row>
    <row r="101" spans="2:38" s="392" customFormat="1" x14ac:dyDescent="0.25">
      <c r="B101" s="389">
        <v>2200</v>
      </c>
      <c r="C101" s="390">
        <f t="shared" ref="C101" si="225">0.00011448*B101 + 1.16638115</f>
        <v>1.4182371500000002</v>
      </c>
      <c r="D101" s="391">
        <f t="shared" si="2"/>
        <v>109.95614590000001</v>
      </c>
      <c r="E101" s="392">
        <f t="shared" ref="E101" si="226">0.0000000907*B101^2 - 0.0003674172*B101 + 0.9616952608</f>
        <v>0.59236542079999999</v>
      </c>
      <c r="F101" s="392">
        <f t="shared" ref="F101" si="227">0.00000236*B101 + 0.01241004</f>
        <v>1.7602039999999999E-2</v>
      </c>
      <c r="G101" s="393">
        <f t="shared" ref="G101" si="228">20.40472*B101^(-1.02454)</f>
        <v>7.6786505962058342E-3</v>
      </c>
      <c r="H101" s="394">
        <f>'MBal_Som_Saturated-Res'!X$103</f>
        <v>0.42899258839210186</v>
      </c>
      <c r="I101" s="395">
        <f>Data!D$8*(1-Data!D$16)+Data!D$10*Data!D$16</f>
        <v>0.49634854771784231</v>
      </c>
      <c r="J101" s="396">
        <f t="shared" si="224"/>
        <v>6.8911466349146952E-2</v>
      </c>
      <c r="K101" s="397">
        <f>(J101-J$7)/(1-J$7)</f>
        <v>1.8263264980506944E-2</v>
      </c>
      <c r="L101" s="398">
        <f t="shared" si="208"/>
        <v>0.48659750921314721</v>
      </c>
      <c r="M101" s="399">
        <f t="shared" si="209"/>
        <v>1.7053943069010535E-2</v>
      </c>
      <c r="N101" s="400">
        <f>(L101-H101*(1-Data!D$16))/Data!D$16</f>
        <v>6.7393498237884319</v>
      </c>
      <c r="O101" s="401">
        <f>(M101-Data!D$27)/(1-Data!D$27-Data!D$19-I101)</f>
        <v>5.6162889855582647E-2</v>
      </c>
      <c r="P101" s="402">
        <f>Data!D$28*O101</f>
        <v>5.6162889855582647E-2</v>
      </c>
      <c r="Q101" s="402">
        <f>Data!D$28*(1-O101)</f>
        <v>0.9438371101444174</v>
      </c>
      <c r="R101" s="403">
        <f t="shared" si="215"/>
        <v>479.82098160628487</v>
      </c>
      <c r="S101" s="404">
        <f>(1-J101)*((C101/G101-D101)-(C$94/G$94-D$94))</f>
        <v>-1.0840862922210159</v>
      </c>
      <c r="T101" s="405">
        <f>C$7*(1+Data!D$50)*((1/G101)-(1/G$94))</f>
        <v>-1.7482507932436164</v>
      </c>
      <c r="U101" s="406">
        <f>(1-Data!D$26)*Data!D$24+Data!D$26*Data!D$25</f>
        <v>4.9424036979969185E-6</v>
      </c>
      <c r="V101" s="404">
        <f>1+U101*(B$94-B101)</f>
        <v>1.0000988480739599</v>
      </c>
      <c r="W101" s="405">
        <f>((C101/G101)-D101)+(R101+R$94)/2*(1-Data!D$51)</f>
        <v>540.2339208054392</v>
      </c>
      <c r="X101" s="407">
        <f t="shared" si="210"/>
        <v>1.229721582931789E-3</v>
      </c>
      <c r="Y101" s="443">
        <f t="shared" si="218"/>
        <v>6.8911466348013262E-2</v>
      </c>
      <c r="Z101" s="408">
        <f>Y101*Data!$D$21</f>
        <v>8.9447083319721218E-2</v>
      </c>
      <c r="AA101" s="409">
        <f>'UNS RES'!$K$5*'UNS RES'!$J$5*'UNS RES'!$I$5*Q101/(E101*C101*1)</f>
        <v>0.12160917585997952</v>
      </c>
      <c r="AB101" s="410">
        <f>AA101*(B101-2000)</f>
        <v>24.321835171995904</v>
      </c>
      <c r="AC101" s="411">
        <f>Z101-Z94</f>
        <v>1.5961786146454632E-3</v>
      </c>
      <c r="AD101" s="435">
        <f>AC101*1000000</f>
        <v>1596.1786146454631</v>
      </c>
      <c r="AE101" s="411">
        <f>365*(AB94-AB101)/AD101</f>
        <v>0.56983985903033441</v>
      </c>
      <c r="AF101" s="412">
        <f>(LN(AB94/AB101))/AE101</f>
        <v>0.17117452656641438</v>
      </c>
      <c r="AG101" s="413">
        <f>AG94+AF101</f>
        <v>2.660188364173703</v>
      </c>
      <c r="AH101" s="414">
        <f t="shared" si="9"/>
        <v>2694.1948117192896</v>
      </c>
      <c r="AI101" s="415">
        <f>(AB101*AH101)/10^6</f>
        <v>6.5527762131883105E-2</v>
      </c>
      <c r="AJ101" s="415">
        <f>365*AI101*AF101</f>
        <v>4.0940895358568232</v>
      </c>
      <c r="AK101" s="415">
        <f>AK94+AJ101</f>
        <v>81.092614462831179</v>
      </c>
    </row>
    <row r="102" spans="2:38" x14ac:dyDescent="0.25">
      <c r="M102" s="191"/>
      <c r="N102" s="265"/>
      <c r="O102" s="4"/>
      <c r="R102" s="311"/>
    </row>
    <row r="103" spans="2:38" x14ac:dyDescent="0.25">
      <c r="B103" s="1">
        <v>2130</v>
      </c>
      <c r="C103" s="1">
        <f t="shared" ref="C103:C108" si="229">0.00011448*B103 + 1.16638115</f>
        <v>1.41022355</v>
      </c>
      <c r="D103" s="122">
        <f t="shared" ref="D103:D108" si="230">0.04285545*B103 + 15.6741559</f>
        <v>106.95626440000001</v>
      </c>
      <c r="E103">
        <f t="shared" ref="E103:E108" si="231">0.0000000907*B103^2 - 0.0003674172*B103 + 0.9616952608</f>
        <v>0.59059345480000003</v>
      </c>
      <c r="F103">
        <f t="shared" ref="F103:F108" si="232">0.00000236*B103 + 0.01241004</f>
        <v>1.7436840000000002E-2</v>
      </c>
      <c r="G103" s="97">
        <f t="shared" ref="G103:G108" si="233">20.40472*B103^(-1.02454)</f>
        <v>7.9372964435808456E-3</v>
      </c>
      <c r="H103" s="20">
        <f>'MBal_Som_Saturated-Res'!X$103</f>
        <v>0.42899258839210186</v>
      </c>
      <c r="I103" s="14">
        <f>Data!D$8*(1-Data!D$16)+Data!D$10*Data!D$16</f>
        <v>0.49634854771784231</v>
      </c>
      <c r="J103" s="105">
        <f>Y101</f>
        <v>6.8911466348013262E-2</v>
      </c>
      <c r="K103" s="129">
        <f t="shared" ref="K103:K108" si="234">(J103-J$7)/(1-J$7)</f>
        <v>1.8263264979311584E-2</v>
      </c>
      <c r="L103" s="125">
        <f t="shared" ref="L103:L108" si="235">(1-K103)*(C103/C$7)*(1-I103)</f>
        <v>0.48384804111537871</v>
      </c>
      <c r="M103" s="268">
        <f t="shared" ref="M103:M108" si="236">1-L103-I103</f>
        <v>1.9803411166778973E-2</v>
      </c>
      <c r="N103" s="264">
        <f>(L103-H103*(1-Data!D$16))/Data!D$16</f>
        <v>6.4381580912601564</v>
      </c>
      <c r="O103" s="215">
        <f>(M103-Data!D$27)/(1-Data!D$27-Data!D$19-I103)</f>
        <v>6.5217574353562874E-2</v>
      </c>
      <c r="P103" s="10">
        <f>Data!D$28*O103</f>
        <v>6.5217574353562874E-2</v>
      </c>
      <c r="Q103" s="10">
        <f>Data!D$28*(1-O103)</f>
        <v>0.9347824256464371</v>
      </c>
      <c r="R103" s="310">
        <f>1*(D103+(P103*E103*C103)/(Q103*F103*G103))</f>
        <v>526.80254722817472</v>
      </c>
      <c r="S103" s="32">
        <f t="shared" ref="S103:S108" si="237">(1-J103)*((C103/G103-D103)-(C$73/G$73-D$73))</f>
        <v>-8.1202566030277694</v>
      </c>
      <c r="T103" s="26">
        <f>C$7*(1+Data!D$50)*((1/G103)-(1/G$73))</f>
        <v>-13.111092701649508</v>
      </c>
      <c r="U103" s="106">
        <f>(1-Data!D$26)*Data!D$24+Data!D$26*Data!D$25</f>
        <v>4.9424036979969185E-6</v>
      </c>
      <c r="V103" s="107">
        <f t="shared" ref="V103:V108" si="238">1+U103*(B$73-B103)</f>
        <v>1.0007413605546995</v>
      </c>
      <c r="W103" s="26">
        <f>((C103/G103)-D103)+(R103+R$73)/2*(1-Data!D$51)</f>
        <v>513.62370855224754</v>
      </c>
      <c r="X103" s="57">
        <f t="shared" ref="X103:X108" si="239">(S103-T103*V103)/W103</f>
        <v>9.7358359092784702E-3</v>
      </c>
      <c r="Y103" s="103">
        <f t="shared" ref="Y103:Y107" si="240">X103+Y$73</f>
        <v>7.3364636557912893E-2</v>
      </c>
      <c r="Z103" s="134">
        <f>Y103*Data!$D$21</f>
        <v>9.5227298252170939E-2</v>
      </c>
      <c r="AA103" s="134"/>
      <c r="AB103" s="134"/>
      <c r="AC103" s="134"/>
      <c r="AD103" s="134"/>
      <c r="AE103" s="134"/>
      <c r="AF103" s="134"/>
      <c r="AG103" s="134"/>
      <c r="AH103" s="246">
        <f t="shared" ref="AH103:AH108" si="241">5.615*R103</f>
        <v>2957.996302686201</v>
      </c>
      <c r="AI103" s="246"/>
      <c r="AJ103" s="246"/>
      <c r="AK103" s="246"/>
    </row>
    <row r="104" spans="2:38" x14ac:dyDescent="0.25">
      <c r="B104" s="1">
        <v>2130</v>
      </c>
      <c r="C104" s="1">
        <f t="shared" si="229"/>
        <v>1.41022355</v>
      </c>
      <c r="D104" s="122">
        <f t="shared" si="230"/>
        <v>106.95626440000001</v>
      </c>
      <c r="E104">
        <f t="shared" si="231"/>
        <v>0.59059345480000003</v>
      </c>
      <c r="F104">
        <f t="shared" si="232"/>
        <v>1.7436840000000002E-2</v>
      </c>
      <c r="G104" s="97">
        <f t="shared" si="233"/>
        <v>7.9372964435808456E-3</v>
      </c>
      <c r="H104" s="20">
        <f>'MBal_Som_Saturated-Res'!X$103</f>
        <v>0.42899258839210186</v>
      </c>
      <c r="I104" s="14">
        <f>Data!D$8*(1-Data!D$16)+Data!D$10*Data!D$16</f>
        <v>0.49634854771784231</v>
      </c>
      <c r="J104" s="108">
        <f>Y103</f>
        <v>7.3364636557912893E-2</v>
      </c>
      <c r="K104" s="129">
        <f t="shared" si="234"/>
        <v>2.2958673229277558E-2</v>
      </c>
      <c r="L104" s="125">
        <f t="shared" si="235"/>
        <v>0.48153391350566349</v>
      </c>
      <c r="M104" s="268">
        <f t="shared" si="236"/>
        <v>2.2117538776494139E-2</v>
      </c>
      <c r="N104" s="264">
        <f>(L104-H104*(1-Data!D$16))/Data!D$16</f>
        <v>6.1846559303777155</v>
      </c>
      <c r="O104" s="215">
        <f>(M104-Data!D$27)/(1-Data!D$27-Data!D$19-I104)</f>
        <v>7.2838573997473163E-2</v>
      </c>
      <c r="P104" s="10">
        <f>Data!D$28*O104</f>
        <v>7.2838573997473163E-2</v>
      </c>
      <c r="Q104" s="10">
        <f>Data!D$28*(1-O104)</f>
        <v>0.92716142600252682</v>
      </c>
      <c r="R104" s="310">
        <f t="shared" ref="R104:R108" si="242">1*(D104+(P104*E104*C104)/(Q104*F104*G104))</f>
        <v>579.71796838112573</v>
      </c>
      <c r="S104" s="32">
        <f t="shared" si="237"/>
        <v>-8.0814193888484578</v>
      </c>
      <c r="T104" s="26">
        <f>C$7*(1+Data!D$50)*((1/G104)-(1/G$73))</f>
        <v>-13.111092701649508</v>
      </c>
      <c r="U104" s="106">
        <f>(1-Data!D$26)*Data!D$24+Data!D$26*Data!D$25</f>
        <v>4.9424036979969185E-6</v>
      </c>
      <c r="V104" s="107">
        <f t="shared" si="238"/>
        <v>1.0007413605546995</v>
      </c>
      <c r="W104" s="26">
        <f>((C104/G104)-D104)+(R104+R$73)/2*(1-Data!D$51)</f>
        <v>540.08141912872316</v>
      </c>
      <c r="X104" s="57">
        <f t="shared" si="239"/>
        <v>9.3308030627840786E-3</v>
      </c>
      <c r="Y104" s="103">
        <f t="shared" si="240"/>
        <v>7.2959603711418505E-2</v>
      </c>
      <c r="Z104" s="134">
        <f>Y104*Data!$D$21</f>
        <v>9.4701565617421227E-2</v>
      </c>
      <c r="AA104" s="134"/>
      <c r="AB104" s="134"/>
      <c r="AC104" s="134"/>
      <c r="AD104" s="134"/>
      <c r="AE104" s="134"/>
      <c r="AF104" s="134"/>
      <c r="AG104" s="134"/>
      <c r="AH104" s="246">
        <f t="shared" si="241"/>
        <v>3255.116392460021</v>
      </c>
      <c r="AI104" s="246"/>
      <c r="AJ104" s="246"/>
      <c r="AK104" s="246"/>
    </row>
    <row r="105" spans="2:38" x14ac:dyDescent="0.25">
      <c r="B105" s="1">
        <v>2130</v>
      </c>
      <c r="C105" s="1">
        <f t="shared" si="229"/>
        <v>1.41022355</v>
      </c>
      <c r="D105" s="122">
        <f t="shared" si="230"/>
        <v>106.95626440000001</v>
      </c>
      <c r="E105">
        <f t="shared" si="231"/>
        <v>0.59059345480000003</v>
      </c>
      <c r="F105">
        <f t="shared" si="232"/>
        <v>1.7436840000000002E-2</v>
      </c>
      <c r="G105" s="97">
        <f t="shared" si="233"/>
        <v>7.9372964435808456E-3</v>
      </c>
      <c r="H105" s="20">
        <f>'MBal_Som_Saturated-Res'!X$103</f>
        <v>0.42899258839210186</v>
      </c>
      <c r="I105" s="14">
        <f>Data!D$8*(1-Data!D$16)+Data!D$10*Data!D$16</f>
        <v>0.49634854771784231</v>
      </c>
      <c r="J105" s="108">
        <f t="shared" ref="J105:J108" si="243">Y104</f>
        <v>7.2959603711418505E-2</v>
      </c>
      <c r="K105" s="129">
        <f t="shared" si="234"/>
        <v>2.2531607907429054E-2</v>
      </c>
      <c r="L105" s="125">
        <f t="shared" si="235"/>
        <v>0.48174439225422577</v>
      </c>
      <c r="M105" s="268">
        <f t="shared" si="236"/>
        <v>2.1907060027931968E-2</v>
      </c>
      <c r="N105" s="264">
        <f>(L105-H105*(1-Data!D$16))/Data!D$16</f>
        <v>6.2077129205611294</v>
      </c>
      <c r="O105" s="215">
        <f>(M105-Data!D$27)/(1-Data!D$27-Data!D$19-I105)</f>
        <v>7.2145414959437049E-2</v>
      </c>
      <c r="P105" s="10">
        <f>Data!D$28*O105</f>
        <v>7.2145414959437049E-2</v>
      </c>
      <c r="Q105" s="10">
        <f>Data!D$28*(1-O105)</f>
        <v>0.92785458504056295</v>
      </c>
      <c r="R105" s="310">
        <f t="shared" si="242"/>
        <v>574.86917334167003</v>
      </c>
      <c r="S105" s="32">
        <f t="shared" si="237"/>
        <v>-8.084951781878031</v>
      </c>
      <c r="T105" s="26">
        <f>C$7*(1+Data!D$50)*((1/G105)-(1/G$73))</f>
        <v>-13.111092701649508</v>
      </c>
      <c r="U105" s="106">
        <f>(1-Data!D$26)*Data!D$24+Data!D$26*Data!D$25</f>
        <v>4.9424036979969185E-6</v>
      </c>
      <c r="V105" s="107">
        <f t="shared" si="238"/>
        <v>1.0007413605546995</v>
      </c>
      <c r="W105" s="26">
        <f>((C105/G105)-D105)+(R105+R$73)/2*(1-Data!D$51)</f>
        <v>537.65702160899525</v>
      </c>
      <c r="X105" s="57">
        <f t="shared" si="239"/>
        <v>9.3663074494203472E-3</v>
      </c>
      <c r="Y105" s="103">
        <f t="shared" si="240"/>
        <v>7.2995108098054776E-2</v>
      </c>
      <c r="Z105" s="134">
        <f>Y105*Data!$D$21</f>
        <v>9.4747650311275106E-2</v>
      </c>
      <c r="AA105" s="134"/>
      <c r="AB105" s="134"/>
      <c r="AC105" s="134"/>
      <c r="AD105" s="134"/>
      <c r="AE105" s="134"/>
      <c r="AF105" s="134"/>
      <c r="AG105" s="134"/>
      <c r="AH105" s="246">
        <f t="shared" si="241"/>
        <v>3227.8904083134776</v>
      </c>
      <c r="AI105" s="246"/>
      <c r="AJ105" s="246"/>
      <c r="AK105" s="246"/>
    </row>
    <row r="106" spans="2:38" x14ac:dyDescent="0.25">
      <c r="B106" s="1">
        <v>2130</v>
      </c>
      <c r="C106" s="1">
        <f t="shared" si="229"/>
        <v>1.41022355</v>
      </c>
      <c r="D106" s="122">
        <f t="shared" si="230"/>
        <v>106.95626440000001</v>
      </c>
      <c r="E106">
        <f t="shared" si="231"/>
        <v>0.59059345480000003</v>
      </c>
      <c r="F106">
        <f t="shared" si="232"/>
        <v>1.7436840000000002E-2</v>
      </c>
      <c r="G106" s="97">
        <f t="shared" si="233"/>
        <v>7.9372964435808456E-3</v>
      </c>
      <c r="H106" s="20">
        <f>'MBal_Som_Saturated-Res'!X$103</f>
        <v>0.42899258839210186</v>
      </c>
      <c r="I106" s="14">
        <f>Data!D$8*(1-Data!D$16)+Data!D$10*Data!D$16</f>
        <v>0.49634854771784231</v>
      </c>
      <c r="J106" s="108">
        <f t="shared" si="243"/>
        <v>7.2995108098054776E-2</v>
      </c>
      <c r="K106" s="129">
        <f t="shared" si="234"/>
        <v>2.2569043617735238E-2</v>
      </c>
      <c r="L106" s="125">
        <f t="shared" si="235"/>
        <v>0.48172594209905351</v>
      </c>
      <c r="M106" s="268">
        <f t="shared" si="236"/>
        <v>2.192551018310418E-2</v>
      </c>
      <c r="N106" s="264">
        <f>(L106-H106*(1-Data!D$16))/Data!D$16</f>
        <v>6.2056917899263491</v>
      </c>
      <c r="O106" s="215">
        <f>(M106-Data!D$27)/(1-Data!D$27-Data!D$19-I106)</f>
        <v>7.2206175924133725E-2</v>
      </c>
      <c r="P106" s="10">
        <f>Data!D$28*O106</f>
        <v>7.2206175924133725E-2</v>
      </c>
      <c r="Q106" s="10">
        <f>Data!D$28*(1-O106)</f>
        <v>0.9277938240758663</v>
      </c>
      <c r="R106" s="310">
        <f t="shared" si="242"/>
        <v>575.29391951449838</v>
      </c>
      <c r="S106" s="32">
        <f t="shared" si="237"/>
        <v>-8.0846421392182855</v>
      </c>
      <c r="T106" s="26">
        <f>C$7*(1+Data!D$50)*((1/G106)-(1/G$73))</f>
        <v>-13.111092701649508</v>
      </c>
      <c r="U106" s="106">
        <f>(1-Data!D$26)*Data!D$24+Data!D$26*Data!D$25</f>
        <v>4.9424036979969185E-6</v>
      </c>
      <c r="V106" s="107">
        <f t="shared" si="238"/>
        <v>1.0007413605546995</v>
      </c>
      <c r="W106" s="26">
        <f>((C106/G106)-D106)+(R106+R$73)/2*(1-Data!D$51)</f>
        <v>537.86939469540948</v>
      </c>
      <c r="X106" s="57">
        <f t="shared" si="239"/>
        <v>9.3631849275253361E-3</v>
      </c>
      <c r="Y106" s="109">
        <f t="shared" si="240"/>
        <v>7.2991985576159754E-2</v>
      </c>
      <c r="Z106" s="134">
        <f>Y106*Data!$D$21</f>
        <v>9.4743597277855363E-2</v>
      </c>
      <c r="AA106" s="134"/>
      <c r="AB106" s="134"/>
      <c r="AC106" s="134"/>
      <c r="AD106" s="134"/>
      <c r="AE106" s="134"/>
      <c r="AF106" s="134"/>
      <c r="AG106" s="134"/>
      <c r="AH106" s="246">
        <f t="shared" si="241"/>
        <v>3230.2753580739086</v>
      </c>
      <c r="AI106" s="246"/>
      <c r="AJ106" s="246"/>
      <c r="AK106" s="246"/>
    </row>
    <row r="107" spans="2:38" x14ac:dyDescent="0.25">
      <c r="B107" s="1">
        <v>2130</v>
      </c>
      <c r="C107" s="1">
        <f t="shared" si="229"/>
        <v>1.41022355</v>
      </c>
      <c r="D107" s="122">
        <f t="shared" si="230"/>
        <v>106.95626440000001</v>
      </c>
      <c r="E107">
        <f t="shared" si="231"/>
        <v>0.59059345480000003</v>
      </c>
      <c r="F107">
        <f t="shared" si="232"/>
        <v>1.7436840000000002E-2</v>
      </c>
      <c r="G107" s="97">
        <f t="shared" si="233"/>
        <v>7.9372964435808456E-3</v>
      </c>
      <c r="H107" s="20">
        <f>'MBal_Som_Saturated-Res'!X$103</f>
        <v>0.42899258839210186</v>
      </c>
      <c r="I107" s="14">
        <f>Data!D$8*(1-Data!D$16)+Data!D$10*Data!D$16</f>
        <v>0.49634854771784231</v>
      </c>
      <c r="J107" s="108">
        <f t="shared" si="243"/>
        <v>7.2991985576159754E-2</v>
      </c>
      <c r="K107" s="129">
        <f t="shared" si="234"/>
        <v>2.2565751240759845E-2</v>
      </c>
      <c r="L107" s="125">
        <f t="shared" si="235"/>
        <v>0.48172756474399825</v>
      </c>
      <c r="M107" s="268">
        <f t="shared" si="236"/>
        <v>2.1923887538159437E-2</v>
      </c>
      <c r="N107" s="264">
        <f>(L107-H107*(1-Data!D$16))/Data!D$16</f>
        <v>6.2058695433043871</v>
      </c>
      <c r="O107" s="215">
        <f>(M107-Data!D$27)/(1-Data!D$27-Data!D$19-I107)</f>
        <v>7.2200832149445518E-2</v>
      </c>
      <c r="P107" s="10">
        <f>Data!D$28*O107</f>
        <v>7.2200832149445518E-2</v>
      </c>
      <c r="Q107" s="10">
        <f>Data!D$28*(1-O107)</f>
        <v>0.9277991678505545</v>
      </c>
      <c r="R107" s="310">
        <f t="shared" si="242"/>
        <v>575.25656192101667</v>
      </c>
      <c r="S107" s="32">
        <f t="shared" si="237"/>
        <v>-8.0846693715148064</v>
      </c>
      <c r="T107" s="26">
        <f>C$7*(1+Data!D$50)*((1/G107)-(1/G$73))</f>
        <v>-13.111092701649508</v>
      </c>
      <c r="U107" s="106">
        <f>(1-Data!D$26)*Data!D$24+Data!D$26*Data!D$25</f>
        <v>4.9424036979969185E-6</v>
      </c>
      <c r="V107" s="107">
        <f t="shared" si="238"/>
        <v>1.0007413605546995</v>
      </c>
      <c r="W107" s="26">
        <f>((C107/G107)-D107)+(R107+R$73)/2*(1-Data!D$51)</f>
        <v>537.85071589866857</v>
      </c>
      <c r="X107" s="57">
        <f t="shared" si="239"/>
        <v>9.3634594660305815E-3</v>
      </c>
      <c r="Y107" s="103">
        <f t="shared" si="240"/>
        <v>7.2992260114665003E-2</v>
      </c>
      <c r="Z107" s="134">
        <f>Y107*Data!$D$21</f>
        <v>9.474395362883517E-2</v>
      </c>
      <c r="AA107" s="134"/>
      <c r="AB107" s="134"/>
      <c r="AC107" s="134"/>
      <c r="AD107" s="134"/>
      <c r="AE107" s="134"/>
      <c r="AF107" s="134"/>
      <c r="AG107" s="134"/>
      <c r="AH107" s="246">
        <f t="shared" si="241"/>
        <v>3230.0655951865087</v>
      </c>
      <c r="AI107" s="246"/>
      <c r="AJ107" s="246"/>
      <c r="AK107" s="246"/>
    </row>
    <row r="108" spans="2:38" x14ac:dyDescent="0.25">
      <c r="B108" s="1">
        <v>2130</v>
      </c>
      <c r="C108" s="1">
        <f t="shared" si="229"/>
        <v>1.41022355</v>
      </c>
      <c r="D108" s="122">
        <f t="shared" si="230"/>
        <v>106.95626440000001</v>
      </c>
      <c r="E108">
        <f t="shared" si="231"/>
        <v>0.59059345480000003</v>
      </c>
      <c r="F108">
        <f t="shared" si="232"/>
        <v>1.7436840000000002E-2</v>
      </c>
      <c r="G108" s="97">
        <f t="shared" si="233"/>
        <v>7.9372964435808456E-3</v>
      </c>
      <c r="H108" s="24">
        <f>'MBal_Som_Saturated-Res'!X$103</f>
        <v>0.42899258839210186</v>
      </c>
      <c r="I108" s="14">
        <f>Data!D$8*(1-Data!D$16)+Data!D$10*Data!D$16</f>
        <v>0.49634854771784231</v>
      </c>
      <c r="J108" s="249">
        <f t="shared" si="243"/>
        <v>7.2992260114665003E-2</v>
      </c>
      <c r="K108" s="250">
        <f t="shared" si="234"/>
        <v>2.2566040713270823E-2</v>
      </c>
      <c r="L108" s="124">
        <f t="shared" si="235"/>
        <v>0.48172742207773916</v>
      </c>
      <c r="M108" s="268">
        <f t="shared" si="236"/>
        <v>2.1924030204418465E-2</v>
      </c>
      <c r="N108" s="264">
        <f>(L108-H108*(1-Data!D$16))/Data!D$16</f>
        <v>6.2058539148641874</v>
      </c>
      <c r="O108" s="215">
        <f>(M108-Data!D$27)/(1-Data!D$27-Data!D$19-I108)</f>
        <v>7.2201301985034841E-2</v>
      </c>
      <c r="P108" s="10">
        <f>Data!D$28*O108</f>
        <v>7.2201301985034841E-2</v>
      </c>
      <c r="Q108" s="10">
        <f>Data!D$28*(1-O108)</f>
        <v>0.92779869801496517</v>
      </c>
      <c r="R108" s="309">
        <f t="shared" si="242"/>
        <v>575.25984645971255</v>
      </c>
      <c r="S108" s="32">
        <f t="shared" si="237"/>
        <v>-8.0846669771956527</v>
      </c>
      <c r="T108" s="26">
        <f>C$7*(1+Data!D$50)*((1/G108)-(1/G$73))</f>
        <v>-13.111092701649508</v>
      </c>
      <c r="U108" s="106">
        <f>(1-Data!D$26)*Data!D$24+Data!D$26*Data!D$25</f>
        <v>4.9424036979969185E-6</v>
      </c>
      <c r="V108" s="107">
        <f t="shared" si="238"/>
        <v>1.0007413605546995</v>
      </c>
      <c r="W108" s="26">
        <f>((C108/G108)-D108)+(R108+R$73)/2*(1-Data!D$51)</f>
        <v>537.85235816801651</v>
      </c>
      <c r="X108" s="101">
        <f t="shared" si="239"/>
        <v>9.363435327429866E-3</v>
      </c>
      <c r="Y108" s="251">
        <f>X108+Y$101</f>
        <v>7.8274901675443126E-2</v>
      </c>
      <c r="Z108" s="252">
        <f>Y108*Data!$D$21</f>
        <v>0.10160082237472517</v>
      </c>
      <c r="AA108" s="430">
        <f>'UNS RES'!$K$5*'UNS RES'!$J$5*'UNS RES'!$I$5*Q108/(E108*C108*1)</f>
        <v>0.12058270400400205</v>
      </c>
      <c r="AB108" s="431">
        <f>AA108*(B108-2000)</f>
        <v>15.675751520520267</v>
      </c>
      <c r="AC108" s="253">
        <f>Z108-Z101</f>
        <v>1.2153739055003956E-2</v>
      </c>
      <c r="AD108" s="253">
        <f>AC108*1000000</f>
        <v>12153.739055003956</v>
      </c>
      <c r="AE108" s="253">
        <f>365*(AB101-AB108)/AD108</f>
        <v>0.25965840787813266</v>
      </c>
      <c r="AF108" s="254">
        <f>(LN(AB101/AB108))/AE108</f>
        <v>1.6916821140237852</v>
      </c>
      <c r="AG108" s="248">
        <f>AG101+AF108</f>
        <v>4.3518704781974886</v>
      </c>
      <c r="AH108" s="245">
        <f t="shared" si="241"/>
        <v>3230.084037871286</v>
      </c>
      <c r="AI108" s="247">
        <f>(AB108*AH108)/10^6</f>
        <v>5.0633994768069054E-2</v>
      </c>
      <c r="AJ108" s="247">
        <f>365*AI108*AF108</f>
        <v>31.264667508411463</v>
      </c>
      <c r="AK108" s="247">
        <f>AK101+AJ108</f>
        <v>112.35728197124264</v>
      </c>
      <c r="AL108" t="s">
        <v>58</v>
      </c>
    </row>
    <row r="109" spans="2:38" x14ac:dyDescent="0.25">
      <c r="M109" s="191"/>
      <c r="N109" s="265"/>
      <c r="O109" s="4"/>
      <c r="R109" s="311"/>
    </row>
    <row r="110" spans="2:38" x14ac:dyDescent="0.25">
      <c r="B110" s="1">
        <v>2000</v>
      </c>
      <c r="C110" s="1">
        <f t="shared" ref="C110:C115" si="244">0.00011448*B110 + 1.16638115</f>
        <v>1.3953411500000001</v>
      </c>
      <c r="D110" s="122">
        <f t="shared" ref="D110:D115" si="245">0.04285545*B110 + 15.6741559</f>
        <v>101.38505590000001</v>
      </c>
      <c r="E110">
        <f t="shared" ref="E110:E115" si="246">0.0000000907*B110^2 - 0.0003674172*B110 + 0.9616952608</f>
        <v>0.58966086080000002</v>
      </c>
      <c r="F110">
        <f t="shared" ref="F110:F115" si="247">0.00000236*B110 + 0.01241004</f>
        <v>1.7130039999999999E-2</v>
      </c>
      <c r="G110" s="97">
        <f t="shared" ref="G110:G115" si="248">20.40472*B110^(-1.02454)</f>
        <v>8.4662944324579211E-3</v>
      </c>
      <c r="H110" s="20">
        <f>'MBal_Som_Saturated-Res'!X$103</f>
        <v>0.42899258839210186</v>
      </c>
      <c r="I110" s="14">
        <f>Data!D$8*(1-Data!D$16)+Data!D$10*Data!D$16</f>
        <v>0.49634854771784231</v>
      </c>
      <c r="J110" s="105">
        <f>Y108</f>
        <v>7.8274901675443126E-2</v>
      </c>
      <c r="K110" s="129">
        <f t="shared" ref="K110:K115" si="249">(J110-J$7)/(1-J$7)</f>
        <v>2.8136040869777251E-2</v>
      </c>
      <c r="L110" s="125">
        <f t="shared" ref="L110:L115" si="250">(1-K110)*(C110/C$7)*(1-I110)</f>
        <v>0.47392744735488035</v>
      </c>
      <c r="M110" s="268">
        <f t="shared" ref="M110:M115" si="251">1-L110-I110</f>
        <v>2.9724004927277337E-2</v>
      </c>
      <c r="N110" s="264">
        <f>(L110-H110*(1-Data!D$16))/Data!D$16</f>
        <v>5.3514021384055628</v>
      </c>
      <c r="O110" s="215">
        <f>(M110-Data!D$27)/(1-Data!D$27-Data!D$19-I110)</f>
        <v>9.7888565010574427E-2</v>
      </c>
      <c r="P110" s="10">
        <f>Data!D$28*O110</f>
        <v>9.7888565010574427E-2</v>
      </c>
      <c r="Q110" s="10">
        <f>Data!D$28*(1-O110)</f>
        <v>0.90211143498942559</v>
      </c>
      <c r="R110" s="310">
        <f>1*(D110+(P110*E110*C110)/(Q110*F110*G110))</f>
        <v>716.99089924523787</v>
      </c>
      <c r="S110" s="32">
        <f t="shared" ref="S110:S115" si="252">(1-J110)*((C110/G110-D110)-(C$73/G$73-D$73))</f>
        <v>-14.756117364841943</v>
      </c>
      <c r="T110" s="26">
        <f>C$7*(1+Data!D$50)*((1/G110)-(1/G$73))</f>
        <v>-24.455770361053109</v>
      </c>
      <c r="U110" s="106">
        <f>(1-Data!D$26)*Data!D$24+Data!D$26*Data!D$25</f>
        <v>4.9424036979969185E-6</v>
      </c>
      <c r="V110" s="107">
        <f t="shared" ref="V110:V115" si="253">1+U110*(B$73-B110)</f>
        <v>1.0013838730354392</v>
      </c>
      <c r="W110" s="26">
        <f>((C110/G110)-D110)+(R110+R$73)/2*(1-Data!D$51)</f>
        <v>601.42989637243056</v>
      </c>
      <c r="X110" s="57">
        <f t="shared" ref="X110:X115" si="254">(S110-T110*V110)/W110</f>
        <v>1.6183925568188467E-2</v>
      </c>
      <c r="Y110" s="103">
        <f t="shared" ref="Y110:Y114" si="255">X110+Y$73</f>
        <v>7.9812726216822893E-2</v>
      </c>
      <c r="Z110" s="134">
        <f>Y110*Data!$D$21</f>
        <v>0.10359691862943612</v>
      </c>
      <c r="AA110" s="253"/>
      <c r="AB110" s="253"/>
      <c r="AC110" s="134"/>
      <c r="AD110" s="134"/>
      <c r="AE110" s="134"/>
      <c r="AF110" s="134"/>
      <c r="AG110" s="134"/>
      <c r="AH110" s="246">
        <f t="shared" ref="AH110:AH115" si="256">5.615*R110</f>
        <v>4025.9038992620108</v>
      </c>
      <c r="AI110" s="246"/>
      <c r="AJ110" s="246"/>
      <c r="AK110" s="246"/>
    </row>
    <row r="111" spans="2:38" x14ac:dyDescent="0.25">
      <c r="B111" s="1">
        <v>2000</v>
      </c>
      <c r="C111" s="1">
        <f t="shared" si="244"/>
        <v>1.3953411500000001</v>
      </c>
      <c r="D111" s="122">
        <f t="shared" si="245"/>
        <v>101.38505590000001</v>
      </c>
      <c r="E111">
        <f t="shared" si="246"/>
        <v>0.58966086080000002</v>
      </c>
      <c r="F111">
        <f t="shared" si="247"/>
        <v>1.7130039999999999E-2</v>
      </c>
      <c r="G111" s="97">
        <f t="shared" si="248"/>
        <v>8.4662944324579211E-3</v>
      </c>
      <c r="H111" s="20">
        <f>'MBal_Som_Saturated-Res'!X$103</f>
        <v>0.42899258839210186</v>
      </c>
      <c r="I111" s="14">
        <f>Data!D$8*(1-Data!D$16)+Data!D$10*Data!D$16</f>
        <v>0.49634854771784231</v>
      </c>
      <c r="J111" s="108">
        <f>Y110</f>
        <v>7.9812726216822893E-2</v>
      </c>
      <c r="K111" s="129">
        <f t="shared" si="249"/>
        <v>2.9757518086736684E-2</v>
      </c>
      <c r="L111" s="125">
        <f t="shared" si="250"/>
        <v>0.47313673734741651</v>
      </c>
      <c r="M111" s="268">
        <f t="shared" si="251"/>
        <v>3.0514714934741227E-2</v>
      </c>
      <c r="N111" s="264">
        <f>(L111-H111*(1-Data!D$16))/Data!D$16</f>
        <v>5.2647834512242966</v>
      </c>
      <c r="O111" s="215">
        <f>(M111-Data!D$27)/(1-Data!D$27-Data!D$19-I111)</f>
        <v>0.10049257036447984</v>
      </c>
      <c r="P111" s="10">
        <f>Data!D$28*O111</f>
        <v>0.10049257036447984</v>
      </c>
      <c r="Q111" s="10">
        <f>Data!D$28*(1-O111)</f>
        <v>0.89950742963552011</v>
      </c>
      <c r="R111" s="310">
        <f t="shared" ref="R111:R115" si="257">1*(D111+(P111*E111*C111)/(Q111*F111*G111))</f>
        <v>735.19662051805801</v>
      </c>
      <c r="S111" s="32">
        <f t="shared" si="252"/>
        <v>-14.7314979642632</v>
      </c>
      <c r="T111" s="26">
        <f>C$7*(1+Data!D$50)*((1/G111)-(1/G$73))</f>
        <v>-24.455770361053109</v>
      </c>
      <c r="U111" s="106">
        <f>(1-Data!D$26)*Data!D$24+Data!D$26*Data!D$25</f>
        <v>4.9424036979969185E-6</v>
      </c>
      <c r="V111" s="107">
        <f t="shared" si="253"/>
        <v>1.0013838730354392</v>
      </c>
      <c r="W111" s="26">
        <f>((C111/G111)-D111)+(R111+R$73)/2*(1-Data!D$51)</f>
        <v>610.53275700884069</v>
      </c>
      <c r="X111" s="57">
        <f t="shared" si="254"/>
        <v>1.5982952537650919E-2</v>
      </c>
      <c r="Y111" s="103">
        <f t="shared" si="255"/>
        <v>7.9611753186285342E-2</v>
      </c>
      <c r="Z111" s="134">
        <f>Y111*Data!$D$21</f>
        <v>0.10333605563579838</v>
      </c>
      <c r="AA111" s="253"/>
      <c r="AB111" s="253"/>
      <c r="AC111" s="134"/>
      <c r="AD111" s="134"/>
      <c r="AE111" s="134"/>
      <c r="AF111" s="134"/>
      <c r="AG111" s="134"/>
      <c r="AH111" s="246">
        <f t="shared" si="256"/>
        <v>4128.1290242088962</v>
      </c>
      <c r="AI111" s="246"/>
      <c r="AJ111" s="246"/>
      <c r="AK111" s="246"/>
    </row>
    <row r="112" spans="2:38" x14ac:dyDescent="0.25">
      <c r="B112" s="1">
        <v>2000</v>
      </c>
      <c r="C112" s="1">
        <f t="shared" si="244"/>
        <v>1.3953411500000001</v>
      </c>
      <c r="D112" s="122">
        <f t="shared" si="245"/>
        <v>101.38505590000001</v>
      </c>
      <c r="E112">
        <f t="shared" si="246"/>
        <v>0.58966086080000002</v>
      </c>
      <c r="F112">
        <f t="shared" si="247"/>
        <v>1.7130039999999999E-2</v>
      </c>
      <c r="G112" s="97">
        <f t="shared" si="248"/>
        <v>8.4662944324579211E-3</v>
      </c>
      <c r="H112" s="20">
        <f>'MBal_Som_Saturated-Res'!X$103</f>
        <v>0.42899258839210186</v>
      </c>
      <c r="I112" s="14">
        <f>Data!D$8*(1-Data!D$16)+Data!D$10*Data!D$16</f>
        <v>0.49634854771784231</v>
      </c>
      <c r="J112" s="108">
        <f t="shared" ref="J112:J115" si="258">Y111</f>
        <v>7.9611753186285342E-2</v>
      </c>
      <c r="K112" s="129">
        <f t="shared" si="249"/>
        <v>2.9545612774087977E-2</v>
      </c>
      <c r="L112" s="125">
        <f t="shared" si="250"/>
        <v>0.47324007253436434</v>
      </c>
      <c r="M112" s="268">
        <f t="shared" si="251"/>
        <v>3.0411379747793288E-2</v>
      </c>
      <c r="N112" s="264">
        <f>(L112-H112*(1-Data!D$16))/Data!D$16</f>
        <v>5.2761033512490361</v>
      </c>
      <c r="O112" s="215">
        <f>(M112-Data!D$27)/(1-Data!D$27-Data!D$19-I112)</f>
        <v>0.10015226180948594</v>
      </c>
      <c r="P112" s="10">
        <f>Data!D$28*O112</f>
        <v>0.10015226180948594</v>
      </c>
      <c r="Q112" s="10">
        <f>Data!D$28*(1-O112)</f>
        <v>0.89984773819051411</v>
      </c>
      <c r="R112" s="310">
        <f t="shared" si="257"/>
        <v>732.81139173140787</v>
      </c>
      <c r="S112" s="32">
        <f t="shared" si="252"/>
        <v>-14.734715389535845</v>
      </c>
      <c r="T112" s="26">
        <f>C$7*(1+Data!D$50)*((1/G112)-(1/G$73))</f>
        <v>-24.455770361053109</v>
      </c>
      <c r="U112" s="106">
        <f>(1-Data!D$26)*Data!D$24+Data!D$26*Data!D$25</f>
        <v>4.9424036979969185E-6</v>
      </c>
      <c r="V112" s="107">
        <f t="shared" si="253"/>
        <v>1.0013838730354392</v>
      </c>
      <c r="W112" s="26">
        <f>((C112/G112)-D112)+(R112+R$73)/2*(1-Data!D$51)</f>
        <v>609.34014261551567</v>
      </c>
      <c r="X112" s="57">
        <f t="shared" si="254"/>
        <v>1.6008954556660498E-2</v>
      </c>
      <c r="Y112" s="103">
        <f t="shared" si="255"/>
        <v>7.9637755205294924E-2</v>
      </c>
      <c r="Z112" s="134">
        <f>Y112*Data!$D$21</f>
        <v>0.10336980625647281</v>
      </c>
      <c r="AA112" s="253"/>
      <c r="AB112" s="253"/>
      <c r="AC112" s="134"/>
      <c r="AD112" s="134"/>
      <c r="AE112" s="134"/>
      <c r="AF112" s="134"/>
      <c r="AG112" s="134"/>
      <c r="AH112" s="246">
        <f t="shared" si="256"/>
        <v>4114.7359645718552</v>
      </c>
      <c r="AI112" s="246"/>
      <c r="AJ112" s="246"/>
      <c r="AK112" s="246"/>
    </row>
    <row r="113" spans="2:37" x14ac:dyDescent="0.25">
      <c r="B113" s="1">
        <v>2000</v>
      </c>
      <c r="C113" s="1">
        <f t="shared" si="244"/>
        <v>1.3953411500000001</v>
      </c>
      <c r="D113" s="122">
        <f t="shared" si="245"/>
        <v>101.38505590000001</v>
      </c>
      <c r="E113">
        <f t="shared" si="246"/>
        <v>0.58966086080000002</v>
      </c>
      <c r="F113">
        <f t="shared" si="247"/>
        <v>1.7130039999999999E-2</v>
      </c>
      <c r="G113" s="97">
        <f t="shared" si="248"/>
        <v>8.4662944324579211E-3</v>
      </c>
      <c r="H113" s="20">
        <f>'MBal_Som_Saturated-Res'!X$103</f>
        <v>0.42899258839210186</v>
      </c>
      <c r="I113" s="14">
        <f>Data!D$8*(1-Data!D$16)+Data!D$10*Data!D$16</f>
        <v>0.49634854771784231</v>
      </c>
      <c r="J113" s="108">
        <f t="shared" si="258"/>
        <v>7.9637755205294924E-2</v>
      </c>
      <c r="K113" s="129">
        <f t="shared" si="249"/>
        <v>2.957302921873722E-2</v>
      </c>
      <c r="L113" s="125">
        <f t="shared" si="250"/>
        <v>0.47322670296189884</v>
      </c>
      <c r="M113" s="268">
        <f t="shared" si="251"/>
        <v>3.0424749320258848E-2</v>
      </c>
      <c r="N113" s="264">
        <f>(L113-H113*(1-Data!D$16))/Data!D$16</f>
        <v>5.2746387753562241</v>
      </c>
      <c r="O113" s="215">
        <f>(M113-Data!D$27)/(1-Data!D$27-Data!D$19-I113)</f>
        <v>0.10019629114761384</v>
      </c>
      <c r="P113" s="10">
        <f>Data!D$28*O113</f>
        <v>0.10019629114761384</v>
      </c>
      <c r="Q113" s="10">
        <f>Data!D$28*(1-O113)</f>
        <v>0.89980370885238614</v>
      </c>
      <c r="R113" s="310">
        <f t="shared" si="257"/>
        <v>733.11989254095226</v>
      </c>
      <c r="S113" s="32">
        <f t="shared" si="252"/>
        <v>-14.734299116999786</v>
      </c>
      <c r="T113" s="26">
        <f>C$7*(1+Data!D$50)*((1/G113)-(1/G$73))</f>
        <v>-24.455770361053109</v>
      </c>
      <c r="U113" s="106">
        <f>(1-Data!D$26)*Data!D$24+Data!D$26*Data!D$25</f>
        <v>4.9424036979969185E-6</v>
      </c>
      <c r="V113" s="107">
        <f t="shared" si="253"/>
        <v>1.0013838730354392</v>
      </c>
      <c r="W113" s="26">
        <f>((C113/G113)-D113)+(R113+R$73)/2*(1-Data!D$51)</f>
        <v>609.49439302028782</v>
      </c>
      <c r="X113" s="57">
        <f t="shared" si="254"/>
        <v>1.6005586001989945E-2</v>
      </c>
      <c r="Y113" s="109">
        <f t="shared" si="255"/>
        <v>7.9634386650624361E-2</v>
      </c>
      <c r="Z113" s="134">
        <f>Y113*Data!$D$21</f>
        <v>0.10336543387251042</v>
      </c>
      <c r="AA113" s="253"/>
      <c r="AB113" s="253"/>
      <c r="AC113" s="134"/>
      <c r="AD113" s="134"/>
      <c r="AE113" s="134"/>
      <c r="AF113" s="134"/>
      <c r="AG113" s="134"/>
      <c r="AH113" s="246">
        <f t="shared" si="256"/>
        <v>4116.4681966174476</v>
      </c>
      <c r="AI113" s="246"/>
      <c r="AJ113" s="246"/>
      <c r="AK113" s="246"/>
    </row>
    <row r="114" spans="2:37" x14ac:dyDescent="0.25">
      <c r="B114" s="1">
        <v>2000</v>
      </c>
      <c r="C114" s="1">
        <f t="shared" si="244"/>
        <v>1.3953411500000001</v>
      </c>
      <c r="D114" s="122">
        <f t="shared" si="245"/>
        <v>101.38505590000001</v>
      </c>
      <c r="E114">
        <f t="shared" si="246"/>
        <v>0.58966086080000002</v>
      </c>
      <c r="F114">
        <f t="shared" si="247"/>
        <v>1.7130039999999999E-2</v>
      </c>
      <c r="G114" s="97">
        <f t="shared" si="248"/>
        <v>8.4662944324579211E-3</v>
      </c>
      <c r="H114" s="20">
        <f>'MBal_Som_Saturated-Res'!X$103</f>
        <v>0.42899258839210186</v>
      </c>
      <c r="I114" s="14">
        <f>Data!D$8*(1-Data!D$16)+Data!D$10*Data!D$16</f>
        <v>0.49634854771784231</v>
      </c>
      <c r="J114" s="108">
        <f t="shared" si="258"/>
        <v>7.9634386650624361E-2</v>
      </c>
      <c r="K114" s="129">
        <f t="shared" si="249"/>
        <v>2.9569477425599948E-2</v>
      </c>
      <c r="L114" s="125">
        <f t="shared" si="250"/>
        <v>0.47322843498646799</v>
      </c>
      <c r="M114" s="268">
        <f t="shared" si="251"/>
        <v>3.0423017295689747E-2</v>
      </c>
      <c r="N114" s="264">
        <f>(L114-H114*(1-Data!D$16))/Data!D$16</f>
        <v>5.2748285107749364</v>
      </c>
      <c r="O114" s="215">
        <f>(M114-Data!D$27)/(1-Data!D$27-Data!D$19-I114)</f>
        <v>0.10019058715853003</v>
      </c>
      <c r="P114" s="10">
        <f>Data!D$28*O114</f>
        <v>0.10019058715853003</v>
      </c>
      <c r="Q114" s="10">
        <f>Data!D$28*(1-O114)</f>
        <v>0.89980941284146998</v>
      </c>
      <c r="R114" s="310">
        <f t="shared" si="257"/>
        <v>733.07992464057884</v>
      </c>
      <c r="S114" s="32">
        <f t="shared" si="252"/>
        <v>-14.734353044996494</v>
      </c>
      <c r="T114" s="26">
        <f>C$7*(1+Data!D$50)*((1/G114)-(1/G$73))</f>
        <v>-24.455770361053109</v>
      </c>
      <c r="U114" s="106">
        <f>(1-Data!D$26)*Data!D$24+Data!D$26*Data!D$25</f>
        <v>4.9424036979969185E-6</v>
      </c>
      <c r="V114" s="107">
        <f t="shared" si="253"/>
        <v>1.0013838730354392</v>
      </c>
      <c r="W114" s="26">
        <f>((C114/G114)-D114)+(R114+R$73)/2*(1-Data!D$51)</f>
        <v>609.47440907010116</v>
      </c>
      <c r="X114" s="57">
        <f t="shared" si="254"/>
        <v>1.600602232356917E-2</v>
      </c>
      <c r="Y114" s="103">
        <f t="shared" si="255"/>
        <v>7.9634822972203589E-2</v>
      </c>
      <c r="Z114" s="134">
        <f>Y114*Data!$D$21</f>
        <v>0.10336600021792026</v>
      </c>
      <c r="AA114" s="253"/>
      <c r="AB114" s="253"/>
      <c r="AC114" s="134"/>
      <c r="AD114" s="134"/>
      <c r="AE114" s="134"/>
      <c r="AF114" s="134"/>
      <c r="AG114" s="134"/>
      <c r="AH114" s="246">
        <f t="shared" si="256"/>
        <v>4116.2437768568507</v>
      </c>
      <c r="AI114" s="246"/>
      <c r="AJ114" s="246"/>
      <c r="AK114" s="246"/>
    </row>
    <row r="115" spans="2:37" x14ac:dyDescent="0.25">
      <c r="B115" s="1">
        <v>2000</v>
      </c>
      <c r="C115" s="1">
        <f t="shared" si="244"/>
        <v>1.3953411500000001</v>
      </c>
      <c r="D115" s="122">
        <f t="shared" si="245"/>
        <v>101.38505590000001</v>
      </c>
      <c r="E115">
        <f t="shared" si="246"/>
        <v>0.58966086080000002</v>
      </c>
      <c r="F115">
        <f t="shared" si="247"/>
        <v>1.7130039999999999E-2</v>
      </c>
      <c r="G115" s="97">
        <f t="shared" si="248"/>
        <v>8.4662944324579211E-3</v>
      </c>
      <c r="H115" s="24">
        <f>'MBal_Som_Saturated-Res'!X$103</f>
        <v>0.42899258839210186</v>
      </c>
      <c r="I115" s="14">
        <f>Data!D$8*(1-Data!D$16)+Data!D$10*Data!D$16</f>
        <v>0.49634854771784231</v>
      </c>
      <c r="J115" s="249">
        <f t="shared" si="258"/>
        <v>7.9634822972203589E-2</v>
      </c>
      <c r="K115" s="250">
        <f t="shared" si="249"/>
        <v>2.9569937481660279E-2</v>
      </c>
      <c r="L115" s="124">
        <f t="shared" si="250"/>
        <v>0.47322821064108272</v>
      </c>
      <c r="M115" s="268">
        <f t="shared" si="251"/>
        <v>3.0423241641074905E-2</v>
      </c>
      <c r="N115" s="264">
        <f>(L115-H115*(1-Data!D$16))/Data!D$16</f>
        <v>5.274803934757732</v>
      </c>
      <c r="O115" s="215">
        <f>(M115-Data!D$27)/(1-Data!D$27-Data!D$19-I115)</f>
        <v>0.10019132598386241</v>
      </c>
      <c r="P115" s="10">
        <f>Data!D$28*O115</f>
        <v>0.10019132598386241</v>
      </c>
      <c r="Q115" s="10">
        <f>Data!D$28*(1-O115)</f>
        <v>0.89980867401613762</v>
      </c>
      <c r="R115" s="309">
        <f t="shared" si="257"/>
        <v>733.08510156744535</v>
      </c>
      <c r="S115" s="32">
        <f t="shared" si="252"/>
        <v>-14.734346059820064</v>
      </c>
      <c r="T115" s="26">
        <f>C$7*(1+Data!D$50)*((1/G115)-(1/G$73))</f>
        <v>-24.455770361053109</v>
      </c>
      <c r="U115" s="106">
        <f>(1-Data!D$26)*Data!D$24+Data!D$26*Data!D$25</f>
        <v>4.9424036979969185E-6</v>
      </c>
      <c r="V115" s="107">
        <f t="shared" si="253"/>
        <v>1.0013838730354392</v>
      </c>
      <c r="W115" s="26">
        <f>((C115/G115)-D115)+(R115+R$73)/2*(1-Data!D$51)</f>
        <v>609.47699753353436</v>
      </c>
      <c r="X115" s="101">
        <f t="shared" si="254"/>
        <v>1.6005965806543582E-2</v>
      </c>
      <c r="Y115" s="251">
        <f>X115+Y$108</f>
        <v>9.4280867481986705E-2</v>
      </c>
      <c r="Z115" s="252">
        <f>Y115*Data!$D$21</f>
        <v>0.12237656599161875</v>
      </c>
      <c r="AA115" s="430">
        <f>'UNS RES'!$K$5*'UNS RES'!$J$5*'UNS RES'!$I$5*Q115/(E115*C115*1)</f>
        <v>0.11837917890948681</v>
      </c>
      <c r="AB115" s="431">
        <f>AA115*(B115-1900)</f>
        <v>11.837917890948681</v>
      </c>
      <c r="AC115" s="253">
        <f>Z115-Z108</f>
        <v>2.0775743616893577E-2</v>
      </c>
      <c r="AD115" s="253">
        <f>AC115*1000000</f>
        <v>20775.743616893578</v>
      </c>
      <c r="AE115" s="253">
        <f>365*(AB108-AB115)/AD115</f>
        <v>6.7425229181908825E-2</v>
      </c>
      <c r="AF115" s="254">
        <f>(LN(AB108/AB115))/AE115</f>
        <v>4.1647210173835223</v>
      </c>
      <c r="AG115" s="248">
        <f>AG108+AF115</f>
        <v>8.5165914955810109</v>
      </c>
      <c r="AH115" s="245">
        <f t="shared" si="256"/>
        <v>4116.272845301206</v>
      </c>
      <c r="AI115" s="247">
        <f>(AB115*AH115)/10^6</f>
        <v>4.8728099959417376E-2</v>
      </c>
      <c r="AJ115" s="247">
        <f>365*AI115*AF115</f>
        <v>74.072713843925001</v>
      </c>
      <c r="AK115" s="247">
        <f>AK108+AJ115</f>
        <v>186.42999581516764</v>
      </c>
    </row>
    <row r="116" spans="2:37" x14ac:dyDescent="0.25">
      <c r="M116" s="191"/>
      <c r="N116" s="265"/>
      <c r="O116" s="4"/>
      <c r="R116" s="311"/>
    </row>
    <row r="117" spans="2:37" x14ac:dyDescent="0.25">
      <c r="B117" s="1">
        <v>1900</v>
      </c>
      <c r="C117" s="1">
        <f t="shared" ref="C117:C122" si="259">0.00011448*B117 + 1.16638115</f>
        <v>1.38389315</v>
      </c>
      <c r="D117" s="122">
        <f t="shared" ref="D117:D122" si="260">0.04285545*B117 + 15.6741559</f>
        <v>97.099510900000013</v>
      </c>
      <c r="E117">
        <f t="shared" ref="E117:E122" si="261">0.0000000907*B117^2 - 0.0003674172*B117 + 0.9616952608</f>
        <v>0.5910295807999999</v>
      </c>
      <c r="F117">
        <f t="shared" ref="F117:F122" si="262">0.00000236*B117 + 0.01241004</f>
        <v>1.6894039999999999E-2</v>
      </c>
      <c r="G117" s="97">
        <f t="shared" ref="G117:G122" si="263">20.40472*B117^(-1.02454)</f>
        <v>8.9231136675497064E-3</v>
      </c>
      <c r="H117" s="20">
        <f>'MBal_Som_Saturated-Res'!X$103</f>
        <v>0.42899258839210186</v>
      </c>
      <c r="I117" s="14">
        <f>Data!D$8*(1-Data!D$16)+Data!D$10*Data!D$16</f>
        <v>0.49634854771784231</v>
      </c>
      <c r="J117" s="105">
        <f>Y115</f>
        <v>9.4280867481986705E-2</v>
      </c>
      <c r="K117" s="129">
        <f t="shared" ref="K117:K122" si="264">(J117-J$7)/(1-J$7)</f>
        <v>4.501267938892603E-2</v>
      </c>
      <c r="L117" s="125">
        <f t="shared" ref="L117:L122" si="265">(1-K117)*(C117/C$7)*(1-I117)</f>
        <v>0.46187679917245172</v>
      </c>
      <c r="M117" s="268">
        <f t="shared" ref="M117:M122" si="266">1-L117-I117</f>
        <v>4.1774653109705961E-2</v>
      </c>
      <c r="N117" s="264">
        <f>(L117-H117*(1-Data!D$16))/Data!D$16</f>
        <v>4.0313084056940633</v>
      </c>
      <c r="O117" s="215">
        <f>(M117-Data!D$27)/(1-Data!D$27-Data!D$19-I117)</f>
        <v>0.13757435637386081</v>
      </c>
      <c r="P117" s="10">
        <f>Data!D$28*O117</f>
        <v>0.13757435637386081</v>
      </c>
      <c r="Q117" s="10">
        <f>Data!D$28*(1-O117)</f>
        <v>0.86242564362613916</v>
      </c>
      <c r="R117" s="310">
        <f>1*(D117+(P117*E117*C117)/(Q117*F117*G117))</f>
        <v>962.6206156846763</v>
      </c>
      <c r="S117" s="32">
        <f t="shared" ref="S117:S122" si="267">(1-J117)*((C117/G117-D117)-(C$73/G$73-D$73))</f>
        <v>-19.422401956202627</v>
      </c>
      <c r="T117" s="26">
        <f>C$7*(1+Data!D$50)*((1/G117)-(1/G$73))</f>
        <v>-33.170194574933667</v>
      </c>
      <c r="U117" s="106">
        <f>(1-Data!D$26)*Data!D$24+Data!D$26*Data!D$25</f>
        <v>4.9424036979969185E-6</v>
      </c>
      <c r="V117" s="107">
        <f t="shared" ref="V117:V122" si="268">1+U117*(B$73-B117)</f>
        <v>1.0018781134052388</v>
      </c>
      <c r="W117" s="26">
        <f>((C117/G117)-D117)+(R117+R$73)/2*(1-Data!D$51)</f>
        <v>718.80981593822366</v>
      </c>
      <c r="X117" s="57">
        <f t="shared" ref="X117:X122" si="269">(S117-T117*V117)/W117</f>
        <v>1.9212439367972515E-2</v>
      </c>
      <c r="Y117" s="103">
        <f t="shared" ref="Y117:Y121" si="270">X117+Y$73</f>
        <v>8.2841240016606935E-2</v>
      </c>
      <c r="Z117" s="134">
        <f>Y117*Data!$D$21</f>
        <v>0.10752792954155581</v>
      </c>
      <c r="AA117" s="253"/>
      <c r="AB117" s="253"/>
      <c r="AC117" s="134"/>
      <c r="AD117" s="134"/>
      <c r="AE117" s="134"/>
      <c r="AF117" s="134"/>
      <c r="AG117" s="134"/>
      <c r="AH117" s="246">
        <f t="shared" ref="AH117:AH122" si="271">5.615*R117</f>
        <v>5405.1147570694575</v>
      </c>
      <c r="AI117" s="246"/>
      <c r="AJ117" s="246"/>
      <c r="AK117" s="246"/>
    </row>
    <row r="118" spans="2:37" x14ac:dyDescent="0.25">
      <c r="B118" s="1">
        <v>1900</v>
      </c>
      <c r="C118" s="1">
        <f t="shared" si="259"/>
        <v>1.38389315</v>
      </c>
      <c r="D118" s="122">
        <f t="shared" si="260"/>
        <v>97.099510900000013</v>
      </c>
      <c r="E118">
        <f t="shared" si="261"/>
        <v>0.5910295807999999</v>
      </c>
      <c r="F118">
        <f t="shared" si="262"/>
        <v>1.6894039999999999E-2</v>
      </c>
      <c r="G118" s="97">
        <f t="shared" si="263"/>
        <v>8.9231136675497064E-3</v>
      </c>
      <c r="H118" s="20">
        <f>'MBal_Som_Saturated-Res'!X$103</f>
        <v>0.42899258839210186</v>
      </c>
      <c r="I118" s="14">
        <f>Data!D$8*(1-Data!D$16)+Data!D$10*Data!D$16</f>
        <v>0.49634854771784231</v>
      </c>
      <c r="J118" s="108">
        <f>Y117</f>
        <v>8.2841240016606935E-2</v>
      </c>
      <c r="K118" s="129">
        <f t="shared" si="264"/>
        <v>3.2950773230910092E-2</v>
      </c>
      <c r="L118" s="125">
        <f t="shared" si="265"/>
        <v>0.46771050448763651</v>
      </c>
      <c r="M118" s="268">
        <f t="shared" si="266"/>
        <v>3.5940947794521172E-2</v>
      </c>
      <c r="N118" s="264">
        <f>(L118-H118*(1-Data!D$16))/Data!D$16</f>
        <v>4.6703643061302156</v>
      </c>
      <c r="O118" s="215">
        <f>(M118-Data!D$27)/(1-Data!D$27-Data!D$19-I118)</f>
        <v>0.11836250913473081</v>
      </c>
      <c r="P118" s="10">
        <f>Data!D$28*O118</f>
        <v>0.11836250913473081</v>
      </c>
      <c r="Q118" s="10">
        <f>Data!D$28*(1-O118)</f>
        <v>0.88163749086526921</v>
      </c>
      <c r="R118" s="310">
        <f t="shared" ref="R118:R122" si="272">1*(D118+(P118*E118*C118)/(Q118*F118*G118))</f>
        <v>825.52636338872492</v>
      </c>
      <c r="S118" s="32">
        <f t="shared" si="267"/>
        <v>-19.667715359535642</v>
      </c>
      <c r="T118" s="26">
        <f>C$7*(1+Data!D$50)*((1/G118)-(1/G$73))</f>
        <v>-33.170194574933667</v>
      </c>
      <c r="U118" s="106">
        <f>(1-Data!D$26)*Data!D$24+Data!D$26*Data!D$25</f>
        <v>4.9424036979969185E-6</v>
      </c>
      <c r="V118" s="107">
        <f t="shared" si="268"/>
        <v>1.0018781134052388</v>
      </c>
      <c r="W118" s="26">
        <f>((C118/G118)-D118)+(R118+R$73)/2*(1-Data!D$51)</f>
        <v>650.2626897902478</v>
      </c>
      <c r="X118" s="57">
        <f t="shared" si="269"/>
        <v>2.0860456574648495E-2</v>
      </c>
      <c r="Y118" s="103">
        <f t="shared" si="270"/>
        <v>8.4489257223282918E-2</v>
      </c>
      <c r="Z118" s="134">
        <f>Y118*Data!$D$21</f>
        <v>0.10966705587582123</v>
      </c>
      <c r="AA118" s="253"/>
      <c r="AB118" s="253"/>
      <c r="AC118" s="134"/>
      <c r="AD118" s="134"/>
      <c r="AE118" s="134"/>
      <c r="AF118" s="134"/>
      <c r="AG118" s="134"/>
      <c r="AH118" s="246">
        <f t="shared" si="271"/>
        <v>4635.330530427691</v>
      </c>
      <c r="AI118" s="246"/>
      <c r="AJ118" s="246"/>
      <c r="AK118" s="246"/>
    </row>
    <row r="119" spans="2:37" x14ac:dyDescent="0.25">
      <c r="B119" s="1">
        <v>1900</v>
      </c>
      <c r="C119" s="1">
        <f t="shared" si="259"/>
        <v>1.38389315</v>
      </c>
      <c r="D119" s="122">
        <f t="shared" si="260"/>
        <v>97.099510900000013</v>
      </c>
      <c r="E119">
        <f t="shared" si="261"/>
        <v>0.5910295807999999</v>
      </c>
      <c r="F119">
        <f t="shared" si="262"/>
        <v>1.6894039999999999E-2</v>
      </c>
      <c r="G119" s="97">
        <f t="shared" si="263"/>
        <v>8.9231136675497064E-3</v>
      </c>
      <c r="H119" s="20">
        <f>'MBal_Som_Saturated-Res'!X$103</f>
        <v>0.42899258839210186</v>
      </c>
      <c r="I119" s="14">
        <f>Data!D$8*(1-Data!D$16)+Data!D$10*Data!D$16</f>
        <v>0.49634854771784231</v>
      </c>
      <c r="J119" s="108">
        <f t="shared" ref="J119:J122" si="273">Y118</f>
        <v>8.4489257223282918E-2</v>
      </c>
      <c r="K119" s="129">
        <f t="shared" si="264"/>
        <v>3.4688437237354326E-2</v>
      </c>
      <c r="L119" s="125">
        <f t="shared" si="265"/>
        <v>0.46687008841926392</v>
      </c>
      <c r="M119" s="268">
        <f t="shared" si="266"/>
        <v>3.6781363862893768E-2</v>
      </c>
      <c r="N119" s="264">
        <f>(L119-H119*(1-Data!D$16))/Data!D$16</f>
        <v>4.5783005459130353</v>
      </c>
      <c r="O119" s="215">
        <f>(M119-Data!D$27)/(1-Data!D$27-Data!D$19-I119)</f>
        <v>0.12113020894995076</v>
      </c>
      <c r="P119" s="10">
        <f>Data!D$28*O119</f>
        <v>0.12113020894995076</v>
      </c>
      <c r="Q119" s="10">
        <f>Data!D$28*(1-O119)</f>
        <v>0.87886979105004925</v>
      </c>
      <c r="R119" s="310">
        <f t="shared" si="272"/>
        <v>844.90691937384997</v>
      </c>
      <c r="S119" s="32">
        <f t="shared" si="267"/>
        <v>-19.632374985826399</v>
      </c>
      <c r="T119" s="26">
        <f>C$7*(1+Data!D$50)*((1/G119)-(1/G$73))</f>
        <v>-33.170194574933667</v>
      </c>
      <c r="U119" s="106">
        <f>(1-Data!D$26)*Data!D$24+Data!D$26*Data!D$25</f>
        <v>4.9424036979969185E-6</v>
      </c>
      <c r="V119" s="107">
        <f t="shared" si="268"/>
        <v>1.0018781134052388</v>
      </c>
      <c r="W119" s="26">
        <f>((C119/G119)-D119)+(R119+R$73)/2*(1-Data!D$51)</f>
        <v>659.95296778281045</v>
      </c>
      <c r="X119" s="57">
        <f t="shared" si="269"/>
        <v>2.0607706367143139E-2</v>
      </c>
      <c r="Y119" s="103">
        <f t="shared" si="270"/>
        <v>8.4236507015777562E-2</v>
      </c>
      <c r="Z119" s="134">
        <f>Y119*Data!$D$21</f>
        <v>0.10933898610647928</v>
      </c>
      <c r="AA119" s="253"/>
      <c r="AB119" s="253"/>
      <c r="AC119" s="134"/>
      <c r="AD119" s="134"/>
      <c r="AE119" s="134"/>
      <c r="AF119" s="134"/>
      <c r="AG119" s="134"/>
      <c r="AH119" s="246">
        <f t="shared" si="271"/>
        <v>4744.152352284168</v>
      </c>
      <c r="AI119" s="246"/>
      <c r="AJ119" s="246"/>
      <c r="AK119" s="246"/>
    </row>
    <row r="120" spans="2:37" x14ac:dyDescent="0.25">
      <c r="B120" s="1">
        <v>1900</v>
      </c>
      <c r="C120" s="1">
        <f t="shared" si="259"/>
        <v>1.38389315</v>
      </c>
      <c r="D120" s="122">
        <f t="shared" si="260"/>
        <v>97.099510900000013</v>
      </c>
      <c r="E120">
        <f t="shared" si="261"/>
        <v>0.5910295807999999</v>
      </c>
      <c r="F120">
        <f t="shared" si="262"/>
        <v>1.6894039999999999E-2</v>
      </c>
      <c r="G120" s="97">
        <f t="shared" si="263"/>
        <v>8.9231136675497064E-3</v>
      </c>
      <c r="H120" s="20">
        <f>'MBal_Som_Saturated-Res'!X$103</f>
        <v>0.42899258839210186</v>
      </c>
      <c r="I120" s="14">
        <f>Data!D$8*(1-Data!D$16)+Data!D$10*Data!D$16</f>
        <v>0.49634854771784231</v>
      </c>
      <c r="J120" s="108">
        <f t="shared" si="273"/>
        <v>8.4236507015777562E-2</v>
      </c>
      <c r="K120" s="129">
        <f t="shared" si="264"/>
        <v>3.4421938236965113E-2</v>
      </c>
      <c r="L120" s="125">
        <f t="shared" si="265"/>
        <v>0.46699897987428735</v>
      </c>
      <c r="M120" s="268">
        <f t="shared" si="266"/>
        <v>3.6652472407870396E-2</v>
      </c>
      <c r="N120" s="264">
        <f>(L120-H120*(1-Data!D$16))/Data!D$16</f>
        <v>4.5924200189406017</v>
      </c>
      <c r="O120" s="215">
        <f>(M120-Data!D$27)/(1-Data!D$27-Data!D$19-I120)</f>
        <v>0.12070573722734031</v>
      </c>
      <c r="P120" s="10">
        <f>Data!D$28*O120</f>
        <v>0.12070573722734031</v>
      </c>
      <c r="Q120" s="10">
        <f>Data!D$28*(1-O120)</f>
        <v>0.87929426277265965</v>
      </c>
      <c r="R120" s="310">
        <f t="shared" si="272"/>
        <v>841.9266753808256</v>
      </c>
      <c r="S120" s="32">
        <f t="shared" si="267"/>
        <v>-19.637795006170936</v>
      </c>
      <c r="T120" s="26">
        <f>C$7*(1+Data!D$50)*((1/G120)-(1/G$73))</f>
        <v>-33.170194574933667</v>
      </c>
      <c r="U120" s="106">
        <f>(1-Data!D$26)*Data!D$24+Data!D$26*Data!D$25</f>
        <v>4.9424036979969185E-6</v>
      </c>
      <c r="V120" s="107">
        <f t="shared" si="268"/>
        <v>1.0018781134052388</v>
      </c>
      <c r="W120" s="26">
        <f>((C120/G120)-D120)+(R120+R$73)/2*(1-Data!D$51)</f>
        <v>658.4628457862982</v>
      </c>
      <c r="X120" s="57">
        <f t="shared" si="269"/>
        <v>2.0646110927662584E-2</v>
      </c>
      <c r="Y120" s="109">
        <f t="shared" si="270"/>
        <v>8.4274911576297004E-2</v>
      </c>
      <c r="Z120" s="134">
        <f>Y120*Data!$D$21</f>
        <v>0.10938883522603352</v>
      </c>
      <c r="AA120" s="253"/>
      <c r="AB120" s="253"/>
      <c r="AC120" s="134"/>
      <c r="AD120" s="134"/>
      <c r="AE120" s="134"/>
      <c r="AF120" s="134"/>
      <c r="AG120" s="134"/>
      <c r="AH120" s="246">
        <f t="shared" si="271"/>
        <v>4727.4182822633356</v>
      </c>
      <c r="AI120" s="246"/>
      <c r="AJ120" s="246"/>
      <c r="AK120" s="246"/>
    </row>
    <row r="121" spans="2:37" x14ac:dyDescent="0.25">
      <c r="B121" s="1">
        <v>1900</v>
      </c>
      <c r="C121" s="1">
        <f t="shared" si="259"/>
        <v>1.38389315</v>
      </c>
      <c r="D121" s="122">
        <f t="shared" si="260"/>
        <v>97.099510900000013</v>
      </c>
      <c r="E121">
        <f t="shared" si="261"/>
        <v>0.5910295807999999</v>
      </c>
      <c r="F121">
        <f t="shared" si="262"/>
        <v>1.6894039999999999E-2</v>
      </c>
      <c r="G121" s="97">
        <f t="shared" si="263"/>
        <v>8.9231136675497064E-3</v>
      </c>
      <c r="H121" s="20">
        <f>'MBal_Som_Saturated-Res'!X$103</f>
        <v>0.42899258839210186</v>
      </c>
      <c r="I121" s="14">
        <f>Data!D$8*(1-Data!D$16)+Data!D$10*Data!D$16</f>
        <v>0.49634854771784231</v>
      </c>
      <c r="J121" s="108">
        <f t="shared" si="273"/>
        <v>8.4274911576297004E-2</v>
      </c>
      <c r="K121" s="129">
        <f t="shared" si="264"/>
        <v>3.4462431881222957E-2</v>
      </c>
      <c r="L121" s="125">
        <f t="shared" si="265"/>
        <v>0.46697939524275034</v>
      </c>
      <c r="M121" s="268">
        <f t="shared" si="266"/>
        <v>3.6672057039407346E-2</v>
      </c>
      <c r="N121" s="264">
        <f>(L121-H121*(1-Data!D$16))/Data!D$16</f>
        <v>4.590274611576775</v>
      </c>
      <c r="O121" s="215">
        <f>(M121-Data!D$27)/(1-Data!D$27-Data!D$19-I121)</f>
        <v>0.12077023430578257</v>
      </c>
      <c r="P121" s="10">
        <f>Data!D$28*O121</f>
        <v>0.12077023430578257</v>
      </c>
      <c r="Q121" s="10">
        <f>Data!D$28*(1-O121)</f>
        <v>0.8792297656942174</v>
      </c>
      <c r="R121" s="310">
        <f t="shared" si="272"/>
        <v>842.37932822618097</v>
      </c>
      <c r="S121" s="32">
        <f t="shared" si="267"/>
        <v>-19.636971451953542</v>
      </c>
      <c r="T121" s="26">
        <f>C$7*(1+Data!D$50)*((1/G121)-(1/G$73))</f>
        <v>-33.170194574933667</v>
      </c>
      <c r="U121" s="106">
        <f>(1-Data!D$26)*Data!D$24+Data!D$26*Data!D$25</f>
        <v>4.9424036979969185E-6</v>
      </c>
      <c r="V121" s="107">
        <f t="shared" si="268"/>
        <v>1.0018781134052388</v>
      </c>
      <c r="W121" s="26">
        <f>((C121/G121)-D121)+(R121+R$73)/2*(1-Data!D$51)</f>
        <v>658.68917220897583</v>
      </c>
      <c r="X121" s="57">
        <f t="shared" si="269"/>
        <v>2.0640267190778071E-2</v>
      </c>
      <c r="Y121" s="103">
        <f t="shared" si="270"/>
        <v>8.4269067839412487E-2</v>
      </c>
      <c r="Z121" s="134">
        <f>Y121*Data!$D$21</f>
        <v>0.10938125005555741</v>
      </c>
      <c r="AA121" s="253"/>
      <c r="AB121" s="253"/>
      <c r="AC121" s="134"/>
      <c r="AD121" s="134"/>
      <c r="AE121" s="134"/>
      <c r="AF121" s="134"/>
      <c r="AG121" s="134"/>
      <c r="AH121" s="246">
        <f t="shared" si="271"/>
        <v>4729.9599279900067</v>
      </c>
      <c r="AI121" s="246"/>
      <c r="AJ121" s="246"/>
      <c r="AK121" s="246"/>
    </row>
    <row r="122" spans="2:37" x14ac:dyDescent="0.25">
      <c r="B122" s="1">
        <v>1900</v>
      </c>
      <c r="C122" s="1">
        <f t="shared" si="259"/>
        <v>1.38389315</v>
      </c>
      <c r="D122" s="122">
        <f t="shared" si="260"/>
        <v>97.099510900000013</v>
      </c>
      <c r="E122">
        <f t="shared" si="261"/>
        <v>0.5910295807999999</v>
      </c>
      <c r="F122">
        <f t="shared" si="262"/>
        <v>1.6894039999999999E-2</v>
      </c>
      <c r="G122" s="97">
        <f t="shared" si="263"/>
        <v>8.9231136675497064E-3</v>
      </c>
      <c r="H122" s="24">
        <f>'MBal_Som_Saturated-Res'!X$103</f>
        <v>0.42899258839210186</v>
      </c>
      <c r="I122" s="14">
        <f>Data!D$8*(1-Data!D$16)+Data!D$10*Data!D$16</f>
        <v>0.49634854771784231</v>
      </c>
      <c r="J122" s="249">
        <f t="shared" si="273"/>
        <v>8.4269067839412487E-2</v>
      </c>
      <c r="K122" s="250">
        <f t="shared" si="264"/>
        <v>3.4456270263973923E-2</v>
      </c>
      <c r="L122" s="124">
        <f t="shared" si="265"/>
        <v>0.46698237529074815</v>
      </c>
      <c r="M122" s="268">
        <f t="shared" si="266"/>
        <v>3.6669076991409533E-2</v>
      </c>
      <c r="N122" s="264">
        <f>(L122-H122*(1-Data!D$16))/Data!D$16</f>
        <v>4.590601062289263</v>
      </c>
      <c r="O122" s="215">
        <f>(M122-Data!D$27)/(1-Data!D$27-Data!D$19-I122)</f>
        <v>0.12076042026413905</v>
      </c>
      <c r="P122" s="10">
        <f>Data!D$28*O122</f>
        <v>0.12076042026413905</v>
      </c>
      <c r="Q122" s="10">
        <f>Data!D$28*(1-O122)</f>
        <v>0.87923957973586098</v>
      </c>
      <c r="R122" s="309">
        <f t="shared" si="272"/>
        <v>842.31044711919958</v>
      </c>
      <c r="S122" s="32">
        <f t="shared" si="267"/>
        <v>-19.637096766085286</v>
      </c>
      <c r="T122" s="26">
        <f>C$7*(1+Data!D$50)*((1/G122)-(1/G$73))</f>
        <v>-33.170194574933667</v>
      </c>
      <c r="U122" s="106">
        <f>(1-Data!D$26)*Data!D$24+Data!D$26*Data!D$25</f>
        <v>4.9424036979969185E-6</v>
      </c>
      <c r="V122" s="107">
        <f t="shared" si="268"/>
        <v>1.0018781134052388</v>
      </c>
      <c r="W122" s="26">
        <f>((C122/G122)-D122)+(R122+R$73)/2*(1-Data!D$51)</f>
        <v>658.65473165548519</v>
      </c>
      <c r="X122" s="101">
        <f t="shared" si="269"/>
        <v>2.0641156196908837E-2</v>
      </c>
      <c r="Y122" s="251">
        <f>X122+Y$115</f>
        <v>0.11492202367889554</v>
      </c>
      <c r="Z122" s="252">
        <f>Y122*Data!$D$21</f>
        <v>0.14916878673520642</v>
      </c>
      <c r="AA122" s="430">
        <f>'UNS RES'!$K$5*'UNS RES'!$J$5*'UNS RES'!$I$5*Q122/(E122*C122*1)</f>
        <v>0.11635989077036686</v>
      </c>
      <c r="AB122" s="431">
        <f>AA122*(B122-1800)</f>
        <v>11.635989077036687</v>
      </c>
      <c r="AC122" s="253">
        <f>Z122-Z115</f>
        <v>2.6792220743587669E-2</v>
      </c>
      <c r="AD122" s="253">
        <f>AC122*1000000</f>
        <v>26792.22074358767</v>
      </c>
      <c r="AE122" s="253">
        <f>365*(AB115-AB122)/AD122</f>
        <v>2.7509484108560849E-3</v>
      </c>
      <c r="AF122" s="254">
        <f>(LN(AB115/AB122))/AE122</f>
        <v>6.2541915391217149</v>
      </c>
      <c r="AG122" s="248">
        <f>AG115+AF122</f>
        <v>14.770783034702726</v>
      </c>
      <c r="AH122" s="245">
        <f t="shared" si="271"/>
        <v>4729.5731605743058</v>
      </c>
      <c r="AI122" s="247">
        <f>(AB122*AH122)/10^6</f>
        <v>5.5033261635488502E-2</v>
      </c>
      <c r="AJ122" s="247">
        <f>365*AI122*AF122</f>
        <v>125.62882414119451</v>
      </c>
      <c r="AK122" s="247">
        <f>AK115+AJ122</f>
        <v>312.05881995636219</v>
      </c>
    </row>
    <row r="123" spans="2:37" x14ac:dyDescent="0.25">
      <c r="M123" s="191"/>
      <c r="N123" s="265"/>
      <c r="O123" s="4"/>
      <c r="R123" s="311"/>
    </row>
    <row r="124" spans="2:37" x14ac:dyDescent="0.25">
      <c r="B124" s="1">
        <v>1800</v>
      </c>
      <c r="C124" s="1">
        <f t="shared" ref="C124:C129" si="274">0.00011448*B124 + 1.16638115</f>
        <v>1.3724451500000001</v>
      </c>
      <c r="D124" s="122">
        <f t="shared" ref="D124:D129" si="275">0.04285545*B124 + 15.6741559</f>
        <v>92.813965900000014</v>
      </c>
      <c r="E124">
        <f t="shared" ref="E124:E129" si="276">0.0000000907*B124^2 - 0.0003674172*B124 + 0.9616952608</f>
        <v>0.59421230079999998</v>
      </c>
      <c r="F124">
        <f t="shared" ref="F124:F129" si="277">0.00000236*B124 + 0.01241004</f>
        <v>1.6658039999999999E-2</v>
      </c>
      <c r="G124" s="97">
        <f t="shared" ref="G124:G129" si="278">20.40472*B124^(-1.02454)</f>
        <v>9.4313475092323313E-3</v>
      </c>
      <c r="H124" s="20">
        <f>'MBal_Som_Saturated-Res'!X$103</f>
        <v>0.42899258839210186</v>
      </c>
      <c r="I124" s="14">
        <f>Data!D$8*(1-Data!D$16)+Data!D$10*Data!D$16</f>
        <v>0.49634854771784231</v>
      </c>
      <c r="J124" s="105">
        <f>Y122</f>
        <v>0.11492202367889554</v>
      </c>
      <c r="K124" s="129">
        <f t="shared" ref="K124:K129" si="279">(J124-J$7)/(1-J$7)</f>
        <v>6.677664764694291E-2</v>
      </c>
      <c r="L124" s="125">
        <f t="shared" ref="L124:L129" si="280">(1-K124)*(C124/C$7)*(1-I124)</f>
        <v>0.44761700484415046</v>
      </c>
      <c r="M124" s="268">
        <f t="shared" ref="M124:M129" si="281">1-L124-I124</f>
        <v>5.6034447438007229E-2</v>
      </c>
      <c r="N124" s="264">
        <f>(L124-H124*(1-Data!D$16))/Data!D$16</f>
        <v>2.4692127542756062</v>
      </c>
      <c r="O124" s="215">
        <f>(M124-Data!D$27)/(1-Data!D$27-Data!D$19-I124)</f>
        <v>0.18453541722546787</v>
      </c>
      <c r="P124" s="10">
        <f>Data!D$28*O124</f>
        <v>0.18453541722546787</v>
      </c>
      <c r="Q124" s="10">
        <f>Data!D$28*(1-O124)</f>
        <v>0.81546458277453215</v>
      </c>
      <c r="R124" s="310">
        <f>1*(D124+(P124*E124*C124)/(Q124*F124*G124))</f>
        <v>1267.477845078781</v>
      </c>
      <c r="S124" s="32">
        <f t="shared" ref="S124:S129" si="282">(1-J124)*((C124/G124-D124)-(C$73/G$73-D$73))</f>
        <v>-23.658089173544184</v>
      </c>
      <c r="T124" s="26">
        <f>C$7*(1+Data!D$50)*((1/G124)-(1/G$73))</f>
        <v>-41.873365555803296</v>
      </c>
      <c r="U124" s="106">
        <f>(1-Data!D$26)*Data!D$24+Data!D$26*Data!D$25</f>
        <v>4.9424036979969185E-6</v>
      </c>
      <c r="V124" s="107">
        <f t="shared" ref="V124:V129" si="283">1+U124*(B$73-B124)</f>
        <v>1.0023723537750384</v>
      </c>
      <c r="W124" s="26">
        <f>((C124/G124)-D124)+(R124+R$73)/2*(1-Data!D$51)</f>
        <v>865.95265925424792</v>
      </c>
      <c r="X124" s="57">
        <f t="shared" ref="X124:X129" si="284">(S124-T124*V124)/W124</f>
        <v>2.1149672125126796E-2</v>
      </c>
      <c r="Y124" s="103">
        <f t="shared" ref="Y124:Y128" si="285">X124+Y$73</f>
        <v>8.4778472773761215E-2</v>
      </c>
      <c r="Z124" s="134">
        <f>Y124*Data!$D$21</f>
        <v>0.11004245766034206</v>
      </c>
      <c r="AA124" s="134"/>
      <c r="AB124" s="134"/>
      <c r="AC124" s="134"/>
      <c r="AD124" s="134"/>
      <c r="AE124" s="134"/>
      <c r="AF124" s="134"/>
      <c r="AG124" s="134"/>
      <c r="AH124" s="246">
        <f t="shared" ref="AH124:AH129" si="286">5.615*R124</f>
        <v>7116.8881001173559</v>
      </c>
      <c r="AI124" s="246"/>
      <c r="AJ124" s="246"/>
      <c r="AK124" s="246"/>
    </row>
    <row r="125" spans="2:37" x14ac:dyDescent="0.25">
      <c r="B125" s="1">
        <v>1800</v>
      </c>
      <c r="C125" s="1">
        <f t="shared" si="274"/>
        <v>1.3724451500000001</v>
      </c>
      <c r="D125" s="122">
        <f t="shared" si="275"/>
        <v>92.813965900000014</v>
      </c>
      <c r="E125">
        <f t="shared" si="276"/>
        <v>0.59421230079999998</v>
      </c>
      <c r="F125">
        <f t="shared" si="277"/>
        <v>1.6658039999999999E-2</v>
      </c>
      <c r="G125" s="97">
        <f t="shared" si="278"/>
        <v>9.4313475092323313E-3</v>
      </c>
      <c r="H125" s="20">
        <f>'MBal_Som_Saturated-Res'!X$103</f>
        <v>0.42899258839210186</v>
      </c>
      <c r="I125" s="14">
        <f>Data!D$8*(1-Data!D$16)+Data!D$10*Data!D$16</f>
        <v>0.49634854771784231</v>
      </c>
      <c r="J125" s="108">
        <f>Y124</f>
        <v>8.4778472773761215E-2</v>
      </c>
      <c r="K125" s="129">
        <f t="shared" si="279"/>
        <v>3.4993385177299524E-2</v>
      </c>
      <c r="L125" s="125">
        <f t="shared" si="280"/>
        <v>0.46286172489424948</v>
      </c>
      <c r="M125" s="268">
        <f t="shared" si="281"/>
        <v>4.0789727387908203E-2</v>
      </c>
      <c r="N125" s="264">
        <f>(L125-H125*(1-Data!D$16))/Data!D$16</f>
        <v>4.1392025415819083</v>
      </c>
      <c r="O125" s="215">
        <f>(M125-Data!D$27)/(1-Data!D$27-Data!D$19-I125)</f>
        <v>0.1343307502116135</v>
      </c>
      <c r="P125" s="10">
        <f>Data!D$28*O125</f>
        <v>0.1343307502116135</v>
      </c>
      <c r="Q125" s="10">
        <f>Data!D$28*(1-O125)</f>
        <v>0.86566924978838644</v>
      </c>
      <c r="R125" s="310">
        <f t="shared" ref="R125:R129" si="287">1*(D125+(P125*E125*C125)/(Q125*F125*G125))</f>
        <v>898.30820048222301</v>
      </c>
      <c r="S125" s="32">
        <f t="shared" si="282"/>
        <v>-24.463824752103207</v>
      </c>
      <c r="T125" s="26">
        <f>C$7*(1+Data!D$50)*((1/G125)-(1/G$73))</f>
        <v>-41.873365555803296</v>
      </c>
      <c r="U125" s="106">
        <f>(1-Data!D$26)*Data!D$24+Data!D$26*Data!D$25</f>
        <v>4.9424036979969185E-6</v>
      </c>
      <c r="V125" s="107">
        <f t="shared" si="283"/>
        <v>1.0023723537750384</v>
      </c>
      <c r="W125" s="26">
        <f>((C125/G125)-D125)+(R125+R$73)/2*(1-Data!D$51)</f>
        <v>681.36783695596887</v>
      </c>
      <c r="X125" s="57">
        <f t="shared" si="284"/>
        <v>2.5696662347273986E-2</v>
      </c>
      <c r="Y125" s="103">
        <f t="shared" si="285"/>
        <v>8.9325462995908406E-2</v>
      </c>
      <c r="Z125" s="134">
        <f>Y125*Data!$D$21</f>
        <v>0.11594445096868912</v>
      </c>
      <c r="AA125" s="134"/>
      <c r="AB125" s="134"/>
      <c r="AC125" s="134"/>
      <c r="AD125" s="134"/>
      <c r="AE125" s="134"/>
      <c r="AF125" s="134"/>
      <c r="AG125" s="134"/>
      <c r="AH125" s="246">
        <f t="shared" si="286"/>
        <v>5044.0005457076822</v>
      </c>
      <c r="AI125" s="246"/>
      <c r="AJ125" s="246"/>
      <c r="AK125" s="246"/>
    </row>
    <row r="126" spans="2:37" x14ac:dyDescent="0.25">
      <c r="B126" s="1">
        <v>1800</v>
      </c>
      <c r="C126" s="1">
        <f t="shared" si="274"/>
        <v>1.3724451500000001</v>
      </c>
      <c r="D126" s="122">
        <f t="shared" si="275"/>
        <v>92.813965900000014</v>
      </c>
      <c r="E126">
        <f t="shared" si="276"/>
        <v>0.59421230079999998</v>
      </c>
      <c r="F126">
        <f t="shared" si="277"/>
        <v>1.6658039999999999E-2</v>
      </c>
      <c r="G126" s="97">
        <f t="shared" si="278"/>
        <v>9.4313475092323313E-3</v>
      </c>
      <c r="H126" s="20">
        <f>'MBal_Som_Saturated-Res'!X$103</f>
        <v>0.42899258839210186</v>
      </c>
      <c r="I126" s="14">
        <f>Data!D$8*(1-Data!D$16)+Data!D$10*Data!D$16</f>
        <v>0.49634854771784231</v>
      </c>
      <c r="J126" s="108">
        <f t="shared" ref="J126:J129" si="288">Y125</f>
        <v>8.9325462995908406E-2</v>
      </c>
      <c r="K126" s="129">
        <f t="shared" si="279"/>
        <v>3.97877169443904E-2</v>
      </c>
      <c r="L126" s="125">
        <f t="shared" si="280"/>
        <v>0.46056214203404422</v>
      </c>
      <c r="M126" s="268">
        <f t="shared" si="281"/>
        <v>4.3089310248113466E-2</v>
      </c>
      <c r="N126" s="264">
        <f>(L126-H126*(1-Data!D$16))/Data!D$16</f>
        <v>3.8872936918957866</v>
      </c>
      <c r="O126" s="215">
        <f>(M126-Data!D$27)/(1-Data!D$27-Data!D$19-I126)</f>
        <v>0.14190385036615666</v>
      </c>
      <c r="P126" s="10">
        <f>Data!D$28*O126</f>
        <v>0.14190385036615666</v>
      </c>
      <c r="Q126" s="10">
        <f>Data!D$28*(1-O126)</f>
        <v>0.85809614963384329</v>
      </c>
      <c r="R126" s="310">
        <f t="shared" si="287"/>
        <v>951.2287985028363</v>
      </c>
      <c r="S126" s="32">
        <f t="shared" si="282"/>
        <v>-24.342283935333676</v>
      </c>
      <c r="T126" s="26">
        <f>C$7*(1+Data!D$50)*((1/G126)-(1/G$73))</f>
        <v>-41.873365555803296</v>
      </c>
      <c r="U126" s="106">
        <f>(1-Data!D$26)*Data!D$24+Data!D$26*Data!D$25</f>
        <v>4.9424036979969185E-6</v>
      </c>
      <c r="V126" s="107">
        <f t="shared" si="283"/>
        <v>1.0023723537750384</v>
      </c>
      <c r="W126" s="26">
        <f>((C126/G126)-D126)+(R126+R$73)/2*(1-Data!D$51)</f>
        <v>707.82813596627557</v>
      </c>
      <c r="X126" s="57">
        <f t="shared" si="284"/>
        <v>2.4907769501493083E-2</v>
      </c>
      <c r="Y126" s="103">
        <f t="shared" si="285"/>
        <v>8.8536570150127503E-2</v>
      </c>
      <c r="Z126" s="134">
        <f>Y126*Data!$D$21</f>
        <v>0.1149204680548655</v>
      </c>
      <c r="AA126" s="134"/>
      <c r="AB126" s="134"/>
      <c r="AC126" s="134"/>
      <c r="AD126" s="134"/>
      <c r="AE126" s="134"/>
      <c r="AF126" s="134"/>
      <c r="AG126" s="134"/>
      <c r="AH126" s="246">
        <f t="shared" si="286"/>
        <v>5341.1497035934262</v>
      </c>
      <c r="AI126" s="246"/>
      <c r="AJ126" s="246"/>
      <c r="AK126" s="246"/>
    </row>
    <row r="127" spans="2:37" x14ac:dyDescent="0.25">
      <c r="B127" s="1">
        <v>1800</v>
      </c>
      <c r="C127" s="1">
        <f t="shared" si="274"/>
        <v>1.3724451500000001</v>
      </c>
      <c r="D127" s="122">
        <f t="shared" si="275"/>
        <v>92.813965900000014</v>
      </c>
      <c r="E127">
        <f t="shared" si="276"/>
        <v>0.59421230079999998</v>
      </c>
      <c r="F127">
        <f t="shared" si="277"/>
        <v>1.6658039999999999E-2</v>
      </c>
      <c r="G127" s="97">
        <f t="shared" si="278"/>
        <v>9.4313475092323313E-3</v>
      </c>
      <c r="H127" s="20">
        <f>'MBal_Som_Saturated-Res'!X$103</f>
        <v>0.42899258839210186</v>
      </c>
      <c r="I127" s="14">
        <f>Data!D$8*(1-Data!D$16)+Data!D$10*Data!D$16</f>
        <v>0.49634854771784231</v>
      </c>
      <c r="J127" s="108">
        <f t="shared" si="288"/>
        <v>8.8536570150127503E-2</v>
      </c>
      <c r="K127" s="129">
        <f t="shared" si="279"/>
        <v>3.8955910882231756E-2</v>
      </c>
      <c r="L127" s="125">
        <f t="shared" si="280"/>
        <v>0.46096111462427775</v>
      </c>
      <c r="M127" s="268">
        <f t="shared" si="281"/>
        <v>4.2690337657879884E-2</v>
      </c>
      <c r="N127" s="264">
        <f>(L127-H127*(1-Data!D$16))/Data!D$16</f>
        <v>3.9309993256440956</v>
      </c>
      <c r="O127" s="215">
        <f>(M127-Data!D$27)/(1-Data!D$27-Data!D$19-I127)</f>
        <v>0.14058993407418763</v>
      </c>
      <c r="P127" s="10">
        <f>Data!D$28*O127</f>
        <v>0.14058993407418763</v>
      </c>
      <c r="Q127" s="10">
        <f>Data!D$28*(1-O127)</f>
        <v>0.85941006592581237</v>
      </c>
      <c r="R127" s="310">
        <f t="shared" si="287"/>
        <v>941.98031991846915</v>
      </c>
      <c r="S127" s="32">
        <f t="shared" si="282"/>
        <v>-24.363371000872728</v>
      </c>
      <c r="T127" s="26">
        <f>C$7*(1+Data!D$50)*((1/G127)-(1/G$73))</f>
        <v>-41.873365555803296</v>
      </c>
      <c r="U127" s="106">
        <f>(1-Data!D$26)*Data!D$24+Data!D$26*Data!D$25</f>
        <v>4.9424036979969185E-6</v>
      </c>
      <c r="V127" s="107">
        <f t="shared" si="283"/>
        <v>1.0023723537750384</v>
      </c>
      <c r="W127" s="26">
        <f>((C127/G127)-D127)+(R127+R$73)/2*(1-Data!D$51)</f>
        <v>703.20389667409199</v>
      </c>
      <c r="X127" s="57">
        <f t="shared" si="284"/>
        <v>2.5041574819289852E-2</v>
      </c>
      <c r="Y127" s="109">
        <f t="shared" si="285"/>
        <v>8.8670375467924278E-2</v>
      </c>
      <c r="Z127" s="134">
        <f>Y127*Data!$D$21</f>
        <v>0.11509414735736571</v>
      </c>
      <c r="AA127" s="134"/>
      <c r="AB127" s="134"/>
      <c r="AC127" s="134"/>
      <c r="AD127" s="134"/>
      <c r="AE127" s="134"/>
      <c r="AF127" s="134"/>
      <c r="AG127" s="134"/>
      <c r="AH127" s="246">
        <f t="shared" si="286"/>
        <v>5289.2194963422044</v>
      </c>
      <c r="AI127" s="246"/>
      <c r="AJ127" s="246"/>
      <c r="AK127" s="246"/>
    </row>
    <row r="128" spans="2:37" x14ac:dyDescent="0.25">
      <c r="B128" s="1">
        <v>1800</v>
      </c>
      <c r="C128" s="1">
        <f t="shared" si="274"/>
        <v>1.3724451500000001</v>
      </c>
      <c r="D128" s="122">
        <f t="shared" si="275"/>
        <v>92.813965900000014</v>
      </c>
      <c r="E128">
        <f t="shared" si="276"/>
        <v>0.59421230079999998</v>
      </c>
      <c r="F128">
        <f t="shared" si="277"/>
        <v>1.6658039999999999E-2</v>
      </c>
      <c r="G128" s="97">
        <f t="shared" si="278"/>
        <v>9.4313475092323313E-3</v>
      </c>
      <c r="H128" s="20">
        <f>'MBal_Som_Saturated-Res'!X$103</f>
        <v>0.42899258839210186</v>
      </c>
      <c r="I128" s="14">
        <f>Data!D$8*(1-Data!D$16)+Data!D$10*Data!D$16</f>
        <v>0.49634854771784231</v>
      </c>
      <c r="J128" s="108">
        <f t="shared" si="288"/>
        <v>8.8670375467924278E-2</v>
      </c>
      <c r="K128" s="129">
        <f t="shared" si="279"/>
        <v>3.9096994776055445E-2</v>
      </c>
      <c r="L128" s="125">
        <f t="shared" si="280"/>
        <v>0.46089344427523871</v>
      </c>
      <c r="M128" s="268">
        <f t="shared" si="281"/>
        <v>4.2758008006918979E-2</v>
      </c>
      <c r="N128" s="264">
        <f>(L128-H128*(1-Data!D$16))/Data!D$16</f>
        <v>3.9235863464993646</v>
      </c>
      <c r="O128" s="215">
        <f>(M128-Data!D$27)/(1-Data!D$27-Data!D$19-I128)</f>
        <v>0.14081278941879574</v>
      </c>
      <c r="P128" s="10">
        <f>Data!D$28*O128</f>
        <v>0.14081278941879574</v>
      </c>
      <c r="Q128" s="10">
        <f>Data!D$28*(1-O128)</f>
        <v>0.85918721058120429</v>
      </c>
      <c r="R128" s="310">
        <f t="shared" si="287"/>
        <v>943.54697647662613</v>
      </c>
      <c r="S128" s="32">
        <f t="shared" si="282"/>
        <v>-24.359794391551265</v>
      </c>
      <c r="T128" s="26">
        <f>C$7*(1+Data!D$50)*((1/G128)-(1/G$73))</f>
        <v>-41.873365555803296</v>
      </c>
      <c r="U128" s="106">
        <f>(1-Data!D$26)*Data!D$24+Data!D$26*Data!D$25</f>
        <v>4.9424036979969185E-6</v>
      </c>
      <c r="V128" s="107">
        <f t="shared" si="283"/>
        <v>1.0023723537750384</v>
      </c>
      <c r="W128" s="26">
        <f>((C128/G128)-D128)+(R128+R$73)/2*(1-Data!D$51)</f>
        <v>703.98722495317043</v>
      </c>
      <c r="X128" s="57">
        <f t="shared" si="284"/>
        <v>2.5018791501896256E-2</v>
      </c>
      <c r="Y128" s="103">
        <f t="shared" si="285"/>
        <v>8.8647592150530682E-2</v>
      </c>
      <c r="Z128" s="134">
        <f>Y128*Data!$D$21</f>
        <v>0.11506457461138883</v>
      </c>
      <c r="AA128" s="134"/>
      <c r="AB128" s="134"/>
      <c r="AC128" s="134"/>
      <c r="AD128" s="134"/>
      <c r="AE128" s="134"/>
      <c r="AF128" s="134"/>
      <c r="AG128" s="134"/>
      <c r="AH128" s="246">
        <f t="shared" si="286"/>
        <v>5298.0162729162557</v>
      </c>
      <c r="AI128" s="246"/>
      <c r="AJ128" s="246"/>
      <c r="AK128" s="246"/>
    </row>
    <row r="129" spans="2:37" x14ac:dyDescent="0.25">
      <c r="B129" s="1">
        <v>1800</v>
      </c>
      <c r="C129" s="1">
        <f t="shared" si="274"/>
        <v>1.3724451500000001</v>
      </c>
      <c r="D129" s="122">
        <f t="shared" si="275"/>
        <v>92.813965900000014</v>
      </c>
      <c r="E129">
        <f t="shared" si="276"/>
        <v>0.59421230079999998</v>
      </c>
      <c r="F129">
        <f t="shared" si="277"/>
        <v>1.6658039999999999E-2</v>
      </c>
      <c r="G129" s="97">
        <f t="shared" si="278"/>
        <v>9.4313475092323313E-3</v>
      </c>
      <c r="H129" s="24">
        <f>'MBal_Som_Saturated-Res'!X$103</f>
        <v>0.42899258839210186</v>
      </c>
      <c r="I129" s="14">
        <f>Data!D$8*(1-Data!D$16)+Data!D$10*Data!D$16</f>
        <v>0.49634854771784231</v>
      </c>
      <c r="J129" s="249">
        <f t="shared" si="288"/>
        <v>8.8647592150530682E-2</v>
      </c>
      <c r="K129" s="250">
        <f t="shared" si="279"/>
        <v>3.9072972119967957E-2</v>
      </c>
      <c r="L129" s="124">
        <f t="shared" si="280"/>
        <v>0.46090496665017622</v>
      </c>
      <c r="M129" s="268">
        <f t="shared" si="281"/>
        <v>4.2746485631981468E-2</v>
      </c>
      <c r="N129" s="264">
        <f>(L129-H129*(1-Data!D$16))/Data!D$16</f>
        <v>3.9248485702993374</v>
      </c>
      <c r="O129" s="215">
        <f>(M129-Data!D$27)/(1-Data!D$27-Data!D$19-I129)</f>
        <v>0.14077484336304361</v>
      </c>
      <c r="P129" s="10">
        <f>Data!D$28*O129</f>
        <v>0.14077484336304361</v>
      </c>
      <c r="Q129" s="10">
        <f>Data!D$28*(1-O129)</f>
        <v>0.85922515663695642</v>
      </c>
      <c r="R129" s="309">
        <f t="shared" si="287"/>
        <v>943.28016110907163</v>
      </c>
      <c r="S129" s="32">
        <f t="shared" si="282"/>
        <v>-24.360403388463389</v>
      </c>
      <c r="T129" s="26">
        <f>C$7*(1+Data!D$50)*((1/G129)-(1/G$73))</f>
        <v>-41.873365555803296</v>
      </c>
      <c r="U129" s="106">
        <f>(1-Data!D$26)*Data!D$24+Data!D$26*Data!D$25</f>
        <v>4.9424036979969185E-6</v>
      </c>
      <c r="V129" s="107">
        <f t="shared" si="283"/>
        <v>1.0023723537750384</v>
      </c>
      <c r="W129" s="26">
        <f>((C129/G129)-D129)+(R129+R$73)/2*(1-Data!D$51)</f>
        <v>703.85381726939318</v>
      </c>
      <c r="X129" s="101">
        <f t="shared" si="284"/>
        <v>2.5022668304218131E-2</v>
      </c>
      <c r="Y129" s="251">
        <f>X129+Y$122</f>
        <v>0.13994469198311366</v>
      </c>
      <c r="Z129" s="252">
        <f>Y129*Data!$D$21</f>
        <v>0.18164821019408153</v>
      </c>
      <c r="AA129" s="430">
        <f>'UNS RES'!$K$5*'UNS RES'!$J$5*'UNS RES'!$I$5*Q129/(E129*C129*1)</f>
        <v>0.11404551257416623</v>
      </c>
      <c r="AB129" s="431">
        <f>AA129*(B129-1700)</f>
        <v>11.404551257416623</v>
      </c>
      <c r="AC129" s="253">
        <f>Z129-Z122</f>
        <v>3.2479423458875112E-2</v>
      </c>
      <c r="AD129" s="253">
        <f>AC129*1000000</f>
        <v>32479.423458875113</v>
      </c>
      <c r="AE129" s="253">
        <f>365*(AB122-AB129)/AD129</f>
        <v>2.6008714184315457E-3</v>
      </c>
      <c r="AF129" s="254">
        <f>(LN(AB122/AB129))/AE129</f>
        <v>7.7244468656956338</v>
      </c>
      <c r="AG129" s="248">
        <f>AG122+AF129</f>
        <v>22.49522990039836</v>
      </c>
      <c r="AH129" s="245">
        <f t="shared" si="286"/>
        <v>5296.5181046274374</v>
      </c>
      <c r="AI129" s="247">
        <f>(AB129*AH129)/10^6</f>
        <v>6.0404412210058746E-2</v>
      </c>
      <c r="AJ129" s="247">
        <f>365*AI129*AF129</f>
        <v>170.30559548811399</v>
      </c>
      <c r="AK129" s="247">
        <f>AK122+AJ129</f>
        <v>482.36441544447621</v>
      </c>
    </row>
    <row r="130" spans="2:37" x14ac:dyDescent="0.25">
      <c r="M130" s="191"/>
      <c r="N130" s="265"/>
      <c r="O130" s="4"/>
      <c r="R130" s="311"/>
    </row>
    <row r="131" spans="2:37" x14ac:dyDescent="0.25">
      <c r="B131" s="1">
        <v>1700</v>
      </c>
      <c r="C131" s="1">
        <f t="shared" ref="C131:C136" si="289">0.00011448*B131 + 1.16638115</f>
        <v>1.3609971500000002</v>
      </c>
      <c r="D131" s="122">
        <f t="shared" ref="D131:D136" si="290">0.04285545*B131 + 15.6741559</f>
        <v>88.528420900000015</v>
      </c>
      <c r="E131">
        <f t="shared" ref="E131:E136" si="291">0.0000000907*B131^2 - 0.0003674172*B131 + 0.9616952608</f>
        <v>0.59920902080000005</v>
      </c>
      <c r="F131">
        <f t="shared" ref="F131:F136" si="292">0.00000236*B131 + 0.01241004</f>
        <v>1.6422039999999999E-2</v>
      </c>
      <c r="G131" s="97">
        <f t="shared" ref="G131:G136" si="293">20.40472*B131^(-1.02454)</f>
        <v>1.0000149708652492E-2</v>
      </c>
      <c r="H131" s="20">
        <f>'MBal_Som_Saturated-Res'!X$103</f>
        <v>0.42899258839210186</v>
      </c>
      <c r="I131" s="14">
        <f>Data!D$8*(1-Data!D$16)+Data!D$10*Data!D$16</f>
        <v>0.49634854771784231</v>
      </c>
      <c r="J131" s="105">
        <f>Y129</f>
        <v>0.13994469198311366</v>
      </c>
      <c r="K131" s="129">
        <f t="shared" ref="K131:K136" si="294">(J131-J$7)/(1-J$7)</f>
        <v>9.3160468083583248E-2</v>
      </c>
      <c r="L131" s="125">
        <f t="shared" ref="L131:L136" si="295">(1-K131)*(C131/C$7)*(1-I131)</f>
        <v>0.43133394968084282</v>
      </c>
      <c r="M131" s="268">
        <f t="shared" ref="M131:M136" si="296">1-L131-I131</f>
        <v>7.2317502601314865E-2</v>
      </c>
      <c r="N131" s="264">
        <f>(L131-H131*(1-Data!D$16))/Data!D$16</f>
        <v>0.68547807502236091</v>
      </c>
      <c r="O131" s="215">
        <f>(M131-Data!D$27)/(1-Data!D$27-Data!D$19-I131)</f>
        <v>0.23815958085428915</v>
      </c>
      <c r="P131" s="10">
        <f>Data!D$28*O131</f>
        <v>0.23815958085428915</v>
      </c>
      <c r="Q131" s="10">
        <f>Data!D$28*(1-O131)</f>
        <v>0.76184041914571088</v>
      </c>
      <c r="R131" s="310">
        <f>1*(D131+(P131*E131*C131)/(Q131*F131*G131))</f>
        <v>1640.9368719699232</v>
      </c>
      <c r="S131" s="32">
        <f t="shared" ref="S131:S136" si="297">(1-J131)*((C131/G131-D131)-(C$73/G$73-D$73))</f>
        <v>-27.406733314608108</v>
      </c>
      <c r="T131" s="26">
        <f>C$7*(1+Data!D$50)*((1/G131)-(1/G$73))</f>
        <v>-50.564673270266823</v>
      </c>
      <c r="U131" s="106">
        <f>(1-Data!D$26)*Data!D$24+Data!D$26*Data!D$25</f>
        <v>4.9424036979969185E-6</v>
      </c>
      <c r="V131" s="107">
        <f t="shared" ref="V131:V136" si="298">1+U131*(B$73-B131)</f>
        <v>1.0028665941448383</v>
      </c>
      <c r="W131" s="26">
        <f>((C131/G131)-D131)+(R131+R$73)/2*(1-Data!D$51)</f>
        <v>1047.5458765248441</v>
      </c>
      <c r="X131" s="57">
        <f t="shared" ref="X131:X136" si="299">(S131-T131*V131)/W131</f>
        <v>2.2245219874566759E-2</v>
      </c>
      <c r="Y131" s="103">
        <f t="shared" ref="Y131:Y135" si="300">X131+Y$73</f>
        <v>8.5874020523201186E-2</v>
      </c>
      <c r="Z131" s="134">
        <f>Y131*Data!$D$21</f>
        <v>0.11146447863911514</v>
      </c>
      <c r="AA131" s="134"/>
      <c r="AB131" s="134"/>
      <c r="AC131" s="134"/>
      <c r="AD131" s="134"/>
      <c r="AE131" s="134"/>
      <c r="AF131" s="134"/>
      <c r="AG131" s="134"/>
      <c r="AH131" s="246">
        <f t="shared" ref="AH131:AH136" si="301">5.615*R131</f>
        <v>9213.8605361111186</v>
      </c>
      <c r="AI131" s="246"/>
      <c r="AJ131" s="246"/>
      <c r="AK131" s="246"/>
    </row>
    <row r="132" spans="2:37" x14ac:dyDescent="0.25">
      <c r="B132" s="1">
        <v>1700</v>
      </c>
      <c r="C132" s="1">
        <f t="shared" si="289"/>
        <v>1.3609971500000002</v>
      </c>
      <c r="D132" s="122">
        <f t="shared" si="290"/>
        <v>88.528420900000015</v>
      </c>
      <c r="E132">
        <f t="shared" si="291"/>
        <v>0.59920902080000005</v>
      </c>
      <c r="F132">
        <f t="shared" si="292"/>
        <v>1.6422039999999999E-2</v>
      </c>
      <c r="G132" s="97">
        <f t="shared" si="293"/>
        <v>1.0000149708652492E-2</v>
      </c>
      <c r="H132" s="20">
        <f>'MBal_Som_Saturated-Res'!X$103</f>
        <v>0.42899258839210186</v>
      </c>
      <c r="I132" s="14">
        <f>Data!D$8*(1-Data!D$16)+Data!D$10*Data!D$16</f>
        <v>0.49634854771784231</v>
      </c>
      <c r="J132" s="108">
        <f>Y131</f>
        <v>8.5874020523201186E-2</v>
      </c>
      <c r="K132" s="129">
        <f t="shared" si="294"/>
        <v>3.6148527176928603E-2</v>
      </c>
      <c r="L132" s="125">
        <f t="shared" si="295"/>
        <v>0.45845141069213086</v>
      </c>
      <c r="M132" s="268">
        <f t="shared" si="296"/>
        <v>4.5200041590026774E-2</v>
      </c>
      <c r="N132" s="264">
        <f>(L132-H132*(1-Data!D$16))/Data!D$16</f>
        <v>3.6560726676225501</v>
      </c>
      <c r="O132" s="215">
        <f>(M132-Data!D$27)/(1-Data!D$27-Data!D$19-I132)</f>
        <v>0.14885501534840737</v>
      </c>
      <c r="P132" s="10">
        <f>Data!D$28*O132</f>
        <v>0.14885501534840737</v>
      </c>
      <c r="Q132" s="10">
        <f>Data!D$28*(1-O132)</f>
        <v>0.85114498465159261</v>
      </c>
      <c r="R132" s="310">
        <f t="shared" ref="R132:R135" si="302">1*(D132+(P132*E132*C132)/(Q132*F132*G132))</f>
        <v>957.01253446625151</v>
      </c>
      <c r="S132" s="32">
        <f t="shared" si="297"/>
        <v>-29.129762588458622</v>
      </c>
      <c r="T132" s="26">
        <f>C$7*(1+Data!D$50)*((1/G132)-(1/G$73))</f>
        <v>-50.564673270266823</v>
      </c>
      <c r="U132" s="106">
        <f>(1-Data!D$26)*Data!D$24+Data!D$26*Data!D$25</f>
        <v>4.9424036979969185E-6</v>
      </c>
      <c r="V132" s="107">
        <f t="shared" si="298"/>
        <v>1.0028665941448383</v>
      </c>
      <c r="W132" s="26">
        <f>((C132/G132)-D132)+(R132+R$73)/2*(1-Data!D$51)</f>
        <v>705.58370777300831</v>
      </c>
      <c r="X132" s="57">
        <f t="shared" si="299"/>
        <v>3.0584406698181316E-2</v>
      </c>
      <c r="Y132" s="103">
        <f t="shared" si="300"/>
        <v>9.4213207346815736E-2</v>
      </c>
      <c r="Z132" s="134">
        <f>Y132*Data!$D$21</f>
        <v>0.12228874313616683</v>
      </c>
      <c r="AA132" s="134"/>
      <c r="AB132" s="134"/>
      <c r="AC132" s="134"/>
      <c r="AD132" s="134"/>
      <c r="AE132" s="134"/>
      <c r="AF132" s="134"/>
      <c r="AG132" s="134"/>
      <c r="AH132" s="246">
        <f t="shared" si="301"/>
        <v>5373.6253810280023</v>
      </c>
      <c r="AI132" s="246"/>
      <c r="AJ132" s="246"/>
      <c r="AK132" s="246"/>
    </row>
    <row r="133" spans="2:37" x14ac:dyDescent="0.25">
      <c r="B133" s="1">
        <v>1700</v>
      </c>
      <c r="C133" s="1">
        <f t="shared" si="289"/>
        <v>1.3609971500000002</v>
      </c>
      <c r="D133" s="122">
        <f t="shared" si="290"/>
        <v>88.528420900000015</v>
      </c>
      <c r="E133">
        <f t="shared" si="291"/>
        <v>0.59920902080000005</v>
      </c>
      <c r="F133">
        <f t="shared" si="292"/>
        <v>1.6422039999999999E-2</v>
      </c>
      <c r="G133" s="97">
        <f t="shared" si="293"/>
        <v>1.0000149708652492E-2</v>
      </c>
      <c r="H133" s="20">
        <f>'MBal_Som_Saturated-Res'!X$103</f>
        <v>0.42899258839210186</v>
      </c>
      <c r="I133" s="14">
        <f>Data!D$8*(1-Data!D$16)+Data!D$10*Data!D$16</f>
        <v>0.49634854771784231</v>
      </c>
      <c r="J133" s="108">
        <f t="shared" ref="J133:J136" si="303">Y132</f>
        <v>9.4213207346815736E-2</v>
      </c>
      <c r="K133" s="129">
        <f t="shared" si="294"/>
        <v>4.4941338761485081E-2</v>
      </c>
      <c r="L133" s="125">
        <f t="shared" si="295"/>
        <v>0.45426915129994128</v>
      </c>
      <c r="M133" s="268">
        <f t="shared" si="296"/>
        <v>4.9382300982216409E-2</v>
      </c>
      <c r="N133" s="264">
        <f>(L133-H133*(1-Data!D$16))/Data!D$16</f>
        <v>3.1979251614781461</v>
      </c>
      <c r="O133" s="215">
        <f>(M133-Data!D$27)/(1-Data!D$27-Data!D$19-I133)</f>
        <v>0.16262823909147517</v>
      </c>
      <c r="P133" s="10">
        <f>Data!D$28*O133</f>
        <v>0.16262823909147517</v>
      </c>
      <c r="Q133" s="10">
        <f>Data!D$28*(1-O133)</f>
        <v>0.83737176090852483</v>
      </c>
      <c r="R133" s="310">
        <f t="shared" si="302"/>
        <v>1052.9781600010097</v>
      </c>
      <c r="S133" s="32">
        <f t="shared" si="297"/>
        <v>-28.864024016525978</v>
      </c>
      <c r="T133" s="26">
        <f>C$7*(1+Data!D$50)*((1/G133)-(1/G$73))</f>
        <v>-50.564673270266823</v>
      </c>
      <c r="U133" s="106">
        <f>(1-Data!D$26)*Data!D$24+Data!D$26*Data!D$25</f>
        <v>4.9424036979969185E-6</v>
      </c>
      <c r="V133" s="107">
        <f t="shared" si="298"/>
        <v>1.0028665941448383</v>
      </c>
      <c r="W133" s="26">
        <f>((C133/G133)-D133)+(R133+R$73)/2*(1-Data!D$51)</f>
        <v>753.56652054038739</v>
      </c>
      <c r="X133" s="57">
        <f t="shared" si="299"/>
        <v>2.8989607492656961E-2</v>
      </c>
      <c r="Y133" s="103">
        <f t="shared" si="300"/>
        <v>9.2618408141291381E-2</v>
      </c>
      <c r="Z133" s="134">
        <f>Y133*Data!$D$21</f>
        <v>0.12021869376739622</v>
      </c>
      <c r="AA133" s="134"/>
      <c r="AB133" s="134"/>
      <c r="AC133" s="134"/>
      <c r="AD133" s="134"/>
      <c r="AE133" s="134"/>
      <c r="AF133" s="134"/>
      <c r="AG133" s="134"/>
      <c r="AH133" s="246">
        <f t="shared" si="301"/>
        <v>5912.4723684056698</v>
      </c>
      <c r="AI133" s="246"/>
      <c r="AJ133" s="246"/>
      <c r="AK133" s="246"/>
    </row>
    <row r="134" spans="2:37" x14ac:dyDescent="0.25">
      <c r="B134" s="1">
        <v>1700</v>
      </c>
      <c r="C134" s="1">
        <f t="shared" si="289"/>
        <v>1.3609971500000002</v>
      </c>
      <c r="D134" s="122">
        <f t="shared" si="290"/>
        <v>88.528420900000015</v>
      </c>
      <c r="E134">
        <f t="shared" si="291"/>
        <v>0.59920902080000005</v>
      </c>
      <c r="F134">
        <f t="shared" si="292"/>
        <v>1.6422039999999999E-2</v>
      </c>
      <c r="G134" s="97">
        <f t="shared" si="293"/>
        <v>1.0000149708652492E-2</v>
      </c>
      <c r="H134" s="20">
        <f>'MBal_Som_Saturated-Res'!X$103</f>
        <v>0.42899258839210186</v>
      </c>
      <c r="I134" s="14">
        <f>Data!D$8*(1-Data!D$16)+Data!D$10*Data!D$16</f>
        <v>0.49634854771784231</v>
      </c>
      <c r="J134" s="108">
        <f t="shared" si="303"/>
        <v>9.2618408141291381E-2</v>
      </c>
      <c r="K134" s="129">
        <f t="shared" si="294"/>
        <v>4.3259787643135393E-2</v>
      </c>
      <c r="L134" s="125">
        <f t="shared" si="295"/>
        <v>0.45506897316471512</v>
      </c>
      <c r="M134" s="268">
        <f t="shared" si="296"/>
        <v>4.8582479117442623E-2</v>
      </c>
      <c r="N134" s="264">
        <f>(L134-H134*(1-Data!D$16))/Data!D$16</f>
        <v>3.2855420112101896</v>
      </c>
      <c r="O134" s="215">
        <f>(M134-Data!D$27)/(1-Data!D$27-Data!D$19-I134)</f>
        <v>0.15999422611784189</v>
      </c>
      <c r="P134" s="10">
        <f>Data!D$28*O134</f>
        <v>0.15999422611784189</v>
      </c>
      <c r="Q134" s="10">
        <f>Data!D$28*(1-O134)</f>
        <v>0.84000577388215814</v>
      </c>
      <c r="R134" s="310">
        <f t="shared" si="302"/>
        <v>1034.3821710767907</v>
      </c>
      <c r="S134" s="32">
        <f t="shared" si="297"/>
        <v>-28.914844279023903</v>
      </c>
      <c r="T134" s="26">
        <f>C$7*(1+Data!D$50)*((1/G134)-(1/G$73))</f>
        <v>-50.564673270266823</v>
      </c>
      <c r="U134" s="106">
        <f>(1-Data!D$26)*Data!D$24+Data!D$26*Data!D$25</f>
        <v>4.9424036979969185E-6</v>
      </c>
      <c r="V134" s="107">
        <f t="shared" si="298"/>
        <v>1.0028665941448383</v>
      </c>
      <c r="W134" s="26">
        <f>((C134/G134)-D134)+(R134+R$73)/2*(1-Data!D$51)</f>
        <v>744.26852607827789</v>
      </c>
      <c r="X134" s="57">
        <f t="shared" si="299"/>
        <v>2.9283486569581036E-2</v>
      </c>
      <c r="Y134" s="109">
        <f t="shared" si="300"/>
        <v>9.2912287218215456E-2</v>
      </c>
      <c r="Z134" s="134">
        <f>Y134*Data!$D$21</f>
        <v>0.12060014880924366</v>
      </c>
      <c r="AA134" s="134"/>
      <c r="AB134" s="134"/>
      <c r="AC134" s="134"/>
      <c r="AD134" s="134"/>
      <c r="AE134" s="134"/>
      <c r="AF134" s="134"/>
      <c r="AG134" s="134"/>
      <c r="AH134" s="246">
        <f t="shared" si="301"/>
        <v>5808.0558905961798</v>
      </c>
      <c r="AI134" s="246"/>
      <c r="AJ134" s="246"/>
      <c r="AK134" s="246"/>
    </row>
    <row r="135" spans="2:37" x14ac:dyDescent="0.25">
      <c r="B135" s="1">
        <v>1700</v>
      </c>
      <c r="C135" s="1">
        <f t="shared" si="289"/>
        <v>1.3609971500000002</v>
      </c>
      <c r="D135" s="122">
        <f t="shared" si="290"/>
        <v>88.528420900000015</v>
      </c>
      <c r="E135">
        <f t="shared" si="291"/>
        <v>0.59920902080000005</v>
      </c>
      <c r="F135">
        <f t="shared" si="292"/>
        <v>1.6422039999999999E-2</v>
      </c>
      <c r="G135" s="97">
        <f t="shared" si="293"/>
        <v>1.0000149708652492E-2</v>
      </c>
      <c r="H135" s="20">
        <f>'MBal_Som_Saturated-Res'!X$103</f>
        <v>0.42899258839210186</v>
      </c>
      <c r="I135" s="14">
        <f>Data!D$8*(1-Data!D$16)+Data!D$10*Data!D$16</f>
        <v>0.49634854771784231</v>
      </c>
      <c r="J135" s="108">
        <f t="shared" si="303"/>
        <v>9.2912287218215456E-2</v>
      </c>
      <c r="K135" s="129">
        <f t="shared" si="294"/>
        <v>4.3569652790264542E-2</v>
      </c>
      <c r="L135" s="125">
        <f t="shared" si="295"/>
        <v>0.45492158726778886</v>
      </c>
      <c r="M135" s="268">
        <f t="shared" si="296"/>
        <v>4.8729865014368823E-2</v>
      </c>
      <c r="N135" s="264">
        <f>(L135-H135*(1-Data!D$16))/Data!D$16</f>
        <v>3.2693965561378135</v>
      </c>
      <c r="O135" s="215">
        <f>(M135-Data!D$27)/(1-Data!D$27-Data!D$19-I135)</f>
        <v>0.16047960465240343</v>
      </c>
      <c r="P135" s="10">
        <f>Data!D$28*O135</f>
        <v>0.16047960465240343</v>
      </c>
      <c r="Q135" s="10">
        <f>Data!D$28*(1-O135)</f>
        <v>0.83952039534759659</v>
      </c>
      <c r="R135" s="310">
        <f t="shared" si="302"/>
        <v>1037.8001469654737</v>
      </c>
      <c r="S135" s="32">
        <f t="shared" si="297"/>
        <v>-28.905479456305034</v>
      </c>
      <c r="T135" s="26">
        <f>C$7*(1+Data!D$50)*((1/G135)-(1/G$73))</f>
        <v>-50.564673270266823</v>
      </c>
      <c r="U135" s="106">
        <f>(1-Data!D$26)*Data!D$24+Data!D$26*Data!D$25</f>
        <v>4.9424036979969185E-6</v>
      </c>
      <c r="V135" s="107">
        <f t="shared" si="298"/>
        <v>1.0028665941448383</v>
      </c>
      <c r="W135" s="26">
        <f>((C135/G135)-D135)+(R135+R$73)/2*(1-Data!D$51)</f>
        <v>745.9775140226194</v>
      </c>
      <c r="X135" s="57">
        <f t="shared" si="299"/>
        <v>2.9228953688854555E-2</v>
      </c>
      <c r="Y135" s="103">
        <f t="shared" si="300"/>
        <v>9.2857754337488982E-2</v>
      </c>
      <c r="Z135" s="134">
        <f>Y135*Data!$D$21</f>
        <v>0.1205293651300607</v>
      </c>
      <c r="AA135" s="134"/>
      <c r="AB135" s="134"/>
      <c r="AC135" s="134"/>
      <c r="AD135" s="134"/>
      <c r="AE135" s="134"/>
      <c r="AF135" s="134"/>
      <c r="AG135" s="134"/>
      <c r="AH135" s="246">
        <f t="shared" si="301"/>
        <v>5827.247825211135</v>
      </c>
      <c r="AI135" s="246"/>
      <c r="AJ135" s="246"/>
      <c r="AK135" s="246"/>
    </row>
    <row r="136" spans="2:37" x14ac:dyDescent="0.25">
      <c r="B136" s="1">
        <v>1700</v>
      </c>
      <c r="C136" s="1">
        <f t="shared" si="289"/>
        <v>1.3609971500000002</v>
      </c>
      <c r="D136" s="122">
        <f t="shared" si="290"/>
        <v>88.528420900000015</v>
      </c>
      <c r="E136">
        <f t="shared" si="291"/>
        <v>0.59920902080000005</v>
      </c>
      <c r="F136">
        <f t="shared" si="292"/>
        <v>1.6422039999999999E-2</v>
      </c>
      <c r="G136" s="97">
        <f t="shared" si="293"/>
        <v>1.0000149708652492E-2</v>
      </c>
      <c r="H136" s="24">
        <f>'MBal_Som_Saturated-Res'!X$103</f>
        <v>0.42899258839210186</v>
      </c>
      <c r="I136" s="14">
        <f>Data!D$8*(1-Data!D$16)+Data!D$10*Data!D$16</f>
        <v>0.49634854771784231</v>
      </c>
      <c r="J136" s="249">
        <f t="shared" si="303"/>
        <v>9.2857754337488982E-2</v>
      </c>
      <c r="K136" s="250">
        <f t="shared" si="294"/>
        <v>4.3512153497403859E-2</v>
      </c>
      <c r="L136" s="124">
        <f t="shared" si="295"/>
        <v>0.45494893653546042</v>
      </c>
      <c r="M136" s="268">
        <f t="shared" si="296"/>
        <v>4.8702515746697261E-2</v>
      </c>
      <c r="N136" s="264">
        <f>(L136-H136*(1-Data!D$16))/Data!D$16</f>
        <v>3.2723925440963799</v>
      </c>
      <c r="O136" s="215">
        <f>(M136-Data!D$27)/(1-Data!D$27-Data!D$19-I136)</f>
        <v>0.1603895366897245</v>
      </c>
      <c r="P136" s="10">
        <f>Data!D$28*O136</f>
        <v>0.1603895366897245</v>
      </c>
      <c r="Q136" s="10">
        <f>Data!D$28*(1-O136)</f>
        <v>0.83961046331027545</v>
      </c>
      <c r="R136" s="309">
        <f>1*(D136+(P136*E136*C136)/(Q136*F136*G136))</f>
        <v>1037.1656008396335</v>
      </c>
      <c r="S136" s="32">
        <f t="shared" si="297"/>
        <v>-28.907217214452697</v>
      </c>
      <c r="T136" s="26">
        <f>C$7*(1+Data!D$50)*((1/G136)-(1/G$73))</f>
        <v>-50.564673270266823</v>
      </c>
      <c r="U136" s="106">
        <f>(1-Data!D$26)*Data!D$24+Data!D$26*Data!D$25</f>
        <v>4.9424036979969185E-6</v>
      </c>
      <c r="V136" s="107">
        <f t="shared" si="298"/>
        <v>1.0028665941448383</v>
      </c>
      <c r="W136" s="26">
        <f>((C136/G136)-D136)+(R136+R$73)/2*(1-Data!D$51)</f>
        <v>745.66024095969931</v>
      </c>
      <c r="X136" s="101">
        <f t="shared" si="299"/>
        <v>2.9239059902249346E-2</v>
      </c>
      <c r="Y136" s="251">
        <f>X136+Y$129</f>
        <v>0.169183751885363</v>
      </c>
      <c r="Z136" s="252">
        <f>Y136*Data!$D$21</f>
        <v>0.21960050994720118</v>
      </c>
      <c r="AA136" s="430">
        <f>'UNS RES'!$K$5*'UNS RES'!$J$5*'UNS RES'!$I$5*Q136/(E136*C136*1)</f>
        <v>0.11144231773794722</v>
      </c>
      <c r="AB136" s="431">
        <f>AA136*(B136-1600)</f>
        <v>11.144231773794722</v>
      </c>
      <c r="AC136" s="253">
        <f>Z136-Z129</f>
        <v>3.7952299753119645E-2</v>
      </c>
      <c r="AD136" s="253">
        <f>AC136*1000000</f>
        <v>37952.299753119645</v>
      </c>
      <c r="AE136" s="253">
        <f>365*(AB129-AB136)/AD136</f>
        <v>2.5035798130832237E-3</v>
      </c>
      <c r="AF136" s="254">
        <f>(LN(AB129/AB136))/AE136</f>
        <v>9.2229831754252274</v>
      </c>
      <c r="AG136" s="248">
        <f>AG129+AF136</f>
        <v>31.718213075823588</v>
      </c>
      <c r="AH136" s="245">
        <f t="shared" si="301"/>
        <v>5823.6848487145426</v>
      </c>
      <c r="AI136" s="247">
        <f>(AB136*AH136)/10^6</f>
        <v>6.4900493731611511E-2</v>
      </c>
      <c r="AJ136" s="247">
        <f>365*AI136*AF136</f>
        <v>218.48029904365683</v>
      </c>
      <c r="AK136" s="247">
        <f>AK129+AJ136</f>
        <v>700.84471448813304</v>
      </c>
    </row>
    <row r="138" spans="2:37" x14ac:dyDescent="0.25">
      <c r="D138" s="122"/>
      <c r="E138"/>
      <c r="F138"/>
      <c r="G138" s="97"/>
      <c r="H138" s="20"/>
      <c r="I138" s="14"/>
      <c r="J138" s="105"/>
      <c r="K138" s="129"/>
      <c r="L138" s="125"/>
      <c r="M138" s="120"/>
      <c r="N138" s="63"/>
      <c r="O138" s="120"/>
      <c r="P138" s="10"/>
      <c r="Q138" s="10"/>
      <c r="R138" s="78"/>
      <c r="S138" s="32"/>
      <c r="T138" s="26"/>
      <c r="U138" s="106"/>
      <c r="V138" s="107"/>
      <c r="W138" s="26"/>
      <c r="X138" s="57"/>
      <c r="Y138" s="103"/>
      <c r="Z138" s="134"/>
      <c r="AA138" s="134"/>
      <c r="AB138" s="134"/>
      <c r="AC138" s="134"/>
      <c r="AD138" s="134"/>
      <c r="AE138" s="134"/>
      <c r="AF138" s="134"/>
      <c r="AG138" s="134"/>
      <c r="AH138" s="246"/>
      <c r="AI138" s="246"/>
      <c r="AJ138" s="246"/>
      <c r="AK138" s="246"/>
    </row>
    <row r="139" spans="2:37" x14ac:dyDescent="0.25">
      <c r="D139" s="122"/>
      <c r="E139"/>
      <c r="F139"/>
      <c r="G139" s="97"/>
      <c r="H139" s="20"/>
      <c r="I139" s="14"/>
      <c r="J139" s="108"/>
      <c r="K139" s="129"/>
      <c r="L139" s="125"/>
      <c r="M139" s="120"/>
      <c r="N139" s="63"/>
      <c r="O139" s="120"/>
      <c r="P139" s="10"/>
      <c r="Q139" s="10"/>
      <c r="R139" s="78"/>
      <c r="S139" s="32"/>
      <c r="T139" s="26"/>
      <c r="U139" s="106"/>
      <c r="V139" s="107"/>
      <c r="W139" s="26"/>
      <c r="X139" s="57"/>
      <c r="Y139" s="103"/>
      <c r="Z139" s="134"/>
      <c r="AA139" s="134"/>
      <c r="AB139" s="134"/>
      <c r="AC139" s="134"/>
      <c r="AD139" s="134"/>
      <c r="AE139" s="134"/>
      <c r="AF139" s="134"/>
      <c r="AG139" s="134"/>
      <c r="AH139" s="246"/>
      <c r="AI139" s="246"/>
      <c r="AJ139" s="246"/>
      <c r="AK139" s="246"/>
    </row>
    <row r="140" spans="2:37" x14ac:dyDescent="0.25">
      <c r="D140" s="122"/>
      <c r="E140"/>
      <c r="F140"/>
      <c r="G140" s="97"/>
      <c r="H140" s="20"/>
      <c r="I140" s="14"/>
      <c r="J140" s="108"/>
      <c r="K140" s="129"/>
      <c r="L140" s="125"/>
      <c r="M140" s="120"/>
      <c r="N140" s="63"/>
      <c r="O140" s="120"/>
      <c r="P140" s="10"/>
      <c r="Q140" s="10"/>
      <c r="R140" s="78"/>
      <c r="S140" s="32"/>
      <c r="T140" s="26"/>
      <c r="U140" s="106"/>
      <c r="V140" s="107"/>
      <c r="W140" s="26"/>
      <c r="X140" s="57"/>
      <c r="Y140" s="103"/>
      <c r="Z140" s="134"/>
      <c r="AA140" s="134"/>
      <c r="AB140" s="134"/>
      <c r="AC140" s="134"/>
      <c r="AD140" s="134"/>
      <c r="AE140" s="134"/>
      <c r="AF140" s="134"/>
      <c r="AG140" s="134"/>
      <c r="AH140" s="246"/>
      <c r="AI140" s="246"/>
      <c r="AJ140" s="246"/>
      <c r="AK140" s="246"/>
    </row>
    <row r="141" spans="2:37" x14ac:dyDescent="0.25">
      <c r="D141" s="122"/>
      <c r="E141"/>
      <c r="F141"/>
      <c r="G141" s="97"/>
      <c r="H141" s="20"/>
      <c r="I141" s="14"/>
      <c r="J141" s="108"/>
      <c r="K141" s="129"/>
      <c r="L141" s="125"/>
      <c r="M141" s="120"/>
      <c r="N141" s="63"/>
      <c r="O141" s="120"/>
      <c r="P141" s="10"/>
      <c r="Q141" s="10"/>
      <c r="R141" s="78"/>
      <c r="S141" s="32"/>
      <c r="T141" s="26"/>
      <c r="U141" s="106"/>
      <c r="V141" s="107"/>
      <c r="W141" s="26"/>
      <c r="X141" s="57"/>
      <c r="Y141" s="109"/>
      <c r="Z141" s="134"/>
      <c r="AA141" s="134"/>
      <c r="AB141" s="134"/>
      <c r="AC141" s="134"/>
      <c r="AD141" s="134"/>
      <c r="AE141" s="134"/>
      <c r="AF141" s="134"/>
      <c r="AG141" s="134"/>
      <c r="AH141" s="246"/>
      <c r="AI141" s="246"/>
      <c r="AJ141" s="246"/>
      <c r="AK141" s="246"/>
    </row>
    <row r="142" spans="2:37" x14ac:dyDescent="0.25">
      <c r="D142" s="122"/>
      <c r="E142"/>
      <c r="F142"/>
      <c r="G142" s="97"/>
      <c r="H142" s="20"/>
      <c r="I142" s="14"/>
      <c r="J142" s="108"/>
      <c r="K142" s="129"/>
      <c r="L142" s="125"/>
      <c r="M142" s="120"/>
      <c r="N142" s="63"/>
      <c r="O142" s="120"/>
      <c r="P142" s="10"/>
      <c r="Q142" s="10"/>
      <c r="R142" s="78"/>
      <c r="S142" s="32"/>
      <c r="T142" s="26"/>
      <c r="U142" s="106"/>
      <c r="V142" s="107"/>
      <c r="W142" s="26"/>
      <c r="X142" s="57"/>
      <c r="Y142" s="103"/>
      <c r="Z142" s="134"/>
      <c r="AA142" s="134"/>
      <c r="AB142" s="134"/>
      <c r="AC142" s="134"/>
      <c r="AD142" s="134"/>
      <c r="AE142" s="134"/>
      <c r="AF142" s="134"/>
      <c r="AG142" s="134"/>
      <c r="AH142" s="246"/>
      <c r="AI142" s="246"/>
      <c r="AJ142" s="246"/>
      <c r="AK142" s="246"/>
    </row>
    <row r="143" spans="2:37" x14ac:dyDescent="0.25">
      <c r="D143" s="122"/>
      <c r="E143"/>
      <c r="F143"/>
      <c r="G143" s="97"/>
      <c r="H143" s="24"/>
      <c r="I143" s="14"/>
      <c r="J143" s="249"/>
      <c r="K143" s="250"/>
      <c r="L143" s="124"/>
      <c r="M143" s="120"/>
      <c r="N143" s="63"/>
      <c r="O143" s="120"/>
      <c r="P143" s="10"/>
      <c r="Q143" s="10"/>
      <c r="R143" s="255"/>
      <c r="S143" s="32"/>
      <c r="T143" s="26"/>
      <c r="U143" s="106"/>
      <c r="V143" s="107"/>
      <c r="W143" s="26"/>
      <c r="X143" s="101"/>
      <c r="Y143" s="251"/>
      <c r="Z143" s="252"/>
      <c r="AA143" s="430"/>
      <c r="AB143" s="431"/>
      <c r="AC143" s="253"/>
      <c r="AD143" s="253"/>
      <c r="AE143" s="253"/>
      <c r="AF143" s="254"/>
      <c r="AG143" s="248"/>
      <c r="AH143" s="245"/>
      <c r="AI143" s="247"/>
      <c r="AJ143" s="247"/>
      <c r="AK143" s="247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6301D-A2A2-4CCC-A242-7E4A3714CA3D}">
  <dimension ref="B1:AM99"/>
  <sheetViews>
    <sheetView topLeftCell="V1" workbookViewId="0">
      <pane ySplit="1" topLeftCell="A23" activePane="bottomLeft" state="frozen"/>
      <selection pane="bottomLeft" activeCell="AC20" sqref="AC20"/>
    </sheetView>
  </sheetViews>
  <sheetFormatPr defaultColWidth="8.85546875" defaultRowHeight="15" x14ac:dyDescent="0.25"/>
  <cols>
    <col min="1" max="1" width="5.140625" customWidth="1"/>
    <col min="2" max="2" width="10.5703125" style="1" bestFit="1" customWidth="1"/>
    <col min="3" max="10" width="8.85546875" style="1"/>
    <col min="11" max="11" width="12.28515625" customWidth="1"/>
    <col min="12" max="12" width="9.42578125" customWidth="1"/>
    <col min="13" max="13" width="9.28515625" customWidth="1"/>
    <col min="14" max="14" width="9.140625" customWidth="1"/>
    <col min="15" max="15" width="13.5703125" customWidth="1"/>
    <col min="16" max="16" width="13" customWidth="1"/>
    <col min="17" max="17" width="9.7109375" customWidth="1"/>
    <col min="18" max="18" width="11.28515625" customWidth="1"/>
    <col min="19" max="19" width="11.140625" customWidth="1"/>
    <col min="20" max="21" width="11.28515625" customWidth="1"/>
    <col min="22" max="22" width="13.28515625" customWidth="1"/>
    <col min="23" max="23" width="9" customWidth="1"/>
    <col min="24" max="24" width="10.42578125" customWidth="1"/>
    <col min="25" max="25" width="11.42578125" customWidth="1"/>
    <col min="26" max="26" width="10.5703125" bestFit="1" customWidth="1"/>
    <col min="27" max="27" width="12.42578125" bestFit="1" customWidth="1"/>
    <col min="28" max="28" width="11" customWidth="1"/>
    <col min="29" max="29" width="9.140625" customWidth="1"/>
    <col min="30" max="30" width="14.5703125" customWidth="1"/>
    <col min="31" max="31" width="9.140625" customWidth="1"/>
    <col min="32" max="32" width="8.28515625" customWidth="1"/>
    <col min="33" max="34" width="8.7109375" customWidth="1"/>
    <col min="35" max="35" width="9.140625" customWidth="1"/>
    <col min="36" max="36" width="12" customWidth="1"/>
    <col min="37" max="37" width="14" bestFit="1" customWidth="1"/>
    <col min="38" max="38" width="12" customWidth="1"/>
    <col min="39" max="39" width="8.7109375" customWidth="1"/>
  </cols>
  <sheetData>
    <row r="1" spans="2:39" ht="18.75" x14ac:dyDescent="0.3">
      <c r="B1" s="99" t="s">
        <v>0</v>
      </c>
      <c r="C1" s="185" t="s">
        <v>1</v>
      </c>
      <c r="D1" s="7" t="s">
        <v>2</v>
      </c>
      <c r="E1" s="7" t="s">
        <v>3</v>
      </c>
      <c r="F1" s="7" t="s">
        <v>202</v>
      </c>
      <c r="G1" s="7" t="s">
        <v>203</v>
      </c>
      <c r="H1" s="63" t="s">
        <v>179</v>
      </c>
      <c r="I1" s="63" t="s">
        <v>180</v>
      </c>
      <c r="J1" s="99" t="s">
        <v>32</v>
      </c>
      <c r="K1" s="24" t="s">
        <v>95</v>
      </c>
      <c r="L1" s="24" t="s">
        <v>160</v>
      </c>
      <c r="M1" s="24" t="s">
        <v>162</v>
      </c>
      <c r="N1" s="21" t="s">
        <v>272</v>
      </c>
      <c r="O1" s="21" t="s">
        <v>269</v>
      </c>
      <c r="P1" s="21" t="s">
        <v>270</v>
      </c>
      <c r="Q1" s="24" t="s">
        <v>164</v>
      </c>
      <c r="R1" s="24" t="s">
        <v>165</v>
      </c>
      <c r="S1" s="21" t="s">
        <v>166</v>
      </c>
      <c r="T1" s="21" t="s">
        <v>167</v>
      </c>
      <c r="U1" s="99" t="s">
        <v>238</v>
      </c>
      <c r="V1" s="167" t="s">
        <v>171</v>
      </c>
      <c r="W1" s="185" t="s">
        <v>141</v>
      </c>
      <c r="X1" s="185" t="s">
        <v>208</v>
      </c>
      <c r="Y1" s="5" t="s">
        <v>144</v>
      </c>
      <c r="Z1" s="5"/>
      <c r="AA1" s="5" t="s">
        <v>143</v>
      </c>
      <c r="AB1" s="5" t="s">
        <v>248</v>
      </c>
      <c r="AC1" s="24" t="s">
        <v>145</v>
      </c>
      <c r="AD1" s="21" t="s">
        <v>48</v>
      </c>
      <c r="AE1" s="209" t="s">
        <v>47</v>
      </c>
      <c r="AF1" s="99" t="s">
        <v>50</v>
      </c>
      <c r="AG1" s="99" t="s">
        <v>281</v>
      </c>
      <c r="AH1" s="99" t="s">
        <v>282</v>
      </c>
      <c r="AI1" s="21" t="s">
        <v>53</v>
      </c>
      <c r="AJ1" s="21" t="s">
        <v>286</v>
      </c>
      <c r="AK1" s="21" t="s">
        <v>293</v>
      </c>
      <c r="AL1" s="21" t="s">
        <v>291</v>
      </c>
      <c r="AM1" s="21" t="s">
        <v>298</v>
      </c>
    </row>
    <row r="2" spans="2:39" x14ac:dyDescent="0.25">
      <c r="B2" s="7" t="s">
        <v>36</v>
      </c>
      <c r="C2" s="186" t="s">
        <v>207</v>
      </c>
      <c r="D2" s="7" t="s">
        <v>301</v>
      </c>
      <c r="E2" s="7" t="s">
        <v>206</v>
      </c>
      <c r="F2" s="7" t="s">
        <v>206</v>
      </c>
      <c r="G2" s="7" t="s">
        <v>39</v>
      </c>
      <c r="H2" s="2" t="s">
        <v>206</v>
      </c>
      <c r="I2" s="2" t="s">
        <v>39</v>
      </c>
      <c r="J2" s="7"/>
      <c r="K2" s="7"/>
      <c r="L2" s="7" t="s">
        <v>161</v>
      </c>
      <c r="M2" s="7" t="s">
        <v>161</v>
      </c>
      <c r="N2" s="161" t="s">
        <v>161</v>
      </c>
      <c r="O2" s="161" t="s">
        <v>161</v>
      </c>
      <c r="P2" s="161" t="s">
        <v>161</v>
      </c>
      <c r="Q2" s="20" t="s">
        <v>168</v>
      </c>
      <c r="R2" s="20" t="s">
        <v>205</v>
      </c>
      <c r="S2" s="161" t="s">
        <v>169</v>
      </c>
      <c r="T2" s="2" t="s">
        <v>204</v>
      </c>
      <c r="U2" s="164" t="s">
        <v>170</v>
      </c>
      <c r="W2" s="186"/>
      <c r="X2" s="186"/>
      <c r="Y2" s="7"/>
      <c r="Z2" s="7"/>
      <c r="AA2" s="7"/>
      <c r="AB2" s="7"/>
      <c r="AC2" s="7"/>
      <c r="AD2" s="161"/>
      <c r="AE2" s="210"/>
      <c r="AI2" s="161" t="s">
        <v>283</v>
      </c>
      <c r="AJ2" s="161" t="s">
        <v>288</v>
      </c>
      <c r="AK2" s="161" t="s">
        <v>288</v>
      </c>
      <c r="AL2" s="161" t="s">
        <v>161</v>
      </c>
      <c r="AM2" s="161" t="s">
        <v>288</v>
      </c>
    </row>
    <row r="3" spans="2:39" x14ac:dyDescent="0.25">
      <c r="B3" s="7"/>
      <c r="C3" s="186"/>
      <c r="D3" s="7"/>
      <c r="E3" s="7"/>
      <c r="F3" s="7"/>
      <c r="G3" s="7"/>
      <c r="H3" s="2"/>
      <c r="I3" s="2"/>
      <c r="J3" s="7"/>
      <c r="K3" s="7"/>
      <c r="L3" s="7"/>
      <c r="M3" s="7"/>
      <c r="N3" s="161"/>
      <c r="O3" s="161"/>
      <c r="P3" s="161"/>
      <c r="Q3" s="20"/>
      <c r="R3" s="20"/>
      <c r="S3" s="161"/>
      <c r="T3" s="2"/>
      <c r="U3" s="164"/>
      <c r="V3" s="312" t="s">
        <v>172</v>
      </c>
      <c r="W3" s="186"/>
      <c r="X3" s="186"/>
      <c r="Y3" s="7"/>
      <c r="Z3" s="7"/>
      <c r="AA3" s="7"/>
      <c r="AB3" s="7"/>
      <c r="AC3" s="7"/>
      <c r="AD3" s="161"/>
      <c r="AE3" s="210"/>
      <c r="AI3" s="161"/>
      <c r="AJ3" s="161"/>
      <c r="AK3" s="312" t="s">
        <v>325</v>
      </c>
      <c r="AL3" s="312" t="s">
        <v>324</v>
      </c>
      <c r="AM3" s="161"/>
    </row>
    <row r="4" spans="2:39" ht="15.75" x14ac:dyDescent="0.25">
      <c r="B4" s="157" t="s">
        <v>335</v>
      </c>
      <c r="C4" s="186"/>
      <c r="D4" s="7"/>
      <c r="E4" s="7"/>
      <c r="F4" s="7"/>
      <c r="G4" s="7"/>
      <c r="H4" s="7"/>
      <c r="I4" s="2"/>
      <c r="J4" s="7"/>
      <c r="K4" s="7" t="s">
        <v>262</v>
      </c>
      <c r="L4" s="7" t="s">
        <v>262</v>
      </c>
      <c r="M4" s="7" t="s">
        <v>263</v>
      </c>
      <c r="N4" s="161"/>
      <c r="O4" s="7" t="s">
        <v>264</v>
      </c>
      <c r="P4" s="7" t="s">
        <v>265</v>
      </c>
      <c r="Q4" s="20"/>
      <c r="R4" s="20"/>
      <c r="S4" s="7"/>
      <c r="T4" s="7"/>
      <c r="U4" s="7"/>
      <c r="V4" s="7" t="s">
        <v>251</v>
      </c>
      <c r="W4" s="7" t="s">
        <v>252</v>
      </c>
      <c r="X4" s="7" t="s">
        <v>253</v>
      </c>
      <c r="Y4" s="7"/>
      <c r="Z4" s="7"/>
      <c r="AA4" s="7"/>
      <c r="AB4" s="7"/>
      <c r="AC4" s="7"/>
      <c r="AD4" s="7" t="s">
        <v>273</v>
      </c>
      <c r="AE4" s="7" t="s">
        <v>273</v>
      </c>
      <c r="AF4" s="7" t="s">
        <v>277</v>
      </c>
      <c r="AG4" s="7" t="s">
        <v>277</v>
      </c>
      <c r="AH4" s="7" t="s">
        <v>277</v>
      </c>
      <c r="AI4" s="7" t="s">
        <v>284</v>
      </c>
      <c r="AJ4" s="7" t="s">
        <v>287</v>
      </c>
      <c r="AK4" s="7" t="s">
        <v>292</v>
      </c>
      <c r="AL4" s="7" t="s">
        <v>292</v>
      </c>
      <c r="AM4" s="7" t="s">
        <v>299</v>
      </c>
    </row>
    <row r="5" spans="2:39" x14ac:dyDescent="0.25">
      <c r="B5" s="169">
        <f>B6-50</f>
        <v>2150</v>
      </c>
      <c r="C5" s="186">
        <f t="shared" ref="C5:C6" si="0">0.00011448*B5 + 1.16638115</f>
        <v>1.4125131500000001</v>
      </c>
      <c r="D5" s="122">
        <f t="shared" ref="D5:D6" si="1">0.04285545*B5 + 15.6741559</f>
        <v>107.8133734</v>
      </c>
      <c r="E5">
        <f t="shared" ref="E5:E6" si="2">0.0000000907*B5^2 - 0.0003674172*B5 + 0.9616952608</f>
        <v>0.5910090308</v>
      </c>
      <c r="F5">
        <f t="shared" ref="F5:F7" si="3">0.00000236*B5 + 0.01241004</f>
        <v>1.7484039999999999E-2</v>
      </c>
      <c r="G5" s="122">
        <f t="shared" ref="G5:G7" si="4">20.40472*B5^(-1.02454)</f>
        <v>7.8616578697549323E-3</v>
      </c>
      <c r="H5" s="184">
        <f xml:space="preserve"> 0.00000000004*B5^2 + 0.000002*B5 + 0.0125</f>
        <v>1.6984900000000001E-2</v>
      </c>
      <c r="I5" s="184">
        <f>9.6806*B5^(-0.919)</f>
        <v>8.3828429698927735E-3</v>
      </c>
      <c r="J5" s="20"/>
      <c r="K5" s="103"/>
      <c r="L5" s="7"/>
      <c r="M5" s="134"/>
      <c r="N5" s="204"/>
      <c r="O5" s="204"/>
      <c r="P5" s="204"/>
      <c r="Q5" s="159"/>
      <c r="R5" s="159"/>
      <c r="S5" s="134"/>
      <c r="T5" s="134"/>
      <c r="U5" s="165"/>
      <c r="W5" s="188"/>
      <c r="X5" s="188"/>
      <c r="Y5" s="134"/>
      <c r="Z5" s="134"/>
      <c r="AA5" s="134"/>
      <c r="AB5" s="134"/>
      <c r="AC5" s="134"/>
      <c r="AD5" s="204"/>
      <c r="AE5" s="211"/>
      <c r="AF5" s="7"/>
      <c r="AG5" s="7"/>
      <c r="AH5" s="7"/>
      <c r="AI5" s="161"/>
      <c r="AJ5" s="161"/>
      <c r="AK5" s="161"/>
      <c r="AL5" s="161"/>
      <c r="AM5" s="161"/>
    </row>
    <row r="6" spans="2:39" s="18" customFormat="1" x14ac:dyDescent="0.25">
      <c r="B6" s="226">
        <v>2200</v>
      </c>
      <c r="C6" s="227">
        <f t="shared" si="0"/>
        <v>1.4182371500000002</v>
      </c>
      <c r="D6" s="228">
        <f t="shared" si="1"/>
        <v>109.95614590000001</v>
      </c>
      <c r="E6" s="18">
        <f t="shared" si="2"/>
        <v>0.59236542079999999</v>
      </c>
      <c r="F6" s="18">
        <f t="shared" si="3"/>
        <v>1.7602039999999999E-2</v>
      </c>
      <c r="G6" s="228">
        <f t="shared" si="4"/>
        <v>7.6786505962058342E-3</v>
      </c>
      <c r="H6" s="229">
        <f t="shared" ref="H6:H15" si="5" xml:space="preserve"> 0.00000000004*B6^2 + 0.000002*B6 + 0.0125</f>
        <v>1.70936E-2</v>
      </c>
      <c r="I6" s="229">
        <f t="shared" ref="I6:I15" si="6">9.6806*B6^(-0.919)</f>
        <v>8.2075933679663805E-3</v>
      </c>
      <c r="J6" s="230">
        <f>Data!D$14</f>
        <v>1.49E-5</v>
      </c>
      <c r="K6" s="366">
        <f>'SAT RES'!Y$101</f>
        <v>6.8911466348013262E-2</v>
      </c>
      <c r="L6" s="231">
        <f>Data!D$21*K$6</f>
        <v>8.9447083319721218E-2</v>
      </c>
      <c r="M6" s="231">
        <f>Data!D$21-L$6</f>
        <v>1.2085529166802789</v>
      </c>
      <c r="N6" s="232">
        <v>0</v>
      </c>
      <c r="O6" s="233">
        <f>30.4*Data!N$5*Data!O$5/5.615</f>
        <v>47.102404274265361</v>
      </c>
      <c r="P6" s="233">
        <f>N6+O6</f>
        <v>47.102404274265361</v>
      </c>
      <c r="Q6" s="234">
        <f>C6</f>
        <v>1.4182371500000002</v>
      </c>
      <c r="R6" s="235">
        <f>(C6-C5)/(B6-B5)</f>
        <v>1.1448000000000125E-4</v>
      </c>
      <c r="S6" s="236">
        <f>I6</f>
        <v>8.2075933679663805E-3</v>
      </c>
      <c r="T6" s="237">
        <f>(I6-I5)/(B6-B5)</f>
        <v>-3.5049920385278599E-6</v>
      </c>
      <c r="U6" s="238">
        <f>M6*C$6*J$6</f>
        <v>2.5538818198234715E-5</v>
      </c>
      <c r="V6" s="239">
        <f>B6-((B6-B$6+(L6*Q6/U6)-(P6-0)*S6/U6))/(1+(L6*R6/U6)-(P6-0)*T6/U6)</f>
        <v>3493.0615135368653</v>
      </c>
      <c r="W6" s="240"/>
      <c r="X6" s="243"/>
      <c r="Y6" s="241"/>
      <c r="Z6" s="241"/>
      <c r="AA6" s="241"/>
      <c r="AB6" s="242"/>
      <c r="AC6" s="200">
        <f>'SAT RES'!AG101</f>
        <v>2.660188364173703</v>
      </c>
      <c r="AD6" s="341"/>
      <c r="AE6" s="244"/>
      <c r="AF6" s="59"/>
      <c r="AG6" s="59"/>
      <c r="AH6" s="59"/>
      <c r="AI6" s="196"/>
      <c r="AJ6" s="196"/>
      <c r="AK6" s="196"/>
      <c r="AL6" s="196"/>
      <c r="AM6" s="388">
        <f>'SAT RES'!AK101</f>
        <v>81.092614462831179</v>
      </c>
    </row>
    <row r="7" spans="2:39" x14ac:dyDescent="0.25">
      <c r="B7" s="169">
        <f>B8-50</f>
        <v>3443.0615135368653</v>
      </c>
      <c r="C7" s="170">
        <f xml:space="preserve"> -0.00001529*B7 + 1.47725786</f>
        <v>1.4246134494580212</v>
      </c>
      <c r="D7" s="122">
        <v>120.569011576135</v>
      </c>
      <c r="E7">
        <f xml:space="preserve"> 0.0000554429*B7 + 0.4645469286</f>
        <v>0.65544024378887311</v>
      </c>
      <c r="F7">
        <f t="shared" si="3"/>
        <v>2.0535665171947E-2</v>
      </c>
      <c r="G7" s="122">
        <f t="shared" si="4"/>
        <v>4.852764688739933E-3</v>
      </c>
      <c r="H7" s="184">
        <f t="shared" si="5"/>
        <v>1.9860309930513683E-2</v>
      </c>
      <c r="I7" s="184">
        <f t="shared" si="6"/>
        <v>5.4381354560414201E-3</v>
      </c>
      <c r="J7" s="155"/>
      <c r="K7" s="102"/>
      <c r="L7" s="133"/>
      <c r="M7" s="133"/>
      <c r="N7" s="205"/>
      <c r="O7" s="206"/>
      <c r="P7" s="206"/>
      <c r="Q7" s="160"/>
      <c r="R7" s="163"/>
      <c r="S7" s="158"/>
      <c r="T7" s="162"/>
      <c r="U7" s="166"/>
      <c r="V7" s="199"/>
      <c r="W7" s="188"/>
      <c r="X7" s="188"/>
      <c r="Y7" s="134"/>
      <c r="Z7" s="134"/>
      <c r="AA7" s="134"/>
      <c r="AB7" s="142"/>
      <c r="AC7" s="143"/>
      <c r="AD7" s="207"/>
      <c r="AE7" s="212"/>
      <c r="AF7" s="120"/>
      <c r="AG7" s="10"/>
      <c r="AH7" s="10"/>
      <c r="AI7" s="217"/>
      <c r="AJ7" s="217"/>
      <c r="AK7" s="217"/>
      <c r="AL7" s="217"/>
    </row>
    <row r="8" spans="2:39" x14ac:dyDescent="0.25">
      <c r="B8" s="168">
        <f>V6</f>
        <v>3493.0615135368653</v>
      </c>
      <c r="C8" s="170">
        <f t="shared" ref="C8:C20" si="7" xml:space="preserve"> -0.00001529*B8 + 1.47725786</f>
        <v>1.4238489494580213</v>
      </c>
      <c r="D8" s="122">
        <v>120.569011576135</v>
      </c>
      <c r="E8">
        <f xml:space="preserve"> 0.0000554429*B8 + 0.4645469286</f>
        <v>0.65821238878887312</v>
      </c>
      <c r="F8">
        <f t="shared" ref="F8" si="8">0.00000236*B8 + 0.01241004</f>
        <v>2.0653665171947E-2</v>
      </c>
      <c r="G8" s="122">
        <f t="shared" ref="G8" si="9">20.40472*B8^(-1.02454)</f>
        <v>4.7816097119942249E-3</v>
      </c>
      <c r="H8" s="184">
        <f t="shared" si="5"/>
        <v>1.997418217656783E-2</v>
      </c>
      <c r="I8" s="184">
        <f t="shared" si="6"/>
        <v>5.3665570031637862E-3</v>
      </c>
      <c r="J8" s="155"/>
      <c r="K8" s="102"/>
      <c r="L8" s="133">
        <f>Data!D$21*K$6</f>
        <v>8.9447083319721218E-2</v>
      </c>
      <c r="M8" s="252">
        <f>Data!D$21-L$6</f>
        <v>1.2085529166802789</v>
      </c>
      <c r="N8" s="205">
        <v>0</v>
      </c>
      <c r="O8" s="206">
        <f>30.4*Data!N$5*Data!O$5/5.615</f>
        <v>47.102404274265361</v>
      </c>
      <c r="P8" s="206">
        <f>N8+O8</f>
        <v>47.102404274265361</v>
      </c>
      <c r="Q8" s="160">
        <f>C8</f>
        <v>1.4238489494580213</v>
      </c>
      <c r="R8" s="163">
        <f>(C8-C7)/(B8-B7)</f>
        <v>-1.5289999999996694E-5</v>
      </c>
      <c r="S8" s="158">
        <f t="shared" ref="S8:S14" si="10">I8</f>
        <v>5.3665570031637862E-3</v>
      </c>
      <c r="T8" s="162">
        <f>(I8-I7)/(B8-B7)</f>
        <v>-1.4315690575526785E-6</v>
      </c>
      <c r="U8" s="166">
        <f>M8*C$6*J$6</f>
        <v>2.5538818198234715E-5</v>
      </c>
      <c r="V8" s="199">
        <f>B8-((B8-B$6+(L8*Q8/U8)-(P8-0)*S8/U8))/(1+(L8*R8/U8)-(P8-0)*T8/U8)</f>
        <v>4501.7275513041259</v>
      </c>
      <c r="W8" s="188"/>
      <c r="X8" s="188"/>
      <c r="Y8" s="253"/>
      <c r="Z8" s="134"/>
      <c r="AA8" s="134"/>
      <c r="AB8" s="142"/>
      <c r="AC8" s="143"/>
      <c r="AD8" s="207"/>
      <c r="AE8" s="212"/>
      <c r="AF8" s="120"/>
      <c r="AG8" s="10"/>
      <c r="AH8" s="10"/>
      <c r="AI8" s="217"/>
      <c r="AJ8" s="217"/>
      <c r="AK8" s="217"/>
      <c r="AL8" s="217"/>
      <c r="AM8" s="217"/>
    </row>
    <row r="9" spans="2:39" x14ac:dyDescent="0.25">
      <c r="B9" s="169">
        <f>B10-50</f>
        <v>4451.7275513041259</v>
      </c>
      <c r="C9" s="170">
        <f t="shared" si="7"/>
        <v>1.4091909457405598</v>
      </c>
      <c r="D9" s="122">
        <v>120.569011576135</v>
      </c>
      <c r="E9">
        <f xml:space="preserve"> 0.0000554429*B9 + 0.4645469286</f>
        <v>0.71136361405419957</v>
      </c>
      <c r="F9">
        <f t="shared" ref="F9" si="11">0.00000236*B9 + 0.01241004</f>
        <v>2.2916117021077737E-2</v>
      </c>
      <c r="G9" s="122">
        <f t="shared" ref="G9" si="12">20.40472*B9^(-1.02454)</f>
        <v>3.7296422071324831E-3</v>
      </c>
      <c r="H9" s="184">
        <f t="shared" ref="H9" si="13" xml:space="preserve"> 0.00000000004*B9^2 + 0.000002*B9 + 0.0125</f>
        <v>2.2196170230249862E-2</v>
      </c>
      <c r="I9" s="184">
        <f t="shared" ref="I9" si="14">9.6806*B9^(-0.919)</f>
        <v>4.2944199624200298E-3</v>
      </c>
      <c r="J9" s="155"/>
      <c r="K9" s="102"/>
      <c r="L9" s="133"/>
      <c r="M9" s="252"/>
      <c r="N9" s="205"/>
      <c r="O9" s="206"/>
      <c r="P9" s="206"/>
      <c r="Q9" s="160"/>
      <c r="R9" s="163"/>
      <c r="S9" s="158"/>
      <c r="T9" s="162"/>
      <c r="U9" s="166"/>
      <c r="V9" s="199"/>
      <c r="W9" s="188"/>
      <c r="X9" s="188"/>
      <c r="Y9" s="253"/>
      <c r="Z9" s="134"/>
      <c r="AA9" s="134"/>
      <c r="AB9" s="142"/>
      <c r="AC9" s="143"/>
      <c r="AD9" s="207"/>
      <c r="AE9" s="212"/>
      <c r="AF9" s="120"/>
      <c r="AG9" s="10"/>
      <c r="AH9" s="10"/>
      <c r="AI9" s="217"/>
      <c r="AJ9" s="217"/>
      <c r="AK9" s="217"/>
      <c r="AL9" s="217"/>
      <c r="AM9" s="217"/>
    </row>
    <row r="10" spans="2:39" x14ac:dyDescent="0.25">
      <c r="B10" s="168">
        <f>V8</f>
        <v>4501.7275513041259</v>
      </c>
      <c r="C10" s="170">
        <f t="shared" si="7"/>
        <v>1.4084264457405598</v>
      </c>
      <c r="D10" s="122">
        <v>120.569011576135</v>
      </c>
      <c r="E10">
        <f t="shared" ref="E10:E14" si="15" xml:space="preserve"> 0.0000554429*B10 + 0.4645469286</f>
        <v>0.71413575905419946</v>
      </c>
      <c r="F10">
        <f t="shared" ref="F10:F15" si="16">0.00000236*B10 + 0.01241004</f>
        <v>2.3034117021077737E-2</v>
      </c>
      <c r="G10" s="122">
        <f t="shared" ref="G10:G15" si="17">20.40472*B10^(-1.02454)</f>
        <v>3.6872068871391553E-3</v>
      </c>
      <c r="H10" s="184">
        <f t="shared" si="5"/>
        <v>2.2314077140455076E-2</v>
      </c>
      <c r="I10" s="184">
        <f t="shared" si="6"/>
        <v>4.2505661938100738E-3</v>
      </c>
      <c r="J10" s="155"/>
      <c r="K10" s="102"/>
      <c r="L10" s="133">
        <f>Data!D$21*K$6</f>
        <v>8.9447083319721218E-2</v>
      </c>
      <c r="M10" s="252">
        <f>Data!D$21-L$6</f>
        <v>1.2085529166802789</v>
      </c>
      <c r="N10" s="205">
        <v>0</v>
      </c>
      <c r="O10" s="206">
        <f>30.4*Data!N$5*Data!O$5/5.615</f>
        <v>47.102404274265361</v>
      </c>
      <c r="P10" s="206">
        <f t="shared" ref="P10:P14" si="18">N10+O10</f>
        <v>47.102404274265361</v>
      </c>
      <c r="Q10" s="160">
        <f t="shared" ref="Q10:Q14" si="19">C10</f>
        <v>1.4084264457405598</v>
      </c>
      <c r="R10" s="163">
        <f>(C10-C9)/(B10-B9)</f>
        <v>-1.5290000000001136E-5</v>
      </c>
      <c r="S10" s="158">
        <f t="shared" si="10"/>
        <v>4.2505661938100738E-3</v>
      </c>
      <c r="T10" s="162">
        <f>(I10-I9)/(B10-B9)</f>
        <v>-8.7707537219912025E-7</v>
      </c>
      <c r="U10" s="166">
        <f>M10*C$6*J$6</f>
        <v>2.5538818198234715E-5</v>
      </c>
      <c r="V10" s="199">
        <f>B10-((B10-B$6+(L10*Q10/U10)-(P10-0)*S10/U10))/(1+(L10*R10/U10)-(P10-0)*T10/U10)</f>
        <v>4737.6471465074965</v>
      </c>
      <c r="W10" s="188"/>
      <c r="X10" s="188"/>
      <c r="Y10" s="253"/>
      <c r="Z10" s="134"/>
      <c r="AA10" s="134"/>
      <c r="AB10" s="142"/>
      <c r="AC10" s="143"/>
      <c r="AD10" s="207"/>
      <c r="AE10" s="212"/>
      <c r="AF10" s="120"/>
      <c r="AG10" s="10"/>
      <c r="AH10" s="10"/>
      <c r="AI10" s="217"/>
      <c r="AJ10" s="217"/>
      <c r="AK10" s="217"/>
      <c r="AL10" s="217"/>
      <c r="AM10" s="217"/>
    </row>
    <row r="11" spans="2:39" x14ac:dyDescent="0.25">
      <c r="B11" s="169">
        <f>B12-50</f>
        <v>4687.6471465074965</v>
      </c>
      <c r="C11" s="170">
        <f t="shared" si="7"/>
        <v>1.4055837351299003</v>
      </c>
      <c r="D11" s="122">
        <v>120.569011576135</v>
      </c>
      <c r="E11">
        <f xml:space="preserve"> 0.0000554429*B11 + 0.4645469286</f>
        <v>0.72444368057910047</v>
      </c>
      <c r="F11">
        <f t="shared" si="16"/>
        <v>2.3472887265757691E-2</v>
      </c>
      <c r="G11" s="122">
        <f t="shared" si="17"/>
        <v>3.537451485892499E-3</v>
      </c>
      <c r="H11" s="184">
        <f t="shared" si="5"/>
        <v>2.2754255723821386E-2</v>
      </c>
      <c r="I11" s="184">
        <f t="shared" si="6"/>
        <v>4.0953847614212677E-3</v>
      </c>
      <c r="J11" s="155"/>
      <c r="K11" s="102"/>
      <c r="L11" s="133"/>
      <c r="M11" s="252"/>
      <c r="N11" s="205"/>
      <c r="O11" s="206"/>
      <c r="P11" s="206"/>
      <c r="Q11" s="160"/>
      <c r="R11" s="163"/>
      <c r="S11" s="158"/>
      <c r="T11" s="162"/>
      <c r="U11" s="166"/>
      <c r="V11" s="199"/>
      <c r="W11" s="188"/>
      <c r="X11" s="188"/>
      <c r="Y11" s="253"/>
      <c r="Z11" s="134"/>
      <c r="AA11" s="134"/>
      <c r="AB11" s="142"/>
      <c r="AC11" s="143"/>
      <c r="AD11" s="207"/>
      <c r="AE11" s="212"/>
      <c r="AF11" s="120"/>
      <c r="AG11" s="10"/>
      <c r="AH11" s="10"/>
      <c r="AI11" s="217"/>
      <c r="AJ11" s="217"/>
      <c r="AK11" s="217"/>
      <c r="AL11" s="217"/>
      <c r="AM11" s="217"/>
    </row>
    <row r="12" spans="2:39" x14ac:dyDescent="0.25">
      <c r="B12" s="168">
        <f>V10</f>
        <v>4737.6471465074965</v>
      </c>
      <c r="C12" s="187">
        <f t="shared" si="7"/>
        <v>1.4048192351299003</v>
      </c>
      <c r="D12" s="122">
        <v>120.569011576135</v>
      </c>
      <c r="E12">
        <f t="shared" si="15"/>
        <v>0.72721582557910047</v>
      </c>
      <c r="F12">
        <f t="shared" si="16"/>
        <v>2.3590887265757692E-2</v>
      </c>
      <c r="G12" s="122">
        <f t="shared" si="17"/>
        <v>3.4992068731982493E-3</v>
      </c>
      <c r="H12" s="184">
        <f t="shared" si="5"/>
        <v>2.2873106312407417E-2</v>
      </c>
      <c r="I12" s="184">
        <f t="shared" si="6"/>
        <v>4.0556469620304479E-3</v>
      </c>
      <c r="J12" s="155"/>
      <c r="K12" s="102"/>
      <c r="L12" s="133">
        <f>Data!D$21*K$6</f>
        <v>8.9447083319721218E-2</v>
      </c>
      <c r="M12" s="252">
        <f>Data!D$21-L$6</f>
        <v>1.2085529166802789</v>
      </c>
      <c r="N12" s="205">
        <v>0</v>
      </c>
      <c r="O12" s="206">
        <f>30.4*Data!N$5*Data!O$5/5.615</f>
        <v>47.102404274265361</v>
      </c>
      <c r="P12" s="206">
        <f t="shared" si="18"/>
        <v>47.102404274265361</v>
      </c>
      <c r="Q12" s="160">
        <f t="shared" si="19"/>
        <v>1.4048192351299003</v>
      </c>
      <c r="R12" s="163">
        <f>(C12-C11)/(B12-B11)</f>
        <v>-1.5290000000001136E-5</v>
      </c>
      <c r="S12" s="158">
        <f t="shared" si="10"/>
        <v>4.0556469620304479E-3</v>
      </c>
      <c r="T12" s="162">
        <f>(I12-I11)/(B12-B11)</f>
        <v>-7.9475598781639577E-7</v>
      </c>
      <c r="U12" s="166">
        <f>M12*C$6*J$6</f>
        <v>2.5538818198234715E-5</v>
      </c>
      <c r="V12" s="199">
        <f>B12-((B12-B$6+(L12*Q12/U12)-(P12-0)*S12/U12))/(1+(L12*R12/U12)-(P12-0)*T12/U12)</f>
        <v>4746.8220592200187</v>
      </c>
      <c r="W12" s="188"/>
      <c r="X12" s="188"/>
      <c r="Y12" s="253"/>
      <c r="Z12" s="134"/>
      <c r="AA12" s="134"/>
      <c r="AB12" s="142"/>
      <c r="AC12" s="143"/>
      <c r="AD12" s="207"/>
      <c r="AE12" s="212"/>
      <c r="AF12" s="120"/>
      <c r="AG12" s="10"/>
      <c r="AH12" s="10"/>
      <c r="AI12" s="217"/>
      <c r="AJ12" s="217"/>
      <c r="AK12" s="217"/>
      <c r="AL12" s="217"/>
      <c r="AM12" s="217"/>
    </row>
    <row r="13" spans="2:39" x14ac:dyDescent="0.25">
      <c r="B13" s="169">
        <f>B14-50</f>
        <v>4696.8220592200187</v>
      </c>
      <c r="C13" s="170">
        <f t="shared" si="7"/>
        <v>1.4054434507145259</v>
      </c>
      <c r="D13" s="122">
        <v>120.569011576135</v>
      </c>
      <c r="E13">
        <f xml:space="preserve"> 0.0000554429*B13 + 0.4645469286</f>
        <v>0.72495236434712962</v>
      </c>
      <c r="F13">
        <f t="shared" ref="F13" si="20">0.00000236*B13 + 0.01241004</f>
        <v>2.3494540059759244E-2</v>
      </c>
      <c r="G13" s="122">
        <f t="shared" ref="G13" si="21">20.40472*B13^(-1.02454)</f>
        <v>3.5303719167252756E-3</v>
      </c>
      <c r="H13" s="184">
        <f t="shared" ref="H13" si="22" xml:space="preserve"> 0.00000000004*B13^2 + 0.000002*B13 + 0.0125</f>
        <v>2.2776049616679069E-2</v>
      </c>
      <c r="I13" s="184">
        <f t="shared" ref="I13" si="23">9.6806*B13^(-0.919)</f>
        <v>4.0880321360744756E-3</v>
      </c>
      <c r="J13" s="155"/>
      <c r="K13" s="102"/>
      <c r="L13" s="133"/>
      <c r="M13" s="252"/>
      <c r="N13" s="205"/>
      <c r="O13" s="206"/>
      <c r="P13" s="206"/>
      <c r="Q13" s="160"/>
      <c r="R13" s="163"/>
      <c r="S13" s="158"/>
      <c r="T13" s="162"/>
      <c r="U13" s="166"/>
      <c r="V13" s="199"/>
      <c r="W13" s="188"/>
      <c r="X13" s="188"/>
      <c r="Y13" s="253"/>
      <c r="Z13" s="134"/>
      <c r="AA13" s="134"/>
      <c r="AB13" s="142"/>
      <c r="AC13" s="143"/>
      <c r="AD13" s="207"/>
      <c r="AE13" s="212"/>
      <c r="AF13" s="120"/>
      <c r="AG13" s="10"/>
      <c r="AH13" s="10"/>
      <c r="AI13" s="217"/>
      <c r="AJ13" s="217"/>
      <c r="AK13" s="217"/>
      <c r="AL13" s="217"/>
      <c r="AM13" s="217"/>
    </row>
    <row r="14" spans="2:39" x14ac:dyDescent="0.25">
      <c r="B14" s="168">
        <f t="shared" ref="B14" si="24">V12</f>
        <v>4746.8220592200187</v>
      </c>
      <c r="C14" s="170">
        <f t="shared" si="7"/>
        <v>1.4046789507145259</v>
      </c>
      <c r="D14" s="122">
        <v>120.569011576135</v>
      </c>
      <c r="E14">
        <f t="shared" si="15"/>
        <v>0.72772450934712962</v>
      </c>
      <c r="F14">
        <f t="shared" si="16"/>
        <v>2.3612540059759244E-2</v>
      </c>
      <c r="G14" s="122">
        <f t="shared" si="17"/>
        <v>3.4922776074045683E-3</v>
      </c>
      <c r="H14" s="184">
        <f t="shared" si="5"/>
        <v>2.2894936904915949E-2</v>
      </c>
      <c r="I14" s="184">
        <f t="shared" si="6"/>
        <v>4.0484423821137601E-3</v>
      </c>
      <c r="J14" s="155"/>
      <c r="K14" s="102"/>
      <c r="L14" s="133">
        <f>Data!D$21*K$6</f>
        <v>8.9447083319721218E-2</v>
      </c>
      <c r="M14" s="252">
        <f>Data!D$21-L$6</f>
        <v>1.2085529166802789</v>
      </c>
      <c r="N14" s="205">
        <v>0</v>
      </c>
      <c r="O14" s="206">
        <f>30.4*Data!N$5*Data!O$5/5.615</f>
        <v>47.102404274265361</v>
      </c>
      <c r="P14" s="206">
        <f t="shared" si="18"/>
        <v>47.102404274265361</v>
      </c>
      <c r="Q14" s="160">
        <f t="shared" si="19"/>
        <v>1.4046789507145259</v>
      </c>
      <c r="R14" s="163">
        <f>(C14-C13)/(B14-B13)</f>
        <v>-1.5290000000001136E-5</v>
      </c>
      <c r="S14" s="158">
        <f t="shared" si="10"/>
        <v>4.0484423821137601E-3</v>
      </c>
      <c r="T14" s="162">
        <f>(I14-I13)/(B14-B13)</f>
        <v>-7.9179507921431016E-7</v>
      </c>
      <c r="U14" s="166">
        <f>M14*C$6*J$6</f>
        <v>2.5538818198234715E-5</v>
      </c>
      <c r="V14" s="199">
        <f>B14-((B14-B$6+(L14*Q14/U14)-(P14-0)*S14/U14))/(1+(L14*R14/U14)-(P14-0)*T14/U14)</f>
        <v>4746.8889096083376</v>
      </c>
      <c r="W14" s="188"/>
      <c r="X14" s="188"/>
      <c r="Y14" s="253"/>
      <c r="Z14" s="134"/>
      <c r="AA14" s="134"/>
      <c r="AB14" s="142"/>
      <c r="AC14" s="143"/>
      <c r="AD14" s="207"/>
      <c r="AE14" s="212"/>
      <c r="AF14" s="120"/>
      <c r="AG14" s="10"/>
      <c r="AH14" s="10"/>
      <c r="AI14" s="217"/>
      <c r="AJ14" s="217"/>
      <c r="AK14" s="217"/>
      <c r="AL14" s="217"/>
      <c r="AM14" s="217"/>
    </row>
    <row r="15" spans="2:39" x14ac:dyDescent="0.25">
      <c r="B15" s="169">
        <f>B16-50</f>
        <v>4696.8889096083376</v>
      </c>
      <c r="C15" s="170">
        <f t="shared" si="7"/>
        <v>1.4054424285720883</v>
      </c>
      <c r="D15" s="122">
        <v>120.569011576135</v>
      </c>
      <c r="E15">
        <f xml:space="preserve"> 0.0000554429*B15 + 0.4645469286</f>
        <v>0.72495607072652413</v>
      </c>
      <c r="F15">
        <f t="shared" si="16"/>
        <v>2.3494697826675674E-2</v>
      </c>
      <c r="G15" s="122">
        <f t="shared" si="17"/>
        <v>3.5303204362024877E-3</v>
      </c>
      <c r="H15" s="184">
        <f t="shared" si="5"/>
        <v>2.2776208436384747E-2</v>
      </c>
      <c r="I15" s="184">
        <f t="shared" si="6"/>
        <v>4.0879786644093018E-3</v>
      </c>
      <c r="J15" s="155"/>
      <c r="K15" s="102"/>
      <c r="L15" s="133"/>
      <c r="M15" s="252"/>
      <c r="N15" s="205"/>
      <c r="O15" s="206"/>
      <c r="P15" s="206"/>
      <c r="Q15" s="160"/>
      <c r="R15" s="163"/>
      <c r="S15" s="158"/>
      <c r="T15" s="162"/>
      <c r="U15" s="166"/>
      <c r="V15" s="199"/>
      <c r="W15" s="188"/>
      <c r="X15" s="188"/>
      <c r="Y15" s="253"/>
      <c r="Z15" s="134"/>
      <c r="AA15" s="134"/>
      <c r="AB15" s="142"/>
      <c r="AC15" s="143"/>
      <c r="AD15" s="207"/>
      <c r="AE15" s="212"/>
      <c r="AF15" s="120"/>
      <c r="AG15" s="10"/>
      <c r="AH15" s="10"/>
      <c r="AI15" s="217"/>
      <c r="AJ15" s="217"/>
      <c r="AK15" s="217"/>
      <c r="AL15" s="217"/>
      <c r="AM15" s="217"/>
    </row>
    <row r="16" spans="2:39" x14ac:dyDescent="0.25">
      <c r="B16" s="168">
        <f t="shared" ref="B16" si="25">V14</f>
        <v>4746.8889096083376</v>
      </c>
      <c r="C16" s="170">
        <f t="shared" si="7"/>
        <v>1.4046779285720885</v>
      </c>
      <c r="D16" s="122">
        <v>120.569011576135</v>
      </c>
      <c r="E16">
        <f t="shared" ref="E16" si="26" xml:space="preserve"> 0.0000554429*B16 + 0.4645469286</f>
        <v>0.72772821572652413</v>
      </c>
      <c r="F16">
        <f t="shared" ref="F16:F17" si="27">0.00000236*B16 + 0.01241004</f>
        <v>2.3612697826675674E-2</v>
      </c>
      <c r="G16" s="122">
        <f t="shared" ref="G16:G17" si="28">20.40472*B16^(-1.02454)</f>
        <v>3.4922272187840192E-3</v>
      </c>
      <c r="H16" s="184">
        <f t="shared" ref="H16:H17" si="29" xml:space="preserve"> 0.00000000004*B16^2 + 0.000002*B16 + 0.0125</f>
        <v>2.2895095992023183E-2</v>
      </c>
      <c r="I16" s="184">
        <f t="shared" ref="I16:I17" si="30">9.6806*B16^(-0.919)</f>
        <v>4.0483899860589206E-3</v>
      </c>
      <c r="J16" s="155"/>
      <c r="K16" s="102"/>
      <c r="L16" s="133">
        <f>Data!D$21*K$6</f>
        <v>8.9447083319721218E-2</v>
      </c>
      <c r="M16" s="252">
        <f>Data!D$21-L$6</f>
        <v>1.2085529166802789</v>
      </c>
      <c r="N16" s="205">
        <v>0</v>
      </c>
      <c r="O16" s="206">
        <f>30.4*Data!N$5*Data!O$5/5.615</f>
        <v>47.102404274265361</v>
      </c>
      <c r="P16" s="206">
        <f t="shared" ref="P16" si="31">N16+O16</f>
        <v>47.102404274265361</v>
      </c>
      <c r="Q16" s="160">
        <f t="shared" ref="Q16" si="32">C16</f>
        <v>1.4046779285720885</v>
      </c>
      <c r="R16" s="163">
        <f>(C16-C15)/(B16-B15)</f>
        <v>-1.5289999999996694E-5</v>
      </c>
      <c r="S16" s="158">
        <f t="shared" ref="S16" si="33">I16</f>
        <v>4.0483899860589206E-3</v>
      </c>
      <c r="T16" s="162">
        <f>(I16-I15)/(B16-B15)</f>
        <v>-7.9177356700762396E-7</v>
      </c>
      <c r="U16" s="166">
        <f>M16*C$6*J$6</f>
        <v>2.5538818198234715E-5</v>
      </c>
      <c r="V16" s="199">
        <f>B16-((B16-B$6+(L16*Q16/U16)-(P16-0)*S16/U16))/(1+(L16*R16/U16)-(P16-0)*T16/U16)</f>
        <v>4746.8893201677674</v>
      </c>
      <c r="W16" s="188"/>
      <c r="X16" s="188"/>
      <c r="Y16" s="253"/>
      <c r="Z16" s="134"/>
      <c r="AA16" s="134"/>
      <c r="AB16" s="142"/>
      <c r="AC16" s="143"/>
      <c r="AD16" s="207"/>
      <c r="AE16" s="212"/>
      <c r="AF16" s="120"/>
      <c r="AG16" s="10"/>
      <c r="AH16" s="19"/>
      <c r="AI16" s="217"/>
      <c r="AJ16" s="217"/>
      <c r="AK16" s="217"/>
      <c r="AL16" s="217"/>
      <c r="AM16" s="217"/>
    </row>
    <row r="17" spans="2:39" x14ac:dyDescent="0.25">
      <c r="B17" s="169">
        <f>B18-50</f>
        <v>4696.8893201677674</v>
      </c>
      <c r="C17" s="170">
        <f t="shared" si="7"/>
        <v>1.4054424222946347</v>
      </c>
      <c r="D17" s="122">
        <v>120.569011576135</v>
      </c>
      <c r="E17">
        <f xml:space="preserve"> 0.0000554429*B17 + 0.4645469286</f>
        <v>0.72495609348912948</v>
      </c>
      <c r="F17">
        <f t="shared" si="27"/>
        <v>2.3494698795595931E-2</v>
      </c>
      <c r="G17" s="122">
        <f t="shared" si="28"/>
        <v>3.5303201200411567E-3</v>
      </c>
      <c r="H17" s="184">
        <f t="shared" si="29"/>
        <v>2.2776209411771775E-2</v>
      </c>
      <c r="I17" s="184">
        <f t="shared" si="30"/>
        <v>4.0879783360193659E-3</v>
      </c>
      <c r="J17" s="155"/>
      <c r="K17" s="102"/>
      <c r="L17" s="133"/>
      <c r="M17" s="252"/>
      <c r="N17" s="205"/>
      <c r="O17" s="206"/>
      <c r="P17" s="206"/>
      <c r="Q17" s="160"/>
      <c r="R17" s="163"/>
      <c r="S17" s="158"/>
      <c r="T17" s="162"/>
      <c r="U17" s="166"/>
      <c r="V17" s="199"/>
      <c r="W17" s="188"/>
      <c r="X17" s="188"/>
      <c r="Y17" s="253"/>
      <c r="Z17" s="134"/>
      <c r="AA17" s="134"/>
      <c r="AB17" s="142"/>
      <c r="AC17" s="143"/>
      <c r="AD17" s="207"/>
      <c r="AE17" s="212"/>
      <c r="AF17" s="120"/>
      <c r="AG17" s="10"/>
      <c r="AH17" s="10"/>
      <c r="AI17" s="217"/>
      <c r="AJ17" s="217"/>
      <c r="AK17" s="217"/>
      <c r="AL17" s="217"/>
      <c r="AM17" s="217"/>
    </row>
    <row r="18" spans="2:39" x14ac:dyDescent="0.25">
      <c r="B18" s="168">
        <f t="shared" ref="B18" si="34">V16</f>
        <v>4746.8893201677674</v>
      </c>
      <c r="C18" s="170">
        <f t="shared" si="7"/>
        <v>1.4046779222946348</v>
      </c>
      <c r="D18" s="122">
        <v>120.569011576135</v>
      </c>
      <c r="E18">
        <f t="shared" ref="E18" si="35" xml:space="preserve"> 0.0000554429*B18 + 0.4645469286</f>
        <v>0.72772823848912949</v>
      </c>
      <c r="F18">
        <f t="shared" ref="F18:F19" si="36">0.00000236*B18 + 0.01241004</f>
        <v>2.3612698795595931E-2</v>
      </c>
      <c r="G18" s="122">
        <f t="shared" ref="G18:G19" si="37">20.40472*B18^(-1.02454)</f>
        <v>3.4922269093284261E-3</v>
      </c>
      <c r="H18" s="184">
        <f t="shared" ref="H18:H19" si="38" xml:space="preserve"> 0.00000000004*B18^2 + 0.000002*B18 + 0.0125</f>
        <v>2.2895096969052446E-2</v>
      </c>
      <c r="I18" s="184">
        <f t="shared" ref="I18:I19" si="39">9.6806*B18^(-0.919)</f>
        <v>4.0483896642746738E-3</v>
      </c>
      <c r="J18" s="155"/>
      <c r="K18" s="102"/>
      <c r="L18" s="133">
        <f>Data!D$21*K$6</f>
        <v>8.9447083319721218E-2</v>
      </c>
      <c r="M18" s="252">
        <f>Data!D$21-L$6</f>
        <v>1.2085529166802789</v>
      </c>
      <c r="N18" s="205">
        <v>0</v>
      </c>
      <c r="O18" s="206">
        <f>30.4*Data!N$5*Data!O$5/5.615</f>
        <v>47.102404274265361</v>
      </c>
      <c r="P18" s="206">
        <f t="shared" ref="P18" si="40">N18+O18</f>
        <v>47.102404274265361</v>
      </c>
      <c r="Q18" s="160">
        <f t="shared" ref="Q18" si="41">C18</f>
        <v>1.4046779222946348</v>
      </c>
      <c r="R18" s="163">
        <f>(C18-C17)/(B18-B17)</f>
        <v>-1.5289999999996694E-5</v>
      </c>
      <c r="S18" s="158">
        <f t="shared" ref="S18" si="42">I18</f>
        <v>4.0483896642746738E-3</v>
      </c>
      <c r="T18" s="162">
        <f>(I18-I17)/(B18-B17)</f>
        <v>-7.9177343489384228E-7</v>
      </c>
      <c r="U18" s="166">
        <f>M18*C$6*J$6</f>
        <v>2.5538818198234715E-5</v>
      </c>
      <c r="V18" s="199">
        <f>B18-((B18-B$6+(L18*Q18/U18)-(P18-0)*S18/U18))/(1+(L18*R18/U18)-(P18-0)*T18/U18)</f>
        <v>4746.8893226857899</v>
      </c>
      <c r="W18" s="188"/>
      <c r="X18" s="188"/>
      <c r="Y18" s="253"/>
      <c r="Z18" s="134"/>
      <c r="AA18" s="134"/>
      <c r="AB18" s="142"/>
      <c r="AC18" s="143"/>
      <c r="AD18" s="207"/>
      <c r="AE18" s="212"/>
      <c r="AF18" s="120"/>
      <c r="AG18" s="10"/>
      <c r="AH18" s="10"/>
      <c r="AI18" s="217"/>
      <c r="AJ18" s="217"/>
      <c r="AK18" s="217"/>
      <c r="AL18" s="217"/>
      <c r="AM18" s="217"/>
    </row>
    <row r="19" spans="2:39" x14ac:dyDescent="0.25">
      <c r="B19" s="169">
        <f>B20-50</f>
        <v>4696.8893226857899</v>
      </c>
      <c r="C19" s="170">
        <f t="shared" si="7"/>
        <v>1.4054424222561341</v>
      </c>
      <c r="D19" s="122">
        <v>120.569011576135</v>
      </c>
      <c r="E19">
        <f xml:space="preserve"> 0.0000554429*B19 + 0.4645469286</f>
        <v>0.72495609362873603</v>
      </c>
      <c r="F19">
        <f t="shared" si="36"/>
        <v>2.3494698801538462E-2</v>
      </c>
      <c r="G19" s="122">
        <f t="shared" si="37"/>
        <v>3.5303201181020923E-3</v>
      </c>
      <c r="H19" s="184">
        <f t="shared" si="38"/>
        <v>2.2776209417753969E-2</v>
      </c>
      <c r="I19" s="184">
        <f t="shared" si="39"/>
        <v>4.0879783340053016E-3</v>
      </c>
      <c r="J19" s="155"/>
      <c r="K19" s="102"/>
      <c r="L19" s="133"/>
      <c r="M19" s="252"/>
      <c r="N19" s="205"/>
      <c r="O19" s="206"/>
      <c r="P19" s="206"/>
      <c r="Q19" s="160"/>
      <c r="R19" s="163"/>
      <c r="S19" s="158"/>
      <c r="T19" s="162"/>
      <c r="U19" s="166"/>
      <c r="V19" s="199"/>
      <c r="W19" s="188"/>
      <c r="X19" s="188"/>
      <c r="Y19" s="253"/>
      <c r="Z19" s="134"/>
      <c r="AA19" s="134"/>
      <c r="AB19" s="142"/>
      <c r="AC19" s="143"/>
      <c r="AD19" s="207"/>
      <c r="AE19" s="212"/>
      <c r="AF19" s="120"/>
      <c r="AG19" s="10"/>
      <c r="AH19" s="10"/>
      <c r="AI19" s="217"/>
      <c r="AJ19" s="217"/>
      <c r="AK19" s="217"/>
      <c r="AL19" s="217"/>
      <c r="AM19" s="217"/>
    </row>
    <row r="20" spans="2:39" x14ac:dyDescent="0.25">
      <c r="B20" s="168">
        <f>V18</f>
        <v>4746.8893226857899</v>
      </c>
      <c r="C20" s="170">
        <f t="shared" si="7"/>
        <v>1.4046779222561341</v>
      </c>
      <c r="D20" s="122">
        <v>120.569011576135</v>
      </c>
      <c r="E20">
        <f t="shared" ref="E20" si="43" xml:space="preserve"> 0.0000554429*B20 + 0.4645469286</f>
        <v>0.72772823862873603</v>
      </c>
      <c r="F20">
        <f t="shared" ref="F20" si="44">0.00000236*B20 + 0.01241004</f>
        <v>2.3612698801538462E-2</v>
      </c>
      <c r="G20" s="122">
        <f t="shared" ref="G20" si="45">20.40472*B20^(-1.02454)</f>
        <v>3.4922269074304899E-3</v>
      </c>
      <c r="H20" s="184">
        <f t="shared" ref="H20" si="46" xml:space="preserve"> 0.00000000004*B20^2 + 0.000002*B20 + 0.0125</f>
        <v>2.2895096975044715E-2</v>
      </c>
      <c r="I20" s="295">
        <f t="shared" ref="I20" si="47">9.6806*B20^(-0.919)</f>
        <v>4.0483896623011205E-3</v>
      </c>
      <c r="J20" s="155"/>
      <c r="K20" s="416">
        <f>K6</f>
        <v>6.8911466348013262E-2</v>
      </c>
      <c r="L20" s="133">
        <f>Data!D$21*K$6</f>
        <v>8.9447083319721218E-2</v>
      </c>
      <c r="M20" s="252">
        <f>Data!D$21-L$6</f>
        <v>1.2085529166802789</v>
      </c>
      <c r="N20" s="205">
        <v>0</v>
      </c>
      <c r="O20" s="206">
        <f>30.4*Data!N$5*Data!O$5/5.615</f>
        <v>47.102404274265361</v>
      </c>
      <c r="P20" s="319">
        <f t="shared" ref="P20" si="48">N20+O20</f>
        <v>47.102404274265361</v>
      </c>
      <c r="Q20" s="160">
        <f t="shared" ref="Q20" si="49">C20</f>
        <v>1.4046779222561341</v>
      </c>
      <c r="R20" s="163">
        <f>(C20-C19)/(B20-B19)</f>
        <v>-1.5290000000001136E-5</v>
      </c>
      <c r="S20" s="158">
        <f t="shared" ref="S20" si="50">I20</f>
        <v>4.0483896623011205E-3</v>
      </c>
      <c r="T20" s="162">
        <f>(I20-I19)/(B20-B19)</f>
        <v>-7.9177343408362234E-7</v>
      </c>
      <c r="U20" s="166">
        <f>M20*C$6*J$6</f>
        <v>2.5538818198234715E-5</v>
      </c>
      <c r="V20" s="199">
        <f>B20-((B20-B$6+(L20*Q20/U20)-(P20-0)*S20/U20))/(1+(L20*R20/U20)-(P20-0)*T20/U20)</f>
        <v>4746.8893227012322</v>
      </c>
      <c r="W20" s="342">
        <f>Data!D$42/(141.2*'Huff&amp;Puff_1st Cycle'!C20*'Huff&amp;Puff_1st Cycle'!E20*LN(Data!D$47))</f>
        <v>0.10826905045243319</v>
      </c>
      <c r="X20" s="198">
        <f>W20*(B20-Data!D$43)</f>
        <v>297.40309866511785</v>
      </c>
      <c r="Y20" s="253"/>
      <c r="Z20" s="134"/>
      <c r="AA20" s="134"/>
      <c r="AB20" s="143">
        <f>Data!N$5/12</f>
        <v>0.48333333333333334</v>
      </c>
      <c r="AC20" s="248">
        <f>AB20+AC6</f>
        <v>3.1435216975070364</v>
      </c>
      <c r="AD20" s="365">
        <f>1000000*(P20-0)*I20/Data!D$48</f>
        <v>5.7177022473130952E-2</v>
      </c>
      <c r="AE20" s="367">
        <f>1-AD20-Data!D$13</f>
        <v>0.44682297752686906</v>
      </c>
      <c r="AF20" s="171">
        <f>(AD20-Data!D$27)/(1-Data!D$27-Data!D$19-Data!D$13)</f>
        <v>0.18808231076687809</v>
      </c>
      <c r="AG20" s="363">
        <f>Data!D$29*AF20</f>
        <v>0.18808231076687809</v>
      </c>
      <c r="AH20" s="363">
        <f>Data!D$28*(1-AF20)</f>
        <v>0.81191768923312191</v>
      </c>
      <c r="AI20" s="364">
        <f>5.615*(D20+(E20*C20*AG20)/(5.615*H20*I20*AH20))</f>
        <v>3231.7963553262794</v>
      </c>
      <c r="AJ20" s="365">
        <f>X20*AI20/1000000</f>
        <v>0.96114625032866963</v>
      </c>
      <c r="AK20" s="193">
        <v>0</v>
      </c>
      <c r="AL20" s="193">
        <v>0</v>
      </c>
      <c r="AM20" s="193">
        <f>AM6</f>
        <v>81.092614462831179</v>
      </c>
    </row>
    <row r="21" spans="2:39" x14ac:dyDescent="0.25">
      <c r="N21" s="191"/>
      <c r="O21" s="191"/>
      <c r="P21" s="191"/>
      <c r="AD21" s="191"/>
      <c r="AE21" s="214"/>
      <c r="AF21" s="120"/>
      <c r="AG21" s="10"/>
      <c r="AH21" s="10"/>
      <c r="AI21" s="217"/>
      <c r="AJ21" s="217"/>
      <c r="AK21" s="219"/>
      <c r="AL21" s="219"/>
      <c r="AM21" s="219"/>
    </row>
    <row r="22" spans="2:39" ht="15.75" x14ac:dyDescent="0.25">
      <c r="B22" s="74" t="s">
        <v>337</v>
      </c>
      <c r="N22" s="191"/>
      <c r="O22" s="191"/>
      <c r="P22" s="191"/>
      <c r="AD22" s="191"/>
      <c r="AE22" s="214"/>
      <c r="AF22" s="120"/>
      <c r="AG22" s="10"/>
      <c r="AH22" s="10"/>
      <c r="AI22" s="217"/>
      <c r="AJ22" s="217"/>
      <c r="AK22" s="217"/>
      <c r="AL22" s="217"/>
      <c r="AM22" s="217"/>
    </row>
    <row r="23" spans="2:39" x14ac:dyDescent="0.25">
      <c r="N23" s="191"/>
      <c r="O23" s="191"/>
      <c r="P23" s="191"/>
      <c r="AD23" s="191"/>
      <c r="AE23" s="214"/>
      <c r="AF23" s="120"/>
      <c r="AG23" s="10"/>
      <c r="AH23" s="10"/>
      <c r="AI23" s="217"/>
      <c r="AJ23" s="217"/>
      <c r="AK23" s="217"/>
      <c r="AL23" s="217"/>
      <c r="AM23" s="217"/>
    </row>
    <row r="24" spans="2:39" ht="18.75" x14ac:dyDescent="0.3">
      <c r="B24" s="5" t="s">
        <v>239</v>
      </c>
      <c r="C24" s="185" t="s">
        <v>1</v>
      </c>
      <c r="D24" s="7" t="s">
        <v>2</v>
      </c>
      <c r="E24" s="7" t="s">
        <v>3</v>
      </c>
      <c r="F24" s="7" t="s">
        <v>202</v>
      </c>
      <c r="G24" s="7" t="s">
        <v>203</v>
      </c>
      <c r="H24" s="63" t="s">
        <v>179</v>
      </c>
      <c r="I24" s="63" t="s">
        <v>180</v>
      </c>
      <c r="J24" s="99" t="s">
        <v>32</v>
      </c>
      <c r="K24" s="24" t="s">
        <v>261</v>
      </c>
      <c r="L24" s="24" t="s">
        <v>260</v>
      </c>
      <c r="M24" s="24" t="s">
        <v>162</v>
      </c>
      <c r="N24" s="21" t="s">
        <v>163</v>
      </c>
      <c r="O24" s="21" t="s">
        <v>269</v>
      </c>
      <c r="P24" s="21" t="s">
        <v>270</v>
      </c>
      <c r="Q24" s="24" t="s">
        <v>164</v>
      </c>
      <c r="R24" s="24" t="s">
        <v>165</v>
      </c>
      <c r="S24" s="21" t="s">
        <v>166</v>
      </c>
      <c r="T24" s="21" t="s">
        <v>167</v>
      </c>
      <c r="U24" s="99" t="s">
        <v>238</v>
      </c>
      <c r="V24" s="167" t="s">
        <v>171</v>
      </c>
      <c r="W24" s="185" t="s">
        <v>240</v>
      </c>
      <c r="X24" s="185" t="s">
        <v>241</v>
      </c>
      <c r="Y24" s="5" t="s">
        <v>242</v>
      </c>
      <c r="Z24" s="5" t="s">
        <v>243</v>
      </c>
      <c r="AA24" s="5" t="s">
        <v>244</v>
      </c>
      <c r="AB24" s="5" t="s">
        <v>247</v>
      </c>
      <c r="AC24" s="5" t="s">
        <v>249</v>
      </c>
      <c r="AD24" s="21" t="s">
        <v>295</v>
      </c>
      <c r="AE24" s="185" t="s">
        <v>297</v>
      </c>
      <c r="AF24" s="99" t="s">
        <v>278</v>
      </c>
      <c r="AG24" s="99" t="s">
        <v>279</v>
      </c>
      <c r="AH24" s="99" t="s">
        <v>280</v>
      </c>
      <c r="AI24" s="21" t="s">
        <v>285</v>
      </c>
      <c r="AJ24" s="21" t="s">
        <v>289</v>
      </c>
      <c r="AK24" s="21" t="s">
        <v>294</v>
      </c>
      <c r="AL24" s="21" t="s">
        <v>290</v>
      </c>
      <c r="AM24" s="21" t="s">
        <v>300</v>
      </c>
    </row>
    <row r="25" spans="2:39" x14ac:dyDescent="0.25">
      <c r="B25" s="1" t="s">
        <v>36</v>
      </c>
      <c r="C25" s="186" t="s">
        <v>207</v>
      </c>
      <c r="D25" s="7" t="s">
        <v>301</v>
      </c>
      <c r="E25" s="7" t="s">
        <v>206</v>
      </c>
      <c r="F25" s="7" t="s">
        <v>206</v>
      </c>
      <c r="G25" s="7" t="s">
        <v>39</v>
      </c>
      <c r="H25" s="2" t="s">
        <v>206</v>
      </c>
      <c r="I25" s="2" t="s">
        <v>39</v>
      </c>
      <c r="J25" s="7"/>
      <c r="K25" s="7"/>
      <c r="L25" s="7" t="s">
        <v>161</v>
      </c>
      <c r="M25" s="7" t="s">
        <v>161</v>
      </c>
      <c r="N25" s="161" t="s">
        <v>161</v>
      </c>
      <c r="O25" s="161" t="s">
        <v>161</v>
      </c>
      <c r="P25" s="161" t="s">
        <v>161</v>
      </c>
      <c r="Q25" s="20" t="s">
        <v>168</v>
      </c>
      <c r="R25" s="20" t="s">
        <v>205</v>
      </c>
      <c r="S25" s="161" t="s">
        <v>169</v>
      </c>
      <c r="T25" s="2" t="s">
        <v>204</v>
      </c>
      <c r="U25" s="164" t="s">
        <v>170</v>
      </c>
      <c r="V25" s="164" t="s">
        <v>172</v>
      </c>
      <c r="W25" s="186" t="s">
        <v>246</v>
      </c>
      <c r="X25" s="186" t="s">
        <v>150</v>
      </c>
      <c r="Y25" s="7"/>
      <c r="Z25" s="7" t="s">
        <v>161</v>
      </c>
      <c r="AA25" s="7" t="s">
        <v>245</v>
      </c>
      <c r="AB25" s="7" t="s">
        <v>266</v>
      </c>
      <c r="AD25" s="191"/>
      <c r="AE25" s="214"/>
      <c r="AF25" s="120"/>
      <c r="AG25" s="10"/>
      <c r="AH25" s="10"/>
      <c r="AI25" s="191" t="s">
        <v>283</v>
      </c>
      <c r="AJ25" s="161" t="s">
        <v>288</v>
      </c>
      <c r="AK25" s="161" t="s">
        <v>288</v>
      </c>
      <c r="AL25" s="21" t="s">
        <v>336</v>
      </c>
      <c r="AM25" s="161" t="s">
        <v>288</v>
      </c>
    </row>
    <row r="26" spans="2:39" x14ac:dyDescent="0.25">
      <c r="C26" s="186"/>
      <c r="D26" s="7"/>
      <c r="E26" s="7"/>
      <c r="F26" s="7"/>
      <c r="G26" s="7"/>
      <c r="H26" s="2"/>
      <c r="I26" s="2"/>
      <c r="J26" s="7"/>
      <c r="K26" s="7"/>
      <c r="L26" s="7"/>
      <c r="M26" s="7"/>
      <c r="N26" s="161"/>
      <c r="O26" s="161"/>
      <c r="P26" s="161"/>
      <c r="Q26" s="20"/>
      <c r="R26" s="20"/>
      <c r="S26" s="161"/>
      <c r="T26" s="2"/>
      <c r="U26" s="164"/>
      <c r="V26" s="164"/>
      <c r="W26" s="186"/>
      <c r="X26" s="186"/>
      <c r="Y26" s="312" t="s">
        <v>318</v>
      </c>
      <c r="Z26" s="312" t="s">
        <v>319</v>
      </c>
      <c r="AA26" s="312" t="s">
        <v>327</v>
      </c>
      <c r="AB26" s="312" t="s">
        <v>328</v>
      </c>
      <c r="AC26" s="312" t="s">
        <v>329</v>
      </c>
      <c r="AD26" s="312" t="s">
        <v>330</v>
      </c>
      <c r="AE26" s="312" t="s">
        <v>331</v>
      </c>
      <c r="AF26" s="312" t="s">
        <v>332</v>
      </c>
      <c r="AG26" s="312" t="s">
        <v>333</v>
      </c>
      <c r="AH26" s="312" t="s">
        <v>334</v>
      </c>
      <c r="AI26" s="312" t="s">
        <v>326</v>
      </c>
      <c r="AJ26" s="312" t="s">
        <v>320</v>
      </c>
      <c r="AK26" s="312" t="s">
        <v>321</v>
      </c>
      <c r="AL26" s="312" t="s">
        <v>322</v>
      </c>
      <c r="AM26" s="312" t="s">
        <v>323</v>
      </c>
    </row>
    <row r="27" spans="2:39" x14ac:dyDescent="0.25">
      <c r="K27" s="7" t="s">
        <v>258</v>
      </c>
      <c r="L27" s="7" t="s">
        <v>259</v>
      </c>
      <c r="M27" s="47" t="s">
        <v>271</v>
      </c>
      <c r="O27" s="7" t="s">
        <v>264</v>
      </c>
      <c r="P27" s="7" t="s">
        <v>265</v>
      </c>
      <c r="V27" s="7" t="s">
        <v>251</v>
      </c>
      <c r="W27" s="7" t="s">
        <v>267</v>
      </c>
      <c r="X27" s="7" t="s">
        <v>268</v>
      </c>
      <c r="Y27" s="7" t="s">
        <v>250</v>
      </c>
      <c r="Z27" s="7" t="s">
        <v>254</v>
      </c>
      <c r="AA27" s="7" t="s">
        <v>255</v>
      </c>
      <c r="AB27" s="7" t="s">
        <v>256</v>
      </c>
      <c r="AC27" s="7" t="s">
        <v>257</v>
      </c>
      <c r="AD27" s="7" t="s">
        <v>273</v>
      </c>
      <c r="AE27" s="7" t="s">
        <v>273</v>
      </c>
      <c r="AF27" s="7" t="s">
        <v>277</v>
      </c>
      <c r="AG27" s="7" t="s">
        <v>277</v>
      </c>
      <c r="AH27" s="7" t="s">
        <v>277</v>
      </c>
      <c r="AI27" s="7" t="s">
        <v>284</v>
      </c>
      <c r="AJ27" s="7" t="s">
        <v>287</v>
      </c>
      <c r="AK27" s="7" t="s">
        <v>292</v>
      </c>
      <c r="AL27" s="7" t="s">
        <v>292</v>
      </c>
      <c r="AM27" s="7" t="s">
        <v>299</v>
      </c>
    </row>
    <row r="28" spans="2:39" x14ac:dyDescent="0.25">
      <c r="B28" s="1">
        <v>4800</v>
      </c>
      <c r="C28" s="170">
        <f xml:space="preserve"> -0.00001529*B28 + 1.47725786</f>
        <v>1.40386586</v>
      </c>
      <c r="D28" s="122">
        <v>120.569011576135</v>
      </c>
      <c r="E28">
        <f xml:space="preserve"> 0.0000554429*B28 + 0.4645469286</f>
        <v>0.73067284860000004</v>
      </c>
      <c r="F28">
        <f>0.00000236*B28 + 0.01241004</f>
        <v>2.3738040000000002E-2</v>
      </c>
      <c r="G28" s="122">
        <f>20.40472*B28^(-1.02454)</f>
        <v>3.4526435346281963E-3</v>
      </c>
      <c r="H28" s="184">
        <f xml:space="preserve"> 0.00000000004*B28^2 + 0.000002*B28 + 0.0125</f>
        <v>2.30216E-2</v>
      </c>
      <c r="I28" s="184">
        <f>9.6806*B28^(-0.919)</f>
        <v>4.007205164531266E-3</v>
      </c>
      <c r="J28" s="155">
        <f>Data!D$14</f>
        <v>1.49E-5</v>
      </c>
      <c r="K28" s="385">
        <f>L28/Data!D$21</f>
        <v>6.8174224073173431E-2</v>
      </c>
      <c r="L28" s="201">
        <f>L$20+Z28</f>
        <v>8.849014284697912E-2</v>
      </c>
      <c r="M28" s="201">
        <f>Data!D$21-L28</f>
        <v>1.209509857153021</v>
      </c>
      <c r="N28" s="205">
        <v>0</v>
      </c>
      <c r="O28" s="206">
        <f>30.4*Data!N$5*Data!O$5/5.615</f>
        <v>47.102404274265361</v>
      </c>
      <c r="P28" s="206">
        <f>N28+O28</f>
        <v>47.102404274265361</v>
      </c>
      <c r="Q28" s="160"/>
      <c r="R28" s="163"/>
      <c r="S28" s="158"/>
      <c r="T28" s="162"/>
      <c r="U28" s="166"/>
      <c r="V28" s="199">
        <f>V20</f>
        <v>4746.8893227012322</v>
      </c>
      <c r="W28" s="342">
        <f>Data!D$42/(141.2*C28*E28*LN(Data!D$47))</f>
        <v>0.1078951019546137</v>
      </c>
      <c r="X28" s="198">
        <f>W28*(B28-Data!D$43)</f>
        <v>302.10628547291839</v>
      </c>
      <c r="Y28" s="105">
        <f>C$20*J28*(B$20-B28)/C28</f>
        <v>-7.918068456370718E-4</v>
      </c>
      <c r="Z28" s="105">
        <f>Y28*M$20</f>
        <v>-9.5694047274209448E-4</v>
      </c>
      <c r="AA28" s="201">
        <f>365*(X$20-X28)/(1000000*Z28)</f>
        <v>1.793908015958537</v>
      </c>
      <c r="AB28" s="201">
        <f>LN(X$20/X28)/AA28</f>
        <v>-8.7465136541922343E-3</v>
      </c>
      <c r="AC28" s="202">
        <f>AC$20+AB28</f>
        <v>3.1347751838528439</v>
      </c>
      <c r="AD28" s="317">
        <f>1000000*(P28-AL$20)*I28/Data!D$48</f>
        <v>5.6595357378868977E-2</v>
      </c>
      <c r="AE28" s="213">
        <f>1-AD28-Data!D$13</f>
        <v>0.447404642621131</v>
      </c>
      <c r="AF28" s="215">
        <f>(AD28-Data!D$27)/(1-Data!D$27-Data!D$19-Data!D$13)</f>
        <v>0.18616893874627949</v>
      </c>
      <c r="AG28" s="33">
        <f>Data!D$29*AF28</f>
        <v>0.18616893874627949</v>
      </c>
      <c r="AH28" s="33">
        <f>Data!D$28*(1-AF28)</f>
        <v>0.81383106125372051</v>
      </c>
      <c r="AI28" s="246">
        <f>5.615*(D28+(E28*C28*AG28)/(5.615*H28*I28*AH28))</f>
        <v>3220.5694957903652</v>
      </c>
      <c r="AJ28" s="268">
        <f>X28*AI28/1000000</f>
        <v>0.97295428748061696</v>
      </c>
      <c r="AK28" s="313">
        <f>365*AJ28*AB28</f>
        <v>-3.1061346555292437</v>
      </c>
      <c r="AL28" s="313">
        <f>AL$20+AK28/5.615</f>
        <v>-0.5531851568173185</v>
      </c>
      <c r="AM28" s="313">
        <f>AM$20+5.615*AL28</f>
        <v>77.986479807301933</v>
      </c>
    </row>
    <row r="29" spans="2:39" x14ac:dyDescent="0.25">
      <c r="B29" s="1">
        <f>B28-100</f>
        <v>4700</v>
      </c>
      <c r="C29" s="170">
        <f t="shared" ref="C29:C38" si="51" xml:space="preserve"> -0.00001529*B29 + 1.47725786</f>
        <v>1.4053948599999999</v>
      </c>
      <c r="D29" s="122">
        <v>120.569011576135</v>
      </c>
      <c r="E29">
        <f t="shared" ref="E29:E38" si="52" xml:space="preserve"> 0.0000554429*B29 + 0.4645469286</f>
        <v>0.72512855860000003</v>
      </c>
      <c r="F29">
        <f t="shared" ref="F29:F38" si="53">0.00000236*B29 + 0.01241004</f>
        <v>2.3502040000000002E-2</v>
      </c>
      <c r="G29" s="122">
        <f t="shared" ref="G29:G38" si="54">20.40472*B29^(-1.02454)</f>
        <v>3.527926270036954E-3</v>
      </c>
      <c r="H29" s="184">
        <f t="shared" ref="H29:H38" si="55" xml:space="preserve"> 0.00000000004*B29^2 + 0.000002*B29 + 0.0125</f>
        <v>2.2783600000000001E-2</v>
      </c>
      <c r="I29" s="184">
        <f t="shared" ref="I29:I38" si="56">9.6806*B29^(-0.919)</f>
        <v>4.0854918089221629E-3</v>
      </c>
      <c r="J29" s="155">
        <f>Data!D$14</f>
        <v>1.49E-5</v>
      </c>
      <c r="K29" s="385">
        <f>L29/Data!D$21</f>
        <v>6.9561640353249729E-2</v>
      </c>
      <c r="L29" s="201">
        <f t="shared" ref="L29:L38" si="57">L$20+Z29</f>
        <v>9.029100917851815E-2</v>
      </c>
      <c r="M29" s="201">
        <f>Data!D$21-L29</f>
        <v>1.207708990821482</v>
      </c>
      <c r="N29" s="205">
        <v>0</v>
      </c>
      <c r="O29" s="206">
        <f>30.4*Data!N$5*Data!O$5/5.615</f>
        <v>47.102404274265361</v>
      </c>
      <c r="P29" s="206">
        <f t="shared" ref="P29:P38" si="58">N29+O29</f>
        <v>47.102404274265361</v>
      </c>
      <c r="Q29" s="160"/>
      <c r="R29" s="163"/>
      <c r="S29" s="158"/>
      <c r="T29" s="162"/>
      <c r="U29" s="166"/>
      <c r="V29" s="199"/>
      <c r="W29" s="342">
        <f>Data!D$42/(141.2*C29*E29*LN(Data!D$47))</f>
        <v>0.10860177946995116</v>
      </c>
      <c r="X29" s="198">
        <f>W29*(B29-Data!D$43)</f>
        <v>293.22480456886814</v>
      </c>
      <c r="Y29" s="105">
        <f t="shared" ref="Y29:Y38" si="59">C$20*J29*(B$20-B29)/C29</f>
        <v>6.9829450340914501E-4</v>
      </c>
      <c r="Z29" s="105">
        <f t="shared" ref="Z29:Z38" si="60">Y29*M$20</f>
        <v>8.4392585879692911E-4</v>
      </c>
      <c r="AA29" s="201">
        <f t="shared" ref="AA29:AA38" si="61">365*(X$20-X29)/(1000000*Z29)</f>
        <v>1.80712242578423</v>
      </c>
      <c r="AB29" s="201">
        <f>LN(X$20/X29)/AA29</f>
        <v>7.829512286775437E-3</v>
      </c>
      <c r="AC29" s="202">
        <f t="shared" ref="AC29:AC38" si="62">AC$20+AB29</f>
        <v>3.1513512097938117</v>
      </c>
      <c r="AD29" s="317">
        <f>1000000*(P29-AL28)*I29/Data!D$48</f>
        <v>5.8378689588536793E-2</v>
      </c>
      <c r="AE29" s="213">
        <f>1-AD29-Data!D$13</f>
        <v>0.44562131041146325</v>
      </c>
      <c r="AF29" s="215">
        <f>(AD29-Data!D$27)/(1-Data!D$27-Data!D$19-Data!D$13)</f>
        <v>0.19203516312018679</v>
      </c>
      <c r="AG29" s="33">
        <f>Data!D$29*AF29</f>
        <v>0.19203516312018679</v>
      </c>
      <c r="AH29" s="33">
        <f>Data!D$28*(1-AF29)</f>
        <v>0.80796483687981324</v>
      </c>
      <c r="AI29" s="246">
        <f>5.615*(D29+(E29*C29*AG29)/(5.615*H29*I29*AH29))</f>
        <v>3279.1608763512149</v>
      </c>
      <c r="AJ29" s="268">
        <f t="shared" ref="AJ29:AJ38" si="63">X29*AI29/1000000</f>
        <v>0.96153130711796331</v>
      </c>
      <c r="AK29" s="313">
        <f>365*AJ29*AB29</f>
        <v>2.7478372318677593</v>
      </c>
      <c r="AL29" s="313">
        <f>AL$20+AK29/5.615</f>
        <v>0.48937439570218327</v>
      </c>
      <c r="AM29" s="313">
        <f>AM$20+5.615*AL29</f>
        <v>83.840451694698942</v>
      </c>
    </row>
    <row r="30" spans="2:39" x14ac:dyDescent="0.25">
      <c r="B30" s="1">
        <f t="shared" ref="B30:B52" si="64">B29-100</f>
        <v>4600</v>
      </c>
      <c r="C30" s="170">
        <f t="shared" si="51"/>
        <v>1.40692386</v>
      </c>
      <c r="D30" s="122">
        <v>120.569011576135</v>
      </c>
      <c r="E30">
        <f t="shared" si="52"/>
        <v>0.71958426860000002</v>
      </c>
      <c r="F30">
        <f t="shared" si="53"/>
        <v>2.3266040000000002E-2</v>
      </c>
      <c r="G30" s="122">
        <f t="shared" si="54"/>
        <v>3.606523204101114E-3</v>
      </c>
      <c r="H30" s="184">
        <f t="shared" si="55"/>
        <v>2.2546400000000001E-2</v>
      </c>
      <c r="I30" s="184">
        <f t="shared" si="56"/>
        <v>4.1670415247117183E-3</v>
      </c>
      <c r="J30" s="155">
        <f>Data!D$14</f>
        <v>1.49E-5</v>
      </c>
      <c r="K30" s="385">
        <f>L30/Data!D$21</f>
        <v>7.0946041033757984E-2</v>
      </c>
      <c r="L30" s="201">
        <f t="shared" si="57"/>
        <v>9.2087961261817869E-2</v>
      </c>
      <c r="M30" s="201">
        <f>Data!D$21-L30</f>
        <v>1.2059120387381821</v>
      </c>
      <c r="N30" s="205">
        <v>0</v>
      </c>
      <c r="O30" s="206">
        <f>30.4*Data!N$5*Data!O$5/5.615</f>
        <v>47.102404274265361</v>
      </c>
      <c r="P30" s="206">
        <f t="shared" si="58"/>
        <v>47.102404274265361</v>
      </c>
      <c r="Q30" s="160"/>
      <c r="R30" s="163"/>
      <c r="S30" s="158"/>
      <c r="T30" s="162"/>
      <c r="U30" s="166"/>
      <c r="V30" s="199"/>
      <c r="W30" s="342">
        <f>Data!D$42/(141.2*C30*E30*LN(Data!D$47))</f>
        <v>0.10931960574719972</v>
      </c>
      <c r="X30" s="198">
        <f>W30*(B30-Data!D$43)</f>
        <v>284.23097494271929</v>
      </c>
      <c r="Y30" s="105">
        <f t="shared" si="59"/>
        <v>2.1851570631683686E-3</v>
      </c>
      <c r="Z30" s="105">
        <f t="shared" si="60"/>
        <v>2.6408779420966444E-3</v>
      </c>
      <c r="AA30" s="201">
        <f t="shared" si="61"/>
        <v>1.8205404657431652</v>
      </c>
      <c r="AB30" s="201">
        <f t="shared" ref="AB30:AB38" si="65">LN(X$20/X30)/AA30</f>
        <v>2.4883409260742586E-2</v>
      </c>
      <c r="AC30" s="202">
        <f t="shared" si="62"/>
        <v>3.168405106767779</v>
      </c>
      <c r="AD30" s="317">
        <f>1000000*(P30-AL29)*I30/Data!D$48</f>
        <v>5.8241334048626123E-2</v>
      </c>
      <c r="AE30" s="213">
        <f>1-AD30-Data!D$13</f>
        <v>0.44575866595137392</v>
      </c>
      <c r="AF30" s="215">
        <f>(AD30-Data!D$27)/(1-Data!D$27-Data!D$19-Data!D$13)</f>
        <v>0.19158333568627012</v>
      </c>
      <c r="AG30" s="33">
        <f>Data!D$29*AF30</f>
        <v>0.19158333568627012</v>
      </c>
      <c r="AH30" s="33">
        <f>Data!D$28*(1-AF30)</f>
        <v>0.80841666431372983</v>
      </c>
      <c r="AI30" s="246">
        <f t="shared" ref="AI30:AI40" si="66">5.615*(D30+(E30*C30*AG30)/(5.615*H30*I30*AH30))</f>
        <v>3230.6939188807332</v>
      </c>
      <c r="AJ30" s="268">
        <f t="shared" si="63"/>
        <v>0.91826328230498522</v>
      </c>
      <c r="AK30" s="313">
        <f t="shared" ref="AK30:AK38" si="67">365*AJ30*AB30</f>
        <v>8.3400751878883295</v>
      </c>
      <c r="AL30" s="313">
        <f t="shared" ref="AL30:AL38" si="68">AL$20+AK30/5.615</f>
        <v>1.4853206033639055</v>
      </c>
      <c r="AM30" s="313">
        <f t="shared" ref="AM30:AM38" si="69">AM$20+5.615*AL30</f>
        <v>89.43268965071951</v>
      </c>
    </row>
    <row r="31" spans="2:39" x14ac:dyDescent="0.25">
      <c r="B31" s="1">
        <f t="shared" si="64"/>
        <v>4500</v>
      </c>
      <c r="C31" s="170">
        <f t="shared" si="51"/>
        <v>1.4084528599999999</v>
      </c>
      <c r="D31" s="122">
        <v>120.569011576135</v>
      </c>
      <c r="E31">
        <f t="shared" si="52"/>
        <v>0.71403997860000001</v>
      </c>
      <c r="F31">
        <f t="shared" si="53"/>
        <v>2.3030040000000002E-2</v>
      </c>
      <c r="G31" s="122">
        <f t="shared" si="54"/>
        <v>3.6886571506179284E-3</v>
      </c>
      <c r="H31" s="184">
        <f t="shared" si="55"/>
        <v>2.231E-2</v>
      </c>
      <c r="I31" s="184">
        <f t="shared" si="56"/>
        <v>4.2520657888098475E-3</v>
      </c>
      <c r="J31" s="155">
        <f>Data!D$14</f>
        <v>1.49E-5</v>
      </c>
      <c r="K31" s="385">
        <f>L31/Data!D$21</f>
        <v>7.2327435935797366E-2</v>
      </c>
      <c r="L31" s="201">
        <f t="shared" si="57"/>
        <v>9.3881011844664991E-2</v>
      </c>
      <c r="M31" s="201">
        <f>Data!D$21-L31</f>
        <v>1.2041189881553351</v>
      </c>
      <c r="N31" s="205">
        <v>0</v>
      </c>
      <c r="O31" s="206">
        <f>30.4*Data!N$5*Data!O$5/5.615</f>
        <v>47.102404274265361</v>
      </c>
      <c r="P31" s="206">
        <f t="shared" si="58"/>
        <v>47.102404274265361</v>
      </c>
      <c r="Q31" s="160"/>
      <c r="R31" s="163"/>
      <c r="S31" s="158"/>
      <c r="T31" s="162"/>
      <c r="U31" s="166"/>
      <c r="V31" s="199"/>
      <c r="W31" s="342">
        <f>Data!D$42/(141.2*C31*E31*LN(Data!D$47))</f>
        <v>0.11004883963568925</v>
      </c>
      <c r="X31" s="198">
        <f>W31*(B31-Data!D$43)</f>
        <v>275.12209908922313</v>
      </c>
      <c r="Y31" s="105">
        <f t="shared" si="59"/>
        <v>3.6687913816162397E-3</v>
      </c>
      <c r="Z31" s="105">
        <f t="shared" si="60"/>
        <v>4.4339285249437761E-3</v>
      </c>
      <c r="AA31" s="201">
        <f t="shared" si="61"/>
        <v>1.8341668792021628</v>
      </c>
      <c r="AB31" s="201">
        <f t="shared" si="65"/>
        <v>4.2457127658783449E-2</v>
      </c>
      <c r="AC31" s="202">
        <f t="shared" si="62"/>
        <v>3.1859788251658197</v>
      </c>
      <c r="AD31" s="317">
        <f>1000000*(P31-AL30)*I31/Data!D$48</f>
        <v>5.8159899198323844E-2</v>
      </c>
      <c r="AE31" s="213">
        <f>1-AD31-Data!D$13</f>
        <v>0.44584010080167613</v>
      </c>
      <c r="AF31" s="215">
        <f>(AD31-Data!D$27)/(1-Data!D$27-Data!D$19-Data!D$13)</f>
        <v>0.19131545788922313</v>
      </c>
      <c r="AG31" s="33">
        <f>Data!D$29*AF31</f>
        <v>0.19131545788922313</v>
      </c>
      <c r="AH31" s="33">
        <f>Data!D$28*(1-AF31)</f>
        <v>0.80868454211077689</v>
      </c>
      <c r="AI31" s="246">
        <f t="shared" si="66"/>
        <v>3185.0451628440642</v>
      </c>
      <c r="AJ31" s="268">
        <f t="shared" si="63"/>
        <v>0.8762763108956354</v>
      </c>
      <c r="AK31" s="313">
        <f t="shared" si="67"/>
        <v>13.57952394656329</v>
      </c>
      <c r="AL31" s="313">
        <f t="shared" si="68"/>
        <v>2.418437034116347</v>
      </c>
      <c r="AM31" s="313">
        <f t="shared" si="69"/>
        <v>94.672138409394464</v>
      </c>
    </row>
    <row r="32" spans="2:39" x14ac:dyDescent="0.25">
      <c r="B32" s="1">
        <f t="shared" si="64"/>
        <v>4400</v>
      </c>
      <c r="C32" s="170">
        <f t="shared" si="51"/>
        <v>1.4099818599999998</v>
      </c>
      <c r="D32" s="122">
        <v>120.569011576135</v>
      </c>
      <c r="E32">
        <f t="shared" si="52"/>
        <v>0.70849568860000001</v>
      </c>
      <c r="F32">
        <f t="shared" si="53"/>
        <v>2.2794040000000002E-2</v>
      </c>
      <c r="G32" s="122">
        <f t="shared" si="54"/>
        <v>3.7745713090349938E-3</v>
      </c>
      <c r="H32" s="184">
        <f t="shared" si="55"/>
        <v>2.2074400000000001E-2</v>
      </c>
      <c r="I32" s="184">
        <f t="shared" si="56"/>
        <v>4.3407948969773243E-3</v>
      </c>
      <c r="J32" s="155">
        <f>Data!D$14</f>
        <v>1.49E-5</v>
      </c>
      <c r="K32" s="385">
        <f>L32/Data!D$21</f>
        <v>7.3705834837866649E-2</v>
      </c>
      <c r="L32" s="201">
        <f t="shared" si="57"/>
        <v>9.5670173619550908E-2</v>
      </c>
      <c r="M32" s="201">
        <f>Data!D$21-L32</f>
        <v>1.2023298263804492</v>
      </c>
      <c r="N32" s="205">
        <v>0</v>
      </c>
      <c r="O32" s="206">
        <f>30.4*Data!N$5*Data!O$5/5.615</f>
        <v>47.102404274265361</v>
      </c>
      <c r="P32" s="206">
        <f t="shared" si="58"/>
        <v>47.102404274265361</v>
      </c>
      <c r="Q32" s="160"/>
      <c r="R32" s="163"/>
      <c r="S32" s="158"/>
      <c r="T32" s="162"/>
      <c r="U32" s="166"/>
      <c r="V32" s="199"/>
      <c r="W32" s="342">
        <f>Data!D$42/(141.2*C32*E32*LN(Data!D$47))</f>
        <v>0.11078974809090547</v>
      </c>
      <c r="X32" s="198">
        <f>W32*(B32-Data!D$43)</f>
        <v>265.89539541817311</v>
      </c>
      <c r="Y32" s="105">
        <f t="shared" si="59"/>
        <v>5.1492079609750342E-3</v>
      </c>
      <c r="Z32" s="105">
        <f t="shared" si="60"/>
        <v>6.2230902998296894E-3</v>
      </c>
      <c r="AA32" s="201">
        <f t="shared" si="61"/>
        <v>1.8480065580037568</v>
      </c>
      <c r="AB32" s="201">
        <f t="shared" si="65"/>
        <v>6.0597984103021328E-2</v>
      </c>
      <c r="AC32" s="202">
        <f t="shared" si="62"/>
        <v>3.2041196816100577</v>
      </c>
      <c r="AD32" s="317">
        <f>1000000*(P32-AL31)*I32/Data!D$48</f>
        <v>5.8159028482874492E-2</v>
      </c>
      <c r="AE32" s="213">
        <f>1-AD32-Data!D$13</f>
        <v>0.44584097151712554</v>
      </c>
      <c r="AF32" s="215">
        <f>(AD32-Data!D$27)/(1-Data!D$27-Data!D$19-Data!D$13)</f>
        <v>0.19131259369366607</v>
      </c>
      <c r="AG32" s="33">
        <f>Data!D$29*AF32</f>
        <v>0.19131259369366607</v>
      </c>
      <c r="AH32" s="33">
        <f>Data!D$28*(1-AF32)</f>
        <v>0.80868740630633396</v>
      </c>
      <c r="AI32" s="246">
        <f t="shared" si="66"/>
        <v>3143.3491776269166</v>
      </c>
      <c r="AJ32" s="268">
        <f t="shared" si="63"/>
        <v>0.83580207252249816</v>
      </c>
      <c r="AK32" s="313">
        <f t="shared" si="67"/>
        <v>18.486491056956577</v>
      </c>
      <c r="AL32" s="313">
        <f t="shared" si="68"/>
        <v>3.2923403485229876</v>
      </c>
      <c r="AM32" s="313">
        <f t="shared" si="69"/>
        <v>99.57910551978776</v>
      </c>
    </row>
    <row r="33" spans="2:39" x14ac:dyDescent="0.25">
      <c r="B33" s="1">
        <f t="shared" si="64"/>
        <v>4300</v>
      </c>
      <c r="C33" s="170">
        <f t="shared" si="51"/>
        <v>1.4115108599999999</v>
      </c>
      <c r="D33" s="122">
        <v>120.569011576135</v>
      </c>
      <c r="E33">
        <f t="shared" si="52"/>
        <v>0.7029513986</v>
      </c>
      <c r="F33">
        <f t="shared" si="53"/>
        <v>2.2558040000000001E-2</v>
      </c>
      <c r="G33" s="122">
        <f t="shared" si="54"/>
        <v>3.8645316471736368E-3</v>
      </c>
      <c r="H33" s="184">
        <f t="shared" si="55"/>
        <v>2.1839600000000001E-2</v>
      </c>
      <c r="I33" s="184">
        <f t="shared" si="56"/>
        <v>4.4334801146330219E-3</v>
      </c>
      <c r="J33" s="155">
        <f>Data!D$14</f>
        <v>1.49E-5</v>
      </c>
      <c r="K33" s="385">
        <f>L33/Data!D$21</f>
        <v>7.508124747609482E-2</v>
      </c>
      <c r="L33" s="201">
        <f t="shared" si="57"/>
        <v>9.7455459223971072E-2</v>
      </c>
      <c r="M33" s="201">
        <f>Data!D$21-L33</f>
        <v>1.2005445407760289</v>
      </c>
      <c r="N33" s="205">
        <v>0</v>
      </c>
      <c r="O33" s="206">
        <f>30.4*Data!N$5*Data!O$5/5.615</f>
        <v>47.102404274265361</v>
      </c>
      <c r="P33" s="206">
        <f t="shared" si="58"/>
        <v>47.102404274265361</v>
      </c>
      <c r="Q33" s="160"/>
      <c r="R33" s="163"/>
      <c r="S33" s="158"/>
      <c r="T33" s="162"/>
      <c r="U33" s="166"/>
      <c r="V33" s="199"/>
      <c r="W33" s="342">
        <f>Data!D$42/(141.2*C33*E33*LN(Data!D$47))</f>
        <v>0.11154260649414262</v>
      </c>
      <c r="X33" s="198">
        <f>W33*(B33-Data!D$43)</f>
        <v>256.54799493652803</v>
      </c>
      <c r="Y33" s="105">
        <f t="shared" si="59"/>
        <v>6.6264172579614611E-3</v>
      </c>
      <c r="Z33" s="105">
        <f t="shared" si="60"/>
        <v>8.0083759042498589E-3</v>
      </c>
      <c r="AA33" s="201">
        <f t="shared" si="61"/>
        <v>1.8620645483214362</v>
      </c>
      <c r="AB33" s="201">
        <f t="shared" si="65"/>
        <v>7.9359596539748029E-2</v>
      </c>
      <c r="AC33" s="202">
        <f t="shared" si="62"/>
        <v>3.2228812940467844</v>
      </c>
      <c r="AD33" s="317">
        <f>1000000*(P33-AL32)*I33/Data!D$48</f>
        <v>5.8239120038176009E-2</v>
      </c>
      <c r="AE33" s="213">
        <f>1-AD33-Data!D$13</f>
        <v>0.44576087996182401</v>
      </c>
      <c r="AF33" s="215">
        <f>(AD33-Data!D$27)/(1-Data!D$27-Data!D$19-Data!D$13)</f>
        <v>0.19157605275715789</v>
      </c>
      <c r="AG33" s="33">
        <f>Data!D$29*AF33</f>
        <v>0.19157605275715789</v>
      </c>
      <c r="AH33" s="33">
        <f>Data!D$28*(1-AF33)</f>
        <v>0.80842394724284206</v>
      </c>
      <c r="AI33" s="246">
        <f t="shared" si="66"/>
        <v>3105.4056539880644</v>
      </c>
      <c r="AJ33" s="268">
        <f t="shared" si="63"/>
        <v>0.79668559399519545</v>
      </c>
      <c r="AK33" s="313">
        <f t="shared" si="67"/>
        <v>23.076996267598197</v>
      </c>
      <c r="AL33" s="313">
        <f t="shared" si="68"/>
        <v>4.1098835739266599</v>
      </c>
      <c r="AM33" s="313">
        <f t="shared" si="69"/>
        <v>104.16961073042938</v>
      </c>
    </row>
    <row r="34" spans="2:39" x14ac:dyDescent="0.25">
      <c r="B34" s="1">
        <f t="shared" si="64"/>
        <v>4200</v>
      </c>
      <c r="C34" s="170">
        <f t="shared" si="51"/>
        <v>1.41303986</v>
      </c>
      <c r="D34" s="122">
        <v>120.569011576135</v>
      </c>
      <c r="E34">
        <f t="shared" si="52"/>
        <v>0.69740710859999999</v>
      </c>
      <c r="F34">
        <f t="shared" si="53"/>
        <v>2.2322040000000001E-2</v>
      </c>
      <c r="G34" s="122">
        <f t="shared" si="54"/>
        <v>3.95882962583082E-3</v>
      </c>
      <c r="H34" s="184">
        <f t="shared" si="55"/>
        <v>2.1605600000000003E-2</v>
      </c>
      <c r="I34" s="184">
        <f t="shared" si="56"/>
        <v>4.5303961304867619E-3</v>
      </c>
      <c r="J34" s="155">
        <f>Data!D$14</f>
        <v>1.49E-5</v>
      </c>
      <c r="K34" s="385">
        <f>L34/Data!D$21</f>
        <v>7.6453683544470463E-2</v>
      </c>
      <c r="L34" s="201">
        <f t="shared" si="57"/>
        <v>9.9236881240722663E-2</v>
      </c>
      <c r="M34" s="201">
        <f>Data!D$21-L34</f>
        <v>1.1987631187592773</v>
      </c>
      <c r="N34" s="205">
        <v>0</v>
      </c>
      <c r="O34" s="206">
        <f>30.4*Data!N$5*Data!O$5/5.615</f>
        <v>47.102404274265361</v>
      </c>
      <c r="P34" s="206">
        <f t="shared" si="58"/>
        <v>47.102404274265361</v>
      </c>
      <c r="Q34" s="160"/>
      <c r="R34" s="163"/>
      <c r="S34" s="158"/>
      <c r="T34" s="162"/>
      <c r="U34" s="166"/>
      <c r="V34" s="199"/>
      <c r="W34" s="342">
        <f>Data!D$42/(141.2*C34*E34*LN(Data!D$47))</f>
        <v>0.11230769898740299</v>
      </c>
      <c r="X34" s="198">
        <f>W34*(B34-Data!D$43)</f>
        <v>247.07693777228658</v>
      </c>
      <c r="Y34" s="105">
        <f t="shared" si="59"/>
        <v>8.10042968403288E-3</v>
      </c>
      <c r="Z34" s="105">
        <f t="shared" si="60"/>
        <v>9.7897979210014464E-3</v>
      </c>
      <c r="AA34" s="201">
        <f t="shared" si="61"/>
        <v>1.8763460567942301</v>
      </c>
      <c r="AB34" s="201">
        <f t="shared" si="65"/>
        <v>9.8803030177621029E-2</v>
      </c>
      <c r="AC34" s="202">
        <f t="shared" si="62"/>
        <v>3.2423247276846574</v>
      </c>
      <c r="AD34" s="317">
        <f>1000000*(P34-AL33)*I34/Data!D$48</f>
        <v>5.840166642136603E-2</v>
      </c>
      <c r="AE34" s="213">
        <f>1-AD34-Data!D$13</f>
        <v>0.44559833357863399</v>
      </c>
      <c r="AF34" s="215">
        <f>(AD34-Data!D$27)/(1-Data!D$27-Data!D$19-Data!D$13)</f>
        <v>0.19211074480712506</v>
      </c>
      <c r="AG34" s="33">
        <f>Data!D$29*AF34</f>
        <v>0.19211074480712506</v>
      </c>
      <c r="AH34" s="33">
        <f>Data!D$28*(1-AF34)</f>
        <v>0.80788925519287491</v>
      </c>
      <c r="AI34" s="246">
        <f t="shared" si="66"/>
        <v>3071.0719053593143</v>
      </c>
      <c r="AJ34" s="268">
        <f t="shared" si="63"/>
        <v>0.75879104205468084</v>
      </c>
      <c r="AK34" s="313">
        <f t="shared" si="67"/>
        <v>27.364361792722555</v>
      </c>
      <c r="AL34" s="313">
        <f t="shared" si="68"/>
        <v>4.8734393219452459</v>
      </c>
      <c r="AM34" s="313">
        <f t="shared" si="69"/>
        <v>108.45697625555374</v>
      </c>
    </row>
    <row r="35" spans="2:39" x14ac:dyDescent="0.25">
      <c r="B35" s="1">
        <f t="shared" si="64"/>
        <v>4100</v>
      </c>
      <c r="C35" s="170">
        <f t="shared" si="51"/>
        <v>1.4145688599999999</v>
      </c>
      <c r="D35" s="122">
        <v>120.569011576135</v>
      </c>
      <c r="E35">
        <f t="shared" si="52"/>
        <v>0.69186281859999998</v>
      </c>
      <c r="F35">
        <f t="shared" si="53"/>
        <v>2.2086040000000001E-2</v>
      </c>
      <c r="G35" s="122">
        <f t="shared" si="54"/>
        <v>4.0577853238507487E-3</v>
      </c>
      <c r="H35" s="184">
        <f t="shared" si="55"/>
        <v>2.13724E-2</v>
      </c>
      <c r="I35" s="184">
        <f t="shared" si="56"/>
        <v>4.6318438640526533E-3</v>
      </c>
      <c r="J35" s="155">
        <f>Data!D$14</f>
        <v>1.49E-5</v>
      </c>
      <c r="K35" s="385">
        <f>L35/Data!D$21</f>
        <v>7.7823152695069411E-2</v>
      </c>
      <c r="L35" s="201">
        <f t="shared" si="57"/>
        <v>0.1010144521982001</v>
      </c>
      <c r="M35" s="201">
        <f>Data!D$21-L35</f>
        <v>1.1969855478017999</v>
      </c>
      <c r="N35" s="205">
        <v>0</v>
      </c>
      <c r="O35" s="206">
        <f>30.4*Data!N$5*Data!O$5/5.615</f>
        <v>47.102404274265361</v>
      </c>
      <c r="P35" s="206">
        <f t="shared" si="58"/>
        <v>47.102404274265361</v>
      </c>
      <c r="Q35" s="160"/>
      <c r="R35" s="163"/>
      <c r="S35" s="158"/>
      <c r="T35" s="162"/>
      <c r="U35" s="166"/>
      <c r="V35" s="199"/>
      <c r="W35" s="342">
        <f>Data!D$42/(141.2*C35*E35*LN(Data!D$47))</f>
        <v>0.11308531882439941</v>
      </c>
      <c r="X35" s="198">
        <f>W35*(B35-Data!D$43)</f>
        <v>237.47916953123877</v>
      </c>
      <c r="Y35" s="105">
        <f t="shared" si="59"/>
        <v>9.5712556056318839E-3</v>
      </c>
      <c r="Z35" s="105">
        <f t="shared" si="60"/>
        <v>1.1567368878478881E-2</v>
      </c>
      <c r="AA35" s="201">
        <f t="shared" si="61"/>
        <v>1.8908564569561894</v>
      </c>
      <c r="AB35" s="201">
        <f t="shared" si="65"/>
        <v>0.11899821371210607</v>
      </c>
      <c r="AC35" s="202">
        <f t="shared" si="62"/>
        <v>3.2625199112191425</v>
      </c>
      <c r="AD35" s="317">
        <f>1000000*(P35-AL34)*I35/Data!D$48</f>
        <v>5.8648985032477875E-2</v>
      </c>
      <c r="AE35" s="213">
        <f>1-AD35-Data!D$13</f>
        <v>0.44535101496752216</v>
      </c>
      <c r="AF35" s="215">
        <f>(AD35-Data!D$27)/(1-Data!D$27-Data!D$19-Data!D$13)</f>
        <v>0.19292429286999299</v>
      </c>
      <c r="AG35" s="33">
        <f>Data!D$29*AF35</f>
        <v>0.19292429286999299</v>
      </c>
      <c r="AH35" s="33">
        <f>Data!D$28*(1-AF35)</f>
        <v>0.80707570713000698</v>
      </c>
      <c r="AI35" s="246">
        <f t="shared" si="66"/>
        <v>3040.2442135742576</v>
      </c>
      <c r="AJ35" s="268">
        <f t="shared" si="63"/>
        <v>0.72199467101176884</v>
      </c>
      <c r="AK35" s="313">
        <f t="shared" si="67"/>
        <v>31.359367798421967</v>
      </c>
      <c r="AL35" s="313">
        <f t="shared" si="68"/>
        <v>5.5849274796833424</v>
      </c>
      <c r="AM35" s="313">
        <f t="shared" si="69"/>
        <v>112.45198226125315</v>
      </c>
    </row>
    <row r="36" spans="2:39" x14ac:dyDescent="0.25">
      <c r="B36" s="1">
        <f t="shared" si="64"/>
        <v>4000</v>
      </c>
      <c r="C36" s="170">
        <f t="shared" si="51"/>
        <v>1.4160978599999998</v>
      </c>
      <c r="D36" s="122">
        <v>120.569011576135</v>
      </c>
      <c r="E36">
        <f t="shared" si="52"/>
        <v>0.68631852859999998</v>
      </c>
      <c r="F36">
        <f t="shared" si="53"/>
        <v>2.1850040000000001E-2</v>
      </c>
      <c r="G36" s="122">
        <f t="shared" si="54"/>
        <v>4.1617510340148534E-3</v>
      </c>
      <c r="H36" s="184">
        <f t="shared" si="55"/>
        <v>2.1139999999999999E-2</v>
      </c>
      <c r="I36" s="184">
        <f t="shared" si="56"/>
        <v>4.7381536881952058E-3</v>
      </c>
      <c r="J36" s="155">
        <f>Data!D$14</f>
        <v>1.49E-5</v>
      </c>
      <c r="K36" s="385">
        <f>L36/Data!D$21</f>
        <v>7.9189664538281052E-2</v>
      </c>
      <c r="L36" s="201">
        <f t="shared" si="57"/>
        <v>0.10278818457068881</v>
      </c>
      <c r="M36" s="201">
        <f>Data!D$21-L36</f>
        <v>1.1952118154293112</v>
      </c>
      <c r="N36" s="205">
        <v>0</v>
      </c>
      <c r="O36" s="206">
        <f>30.4*Data!N$5*Data!O$5/5.615</f>
        <v>47.102404274265361</v>
      </c>
      <c r="P36" s="206">
        <f t="shared" si="58"/>
        <v>47.102404274265361</v>
      </c>
      <c r="Q36" s="160"/>
      <c r="R36" s="163"/>
      <c r="S36" s="158"/>
      <c r="T36" s="162"/>
      <c r="U36" s="166"/>
      <c r="V36" s="199"/>
      <c r="W36" s="342">
        <f>Data!D$42/(141.2*C36*E36*LN(Data!D$47))</f>
        <v>0.11387576873857055</v>
      </c>
      <c r="X36" s="198">
        <f>W36*(B36-Data!D$43)</f>
        <v>227.75153747714111</v>
      </c>
      <c r="Y36" s="105">
        <f t="shared" si="59"/>
        <v>1.1038905344429337E-2</v>
      </c>
      <c r="Z36" s="105">
        <f t="shared" si="60"/>
        <v>1.3341101250967593E-2</v>
      </c>
      <c r="AA36" s="201">
        <f t="shared" si="61"/>
        <v>1.9056012959775464</v>
      </c>
      <c r="AB36" s="201">
        <f t="shared" si="65"/>
        <v>0.14002570573296355</v>
      </c>
      <c r="AC36" s="202">
        <f t="shared" si="62"/>
        <v>3.2835474032400001</v>
      </c>
      <c r="AD36" s="317">
        <f>1000000*(P36-AL35)*I36/Data!D$48</f>
        <v>5.8984275280631937E-2</v>
      </c>
      <c r="AE36" s="213">
        <f>1-AD36-Data!D$13</f>
        <v>0.44501572471936801</v>
      </c>
      <c r="AF36" s="215">
        <f>(AD36-Data!D$27)/(1-Data!D$27-Data!D$19-Data!D$13)</f>
        <v>0.19402722131786818</v>
      </c>
      <c r="AG36" s="33">
        <f>Data!D$29*AF36</f>
        <v>0.19402722131786818</v>
      </c>
      <c r="AH36" s="33">
        <f>Data!D$28*(1-AF36)</f>
        <v>0.8059727786821318</v>
      </c>
      <c r="AI36" s="246">
        <f t="shared" si="66"/>
        <v>3012.8568510474224</v>
      </c>
      <c r="AJ36" s="268">
        <f t="shared" si="63"/>
        <v>0.68618278002458832</v>
      </c>
      <c r="AK36" s="313">
        <f t="shared" si="67"/>
        <v>35.070378232683701</v>
      </c>
      <c r="AL36" s="313">
        <f t="shared" si="68"/>
        <v>6.2458376193559575</v>
      </c>
      <c r="AM36" s="313">
        <f t="shared" si="69"/>
        <v>116.16299269551487</v>
      </c>
    </row>
    <row r="37" spans="2:39" x14ac:dyDescent="0.25">
      <c r="B37" s="1">
        <f>B36-100</f>
        <v>3900</v>
      </c>
      <c r="C37" s="170">
        <f t="shared" si="51"/>
        <v>1.4176268599999999</v>
      </c>
      <c r="D37" s="122">
        <v>120.569011576135</v>
      </c>
      <c r="E37">
        <f t="shared" si="52"/>
        <v>0.68077423859999997</v>
      </c>
      <c r="F37">
        <f t="shared" si="53"/>
        <v>2.1614040000000001E-2</v>
      </c>
      <c r="G37" s="122">
        <f t="shared" si="54"/>
        <v>4.2711154145782622E-3</v>
      </c>
      <c r="H37" s="184">
        <f t="shared" si="55"/>
        <v>2.0908400000000001E-2</v>
      </c>
      <c r="I37" s="184">
        <f t="shared" si="56"/>
        <v>4.8496891402654329E-3</v>
      </c>
      <c r="J37" s="155">
        <f>Data!D$14</f>
        <v>1.49E-5</v>
      </c>
      <c r="K37" s="385">
        <f>L37/Data!D$21</f>
        <v>8.0553228643033117E-2</v>
      </c>
      <c r="L37" s="201">
        <f t="shared" si="57"/>
        <v>0.10455809077865699</v>
      </c>
      <c r="M37" s="201">
        <f>Data!D$21-L37</f>
        <v>1.1934419092213431</v>
      </c>
      <c r="N37" s="205">
        <v>0</v>
      </c>
      <c r="O37" s="206">
        <f>30.4*Data!N$5*Data!O$5/5.615</f>
        <v>47.102404274265361</v>
      </c>
      <c r="P37" s="206">
        <f t="shared" si="58"/>
        <v>47.102404274265361</v>
      </c>
      <c r="Q37" s="160"/>
      <c r="R37" s="163"/>
      <c r="S37" s="158"/>
      <c r="T37" s="162"/>
      <c r="U37" s="166"/>
      <c r="V37" s="199"/>
      <c r="W37" s="342">
        <f>Data!D$42/(141.2*C37*E37*LN(Data!D$47))</f>
        <v>0.11467936132907959</v>
      </c>
      <c r="X37" s="198">
        <f>W37*(B37-Data!D$43)</f>
        <v>217.89078652525123</v>
      </c>
      <c r="Y37" s="105">
        <f t="shared" si="59"/>
        <v>1.2503389177565797E-2</v>
      </c>
      <c r="Z37" s="105">
        <f t="shared" si="60"/>
        <v>1.5111007458935777E-2</v>
      </c>
      <c r="AA37" s="201">
        <f t="shared" si="61"/>
        <v>1.9205863017352551</v>
      </c>
      <c r="AB37" s="201">
        <f t="shared" si="65"/>
        <v>0.16197892011357234</v>
      </c>
      <c r="AC37" s="202">
        <f t="shared" si="62"/>
        <v>3.3055006176206088</v>
      </c>
      <c r="AD37" s="317">
        <f>1000000*(P37-AL36)*I37/Data!D$48</f>
        <v>5.9411692230679783E-2</v>
      </c>
      <c r="AE37" s="213">
        <f>1-AD37-Data!D$13</f>
        <v>0.44458830776932023</v>
      </c>
      <c r="AF37" s="215">
        <f>(AD37-Data!D$27)/(1-Data!D$27-Data!D$19-Data!D$13)</f>
        <v>0.19543319812723609</v>
      </c>
      <c r="AG37" s="33">
        <f>Data!D$29*AF37</f>
        <v>0.19543319812723609</v>
      </c>
      <c r="AH37" s="33">
        <f>Data!D$28*(1-AF37)</f>
        <v>0.80456680187276386</v>
      </c>
      <c r="AI37" s="246">
        <f t="shared" si="66"/>
        <v>2988.8818513191768</v>
      </c>
      <c r="AJ37" s="268">
        <f t="shared" si="63"/>
        <v>0.65124981741498444</v>
      </c>
      <c r="AK37" s="313">
        <f t="shared" si="67"/>
        <v>38.503390884399728</v>
      </c>
      <c r="AL37" s="313">
        <f t="shared" si="68"/>
        <v>6.8572379135173156</v>
      </c>
      <c r="AM37" s="313">
        <f t="shared" si="69"/>
        <v>119.59600534723091</v>
      </c>
    </row>
    <row r="38" spans="2:39" x14ac:dyDescent="0.25">
      <c r="B38" s="1">
        <f t="shared" si="64"/>
        <v>3800</v>
      </c>
      <c r="C38" s="170">
        <f t="shared" si="51"/>
        <v>1.4191558599999998</v>
      </c>
      <c r="D38" s="122">
        <v>120.569011576135</v>
      </c>
      <c r="E38">
        <f t="shared" si="52"/>
        <v>0.67522994859999996</v>
      </c>
      <c r="F38">
        <f t="shared" si="53"/>
        <v>2.1378040000000001E-2</v>
      </c>
      <c r="G38" s="122">
        <f t="shared" si="54"/>
        <v>4.3863082991995464E-3</v>
      </c>
      <c r="H38" s="184">
        <f t="shared" si="55"/>
        <v>2.0677600000000001E-2</v>
      </c>
      <c r="I38" s="184">
        <f t="shared" si="56"/>
        <v>4.9668512106970184E-3</v>
      </c>
      <c r="J38" s="155">
        <f>Data!D$14</f>
        <v>1.49E-5</v>
      </c>
      <c r="K38" s="385">
        <f>L38/Data!D$21</f>
        <v>8.1913854537015079E-2</v>
      </c>
      <c r="L38" s="201">
        <f t="shared" si="57"/>
        <v>0.10632418318904557</v>
      </c>
      <c r="M38" s="201">
        <f>Data!D$21-L38</f>
        <v>1.1916758168109545</v>
      </c>
      <c r="N38" s="205">
        <v>0</v>
      </c>
      <c r="O38" s="206">
        <f>30.4*Data!N$5*Data!O$5/5.615</f>
        <v>47.102404274265361</v>
      </c>
      <c r="P38" s="206">
        <f t="shared" si="58"/>
        <v>47.102404274265361</v>
      </c>
      <c r="Q38" s="160"/>
      <c r="R38" s="163"/>
      <c r="S38" s="158"/>
      <c r="T38" s="162"/>
      <c r="U38" s="166"/>
      <c r="V38" s="199"/>
      <c r="W38" s="342">
        <f>Data!D$42/(141.2*C38*E38*LN(Data!D$47))</f>
        <v>0.11549641946582941</v>
      </c>
      <c r="X38" s="198">
        <f>W38*(B38-Data!D$43)</f>
        <v>207.89355503849293</v>
      </c>
      <c r="Y38" s="105">
        <f t="shared" si="59"/>
        <v>1.3964717337891432E-2</v>
      </c>
      <c r="Z38" s="105">
        <f t="shared" si="60"/>
        <v>1.6877099869324348E-2</v>
      </c>
      <c r="AA38" s="201">
        <f t="shared" si="61"/>
        <v>1.93581739023187</v>
      </c>
      <c r="AB38" s="201">
        <f t="shared" si="65"/>
        <v>0.18496696066182314</v>
      </c>
      <c r="AC38" s="202">
        <f t="shared" si="62"/>
        <v>3.3284886581688595</v>
      </c>
      <c r="AD38" s="317">
        <f>1000000*(P38-AL37)*I38/Data!D$48</f>
        <v>5.9936451863123102E-2</v>
      </c>
      <c r="AE38" s="213">
        <f>1-AD38-Data!D$13</f>
        <v>0.44406354813687687</v>
      </c>
      <c r="AF38" s="215">
        <f>(AD38-Data!D$27)/(1-Data!D$27-Data!D$19-Data!D$13)</f>
        <v>0.19715938112869438</v>
      </c>
      <c r="AG38" s="33">
        <f>Data!D$29*AF38</f>
        <v>0.19715938112869438</v>
      </c>
      <c r="AH38" s="33">
        <f>Data!D$28*(1-AF38)</f>
        <v>0.80284061887130564</v>
      </c>
      <c r="AI38" s="246">
        <f t="shared" si="66"/>
        <v>2968.3301656127037</v>
      </c>
      <c r="AJ38" s="268">
        <f t="shared" si="63"/>
        <v>0.61709671065722349</v>
      </c>
      <c r="AK38" s="313">
        <f t="shared" si="67"/>
        <v>41.662013596706416</v>
      </c>
      <c r="AL38" s="313">
        <f t="shared" si="68"/>
        <v>7.4197708987901008</v>
      </c>
      <c r="AM38" s="313">
        <f t="shared" si="69"/>
        <v>122.75462805953759</v>
      </c>
    </row>
    <row r="39" spans="2:39" x14ac:dyDescent="0.25">
      <c r="B39" s="1">
        <f>B38-100</f>
        <v>3700</v>
      </c>
      <c r="C39" s="170">
        <f t="shared" ref="C39:C40" si="70" xml:space="preserve"> -0.00001529*B39 + 1.47725786</f>
        <v>1.4206848599999999</v>
      </c>
      <c r="D39" s="122">
        <v>120.569011576135</v>
      </c>
      <c r="E39">
        <f t="shared" ref="E39:E40" si="71" xml:space="preserve"> 0.0000554429*B39 + 0.4645469286</f>
        <v>0.66968565859999996</v>
      </c>
      <c r="F39">
        <f t="shared" ref="F39:F40" si="72">0.00000236*B39 + 0.01241004</f>
        <v>2.1142040000000001E-2</v>
      </c>
      <c r="G39" s="122">
        <f t="shared" ref="G39:G40" si="73">20.40472*B39^(-1.02454)</f>
        <v>4.5078062903013945E-3</v>
      </c>
      <c r="H39" s="184">
        <f t="shared" ref="H39:H40" si="74" xml:space="preserve"> 0.00000000004*B39^2 + 0.000002*B39 + 0.0125</f>
        <v>2.04476E-2</v>
      </c>
      <c r="I39" s="184">
        <f t="shared" ref="I39:I40" si="75">9.6806*B39^(-0.919)</f>
        <v>5.0900833169336204E-3</v>
      </c>
      <c r="J39" s="155">
        <f>Data!D$14</f>
        <v>1.49E-5</v>
      </c>
      <c r="K39" s="385">
        <f>L39/Data!D$21</f>
        <v>8.3271551706899968E-2</v>
      </c>
      <c r="L39" s="201">
        <f t="shared" ref="L39:L40" si="76">L$20+Z39</f>
        <v>0.10808647411555616</v>
      </c>
      <c r="M39" s="201">
        <f>Data!D$21-L39</f>
        <v>1.1899135258844438</v>
      </c>
      <c r="N39" s="205">
        <v>0</v>
      </c>
      <c r="O39" s="206">
        <f>30.4*Data!N$5*Data!O$5/5.615</f>
        <v>47.102404274265361</v>
      </c>
      <c r="P39" s="206">
        <f>N39+O39</f>
        <v>47.102404274265361</v>
      </c>
      <c r="Q39" s="160"/>
      <c r="R39" s="163"/>
      <c r="S39" s="158"/>
      <c r="T39" s="162"/>
      <c r="U39" s="166"/>
      <c r="V39" s="199"/>
      <c r="W39" s="342">
        <f>Data!D$42/(141.2*C39*E39*LN(Data!D$47))</f>
        <v>0.11632727671459628</v>
      </c>
      <c r="X39" s="198">
        <f>W39*(B39-Data!D$43)</f>
        <v>197.75637041481366</v>
      </c>
      <c r="Y39" s="105">
        <f t="shared" ref="Y39:Y40" si="77">C$20*J39*(B$20-B39)/C39</f>
        <v>1.5422900014204322E-2</v>
      </c>
      <c r="Z39" s="105">
        <f t="shared" ref="Z39:Z40" si="78">Y39*M$20</f>
        <v>1.8639390795834949E-2</v>
      </c>
      <c r="AA39" s="201">
        <f t="shared" ref="AA39:AA40" si="79">365*(X$20-X39)/(1000000*Z39)</f>
        <v>1.9513006733829681</v>
      </c>
      <c r="AB39" s="201">
        <f t="shared" ref="AB39:AB40" si="80">LN(X$20/X39)/AA39</f>
        <v>0.20911827587888571</v>
      </c>
      <c r="AC39" s="202">
        <f t="shared" ref="AC39:AC40" si="81">AC$20+AB39</f>
        <v>3.352639973385922</v>
      </c>
      <c r="AD39" s="317">
        <f>1000000*(P39-AL38)*I39/Data!D$48</f>
        <v>6.0564973061527236E-2</v>
      </c>
      <c r="AE39" s="213">
        <f>1-AD39-Data!D$13</f>
        <v>0.44343502693847281</v>
      </c>
      <c r="AF39" s="215">
        <f>(AD39-Data!D$27)/(1-Data!D$27-Data!D$19-Data!D$13)</f>
        <v>0.19922688507081324</v>
      </c>
      <c r="AG39" s="33">
        <f>Data!D$29*AF39</f>
        <v>0.19922688507081324</v>
      </c>
      <c r="AH39" s="33">
        <f>Data!D$28*(1-AF39)</f>
        <v>0.80077311492918679</v>
      </c>
      <c r="AI39" s="246">
        <f t="shared" si="66"/>
        <v>2951.2543031674704</v>
      </c>
      <c r="AJ39" s="268">
        <f t="shared" ref="AJ39:AJ40" si="82">X39*AI39/1000000</f>
        <v>0.58362933916549908</v>
      </c>
      <c r="AK39" s="313">
        <f t="shared" ref="AK39:AK40" si="83">365*AJ39*AB39</f>
        <v>44.547359822897249</v>
      </c>
      <c r="AL39" s="313">
        <f t="shared" ref="AL39:AL40" si="84">AL$20+AK39/5.615</f>
        <v>7.9336348749594388</v>
      </c>
      <c r="AM39" s="313">
        <f t="shared" ref="AM39:AM40" si="85">AM$20+5.615*AL39</f>
        <v>125.63997428572843</v>
      </c>
    </row>
    <row r="40" spans="2:39" x14ac:dyDescent="0.25">
      <c r="B40" s="1">
        <f t="shared" si="64"/>
        <v>3600</v>
      </c>
      <c r="C40" s="170">
        <f t="shared" si="70"/>
        <v>1.4222138599999998</v>
      </c>
      <c r="D40" s="122">
        <v>120.569011576135</v>
      </c>
      <c r="E40">
        <f t="shared" si="71"/>
        <v>0.66414136859999995</v>
      </c>
      <c r="F40">
        <f t="shared" si="72"/>
        <v>2.0906040000000001E-2</v>
      </c>
      <c r="G40" s="122">
        <f t="shared" si="73"/>
        <v>4.6361392887804258E-3</v>
      </c>
      <c r="H40" s="184">
        <f t="shared" si="74"/>
        <v>2.0218400000000001E-2</v>
      </c>
      <c r="I40" s="184">
        <f t="shared" si="75"/>
        <v>5.2198770942607498E-3</v>
      </c>
      <c r="J40" s="155">
        <f>Data!D$14</f>
        <v>1.49E-5</v>
      </c>
      <c r="K40" s="385">
        <f>L40/Data!D$21</f>
        <v>8.4626329598564989E-2</v>
      </c>
      <c r="L40" s="201">
        <f t="shared" si="76"/>
        <v>0.10984497581893736</v>
      </c>
      <c r="M40" s="201">
        <f>Data!D$21-L40</f>
        <v>1.1881550241810628</v>
      </c>
      <c r="N40" s="205">
        <v>0</v>
      </c>
      <c r="O40" s="206">
        <f>30.4*Data!N$5*Data!O$5/5.615</f>
        <v>47.102404274265361</v>
      </c>
      <c r="P40" s="206">
        <f t="shared" ref="P40" si="86">N40+O40</f>
        <v>47.102404274265361</v>
      </c>
      <c r="Q40" s="160"/>
      <c r="R40" s="163"/>
      <c r="S40" s="158"/>
      <c r="T40" s="162"/>
      <c r="U40" s="166"/>
      <c r="V40" s="199"/>
      <c r="W40" s="342">
        <f>Data!D$42/(141.2*C40*E40*LN(Data!D$47))</f>
        <v>0.11717227778345843</v>
      </c>
      <c r="X40" s="198">
        <f>W40*(B40-Data!D$43)</f>
        <v>187.47564445353348</v>
      </c>
      <c r="Y40" s="105">
        <f t="shared" si="77"/>
        <v>1.6877947351487285E-2</v>
      </c>
      <c r="Z40" s="105">
        <f t="shared" si="78"/>
        <v>2.0397892499216145E-2</v>
      </c>
      <c r="AA40" s="201">
        <f t="shared" si="79"/>
        <v>1.9670424671945974</v>
      </c>
      <c r="AB40" s="201">
        <f t="shared" si="80"/>
        <v>0.23458543479633212</v>
      </c>
      <c r="AC40" s="202">
        <f t="shared" si="81"/>
        <v>3.3781071323033687</v>
      </c>
      <c r="AD40" s="317">
        <f>1000000*(P40-AL39)*I40/Data!D$48</f>
        <v>6.1305064984493764E-2</v>
      </c>
      <c r="AE40" s="213">
        <f>1-AD40-Data!D$13</f>
        <v>0.44269493501550627</v>
      </c>
      <c r="AF40" s="215">
        <f>(AD40-Data!D$27)/(1-Data!D$27-Data!D$19-Data!D$13)</f>
        <v>0.20166139797530841</v>
      </c>
      <c r="AG40" s="33">
        <f>Data!D$29*AF40</f>
        <v>0.20166139797530841</v>
      </c>
      <c r="AH40" s="33">
        <f>Data!D$28*(1-AF40)</f>
        <v>0.79833860202469165</v>
      </c>
      <c r="AI40" s="246">
        <f t="shared" si="66"/>
        <v>2937.7527176417188</v>
      </c>
      <c r="AJ40" s="268">
        <f t="shared" si="82"/>
        <v>0.55075708398500056</v>
      </c>
      <c r="AK40" s="313">
        <f t="shared" si="83"/>
        <v>47.157850355030199</v>
      </c>
      <c r="AL40" s="313">
        <f t="shared" si="84"/>
        <v>8.398548593950169</v>
      </c>
      <c r="AM40" s="313">
        <f t="shared" si="85"/>
        <v>128.25046481786137</v>
      </c>
    </row>
    <row r="41" spans="2:39" s="18" customFormat="1" x14ac:dyDescent="0.25">
      <c r="B41" s="343">
        <f t="shared" si="64"/>
        <v>3500</v>
      </c>
      <c r="C41" s="344">
        <f t="shared" ref="C41:C51" si="87" xml:space="preserve"> -0.00001529*B41 + 1.47725786</f>
        <v>1.4237428599999999</v>
      </c>
      <c r="D41" s="346">
        <v>120.569011576135</v>
      </c>
      <c r="E41" s="346">
        <f t="shared" ref="E41:E51" si="88" xml:space="preserve"> 0.0000554429*B41 + 0.4645469286</f>
        <v>0.65859707859999994</v>
      </c>
      <c r="F41" s="346">
        <f t="shared" ref="F41:F51" si="89">0.00000236*B41 + 0.01241004</f>
        <v>2.0670040000000001E-2</v>
      </c>
      <c r="G41" s="345">
        <f t="shared" ref="G41:G51" si="90">20.40472*B41^(-1.02454)</f>
        <v>4.7718981480560693E-3</v>
      </c>
      <c r="H41" s="347">
        <f t="shared" ref="H41:H51" si="91" xml:space="preserve"> 0.00000000004*B41^2 + 0.000002*B41 + 0.0125</f>
        <v>1.9990000000000001E-2</v>
      </c>
      <c r="I41" s="347">
        <f>9.6806*B41^(-0.919)</f>
        <v>5.35677916485268E-3</v>
      </c>
      <c r="J41" s="230">
        <f>Data!D$14</f>
        <v>1.49E-5</v>
      </c>
      <c r="K41" s="366">
        <f>L41/Data!D$21</f>
        <v>8.5978197617310459E-2</v>
      </c>
      <c r="L41" s="231">
        <f t="shared" ref="L41:L51" si="92">L$20+Z41</f>
        <v>0.11159970050726899</v>
      </c>
      <c r="M41" s="231">
        <f>Data!D$21-L41</f>
        <v>1.186400299492731</v>
      </c>
      <c r="N41" s="232">
        <v>0</v>
      </c>
      <c r="O41" s="348">
        <f>30.4*Data!N$5*Data!O$5/5.615</f>
        <v>47.102404274265361</v>
      </c>
      <c r="P41" s="348">
        <f t="shared" ref="P41:P51" si="93">N41+O41</f>
        <v>47.102404274265361</v>
      </c>
      <c r="Q41" s="349"/>
      <c r="R41" s="350"/>
      <c r="S41" s="351"/>
      <c r="T41" s="352"/>
      <c r="U41" s="353"/>
      <c r="V41" s="239"/>
      <c r="W41" s="382">
        <f>Data!D$42/(141.2*C41*E41*LN(Data!D$47))</f>
        <v>0.11803177899177331</v>
      </c>
      <c r="X41" s="354">
        <f>W41*(B41-Data!D$43)</f>
        <v>177.04766848765996</v>
      </c>
      <c r="Y41" s="355">
        <f t="shared" ref="Y41:Y51" si="94">C$20*J41*(B$20-B41)/C41</f>
        <v>1.8329869451143125E-2</v>
      </c>
      <c r="Z41" s="355">
        <f t="shared" ref="Z41:Z51" si="95">Y41*M$20</f>
        <v>2.2152617187547765E-2</v>
      </c>
      <c r="AA41" s="231">
        <f t="shared" ref="AA41:AA51" si="96">365*(X$20-X41)/(1000000*Z41)</f>
        <v>1.9830493003537986</v>
      </c>
      <c r="AB41" s="231">
        <f t="shared" ref="AB41:AB51" si="97">LN(X$20/X41)/AA41</f>
        <v>0.26155146181060068</v>
      </c>
      <c r="AC41" s="200">
        <f t="shared" ref="AC41:AC51" si="98">AC$20+AB41</f>
        <v>3.4050731593176371</v>
      </c>
      <c r="AD41" s="356">
        <f>1000000*(P41-AL40)*I41/Data!D$48</f>
        <v>6.2166172195550221E-2</v>
      </c>
      <c r="AE41" s="357">
        <f>1-AD41-Data!D$13</f>
        <v>0.4418338278044498</v>
      </c>
      <c r="AF41" s="225">
        <f>(AD41-Data!D$27)/(1-Data!D$27-Data!D$19-Data!D$13)</f>
        <v>0.20449398748536254</v>
      </c>
      <c r="AG41" s="358">
        <f>Data!D$29*AF41</f>
        <v>0.20449398748536254</v>
      </c>
      <c r="AH41" s="358">
        <f>Data!D$28*(1-AF41)</f>
        <v>0.79550601251463748</v>
      </c>
      <c r="AI41" s="223">
        <f>5.615*(D41+(E41*C41*AG41)/(5.615*H41*I41*AH41))</f>
        <v>2927.9763624023467</v>
      </c>
      <c r="AJ41" s="359">
        <f>X41*AI41/1000000</f>
        <v>0.51839138835031517</v>
      </c>
      <c r="AK41" s="360">
        <f>365*AJ41*AB41</f>
        <v>49.488899275763877</v>
      </c>
      <c r="AL41" s="360">
        <f>AL$20+AK41/5.615</f>
        <v>8.8136953296106633</v>
      </c>
      <c r="AM41" s="360">
        <f>AM$20+5.615*AL41</f>
        <v>130.58151373859505</v>
      </c>
    </row>
    <row r="42" spans="2:39" x14ac:dyDescent="0.25">
      <c r="B42" s="272">
        <f t="shared" si="64"/>
        <v>3400</v>
      </c>
      <c r="C42" s="273">
        <f t="shared" si="87"/>
        <v>1.4252718599999998</v>
      </c>
      <c r="D42" s="275">
        <v>120.569011576135</v>
      </c>
      <c r="E42" s="275">
        <f t="shared" si="88"/>
        <v>0.65305278860000004</v>
      </c>
      <c r="F42" s="275">
        <f t="shared" si="89"/>
        <v>2.0434040000000001E-2</v>
      </c>
      <c r="G42" s="274">
        <f t="shared" si="90"/>
        <v>4.9157436848325277E-3</v>
      </c>
      <c r="H42" s="276">
        <f t="shared" si="91"/>
        <v>1.9762399999999999E-2</v>
      </c>
      <c r="I42" s="276">
        <f t="shared" ref="I42:I51" si="99">9.6806*B42^(-0.919)</f>
        <v>5.5013990838723974E-3</v>
      </c>
      <c r="J42" s="277">
        <f>Data!D$14</f>
        <v>1.49E-5</v>
      </c>
      <c r="K42" s="386">
        <f>L42/Data!D$21</f>
        <v>8.7327165128077533E-2</v>
      </c>
      <c r="L42" s="278">
        <f t="shared" si="92"/>
        <v>0.11335066033624465</v>
      </c>
      <c r="M42" s="278">
        <f>Data!D$21-L42</f>
        <v>1.1846493396637554</v>
      </c>
      <c r="N42" s="279">
        <v>4</v>
      </c>
      <c r="O42" s="280">
        <f>30.4*Data!N$5*Data!O$5/5.615</f>
        <v>47.102404274265361</v>
      </c>
      <c r="P42" s="280">
        <f t="shared" si="93"/>
        <v>51.102404274265361</v>
      </c>
      <c r="Q42" s="281"/>
      <c r="R42" s="282"/>
      <c r="S42" s="283"/>
      <c r="T42" s="284"/>
      <c r="U42" s="285"/>
      <c r="V42" s="286"/>
      <c r="W42" s="342">
        <f>Data!D$42/(141.2*C42*E42*LN(Data!D$47))</f>
        <v>0.11890614876304469</v>
      </c>
      <c r="X42" s="288">
        <f>W42*(B42-Data!D$43)</f>
        <v>166.46860826826256</v>
      </c>
      <c r="Y42" s="289">
        <f t="shared" si="94"/>
        <v>1.9778676371228425E-2</v>
      </c>
      <c r="Z42" s="289">
        <f t="shared" si="95"/>
        <v>2.3903577016523427E-2</v>
      </c>
      <c r="AA42" s="278">
        <f t="shared" si="96"/>
        <v>1.9993279232566921</v>
      </c>
      <c r="AB42" s="278">
        <f t="shared" si="97"/>
        <v>0.29023838145291692</v>
      </c>
      <c r="AC42" s="290">
        <f t="shared" si="98"/>
        <v>3.4337600789599532</v>
      </c>
      <c r="AD42" s="318">
        <f>1000000*(P42-AL41)*I42/Data!D$48</f>
        <v>6.9757953310264562E-2</v>
      </c>
      <c r="AE42" s="291">
        <f>1-AD42-Data!D$13</f>
        <v>0.43424204668973543</v>
      </c>
      <c r="AF42" s="292">
        <f>(AD42-Data!D$27)/(1-Data!D$27-Data!D$19-Data!D$13)</f>
        <v>0.22946695167850181</v>
      </c>
      <c r="AG42" s="293">
        <f>Data!D$29*AF42</f>
        <v>0.22946695167850181</v>
      </c>
      <c r="AH42" s="293">
        <f>Data!D$28*(1-AF42)</f>
        <v>0.77053304832149816</v>
      </c>
      <c r="AI42" s="314">
        <f>5.615*(D42+(E42*C42*AG42)/(5.615*H42*I42*AH42))</f>
        <v>3226.5362250468802</v>
      </c>
      <c r="AJ42" s="315">
        <f t="shared" ref="AJ42:AJ51" si="100">X42*AI42/1000000</f>
        <v>0.53711699491068776</v>
      </c>
      <c r="AK42" s="316">
        <f t="shared" ref="AK42:AK51" si="101">365*AJ42*AB42</f>
        <v>56.900568047612403</v>
      </c>
      <c r="AL42" s="316">
        <f t="shared" ref="AL42:AL51" si="102">AL$20+AK42/5.615</f>
        <v>10.133671958613073</v>
      </c>
      <c r="AM42" s="316">
        <f t="shared" ref="AM42:AM51" si="103">AM$20+5.615*AL42</f>
        <v>137.9931825104436</v>
      </c>
    </row>
    <row r="43" spans="2:39" x14ac:dyDescent="0.25">
      <c r="B43" s="272">
        <f t="shared" si="64"/>
        <v>3300</v>
      </c>
      <c r="C43" s="273">
        <f t="shared" si="87"/>
        <v>1.4268008599999999</v>
      </c>
      <c r="D43" s="275">
        <v>120.569011576135</v>
      </c>
      <c r="E43" s="275">
        <f t="shared" si="88"/>
        <v>0.64750849860000004</v>
      </c>
      <c r="F43" s="275">
        <f t="shared" si="89"/>
        <v>2.019804E-2</v>
      </c>
      <c r="G43" s="274">
        <f t="shared" si="90"/>
        <v>5.0684173354736293E-3</v>
      </c>
      <c r="H43" s="276">
        <f t="shared" si="91"/>
        <v>1.95356E-2</v>
      </c>
      <c r="I43" s="276">
        <f t="shared" si="99"/>
        <v>5.6544187091220003E-3</v>
      </c>
      <c r="J43" s="277">
        <f>Data!D$14</f>
        <v>1.49E-5</v>
      </c>
      <c r="K43" s="386">
        <f>L43/Data!D$21</f>
        <v>8.8673241455664395E-2</v>
      </c>
      <c r="L43" s="278">
        <f t="shared" si="92"/>
        <v>0.1150978674094524</v>
      </c>
      <c r="M43" s="278">
        <f>Data!D$21-L43</f>
        <v>1.1829021325905476</v>
      </c>
      <c r="N43" s="279">
        <v>5</v>
      </c>
      <c r="O43" s="280">
        <f>30.4*Data!N$5*Data!O$5/5.615</f>
        <v>47.102404274265361</v>
      </c>
      <c r="P43" s="280">
        <f t="shared" si="93"/>
        <v>52.102404274265361</v>
      </c>
      <c r="Q43" s="281"/>
      <c r="R43" s="282"/>
      <c r="S43" s="283"/>
      <c r="T43" s="284"/>
      <c r="U43" s="285"/>
      <c r="V43" s="286"/>
      <c r="W43" s="342">
        <f>Data!D$42/(141.2*C43*E43*LN(Data!D$47))</f>
        <v>0.11979576814311024</v>
      </c>
      <c r="X43" s="288">
        <f>W43*(B43-Data!D$43)</f>
        <v>155.73449858604332</v>
      </c>
      <c r="Y43" s="289">
        <f t="shared" si="94"/>
        <v>2.1224378126685754E-2</v>
      </c>
      <c r="Z43" s="289">
        <f t="shared" si="95"/>
        <v>2.565078408973118E-2</v>
      </c>
      <c r="AA43" s="278">
        <f t="shared" si="96"/>
        <v>2.0158853175004099</v>
      </c>
      <c r="AB43" s="278">
        <f t="shared" si="97"/>
        <v>0.32091896417020899</v>
      </c>
      <c r="AC43" s="290">
        <f t="shared" si="98"/>
        <v>3.4644406616772452</v>
      </c>
      <c r="AD43" s="318">
        <f>1000000*(P43-AL42)*I43/Data!D$48</f>
        <v>7.1155744791060418E-2</v>
      </c>
      <c r="AE43" s="291">
        <f>1-AD43-Data!D$13</f>
        <v>0.43284425520893954</v>
      </c>
      <c r="AF43" s="292">
        <f>(AD43-Data!D$27)/(1-Data!D$27-Data!D$19-Data!D$13)</f>
        <v>0.23406494997059343</v>
      </c>
      <c r="AG43" s="293">
        <f>Data!D$29*AF43</f>
        <v>0.23406494997059343</v>
      </c>
      <c r="AH43" s="293">
        <f>Data!D$28*(1-AF43)</f>
        <v>0.76593505002940654</v>
      </c>
      <c r="AI43" s="314">
        <f t="shared" ref="AI43:AI52" si="104">5.615*(D43+(E43*C43*AG43)/(5.615*H43*I43*AH43))</f>
        <v>3232.8638069140784</v>
      </c>
      <c r="AJ43" s="315">
        <f t="shared" si="100"/>
        <v>0.50346842396673119</v>
      </c>
      <c r="AK43" s="316">
        <f t="shared" si="101"/>
        <v>58.973986265811014</v>
      </c>
      <c r="AL43" s="316">
        <f t="shared" si="102"/>
        <v>10.50293611145343</v>
      </c>
      <c r="AM43" s="316">
        <f t="shared" si="103"/>
        <v>140.06660072864219</v>
      </c>
    </row>
    <row r="44" spans="2:39" x14ac:dyDescent="0.25">
      <c r="B44" s="272">
        <f t="shared" si="64"/>
        <v>3200</v>
      </c>
      <c r="C44" s="273">
        <f t="shared" si="87"/>
        <v>1.4283298599999998</v>
      </c>
      <c r="D44" s="275">
        <v>120.569011576135</v>
      </c>
      <c r="E44" s="275">
        <f t="shared" si="88"/>
        <v>0.64196420860000003</v>
      </c>
      <c r="F44" s="275">
        <f t="shared" si="89"/>
        <v>1.996204E-2</v>
      </c>
      <c r="G44" s="274">
        <f t="shared" si="90"/>
        <v>5.2307538193639164E-3</v>
      </c>
      <c r="H44" s="276">
        <f t="shared" si="91"/>
        <v>1.93096E-2</v>
      </c>
      <c r="I44" s="276">
        <f t="shared" si="99"/>
        <v>5.816603301667134E-3</v>
      </c>
      <c r="J44" s="277">
        <f>Data!D$14</f>
        <v>1.49E-5</v>
      </c>
      <c r="K44" s="386">
        <f>L44/Data!D$21</f>
        <v>9.0016435884941209E-2</v>
      </c>
      <c r="L44" s="278">
        <f t="shared" si="92"/>
        <v>0.11684133377865369</v>
      </c>
      <c r="M44" s="278">
        <f>Data!D$21-L44</f>
        <v>1.1811586662213465</v>
      </c>
      <c r="N44" s="279">
        <v>6</v>
      </c>
      <c r="O44" s="280">
        <f>30.4*Data!N$5*Data!O$5/5.615</f>
        <v>47.102404274265361</v>
      </c>
      <c r="P44" s="280">
        <f t="shared" si="93"/>
        <v>53.102404274265361</v>
      </c>
      <c r="Q44" s="281"/>
      <c r="R44" s="282"/>
      <c r="S44" s="283"/>
      <c r="T44" s="284"/>
      <c r="U44" s="285"/>
      <c r="V44" s="286"/>
      <c r="W44" s="342">
        <f>Data!D$42/(141.2*C44*E44*LN(Data!D$47))</f>
        <v>0.12070103134518191</v>
      </c>
      <c r="X44" s="288">
        <f>W44*(B44-Data!D$43)</f>
        <v>144.8412376142183</v>
      </c>
      <c r="Y44" s="289">
        <f t="shared" si="94"/>
        <v>2.2666984689574485E-2</v>
      </c>
      <c r="Z44" s="289">
        <f t="shared" si="95"/>
        <v>2.739425045893247E-2</v>
      </c>
      <c r="AA44" s="278">
        <f t="shared" si="96"/>
        <v>2.0327287058668562</v>
      </c>
      <c r="AB44" s="278">
        <f t="shared" si="97"/>
        <v>0.35393322361148138</v>
      </c>
      <c r="AC44" s="290">
        <f t="shared" si="98"/>
        <v>3.4974549211185177</v>
      </c>
      <c r="AD44" s="318">
        <f>1000000*(P44-AL43)*I44/Data!D$48</f>
        <v>7.4296742925698545E-2</v>
      </c>
      <c r="AE44" s="291">
        <f>1-AD44-Data!D$13</f>
        <v>0.42970325707430146</v>
      </c>
      <c r="AF44" s="292">
        <f>(AD44-Data!D$27)/(1-Data!D$27-Data!D$19-Data!D$13)</f>
        <v>0.2443971806766399</v>
      </c>
      <c r="AG44" s="293">
        <f>Data!D$29*AF44</f>
        <v>0.2443971806766399</v>
      </c>
      <c r="AH44" s="293">
        <f>Data!D$28*(1-AF44)</f>
        <v>0.75560281932336015</v>
      </c>
      <c r="AI44" s="314">
        <f t="shared" si="104"/>
        <v>3317.5743948272343</v>
      </c>
      <c r="AJ44" s="315">
        <f t="shared" si="100"/>
        <v>0.48052158122401795</v>
      </c>
      <c r="AK44" s="316">
        <f t="shared" si="101"/>
        <v>62.07648157398858</v>
      </c>
      <c r="AL44" s="316">
        <f t="shared" si="102"/>
        <v>11.055473120924058</v>
      </c>
      <c r="AM44" s="316">
        <f t="shared" si="103"/>
        <v>143.16909603681978</v>
      </c>
    </row>
    <row r="45" spans="2:39" x14ac:dyDescent="0.25">
      <c r="B45" s="272">
        <f t="shared" si="64"/>
        <v>3100</v>
      </c>
      <c r="C45" s="273">
        <f t="shared" si="87"/>
        <v>1.42985886</v>
      </c>
      <c r="D45" s="275">
        <v>120.569011576135</v>
      </c>
      <c r="E45" s="275">
        <f t="shared" si="88"/>
        <v>0.63641991860000002</v>
      </c>
      <c r="F45" s="275">
        <f t="shared" si="89"/>
        <v>1.972604E-2</v>
      </c>
      <c r="G45" s="274">
        <f t="shared" si="90"/>
        <v>5.4036962642082043E-3</v>
      </c>
      <c r="H45" s="276">
        <f t="shared" si="91"/>
        <v>1.9084400000000001E-2</v>
      </c>
      <c r="I45" s="276">
        <f t="shared" si="99"/>
        <v>5.988814743293107E-3</v>
      </c>
      <c r="J45" s="277">
        <f>Data!D$14</f>
        <v>1.49E-5</v>
      </c>
      <c r="K45" s="386">
        <f>L45/Data!D$21</f>
        <v>9.1356757661063465E-2</v>
      </c>
      <c r="L45" s="278">
        <f t="shared" si="92"/>
        <v>0.11858107144406038</v>
      </c>
      <c r="M45" s="278">
        <f>Data!D$21-L45</f>
        <v>1.1794189285559398</v>
      </c>
      <c r="N45" s="279">
        <v>7</v>
      </c>
      <c r="O45" s="280">
        <f>30.4*Data!N$5*Data!O$5/5.615</f>
        <v>47.102404274265361</v>
      </c>
      <c r="P45" s="280">
        <f t="shared" si="93"/>
        <v>54.102404274265361</v>
      </c>
      <c r="Q45" s="281"/>
      <c r="R45" s="282"/>
      <c r="S45" s="283"/>
      <c r="T45" s="284"/>
      <c r="U45" s="285"/>
      <c r="V45" s="286"/>
      <c r="W45" s="342">
        <f>Data!D$42/(141.2*C45*E45*LN(Data!D$47))</f>
        <v>0.12162234632337481</v>
      </c>
      <c r="X45" s="288">
        <f>W45*(B45-Data!D$43)</f>
        <v>133.78458095571227</v>
      </c>
      <c r="Y45" s="289">
        <f t="shared" si="94"/>
        <v>2.4106505989300024E-2</v>
      </c>
      <c r="Z45" s="289">
        <f t="shared" si="95"/>
        <v>2.9133988124339157E-2</v>
      </c>
      <c r="AA45" s="278">
        <f t="shared" si="96"/>
        <v>2.0498655628283529</v>
      </c>
      <c r="AB45" s="278">
        <f t="shared" si="97"/>
        <v>0.38971216751074567</v>
      </c>
      <c r="AC45" s="290">
        <f t="shared" si="98"/>
        <v>3.5332338650177819</v>
      </c>
      <c r="AD45" s="318">
        <f>1000000*(P45-AL44)*I45/Data!D$48</f>
        <v>7.7299952542415312E-2</v>
      </c>
      <c r="AE45" s="291">
        <f>1-AD45-Data!D$13</f>
        <v>0.42670004745758472</v>
      </c>
      <c r="AF45" s="292">
        <f>(AD45-Data!D$27)/(1-Data!D$27-Data!D$19-Data!D$13)</f>
        <v>0.25427615967899769</v>
      </c>
      <c r="AG45" s="293">
        <f>Data!D$29*AF45</f>
        <v>0.25427615967899769</v>
      </c>
      <c r="AH45" s="293">
        <f>Data!D$28*(1-AF45)</f>
        <v>0.74572384032100225</v>
      </c>
      <c r="AI45" s="314">
        <f t="shared" si="104"/>
        <v>3391.8407624579922</v>
      </c>
      <c r="AJ45" s="315">
        <f t="shared" si="100"/>
        <v>0.45377599507394606</v>
      </c>
      <c r="AK45" s="316">
        <f t="shared" si="101"/>
        <v>64.54733971068373</v>
      </c>
      <c r="AL45" s="316">
        <f t="shared" si="102"/>
        <v>11.495519093621322</v>
      </c>
      <c r="AM45" s="316">
        <f t="shared" si="103"/>
        <v>145.63995417351492</v>
      </c>
    </row>
    <row r="46" spans="2:39" x14ac:dyDescent="0.25">
      <c r="B46" s="272">
        <f t="shared" si="64"/>
        <v>3000</v>
      </c>
      <c r="C46" s="273">
        <f t="shared" si="87"/>
        <v>1.4313878599999998</v>
      </c>
      <c r="D46" s="275">
        <v>120.569011576135</v>
      </c>
      <c r="E46" s="275">
        <f t="shared" si="88"/>
        <v>0.63087562860000002</v>
      </c>
      <c r="F46" s="275">
        <f t="shared" si="89"/>
        <v>1.949004E-2</v>
      </c>
      <c r="G46" s="274">
        <f t="shared" si="90"/>
        <v>5.5883143699619071E-3</v>
      </c>
      <c r="H46" s="276">
        <f t="shared" si="91"/>
        <v>1.8860000000000002E-2</v>
      </c>
      <c r="I46" s="276">
        <f t="shared" si="99"/>
        <v>6.1720273583721775E-3</v>
      </c>
      <c r="J46" s="277">
        <f>Data!D$14</f>
        <v>1.49E-5</v>
      </c>
      <c r="K46" s="386">
        <f>L46/Data!D$21</f>
        <v>9.2694215989684234E-2</v>
      </c>
      <c r="L46" s="278">
        <f t="shared" si="92"/>
        <v>0.12031709235461013</v>
      </c>
      <c r="M46" s="278">
        <f>Data!D$21-L46</f>
        <v>1.1776829076453899</v>
      </c>
      <c r="N46" s="279">
        <v>8</v>
      </c>
      <c r="O46" s="280">
        <f>30.4*Data!N$5*Data!O$5/5.615</f>
        <v>47.102404274265361</v>
      </c>
      <c r="P46" s="280">
        <f t="shared" si="93"/>
        <v>55.102404274265361</v>
      </c>
      <c r="Q46" s="281"/>
      <c r="R46" s="282"/>
      <c r="S46" s="283"/>
      <c r="T46" s="284"/>
      <c r="U46" s="285"/>
      <c r="V46" s="286"/>
      <c r="W46" s="342">
        <f>Data!D$42/(141.2*C46*E46*LN(Data!D$47))</f>
        <v>0.12256013537647904</v>
      </c>
      <c r="X46" s="288">
        <f>W46*(B46-Data!D$43)</f>
        <v>122.56013537647904</v>
      </c>
      <c r="Y46" s="289">
        <f t="shared" si="94"/>
        <v>2.5542951912841675E-2</v>
      </c>
      <c r="Z46" s="289">
        <f t="shared" si="95"/>
        <v>3.0870009034888915E-2</v>
      </c>
      <c r="AA46" s="278">
        <f t="shared" si="96"/>
        <v>2.0673036256072095</v>
      </c>
      <c r="AB46" s="278">
        <f t="shared" si="97"/>
        <v>0.42881298693119674</v>
      </c>
      <c r="AC46" s="290">
        <f t="shared" si="98"/>
        <v>3.5723346844382329</v>
      </c>
      <c r="AD46" s="318">
        <f>1000000*(P46-AL45)*I46/Data!D$48</f>
        <v>8.070102697293384E-2</v>
      </c>
      <c r="AE46" s="291">
        <f>1-AD46-Data!D$13</f>
        <v>0.42329897302706621</v>
      </c>
      <c r="AF46" s="292">
        <f>(AD46-Data!D$27)/(1-Data!D$27-Data!D$19-Data!D$13)</f>
        <v>0.2654639045162297</v>
      </c>
      <c r="AG46" s="293">
        <f>Data!D$29*AF46</f>
        <v>0.2654639045162297</v>
      </c>
      <c r="AH46" s="293">
        <f>Data!D$28*(1-AF46)</f>
        <v>0.7345360954837703</v>
      </c>
      <c r="AI46" s="314">
        <f t="shared" si="104"/>
        <v>3480.6455700444494</v>
      </c>
      <c r="AJ46" s="315">
        <f t="shared" si="100"/>
        <v>0.42658839226218975</v>
      </c>
      <c r="AK46" s="316">
        <f t="shared" si="101"/>
        <v>66.76822457678621</v>
      </c>
      <c r="AL46" s="316">
        <f t="shared" si="102"/>
        <v>11.891046229169405</v>
      </c>
      <c r="AM46" s="316">
        <f t="shared" si="103"/>
        <v>147.86083903961739</v>
      </c>
    </row>
    <row r="47" spans="2:39" x14ac:dyDescent="0.25">
      <c r="B47" s="272">
        <f t="shared" si="64"/>
        <v>2900</v>
      </c>
      <c r="C47" s="273">
        <f t="shared" si="87"/>
        <v>1.43291686</v>
      </c>
      <c r="D47" s="275">
        <v>120.569011576135</v>
      </c>
      <c r="E47" s="275">
        <f t="shared" si="88"/>
        <v>0.62533133860000001</v>
      </c>
      <c r="F47" s="275">
        <f t="shared" si="89"/>
        <v>1.925404E-2</v>
      </c>
      <c r="G47" s="274">
        <f t="shared" si="90"/>
        <v>5.7858263477252618E-3</v>
      </c>
      <c r="H47" s="276">
        <f t="shared" si="91"/>
        <v>1.8636400000000001E-2</v>
      </c>
      <c r="I47" s="276">
        <f t="shared" si="99"/>
        <v>6.3673469606875827E-3</v>
      </c>
      <c r="J47" s="277">
        <f>Data!D$14</f>
        <v>1.49E-5</v>
      </c>
      <c r="K47" s="386">
        <f>L47/Data!D$21</f>
        <v>9.4028820037164826E-2</v>
      </c>
      <c r="L47" s="278">
        <f t="shared" si="92"/>
        <v>0.12204940840823994</v>
      </c>
      <c r="M47" s="278">
        <f>Data!D$21-L47</f>
        <v>1.1759505915917601</v>
      </c>
      <c r="N47" s="279">
        <v>9</v>
      </c>
      <c r="O47" s="280">
        <f>30.4*Data!N$5*Data!O$5/5.615</f>
        <v>47.102404274265361</v>
      </c>
      <c r="P47" s="280">
        <f t="shared" si="93"/>
        <v>56.102404274265361</v>
      </c>
      <c r="Q47" s="281"/>
      <c r="R47" s="282"/>
      <c r="S47" s="283"/>
      <c r="T47" s="284"/>
      <c r="U47" s="285"/>
      <c r="V47" s="286"/>
      <c r="W47" s="342">
        <f>Data!D$42/(141.2*C47*E47*LN(Data!D$47))</f>
        <v>0.12351483578384959</v>
      </c>
      <c r="X47" s="288">
        <f>W47*(B47-Data!D$43)</f>
        <v>111.16335220546463</v>
      </c>
      <c r="Y47" s="289">
        <f t="shared" si="94"/>
        <v>2.697633230497894E-2</v>
      </c>
      <c r="Z47" s="289">
        <f t="shared" si="95"/>
        <v>3.2602325088518729E-2</v>
      </c>
      <c r="AA47" s="278">
        <f t="shared" si="96"/>
        <v>2.0850509058236604</v>
      </c>
      <c r="AB47" s="278">
        <f t="shared" si="97"/>
        <v>0.47197298128625598</v>
      </c>
      <c r="AC47" s="290">
        <f t="shared" si="98"/>
        <v>3.6154946787932922</v>
      </c>
      <c r="AD47" s="318">
        <f>1000000*(P47-AL46)*I47/Data!D$48</f>
        <v>8.4408954972192002E-2</v>
      </c>
      <c r="AE47" s="291">
        <f>1-AD47-Data!D$13</f>
        <v>0.41959104502780797</v>
      </c>
      <c r="AF47" s="292">
        <f>(AD47-Data!D$27)/(1-Data!D$27-Data!D$19-Data!D$13)</f>
        <v>0.27766103609273679</v>
      </c>
      <c r="AG47" s="293">
        <f>Data!D$29*AF47</f>
        <v>0.27766103609273679</v>
      </c>
      <c r="AH47" s="293">
        <f>Data!D$28*(1-AF47)</f>
        <v>0.72233896390726327</v>
      </c>
      <c r="AI47" s="314">
        <f t="shared" si="104"/>
        <v>3579.5773220178694</v>
      </c>
      <c r="AJ47" s="315">
        <f t="shared" si="100"/>
        <v>0.39791781459416631</v>
      </c>
      <c r="AK47" s="316">
        <f t="shared" si="101"/>
        <v>68.549356900235921</v>
      </c>
      <c r="AL47" s="316">
        <f t="shared" si="102"/>
        <v>12.208255903871045</v>
      </c>
      <c r="AM47" s="316">
        <f t="shared" si="103"/>
        <v>149.64197136306711</v>
      </c>
    </row>
    <row r="48" spans="2:39" x14ac:dyDescent="0.25">
      <c r="B48" s="272">
        <f t="shared" si="64"/>
        <v>2800</v>
      </c>
      <c r="C48" s="273">
        <f t="shared" si="87"/>
        <v>1.4344458599999999</v>
      </c>
      <c r="D48" s="275">
        <v>120.569011576135</v>
      </c>
      <c r="E48" s="275">
        <f t="shared" si="88"/>
        <v>0.6197870486</v>
      </c>
      <c r="F48" s="275">
        <f t="shared" si="89"/>
        <v>1.901804E-2</v>
      </c>
      <c r="G48" s="274">
        <f t="shared" si="90"/>
        <v>5.9976255810478751E-3</v>
      </c>
      <c r="H48" s="276">
        <f t="shared" si="91"/>
        <v>1.8413600000000002E-2</v>
      </c>
      <c r="I48" s="276">
        <f t="shared" si="99"/>
        <v>6.5760339210212916E-3</v>
      </c>
      <c r="J48" s="277">
        <f>Data!D$14</f>
        <v>1.49E-5</v>
      </c>
      <c r="K48" s="386">
        <f>L48/Data!D$21</f>
        <v>9.5360578930784271E-2</v>
      </c>
      <c r="L48" s="278">
        <f t="shared" si="92"/>
        <v>0.12377803145215799</v>
      </c>
      <c r="M48" s="278">
        <f>Data!D$21-L48</f>
        <v>1.1742219685478421</v>
      </c>
      <c r="N48" s="279">
        <v>10</v>
      </c>
      <c r="O48" s="280">
        <f>30.4*Data!N$5*Data!O$5/5.615</f>
        <v>47.102404274265361</v>
      </c>
      <c r="P48" s="280">
        <f t="shared" si="93"/>
        <v>57.102404274265361</v>
      </c>
      <c r="Q48" s="281"/>
      <c r="R48" s="282"/>
      <c r="S48" s="283"/>
      <c r="T48" s="284"/>
      <c r="U48" s="285"/>
      <c r="V48" s="286"/>
      <c r="W48" s="342">
        <f>Data!D$42/(141.2*C48*E48*LN(Data!D$47))</f>
        <v>0.12448690047542728</v>
      </c>
      <c r="X48" s="288">
        <f>W48*(B48-Data!D$43)</f>
        <v>99.589520380341824</v>
      </c>
      <c r="Y48" s="289">
        <f t="shared" si="94"/>
        <v>2.8406656968516485E-2</v>
      </c>
      <c r="Z48" s="289">
        <f t="shared" si="95"/>
        <v>3.4330948132436763E-2</v>
      </c>
      <c r="AA48" s="278">
        <f t="shared" si="96"/>
        <v>2.1031157017689521</v>
      </c>
      <c r="AB48" s="278">
        <f t="shared" si="97"/>
        <v>0.52019558897538609</v>
      </c>
      <c r="AC48" s="290">
        <f t="shared" si="98"/>
        <v>3.6637172864824223</v>
      </c>
      <c r="AD48" s="318">
        <f>1000000*(P48-AL47)*I48/Data!D$48</f>
        <v>8.8521738574075082E-2</v>
      </c>
      <c r="AE48" s="291">
        <f>1-AD48-Data!D$13</f>
        <v>0.41547826142592492</v>
      </c>
      <c r="AF48" s="292">
        <f>(AD48-Data!D$27)/(1-Data!D$27-Data!D$19-Data!D$13)</f>
        <v>0.29118992951998379</v>
      </c>
      <c r="AG48" s="293">
        <f>Data!D$29*AF48</f>
        <v>0.29118992951998379</v>
      </c>
      <c r="AH48" s="293">
        <f>Data!D$28*(1-AF48)</f>
        <v>0.70881007048001621</v>
      </c>
      <c r="AI48" s="314">
        <f t="shared" si="104"/>
        <v>3693.2661542925375</v>
      </c>
      <c r="AJ48" s="315">
        <f t="shared" si="100"/>
        <v>0.36781060494294332</v>
      </c>
      <c r="AK48" s="316">
        <f t="shared" si="101"/>
        <v>69.83671080843591</v>
      </c>
      <c r="AL48" s="316">
        <f t="shared" si="102"/>
        <v>12.437526412900429</v>
      </c>
      <c r="AM48" s="316">
        <f t="shared" si="103"/>
        <v>150.92932527126709</v>
      </c>
    </row>
    <row r="49" spans="2:39" x14ac:dyDescent="0.25">
      <c r="B49" s="272">
        <f t="shared" si="64"/>
        <v>2700</v>
      </c>
      <c r="C49" s="273">
        <f t="shared" si="87"/>
        <v>1.43597486</v>
      </c>
      <c r="D49" s="275">
        <v>120.569011576135</v>
      </c>
      <c r="E49" s="275">
        <f t="shared" si="88"/>
        <v>0.61424275859999999</v>
      </c>
      <c r="F49" s="275">
        <f t="shared" si="89"/>
        <v>1.878204E-2</v>
      </c>
      <c r="G49" s="274">
        <f t="shared" si="90"/>
        <v>6.2253132387986359E-3</v>
      </c>
      <c r="H49" s="276">
        <f t="shared" si="91"/>
        <v>1.8191600000000002E-2</v>
      </c>
      <c r="I49" s="276">
        <f t="shared" si="99"/>
        <v>6.7995312843871338E-3</v>
      </c>
      <c r="J49" s="277">
        <f>Data!D$14</f>
        <v>1.49E-5</v>
      </c>
      <c r="K49" s="386">
        <f>L49/Data!D$21</f>
        <v>9.6689501758947333E-2</v>
      </c>
      <c r="L49" s="278">
        <f t="shared" si="92"/>
        <v>0.12550297328311363</v>
      </c>
      <c r="M49" s="278">
        <f>Data!D$21-L49</f>
        <v>1.1724970267168864</v>
      </c>
      <c r="N49" s="279">
        <v>11</v>
      </c>
      <c r="O49" s="280">
        <f>30.4*Data!N$5*Data!O$5/5.615</f>
        <v>47.102404274265361</v>
      </c>
      <c r="P49" s="280">
        <f t="shared" si="93"/>
        <v>58.102404274265361</v>
      </c>
      <c r="Q49" s="281"/>
      <c r="R49" s="282"/>
      <c r="S49" s="283"/>
      <c r="T49" s="284"/>
      <c r="U49" s="285"/>
      <c r="V49" s="286"/>
      <c r="W49" s="342">
        <f>Data!D$42/(141.2*C49*E49*LN(Data!D$47))</f>
        <v>0.12547679873804563</v>
      </c>
      <c r="X49" s="288">
        <f>W49*(B49-Data!D$43)</f>
        <v>87.833759116631938</v>
      </c>
      <c r="Y49" s="289">
        <f t="shared" si="94"/>
        <v>2.9833935664507569E-2</v>
      </c>
      <c r="Z49" s="289">
        <f t="shared" si="95"/>
        <v>3.6055889963392415E-2</v>
      </c>
      <c r="AA49" s="278">
        <f t="shared" si="96"/>
        <v>2.1215066113431287</v>
      </c>
      <c r="AB49" s="278">
        <f t="shared" si="97"/>
        <v>0.57489452057549195</v>
      </c>
      <c r="AC49" s="290">
        <f t="shared" si="98"/>
        <v>3.7184162180825284</v>
      </c>
      <c r="AD49" s="318">
        <f>1000000*(P49-AL48)*I49/Data!D$48</f>
        <v>9.3101661031600141E-2</v>
      </c>
      <c r="AE49" s="291">
        <f>1-AD49-Data!D$13</f>
        <v>0.41089833896839989</v>
      </c>
      <c r="AF49" s="292">
        <f>(AD49-Data!D$27)/(1-Data!D$27-Data!D$19-Data!D$13)</f>
        <v>0.30625546391973724</v>
      </c>
      <c r="AG49" s="293">
        <f>Data!D$29*AF49</f>
        <v>0.30625546391973724</v>
      </c>
      <c r="AH49" s="293">
        <f>Data!D$28*(1-AF49)</f>
        <v>0.69374453608026276</v>
      </c>
      <c r="AI49" s="314">
        <f t="shared" si="104"/>
        <v>3824.8975366471877</v>
      </c>
      <c r="AJ49" s="315">
        <f t="shared" si="100"/>
        <v>0.33595512887966794</v>
      </c>
      <c r="AK49" s="316">
        <f t="shared" si="101"/>
        <v>70.495648404536325</v>
      </c>
      <c r="AL49" s="316">
        <f t="shared" si="102"/>
        <v>12.554879502143601</v>
      </c>
      <c r="AM49" s="316">
        <f t="shared" si="103"/>
        <v>151.58826286736752</v>
      </c>
    </row>
    <row r="50" spans="2:39" x14ac:dyDescent="0.25">
      <c r="B50" s="272">
        <f t="shared" si="64"/>
        <v>2600</v>
      </c>
      <c r="C50" s="273">
        <f t="shared" si="87"/>
        <v>1.4375038599999999</v>
      </c>
      <c r="D50" s="275">
        <v>120.569011576135</v>
      </c>
      <c r="E50" s="275">
        <f t="shared" si="88"/>
        <v>0.60869846859999999</v>
      </c>
      <c r="F50" s="275">
        <f t="shared" si="89"/>
        <v>1.854604E-2</v>
      </c>
      <c r="G50" s="274">
        <f t="shared" si="90"/>
        <v>6.4707384482873432E-3</v>
      </c>
      <c r="H50" s="276">
        <f t="shared" si="91"/>
        <v>1.7970400000000001E-2</v>
      </c>
      <c r="I50" s="276">
        <f t="shared" si="99"/>
        <v>7.0394992787015933E-3</v>
      </c>
      <c r="J50" s="277">
        <f>Data!D$14</f>
        <v>1.49E-5</v>
      </c>
      <c r="K50" s="386">
        <f>L50/Data!D$21</f>
        <v>9.801559757139125E-2</v>
      </c>
      <c r="L50" s="278">
        <f t="shared" si="92"/>
        <v>0.12722424564766585</v>
      </c>
      <c r="M50" s="278">
        <f>Data!D$21-L50</f>
        <v>1.1707757543523343</v>
      </c>
      <c r="N50" s="279">
        <v>12</v>
      </c>
      <c r="O50" s="280">
        <f>30.4*Data!N$5*Data!O$5/5.615</f>
        <v>47.102404274265361</v>
      </c>
      <c r="P50" s="280">
        <f t="shared" si="93"/>
        <v>59.102404274265361</v>
      </c>
      <c r="Q50" s="281"/>
      <c r="R50" s="282"/>
      <c r="S50" s="283"/>
      <c r="T50" s="284"/>
      <c r="U50" s="285"/>
      <c r="V50" s="286"/>
      <c r="W50" s="342">
        <f>Data!D$42/(141.2*C50*E50*LN(Data!D$47))</f>
        <v>0.12648501696033851</v>
      </c>
      <c r="X50" s="288">
        <f>W50*(B50-Data!D$43)</f>
        <v>75.89101017620311</v>
      </c>
      <c r="Y50" s="289">
        <f t="shared" si="94"/>
        <v>3.1258178112476095E-2</v>
      </c>
      <c r="Z50" s="289">
        <f t="shared" si="95"/>
        <v>3.777716232794464E-2</v>
      </c>
      <c r="AA50" s="278">
        <f t="shared" si="96"/>
        <v>2.1402325456998619</v>
      </c>
      <c r="AB50" s="278">
        <f t="shared" si="97"/>
        <v>0.63815038301040872</v>
      </c>
      <c r="AC50" s="290">
        <f t="shared" si="98"/>
        <v>3.7816720805174451</v>
      </c>
      <c r="AD50" s="318">
        <f>1000000*(P50-AL49)*I50/Data!D$48</f>
        <v>9.8250442073489611E-2</v>
      </c>
      <c r="AE50" s="291">
        <f>1-AD50-Data!D$13</f>
        <v>0.40574955792651035</v>
      </c>
      <c r="AF50" s="292">
        <f>(AD50-Data!D$27)/(1-Data!D$27-Data!D$19-Data!D$13)</f>
        <v>0.3231922436627947</v>
      </c>
      <c r="AG50" s="293">
        <f>Data!D$29*AF50</f>
        <v>0.3231922436627947</v>
      </c>
      <c r="AH50" s="293">
        <f>Data!D$28*(1-AF50)</f>
        <v>0.67680775633720525</v>
      </c>
      <c r="AI50" s="314">
        <f t="shared" si="104"/>
        <v>3979.9854512666011</v>
      </c>
      <c r="AJ50" s="315">
        <f t="shared" si="100"/>
        <v>0.30204511638321396</v>
      </c>
      <c r="AK50" s="316">
        <f t="shared" si="101"/>
        <v>70.353825447825585</v>
      </c>
      <c r="AL50" s="316">
        <f t="shared" si="102"/>
        <v>12.529621629176416</v>
      </c>
      <c r="AM50" s="316">
        <f t="shared" si="103"/>
        <v>151.44643991065675</v>
      </c>
    </row>
    <row r="51" spans="2:39" x14ac:dyDescent="0.25">
      <c r="B51" s="272">
        <f t="shared" si="64"/>
        <v>2500</v>
      </c>
      <c r="C51" s="273">
        <f t="shared" si="87"/>
        <v>1.43903286</v>
      </c>
      <c r="D51" s="275">
        <v>120.569011576135</v>
      </c>
      <c r="E51" s="275">
        <f t="shared" si="88"/>
        <v>0.60315417859999998</v>
      </c>
      <c r="F51" s="275">
        <f t="shared" si="89"/>
        <v>1.831004E-2</v>
      </c>
      <c r="G51" s="274">
        <f t="shared" si="90"/>
        <v>6.736048153923738E-3</v>
      </c>
      <c r="H51" s="276">
        <f t="shared" si="91"/>
        <v>1.7750000000000002E-2</v>
      </c>
      <c r="I51" s="276">
        <f t="shared" si="99"/>
        <v>7.2978579810583713E-3</v>
      </c>
      <c r="J51" s="277">
        <f>Data!D$14</f>
        <v>1.49E-5</v>
      </c>
      <c r="K51" s="386">
        <f>L51/Data!D$21</f>
        <v>9.9338875379391262E-2</v>
      </c>
      <c r="L51" s="278">
        <f t="shared" si="92"/>
        <v>0.12894186024244986</v>
      </c>
      <c r="M51" s="278">
        <f>Data!D$21-L51</f>
        <v>1.1690581397575501</v>
      </c>
      <c r="N51" s="279">
        <v>13</v>
      </c>
      <c r="O51" s="280">
        <f>30.4*Data!N$5*Data!O$5/5.615</f>
        <v>47.102404274265361</v>
      </c>
      <c r="P51" s="280">
        <f t="shared" si="93"/>
        <v>60.102404274265361</v>
      </c>
      <c r="Q51" s="281"/>
      <c r="R51" s="282"/>
      <c r="S51" s="283"/>
      <c r="T51" s="284"/>
      <c r="U51" s="285"/>
      <c r="V51" s="286"/>
      <c r="W51" s="342">
        <f>Data!D$42/(141.2*C51*E51*LN(Data!D$47))</f>
        <v>0.1275120594187312</v>
      </c>
      <c r="X51" s="288">
        <f>W51*(B51-Data!D$43)</f>
        <v>63.756029709365599</v>
      </c>
      <c r="Y51" s="289">
        <f t="shared" si="94"/>
        <v>3.2679393990637261E-2</v>
      </c>
      <c r="Z51" s="289">
        <f t="shared" si="95"/>
        <v>3.9494776922728639E-2</v>
      </c>
      <c r="AA51" s="278">
        <f t="shared" si="96"/>
        <v>2.159302743643845</v>
      </c>
      <c r="AB51" s="278">
        <f t="shared" si="97"/>
        <v>0.71320461868824303</v>
      </c>
      <c r="AC51" s="290">
        <f t="shared" si="98"/>
        <v>3.8567263161952794</v>
      </c>
      <c r="AD51" s="318">
        <f>1000000*(P51-AL50)*I51/Data!D$48</f>
        <v>0.10409985277508989</v>
      </c>
      <c r="AE51" s="291">
        <f>1-AD51-Data!D$13</f>
        <v>0.39990014722491007</v>
      </c>
      <c r="AF51" s="292">
        <f>(AD51-Data!D$27)/(1-Data!D$27-Data!D$19-Data!D$13)</f>
        <v>0.34243372623384827</v>
      </c>
      <c r="AG51" s="293">
        <f>Data!D$29*AF51</f>
        <v>0.34243372623384827</v>
      </c>
      <c r="AH51" s="293">
        <f>Data!D$28*(1-AF51)</f>
        <v>0.65756627376615173</v>
      </c>
      <c r="AI51" s="314">
        <f t="shared" si="104"/>
        <v>4166.3269602370601</v>
      </c>
      <c r="AJ51" s="315">
        <f t="shared" si="100"/>
        <v>0.26562846545580487</v>
      </c>
      <c r="AK51" s="316">
        <f t="shared" si="101"/>
        <v>69.14831867262491</v>
      </c>
      <c r="AL51" s="316">
        <f t="shared" si="102"/>
        <v>12.314927635373982</v>
      </c>
      <c r="AM51" s="316">
        <f t="shared" si="103"/>
        <v>150.24093313545609</v>
      </c>
    </row>
    <row r="52" spans="2:39" x14ac:dyDescent="0.25">
      <c r="B52" s="272">
        <f t="shared" si="64"/>
        <v>2400</v>
      </c>
      <c r="C52" s="273">
        <f t="shared" ref="C52" si="105" xml:space="preserve"> -0.00001529*B52 + 1.47725786</f>
        <v>1.4405618599999999</v>
      </c>
      <c r="D52" s="275">
        <v>120.569011576135</v>
      </c>
      <c r="E52" s="275">
        <f t="shared" ref="E52" si="106" xml:space="preserve"> 0.0000554429*B52 + 0.4645469286</f>
        <v>0.59760988859999997</v>
      </c>
      <c r="F52" s="275">
        <f t="shared" ref="F52" si="107">0.00000236*B52 + 0.01241004</f>
        <v>1.807404E-2</v>
      </c>
      <c r="G52" s="274">
        <f t="shared" ref="G52" si="108">20.40472*B52^(-1.02454)</f>
        <v>7.0237494976447892E-3</v>
      </c>
      <c r="H52" s="276">
        <f t="shared" ref="H52" si="109" xml:space="preserve"> 0.00000000004*B52^2 + 0.000002*B52 + 0.0125</f>
        <v>1.7530400000000002E-2</v>
      </c>
      <c r="I52" s="276">
        <f t="shared" ref="I52" si="110">9.6806*B52^(-0.919)</f>
        <v>7.5768404896047444E-3</v>
      </c>
      <c r="J52" s="277">
        <f>Data!D$14</f>
        <v>1.49E-5</v>
      </c>
      <c r="K52" s="386">
        <f>L52/Data!D$21</f>
        <v>0.10065934415596454</v>
      </c>
      <c r="L52" s="278">
        <f t="shared" ref="L52" si="111">L$20+Z52</f>
        <v>0.13065582871444198</v>
      </c>
      <c r="M52" s="278">
        <f>Data!D$21-L52</f>
        <v>1.1673441712855581</v>
      </c>
      <c r="N52" s="279">
        <v>14</v>
      </c>
      <c r="O52" s="280">
        <f>30.4*Data!N$5*Data!O$5/5.615</f>
        <v>47.102404274265361</v>
      </c>
      <c r="P52" s="280">
        <f t="shared" ref="P52" si="112">N52+O52</f>
        <v>61.102404274265361</v>
      </c>
      <c r="Q52" s="281"/>
      <c r="R52" s="282"/>
      <c r="S52" s="283"/>
      <c r="T52" s="284"/>
      <c r="U52" s="285"/>
      <c r="V52" s="286"/>
      <c r="W52" s="342">
        <f>Data!D$42/(141.2*C52*E52*LN(Data!D$47))</f>
        <v>0.12855844910718428</v>
      </c>
      <c r="X52" s="288">
        <f>W52*(B52-Data!D$43)</f>
        <v>51.423379642873712</v>
      </c>
      <c r="Y52" s="289">
        <f t="shared" ref="Y52" si="113">C$20*J52*(B$20-B52)/C52</f>
        <v>3.4097592936116736E-2</v>
      </c>
      <c r="Z52" s="289">
        <f t="shared" ref="Z52" si="114">Y52*M$20</f>
        <v>4.1208745394720754E-2</v>
      </c>
      <c r="AA52" s="278">
        <f t="shared" ref="AA52" si="115">365*(X$20-X52)/(1000000*Z52)</f>
        <v>2.1787267868296016</v>
      </c>
      <c r="AB52" s="278">
        <f t="shared" ref="AB52" si="116">LN(X$20/X52)/AA52</f>
        <v>0.8055142746000522</v>
      </c>
      <c r="AC52" s="290">
        <f t="shared" ref="AC52" si="117">AC$20+AB52</f>
        <v>3.9490359721070885</v>
      </c>
      <c r="AD52" s="318">
        <f>1000000*(P52-AL51)*I52/Data!D$48</f>
        <v>0.11083901391264663</v>
      </c>
      <c r="AE52" s="291">
        <f>1-AD52-Data!D$13</f>
        <v>0.39316098608735339</v>
      </c>
      <c r="AF52" s="292">
        <f>(AD52-Data!D$27)/(1-Data!D$27-Data!D$19-Data!D$13)</f>
        <v>0.36460201944949544</v>
      </c>
      <c r="AG52" s="293">
        <f>Data!D$29*AF52</f>
        <v>0.36460201944949544</v>
      </c>
      <c r="AH52" s="293">
        <f>Data!D$28*(1-AF52)</f>
        <v>0.63539798055050456</v>
      </c>
      <c r="AI52" s="314">
        <f t="shared" si="104"/>
        <v>4396.1386822638324</v>
      </c>
      <c r="AJ52" s="315">
        <f t="shared" ref="AJ52" si="118">X52*AI52/1000000</f>
        <v>0.22606430842077563</v>
      </c>
      <c r="AK52" s="316">
        <f t="shared" ref="AK52" si="119">365*AJ52*AB52</f>
        <v>66.465780004841093</v>
      </c>
      <c r="AL52" s="316">
        <f t="shared" ref="AL52" si="120">AL$20+AK52/5.615</f>
        <v>11.837182547611949</v>
      </c>
      <c r="AM52" s="316">
        <f t="shared" ref="AM52" si="121">AM$20+5.615*AL52</f>
        <v>147.55839446767226</v>
      </c>
    </row>
    <row r="54" spans="2:39" ht="15.75" x14ac:dyDescent="0.25">
      <c r="B54" s="157"/>
      <c r="C54" s="186"/>
      <c r="D54" s="7"/>
      <c r="E54" s="7"/>
      <c r="F54" s="7"/>
      <c r="G54" s="7"/>
      <c r="H54" s="7"/>
      <c r="I54" s="2"/>
    </row>
    <row r="55" spans="2:39" ht="18.75" x14ac:dyDescent="0.3">
      <c r="B55" s="99"/>
      <c r="C55" s="185"/>
      <c r="D55" s="7"/>
      <c r="E55" s="7"/>
      <c r="F55" s="7"/>
      <c r="G55" s="7"/>
      <c r="H55" s="63"/>
      <c r="I55" s="63"/>
      <c r="J55" s="99"/>
      <c r="K55" s="24"/>
      <c r="L55" s="24"/>
      <c r="M55" s="24"/>
      <c r="N55" s="21"/>
      <c r="O55" s="21"/>
      <c r="P55" s="21"/>
      <c r="Q55" s="24"/>
      <c r="R55" s="24"/>
      <c r="S55" s="21"/>
      <c r="T55" s="21"/>
      <c r="U55" s="99"/>
      <c r="V55" s="167"/>
      <c r="W55" s="185"/>
      <c r="X55" s="185"/>
      <c r="Y55" s="5"/>
      <c r="Z55" s="5"/>
      <c r="AA55" s="5"/>
      <c r="AB55" s="5"/>
      <c r="AC55" s="24"/>
      <c r="AD55" s="21"/>
      <c r="AE55" s="209"/>
      <c r="AF55" s="99"/>
      <c r="AG55" s="99"/>
      <c r="AH55" s="99"/>
      <c r="AI55" s="21"/>
      <c r="AJ55" s="21"/>
      <c r="AK55" s="21"/>
      <c r="AL55" s="21"/>
      <c r="AM55" s="21"/>
    </row>
    <row r="56" spans="2:39" x14ac:dyDescent="0.25">
      <c r="B56" s="7"/>
      <c r="C56" s="186"/>
      <c r="D56" s="7"/>
      <c r="E56" s="7"/>
      <c r="F56" s="7"/>
      <c r="G56" s="7"/>
      <c r="H56" s="2"/>
      <c r="I56" s="2"/>
      <c r="J56" s="7"/>
      <c r="K56" s="7"/>
      <c r="L56" s="7"/>
      <c r="M56" s="7"/>
      <c r="N56" s="161"/>
      <c r="O56" s="161"/>
      <c r="P56" s="161"/>
      <c r="Q56" s="20"/>
      <c r="R56" s="20"/>
      <c r="S56" s="161"/>
      <c r="T56" s="2"/>
      <c r="U56" s="164"/>
      <c r="V56" s="164"/>
      <c r="W56" s="186"/>
      <c r="X56" s="186"/>
      <c r="Y56" s="7"/>
      <c r="Z56" s="7"/>
      <c r="AA56" s="7"/>
      <c r="AB56" s="7"/>
      <c r="AC56" s="7"/>
      <c r="AD56" s="161"/>
      <c r="AE56" s="210"/>
      <c r="AI56" s="161"/>
      <c r="AJ56" s="161"/>
      <c r="AK56" s="161"/>
      <c r="AL56" s="161"/>
      <c r="AM56" s="161"/>
    </row>
    <row r="57" spans="2:39" ht="15.75" x14ac:dyDescent="0.25">
      <c r="B57" s="157"/>
      <c r="C57" s="186"/>
      <c r="D57" s="7"/>
      <c r="E57" s="7"/>
      <c r="F57" s="7"/>
      <c r="G57" s="7"/>
      <c r="H57" s="7"/>
      <c r="I57" s="2"/>
      <c r="J57" s="7"/>
      <c r="K57" s="7"/>
      <c r="L57" s="7"/>
      <c r="M57" s="7"/>
      <c r="N57" s="161"/>
      <c r="O57" s="7"/>
      <c r="P57" s="7"/>
      <c r="Q57" s="20"/>
      <c r="R57" s="20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2:39" x14ac:dyDescent="0.25">
      <c r="B58" s="169"/>
      <c r="C58" s="186"/>
      <c r="D58" s="122"/>
      <c r="E58"/>
      <c r="F58"/>
      <c r="G58" s="122"/>
      <c r="H58" s="184"/>
      <c r="I58" s="184"/>
      <c r="J58" s="20"/>
      <c r="K58" s="103"/>
      <c r="L58" s="7"/>
      <c r="M58" s="134"/>
      <c r="N58" s="204"/>
      <c r="O58" s="204"/>
      <c r="P58" s="204"/>
      <c r="Q58" s="159"/>
      <c r="R58" s="159"/>
      <c r="S58" s="134"/>
      <c r="T58" s="134"/>
      <c r="U58" s="165"/>
      <c r="W58" s="188"/>
      <c r="X58" s="188"/>
      <c r="Y58" s="134"/>
      <c r="Z58" s="134"/>
      <c r="AA58" s="134"/>
      <c r="AB58" s="134"/>
      <c r="AC58" s="134"/>
      <c r="AD58" s="204"/>
      <c r="AE58" s="211"/>
      <c r="AF58" s="7"/>
      <c r="AG58" s="7"/>
      <c r="AH58" s="7"/>
      <c r="AI58" s="161"/>
      <c r="AJ58" s="161"/>
      <c r="AK58" s="161"/>
      <c r="AL58" s="161"/>
      <c r="AM58" s="161"/>
    </row>
    <row r="59" spans="2:39" x14ac:dyDescent="0.25">
      <c r="B59" s="168"/>
      <c r="C59" s="186"/>
      <c r="D59" s="122"/>
      <c r="E59"/>
      <c r="F59"/>
      <c r="G59" s="122"/>
      <c r="H59" s="184"/>
      <c r="I59" s="184"/>
      <c r="J59" s="155"/>
      <c r="K59" s="251"/>
      <c r="L59" s="252"/>
      <c r="M59" s="252"/>
      <c r="N59" s="296"/>
      <c r="O59" s="297"/>
      <c r="P59" s="297"/>
      <c r="Q59" s="301"/>
      <c r="R59" s="302"/>
      <c r="S59" s="303"/>
      <c r="T59" s="304"/>
      <c r="U59" s="305"/>
      <c r="V59" s="298"/>
      <c r="W59" s="306"/>
      <c r="X59" s="307"/>
      <c r="Y59" s="253"/>
      <c r="Z59" s="253"/>
      <c r="AA59" s="253"/>
      <c r="AB59" s="254"/>
      <c r="AC59" s="248"/>
      <c r="AD59" s="247"/>
      <c r="AE59" s="308"/>
      <c r="AF59" s="7"/>
      <c r="AG59" s="7"/>
      <c r="AH59" s="7"/>
      <c r="AI59" s="161"/>
      <c r="AJ59" s="161"/>
      <c r="AK59" s="161"/>
      <c r="AL59" s="161"/>
      <c r="AM59" s="161"/>
    </row>
    <row r="60" spans="2:39" x14ac:dyDescent="0.25">
      <c r="B60" s="169"/>
      <c r="C60" s="170"/>
      <c r="D60" s="122"/>
      <c r="E60"/>
      <c r="F60"/>
      <c r="G60" s="122"/>
      <c r="H60" s="184"/>
      <c r="I60" s="184"/>
      <c r="J60" s="155"/>
      <c r="K60" s="102"/>
      <c r="L60" s="133"/>
      <c r="M60" s="133"/>
      <c r="N60" s="205"/>
      <c r="O60" s="206"/>
      <c r="P60" s="206"/>
      <c r="Q60" s="160"/>
      <c r="R60" s="163"/>
      <c r="S60" s="158"/>
      <c r="T60" s="162"/>
      <c r="U60" s="166"/>
      <c r="V60" s="199"/>
      <c r="W60" s="188"/>
      <c r="X60" s="188"/>
      <c r="Y60" s="134"/>
      <c r="Z60" s="134"/>
      <c r="AA60" s="134"/>
      <c r="AB60" s="142"/>
      <c r="AC60" s="143"/>
      <c r="AD60" s="207"/>
      <c r="AE60" s="212"/>
      <c r="AF60" s="120"/>
      <c r="AG60" s="10"/>
      <c r="AH60" s="10"/>
      <c r="AI60" s="217"/>
      <c r="AJ60" s="217"/>
      <c r="AK60" s="217"/>
      <c r="AL60" s="217"/>
      <c r="AM60" s="217"/>
    </row>
    <row r="61" spans="2:39" x14ac:dyDescent="0.25">
      <c r="B61" s="168"/>
      <c r="C61" s="170"/>
      <c r="D61" s="122"/>
      <c r="E61"/>
      <c r="F61"/>
      <c r="G61" s="122"/>
      <c r="H61" s="184"/>
      <c r="I61" s="184"/>
      <c r="J61" s="155"/>
      <c r="K61" s="102"/>
      <c r="L61" s="133"/>
      <c r="M61" s="252"/>
      <c r="N61" s="299"/>
      <c r="O61" s="300"/>
      <c r="P61" s="206"/>
      <c r="Q61" s="160"/>
      <c r="R61" s="163"/>
      <c r="S61" s="158"/>
      <c r="T61" s="162"/>
      <c r="U61" s="305"/>
      <c r="V61" s="298"/>
      <c r="W61" s="188"/>
      <c r="X61" s="188"/>
      <c r="Y61" s="241"/>
      <c r="Z61" s="134"/>
      <c r="AA61" s="134"/>
      <c r="AB61" s="142"/>
      <c r="AC61" s="143"/>
      <c r="AD61" s="207"/>
      <c r="AE61" s="212"/>
      <c r="AF61" s="120"/>
      <c r="AG61" s="10"/>
      <c r="AH61" s="10"/>
      <c r="AI61" s="217"/>
      <c r="AJ61" s="217"/>
      <c r="AK61" s="217"/>
      <c r="AL61" s="217"/>
      <c r="AM61" s="217"/>
    </row>
    <row r="62" spans="2:39" x14ac:dyDescent="0.25">
      <c r="B62" s="169"/>
      <c r="C62" s="170"/>
      <c r="D62" s="122"/>
      <c r="E62"/>
      <c r="F62"/>
      <c r="G62" s="122"/>
      <c r="H62" s="184"/>
      <c r="I62" s="184"/>
      <c r="J62" s="155"/>
      <c r="K62" s="102"/>
      <c r="L62" s="133"/>
      <c r="M62" s="133"/>
      <c r="N62" s="205"/>
      <c r="O62" s="206"/>
      <c r="P62" s="206"/>
      <c r="Q62" s="160"/>
      <c r="R62" s="163"/>
      <c r="S62" s="158"/>
      <c r="T62" s="162"/>
      <c r="U62" s="166"/>
      <c r="V62" s="199"/>
      <c r="W62" s="188"/>
      <c r="X62" s="188"/>
      <c r="Y62" s="134"/>
      <c r="Z62" s="134"/>
      <c r="AA62" s="134"/>
      <c r="AB62" s="142"/>
      <c r="AC62" s="143"/>
      <c r="AD62" s="207"/>
      <c r="AE62" s="212"/>
      <c r="AF62" s="120"/>
      <c r="AG62" s="10"/>
      <c r="AH62" s="10"/>
      <c r="AI62" s="217"/>
      <c r="AJ62" s="217"/>
      <c r="AK62" s="217"/>
      <c r="AL62" s="217"/>
      <c r="AM62" s="217"/>
    </row>
    <row r="63" spans="2:39" x14ac:dyDescent="0.25">
      <c r="B63" s="168"/>
      <c r="C63" s="170"/>
      <c r="D63" s="122"/>
      <c r="E63"/>
      <c r="F63"/>
      <c r="G63" s="122"/>
      <c r="H63" s="184"/>
      <c r="I63" s="184"/>
      <c r="J63" s="155"/>
      <c r="K63" s="102"/>
      <c r="L63" s="133"/>
      <c r="M63" s="252"/>
      <c r="N63" s="299"/>
      <c r="O63" s="300"/>
      <c r="P63" s="206"/>
      <c r="Q63" s="160"/>
      <c r="R63" s="163"/>
      <c r="S63" s="158"/>
      <c r="T63" s="162"/>
      <c r="U63" s="305"/>
      <c r="V63" s="298"/>
      <c r="W63" s="188"/>
      <c r="X63" s="188"/>
      <c r="Y63" s="241"/>
      <c r="Z63" s="134"/>
      <c r="AA63" s="134"/>
      <c r="AB63" s="142"/>
      <c r="AC63" s="143"/>
      <c r="AD63" s="207"/>
      <c r="AE63" s="212"/>
      <c r="AF63" s="120"/>
      <c r="AG63" s="10"/>
      <c r="AH63" s="10"/>
      <c r="AI63" s="217"/>
      <c r="AJ63" s="217"/>
      <c r="AK63" s="217"/>
      <c r="AL63" s="217"/>
      <c r="AM63" s="217"/>
    </row>
    <row r="64" spans="2:39" x14ac:dyDescent="0.25">
      <c r="B64" s="169"/>
      <c r="C64" s="170"/>
      <c r="D64" s="122"/>
      <c r="E64"/>
      <c r="F64"/>
      <c r="G64" s="122"/>
      <c r="H64" s="184"/>
      <c r="I64" s="184"/>
      <c r="J64" s="155"/>
      <c r="K64" s="102"/>
      <c r="L64" s="133"/>
      <c r="M64" s="133"/>
      <c r="N64" s="205"/>
      <c r="O64" s="206"/>
      <c r="P64" s="206"/>
      <c r="Q64" s="160"/>
      <c r="R64" s="163"/>
      <c r="S64" s="158"/>
      <c r="T64" s="162"/>
      <c r="U64" s="166"/>
      <c r="V64" s="199"/>
      <c r="W64" s="188"/>
      <c r="X64" s="188"/>
      <c r="Y64" s="134"/>
      <c r="Z64" s="134"/>
      <c r="AA64" s="134"/>
      <c r="AB64" s="142"/>
      <c r="AC64" s="143"/>
      <c r="AD64" s="207"/>
      <c r="AE64" s="212"/>
      <c r="AF64" s="120"/>
      <c r="AG64" s="10"/>
      <c r="AH64" s="10"/>
      <c r="AI64" s="217"/>
      <c r="AJ64" s="217"/>
      <c r="AK64" s="217"/>
      <c r="AL64" s="217"/>
      <c r="AM64" s="217"/>
    </row>
    <row r="65" spans="2:39" x14ac:dyDescent="0.25">
      <c r="B65" s="168"/>
      <c r="C65" s="187"/>
      <c r="D65" s="122"/>
      <c r="E65"/>
      <c r="F65"/>
      <c r="G65" s="122"/>
      <c r="H65" s="184"/>
      <c r="I65" s="184"/>
      <c r="J65" s="155"/>
      <c r="K65" s="102"/>
      <c r="L65" s="133"/>
      <c r="M65" s="252"/>
      <c r="N65" s="299"/>
      <c r="O65" s="300"/>
      <c r="P65" s="206"/>
      <c r="Q65" s="160"/>
      <c r="R65" s="163"/>
      <c r="S65" s="158"/>
      <c r="T65" s="162"/>
      <c r="U65" s="305"/>
      <c r="V65" s="298"/>
      <c r="W65" s="188"/>
      <c r="X65" s="188"/>
      <c r="Y65" s="241"/>
      <c r="Z65" s="134"/>
      <c r="AA65" s="134"/>
      <c r="AB65" s="142"/>
      <c r="AC65" s="143"/>
      <c r="AD65" s="207"/>
      <c r="AE65" s="212"/>
      <c r="AF65" s="120"/>
      <c r="AG65" s="10"/>
      <c r="AH65" s="10"/>
      <c r="AI65" s="217"/>
      <c r="AJ65" s="217"/>
      <c r="AK65" s="217"/>
      <c r="AL65" s="217"/>
      <c r="AM65" s="217"/>
    </row>
    <row r="66" spans="2:39" x14ac:dyDescent="0.25">
      <c r="B66" s="169"/>
      <c r="C66" s="170"/>
      <c r="D66" s="122"/>
      <c r="E66"/>
      <c r="F66"/>
      <c r="G66" s="122"/>
      <c r="H66" s="184"/>
      <c r="I66" s="184"/>
      <c r="J66" s="155"/>
      <c r="K66" s="102"/>
      <c r="L66" s="133"/>
      <c r="M66" s="133"/>
      <c r="N66" s="205"/>
      <c r="O66" s="206"/>
      <c r="P66" s="206"/>
      <c r="Q66" s="160"/>
      <c r="R66" s="163"/>
      <c r="S66" s="158"/>
      <c r="T66" s="162"/>
      <c r="U66" s="166"/>
      <c r="V66" s="199"/>
      <c r="W66" s="188"/>
      <c r="X66" s="188"/>
      <c r="Y66" s="134"/>
      <c r="Z66" s="134"/>
      <c r="AA66" s="134"/>
      <c r="AB66" s="142"/>
      <c r="AC66" s="143"/>
      <c r="AD66" s="207"/>
      <c r="AE66" s="212"/>
      <c r="AF66" s="120"/>
      <c r="AG66" s="10"/>
      <c r="AH66" s="10"/>
      <c r="AI66" s="217"/>
      <c r="AJ66" s="217"/>
      <c r="AK66" s="217"/>
      <c r="AL66" s="217"/>
      <c r="AM66" s="217"/>
    </row>
    <row r="67" spans="2:39" x14ac:dyDescent="0.25">
      <c r="B67" s="168"/>
      <c r="C67" s="170"/>
      <c r="D67" s="122"/>
      <c r="E67"/>
      <c r="F67"/>
      <c r="G67" s="122"/>
      <c r="H67" s="184"/>
      <c r="I67" s="184"/>
      <c r="J67" s="155"/>
      <c r="K67" s="102"/>
      <c r="L67" s="133"/>
      <c r="M67" s="252"/>
      <c r="N67" s="299"/>
      <c r="O67" s="300"/>
      <c r="P67" s="206"/>
      <c r="Q67" s="160"/>
      <c r="R67" s="163"/>
      <c r="S67" s="158"/>
      <c r="T67" s="162"/>
      <c r="U67" s="305"/>
      <c r="V67" s="298"/>
      <c r="W67" s="188"/>
      <c r="X67" s="188"/>
      <c r="Y67" s="241"/>
      <c r="Z67" s="134"/>
      <c r="AA67" s="134"/>
      <c r="AB67" s="142"/>
      <c r="AC67" s="143"/>
      <c r="AD67" s="207"/>
      <c r="AE67" s="212"/>
      <c r="AF67" s="120"/>
      <c r="AG67" s="10"/>
      <c r="AH67" s="10"/>
      <c r="AI67" s="217"/>
      <c r="AJ67" s="217"/>
      <c r="AK67" s="217"/>
      <c r="AL67" s="217"/>
      <c r="AM67" s="217"/>
    </row>
    <row r="68" spans="2:39" x14ac:dyDescent="0.25">
      <c r="B68" s="169"/>
      <c r="C68" s="170"/>
      <c r="D68" s="122"/>
      <c r="E68"/>
      <c r="F68"/>
      <c r="G68" s="122"/>
      <c r="H68" s="184"/>
      <c r="I68" s="184"/>
      <c r="J68" s="155"/>
      <c r="K68" s="102"/>
      <c r="L68" s="133"/>
      <c r="M68" s="133"/>
      <c r="N68" s="205"/>
      <c r="O68" s="206"/>
      <c r="P68" s="206"/>
      <c r="Q68" s="160"/>
      <c r="R68" s="163"/>
      <c r="S68" s="158"/>
      <c r="T68" s="162"/>
      <c r="U68" s="166"/>
      <c r="V68" s="199"/>
      <c r="W68" s="188"/>
      <c r="X68" s="188"/>
      <c r="Y68" s="134"/>
      <c r="Z68" s="134"/>
      <c r="AA68" s="134"/>
      <c r="AB68" s="142"/>
      <c r="AC68" s="143"/>
      <c r="AD68" s="207"/>
      <c r="AE68" s="212"/>
      <c r="AF68" s="120"/>
      <c r="AG68" s="10"/>
      <c r="AH68" s="10"/>
      <c r="AI68" s="217"/>
      <c r="AJ68" s="217"/>
      <c r="AK68" s="217"/>
      <c r="AL68" s="217"/>
      <c r="AM68" s="217"/>
    </row>
    <row r="69" spans="2:39" x14ac:dyDescent="0.25">
      <c r="B69" s="168"/>
      <c r="C69" s="170"/>
      <c r="D69" s="122"/>
      <c r="E69"/>
      <c r="F69"/>
      <c r="G69" s="122"/>
      <c r="H69" s="184"/>
      <c r="I69" s="295"/>
      <c r="J69" s="155"/>
      <c r="K69" s="102"/>
      <c r="L69" s="133"/>
      <c r="M69" s="252"/>
      <c r="N69" s="296"/>
      <c r="O69" s="297"/>
      <c r="P69" s="319"/>
      <c r="Q69" s="160"/>
      <c r="R69" s="163"/>
      <c r="S69" s="158"/>
      <c r="T69" s="162"/>
      <c r="U69" s="305"/>
      <c r="V69" s="298"/>
      <c r="W69" s="195"/>
      <c r="X69" s="198"/>
      <c r="Y69" s="241"/>
      <c r="Z69" s="134"/>
      <c r="AA69" s="134"/>
      <c r="AB69" s="142"/>
      <c r="AC69" s="143"/>
      <c r="AD69" s="208"/>
      <c r="AE69" s="320"/>
      <c r="AF69" s="215"/>
      <c r="AG69" s="216"/>
      <c r="AH69" s="216"/>
      <c r="AI69" s="193"/>
      <c r="AJ69" s="218"/>
      <c r="AK69" s="193"/>
      <c r="AL69" s="193"/>
      <c r="AM69" s="193"/>
    </row>
    <row r="70" spans="2:39" x14ac:dyDescent="0.25">
      <c r="B70" s="169"/>
      <c r="C70" s="170"/>
      <c r="D70" s="122"/>
      <c r="E70"/>
      <c r="F70"/>
      <c r="G70" s="122"/>
      <c r="H70" s="184"/>
      <c r="I70" s="184"/>
      <c r="J70" s="155"/>
      <c r="K70" s="102"/>
      <c r="L70" s="133"/>
      <c r="M70" s="133"/>
      <c r="N70" s="205"/>
      <c r="O70" s="206"/>
      <c r="P70" s="206"/>
      <c r="Q70" s="160"/>
      <c r="R70" s="163"/>
      <c r="S70" s="158"/>
      <c r="T70" s="162"/>
      <c r="U70" s="166"/>
      <c r="V70" s="199"/>
      <c r="W70" s="188"/>
      <c r="X70" s="188"/>
      <c r="Y70" s="134"/>
      <c r="Z70" s="134"/>
      <c r="AA70" s="134"/>
      <c r="AB70" s="142"/>
      <c r="AC70" s="143"/>
      <c r="AD70" s="207"/>
      <c r="AE70" s="212"/>
      <c r="AF70" s="120"/>
      <c r="AG70" s="10"/>
      <c r="AH70" s="10"/>
      <c r="AI70" s="217"/>
      <c r="AJ70" s="217"/>
      <c r="AK70" s="217"/>
      <c r="AL70" s="217"/>
      <c r="AM70" s="217"/>
    </row>
    <row r="71" spans="2:39" x14ac:dyDescent="0.25">
      <c r="N71" s="191"/>
      <c r="O71" s="191"/>
      <c r="P71" s="191"/>
      <c r="AD71" s="191"/>
      <c r="AE71" s="214"/>
      <c r="AF71" s="120"/>
      <c r="AG71" s="10"/>
      <c r="AH71" s="10"/>
      <c r="AI71" s="217"/>
      <c r="AJ71" s="217"/>
      <c r="AK71" s="219"/>
      <c r="AL71" s="219"/>
      <c r="AM71" s="219"/>
    </row>
    <row r="72" spans="2:39" ht="15.75" x14ac:dyDescent="0.25">
      <c r="B72" s="74"/>
      <c r="N72" s="191"/>
      <c r="O72" s="191"/>
      <c r="P72" s="191"/>
      <c r="AD72" s="191"/>
      <c r="AE72" s="214"/>
      <c r="AF72" s="120"/>
      <c r="AG72" s="10"/>
      <c r="AH72" s="10"/>
      <c r="AI72" s="217"/>
      <c r="AJ72" s="217"/>
      <c r="AK72" s="217"/>
      <c r="AL72" s="217"/>
      <c r="AM72" s="217"/>
    </row>
    <row r="73" spans="2:39" x14ac:dyDescent="0.25">
      <c r="N73" s="191"/>
      <c r="O73" s="191"/>
      <c r="P73" s="191"/>
      <c r="AD73" s="191"/>
      <c r="AE73" s="214"/>
      <c r="AF73" s="120"/>
      <c r="AG73" s="10"/>
      <c r="AH73" s="10"/>
      <c r="AI73" s="217"/>
      <c r="AJ73" s="217"/>
      <c r="AK73" s="217"/>
      <c r="AL73" s="217"/>
      <c r="AM73" s="217"/>
    </row>
    <row r="74" spans="2:39" ht="18.75" x14ac:dyDescent="0.3">
      <c r="B74" s="5"/>
      <c r="C74" s="185"/>
      <c r="D74" s="7"/>
      <c r="E74" s="7"/>
      <c r="F74" s="7"/>
      <c r="G74" s="7"/>
      <c r="H74" s="63"/>
      <c r="I74" s="63"/>
      <c r="J74" s="99"/>
      <c r="K74" s="24"/>
      <c r="L74" s="24"/>
      <c r="M74" s="24"/>
      <c r="N74" s="21"/>
      <c r="O74" s="21"/>
      <c r="P74" s="21"/>
      <c r="Q74" s="24"/>
      <c r="R74" s="24"/>
      <c r="S74" s="21"/>
      <c r="T74" s="21"/>
      <c r="U74" s="99"/>
      <c r="V74" s="167"/>
      <c r="W74" s="185"/>
      <c r="X74" s="185"/>
      <c r="Y74" s="5"/>
      <c r="Z74" s="5"/>
      <c r="AA74" s="5"/>
      <c r="AB74" s="5"/>
      <c r="AC74" s="5"/>
      <c r="AD74" s="21"/>
      <c r="AE74" s="185"/>
      <c r="AF74" s="99"/>
      <c r="AG74" s="99"/>
      <c r="AH74" s="99"/>
      <c r="AI74" s="21"/>
      <c r="AJ74" s="21"/>
      <c r="AK74" s="21"/>
      <c r="AL74" s="21"/>
      <c r="AM74" s="21"/>
    </row>
    <row r="75" spans="2:39" x14ac:dyDescent="0.25">
      <c r="C75" s="186"/>
      <c r="D75" s="7"/>
      <c r="E75" s="7"/>
      <c r="F75" s="7"/>
      <c r="G75" s="7"/>
      <c r="H75" s="2"/>
      <c r="I75" s="2"/>
      <c r="J75" s="7"/>
      <c r="K75" s="7"/>
      <c r="L75" s="7"/>
      <c r="M75" s="7"/>
      <c r="N75" s="161"/>
      <c r="O75" s="161"/>
      <c r="P75" s="161"/>
      <c r="Q75" s="20"/>
      <c r="R75" s="20"/>
      <c r="S75" s="161"/>
      <c r="T75" s="2"/>
      <c r="U75" s="164"/>
      <c r="V75" s="164"/>
      <c r="W75" s="186"/>
      <c r="X75" s="186"/>
      <c r="Y75" s="7"/>
      <c r="Z75" s="7"/>
      <c r="AA75" s="7"/>
      <c r="AB75" s="7"/>
      <c r="AD75" s="191"/>
      <c r="AE75" s="214"/>
      <c r="AF75" s="120"/>
      <c r="AG75" s="10"/>
      <c r="AH75" s="10"/>
      <c r="AI75" s="191"/>
      <c r="AJ75" s="161"/>
      <c r="AK75" s="161"/>
      <c r="AL75" s="161"/>
      <c r="AM75" s="161"/>
    </row>
    <row r="76" spans="2:39" x14ac:dyDescent="0.25">
      <c r="K76" s="7"/>
      <c r="L76" s="7"/>
      <c r="M76" s="47"/>
      <c r="O76" s="7"/>
      <c r="P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2:39" x14ac:dyDescent="0.25">
      <c r="C77" s="170"/>
      <c r="D77" s="122"/>
      <c r="E77"/>
      <c r="F77"/>
      <c r="G77" s="122"/>
      <c r="H77" s="184"/>
      <c r="I77" s="184"/>
      <c r="J77" s="155"/>
      <c r="K77" s="203"/>
      <c r="L77" s="201"/>
      <c r="M77" s="201"/>
      <c r="N77" s="205"/>
      <c r="O77" s="206"/>
      <c r="P77" s="206"/>
      <c r="Q77" s="160"/>
      <c r="R77" s="163"/>
      <c r="S77" s="158"/>
      <c r="T77" s="162"/>
      <c r="U77" s="166"/>
      <c r="V77" s="199"/>
      <c r="W77" s="195"/>
      <c r="X77" s="198"/>
      <c r="Y77" s="105"/>
      <c r="Z77" s="105"/>
      <c r="AA77" s="201"/>
      <c r="AB77" s="202"/>
      <c r="AC77" s="202"/>
      <c r="AD77" s="317"/>
      <c r="AE77" s="327"/>
      <c r="AF77" s="120"/>
      <c r="AG77" s="8"/>
      <c r="AH77" s="8"/>
      <c r="AI77" s="246"/>
      <c r="AJ77" s="268"/>
      <c r="AK77" s="313"/>
      <c r="AL77" s="313"/>
      <c r="AM77" s="313"/>
    </row>
    <row r="78" spans="2:39" x14ac:dyDescent="0.25">
      <c r="C78" s="170"/>
      <c r="D78" s="122"/>
      <c r="E78"/>
      <c r="F78"/>
      <c r="G78" s="122"/>
      <c r="H78" s="184"/>
      <c r="I78" s="184"/>
      <c r="J78" s="155"/>
      <c r="K78" s="203"/>
      <c r="L78" s="201"/>
      <c r="M78" s="201"/>
      <c r="N78" s="205"/>
      <c r="O78" s="206"/>
      <c r="P78" s="206"/>
      <c r="Q78" s="160"/>
      <c r="R78" s="163"/>
      <c r="S78" s="158"/>
      <c r="T78" s="162"/>
      <c r="U78" s="166"/>
      <c r="V78" s="199"/>
      <c r="W78" s="195"/>
      <c r="X78" s="198"/>
      <c r="Y78" s="105"/>
      <c r="Z78" s="105"/>
      <c r="AA78" s="201"/>
      <c r="AB78" s="202"/>
      <c r="AC78" s="202"/>
      <c r="AD78" s="317"/>
      <c r="AE78" s="327"/>
      <c r="AF78" s="120"/>
      <c r="AG78" s="8"/>
      <c r="AH78" s="8"/>
      <c r="AI78" s="246"/>
      <c r="AJ78" s="268"/>
      <c r="AK78" s="313"/>
      <c r="AL78" s="313"/>
      <c r="AM78" s="313"/>
    </row>
    <row r="79" spans="2:39" x14ac:dyDescent="0.25">
      <c r="C79" s="170"/>
      <c r="D79" s="122"/>
      <c r="E79"/>
      <c r="F79"/>
      <c r="G79" s="122"/>
      <c r="H79" s="184"/>
      <c r="I79" s="184"/>
      <c r="J79" s="155"/>
      <c r="K79" s="203"/>
      <c r="L79" s="201"/>
      <c r="M79" s="201"/>
      <c r="N79" s="205"/>
      <c r="O79" s="206"/>
      <c r="P79" s="206"/>
      <c r="Q79" s="160"/>
      <c r="R79" s="163"/>
      <c r="S79" s="158"/>
      <c r="T79" s="162"/>
      <c r="U79" s="166"/>
      <c r="V79" s="199"/>
      <c r="W79" s="195"/>
      <c r="X79" s="198"/>
      <c r="Y79" s="105"/>
      <c r="Z79" s="105"/>
      <c r="AA79" s="201"/>
      <c r="AB79" s="202"/>
      <c r="AC79" s="202"/>
      <c r="AD79" s="317"/>
      <c r="AE79" s="327"/>
      <c r="AF79" s="120"/>
      <c r="AG79" s="8"/>
      <c r="AH79" s="8"/>
      <c r="AI79" s="246"/>
      <c r="AJ79" s="268"/>
      <c r="AK79" s="313"/>
      <c r="AL79" s="313"/>
      <c r="AM79" s="313"/>
    </row>
    <row r="80" spans="2:39" x14ac:dyDescent="0.25">
      <c r="C80" s="170"/>
      <c r="D80" s="122"/>
      <c r="E80"/>
      <c r="F80"/>
      <c r="G80" s="122"/>
      <c r="H80" s="184"/>
      <c r="I80" s="184"/>
      <c r="J80" s="155"/>
      <c r="K80" s="203"/>
      <c r="L80" s="201"/>
      <c r="M80" s="201"/>
      <c r="N80" s="205"/>
      <c r="O80" s="206"/>
      <c r="P80" s="206"/>
      <c r="Q80" s="160"/>
      <c r="R80" s="163"/>
      <c r="S80" s="158"/>
      <c r="T80" s="162"/>
      <c r="U80" s="166"/>
      <c r="V80" s="199"/>
      <c r="W80" s="195"/>
      <c r="X80" s="198"/>
      <c r="Y80" s="105"/>
      <c r="Z80" s="105"/>
      <c r="AA80" s="201"/>
      <c r="AB80" s="202"/>
      <c r="AC80" s="202"/>
      <c r="AD80" s="317"/>
      <c r="AE80" s="327"/>
      <c r="AF80" s="120"/>
      <c r="AG80" s="8"/>
      <c r="AH80" s="8"/>
      <c r="AI80" s="246"/>
      <c r="AJ80" s="268"/>
      <c r="AK80" s="313"/>
      <c r="AL80" s="313"/>
      <c r="AM80" s="313"/>
    </row>
    <row r="81" spans="2:39" x14ac:dyDescent="0.25">
      <c r="C81" s="170"/>
      <c r="D81" s="122"/>
      <c r="E81"/>
      <c r="F81"/>
      <c r="G81" s="122"/>
      <c r="H81" s="184"/>
      <c r="I81" s="184"/>
      <c r="J81" s="155"/>
      <c r="K81" s="203"/>
      <c r="L81" s="201"/>
      <c r="M81" s="201"/>
      <c r="N81" s="205"/>
      <c r="O81" s="206"/>
      <c r="P81" s="206"/>
      <c r="Q81" s="160"/>
      <c r="R81" s="163"/>
      <c r="S81" s="158"/>
      <c r="T81" s="162"/>
      <c r="U81" s="166"/>
      <c r="V81" s="199"/>
      <c r="W81" s="195"/>
      <c r="X81" s="198"/>
      <c r="Y81" s="105"/>
      <c r="Z81" s="105"/>
      <c r="AA81" s="201"/>
      <c r="AB81" s="202"/>
      <c r="AC81" s="202"/>
      <c r="AD81" s="317"/>
      <c r="AE81" s="327"/>
      <c r="AF81" s="120"/>
      <c r="AG81" s="8"/>
      <c r="AH81" s="8"/>
      <c r="AI81" s="246"/>
      <c r="AJ81" s="268"/>
      <c r="AK81" s="313"/>
      <c r="AL81" s="313"/>
      <c r="AM81" s="313"/>
    </row>
    <row r="82" spans="2:39" x14ac:dyDescent="0.25">
      <c r="C82" s="170"/>
      <c r="D82" s="122"/>
      <c r="E82"/>
      <c r="F82"/>
      <c r="G82" s="122"/>
      <c r="H82" s="184"/>
      <c r="I82" s="184"/>
      <c r="J82" s="155"/>
      <c r="K82" s="203"/>
      <c r="L82" s="201"/>
      <c r="M82" s="201"/>
      <c r="N82" s="205"/>
      <c r="O82" s="206"/>
      <c r="P82" s="206"/>
      <c r="Q82" s="160"/>
      <c r="R82" s="163"/>
      <c r="S82" s="158"/>
      <c r="T82" s="162"/>
      <c r="U82" s="166"/>
      <c r="V82" s="199"/>
      <c r="W82" s="195"/>
      <c r="X82" s="198"/>
      <c r="Y82" s="105"/>
      <c r="Z82" s="105"/>
      <c r="AA82" s="201"/>
      <c r="AB82" s="202"/>
      <c r="AC82" s="202"/>
      <c r="AD82" s="317"/>
      <c r="AE82" s="327"/>
      <c r="AF82" s="120"/>
      <c r="AG82" s="8"/>
      <c r="AH82" s="8"/>
      <c r="AI82" s="246"/>
      <c r="AJ82" s="268"/>
      <c r="AK82" s="313"/>
      <c r="AL82" s="313"/>
      <c r="AM82" s="313"/>
    </row>
    <row r="83" spans="2:39" x14ac:dyDescent="0.25">
      <c r="C83" s="170"/>
      <c r="D83" s="122"/>
      <c r="E83"/>
      <c r="F83"/>
      <c r="G83" s="122"/>
      <c r="H83" s="184"/>
      <c r="I83" s="184"/>
      <c r="J83" s="155"/>
      <c r="K83" s="203"/>
      <c r="L83" s="201"/>
      <c r="M83" s="201"/>
      <c r="N83" s="205"/>
      <c r="O83" s="206"/>
      <c r="P83" s="206"/>
      <c r="Q83" s="160"/>
      <c r="R83" s="163"/>
      <c r="S83" s="158"/>
      <c r="T83" s="162"/>
      <c r="U83" s="166"/>
      <c r="V83" s="199"/>
      <c r="W83" s="195"/>
      <c r="X83" s="198"/>
      <c r="Y83" s="105"/>
      <c r="Z83" s="105"/>
      <c r="AA83" s="201"/>
      <c r="AB83" s="202"/>
      <c r="AC83" s="202"/>
      <c r="AD83" s="317"/>
      <c r="AE83" s="327"/>
      <c r="AF83" s="120"/>
      <c r="AG83" s="8"/>
      <c r="AH83" s="8"/>
      <c r="AI83" s="246"/>
      <c r="AJ83" s="268"/>
      <c r="AK83" s="313"/>
      <c r="AL83" s="313"/>
      <c r="AM83" s="313"/>
    </row>
    <row r="84" spans="2:39" x14ac:dyDescent="0.25">
      <c r="C84" s="170"/>
      <c r="D84" s="122"/>
      <c r="E84"/>
      <c r="F84"/>
      <c r="G84" s="122"/>
      <c r="H84" s="184"/>
      <c r="I84" s="184"/>
      <c r="J84" s="155"/>
      <c r="K84" s="203"/>
      <c r="L84" s="201"/>
      <c r="M84" s="201"/>
      <c r="N84" s="205"/>
      <c r="O84" s="206"/>
      <c r="P84" s="206"/>
      <c r="Q84" s="160"/>
      <c r="R84" s="163"/>
      <c r="S84" s="158"/>
      <c r="T84" s="162"/>
      <c r="U84" s="166"/>
      <c r="V84" s="199"/>
      <c r="W84" s="195"/>
      <c r="X84" s="198"/>
      <c r="Y84" s="105"/>
      <c r="Z84" s="105"/>
      <c r="AA84" s="201"/>
      <c r="AB84" s="202"/>
      <c r="AC84" s="202"/>
      <c r="AD84" s="317"/>
      <c r="AE84" s="327"/>
      <c r="AF84" s="120"/>
      <c r="AG84" s="8"/>
      <c r="AH84" s="8"/>
      <c r="AI84" s="246"/>
      <c r="AJ84" s="268"/>
      <c r="AK84" s="313"/>
      <c r="AL84" s="313"/>
      <c r="AM84" s="313"/>
    </row>
    <row r="85" spans="2:39" x14ac:dyDescent="0.25">
      <c r="C85" s="170"/>
      <c r="D85" s="122"/>
      <c r="E85"/>
      <c r="F85"/>
      <c r="G85" s="122"/>
      <c r="H85" s="184"/>
      <c r="I85" s="184"/>
      <c r="J85" s="155"/>
      <c r="K85" s="203"/>
      <c r="L85" s="201"/>
      <c r="M85" s="201"/>
      <c r="N85" s="205"/>
      <c r="O85" s="206"/>
      <c r="P85" s="206"/>
      <c r="Q85" s="160"/>
      <c r="R85" s="163"/>
      <c r="S85" s="158"/>
      <c r="T85" s="162"/>
      <c r="U85" s="166"/>
      <c r="V85" s="199"/>
      <c r="W85" s="195"/>
      <c r="X85" s="198"/>
      <c r="Y85" s="105"/>
      <c r="Z85" s="105"/>
      <c r="AA85" s="201"/>
      <c r="AB85" s="202"/>
      <c r="AC85" s="202"/>
      <c r="AD85" s="317"/>
      <c r="AE85" s="327"/>
      <c r="AF85" s="120"/>
      <c r="AG85" s="8"/>
      <c r="AH85" s="8"/>
      <c r="AI85" s="246"/>
      <c r="AJ85" s="268"/>
      <c r="AK85" s="313"/>
      <c r="AL85" s="313"/>
      <c r="AM85" s="313"/>
    </row>
    <row r="86" spans="2:39" x14ac:dyDescent="0.25">
      <c r="B86" s="5"/>
      <c r="C86" s="294"/>
      <c r="D86" s="122"/>
      <c r="E86" s="4"/>
      <c r="F86" s="4"/>
      <c r="G86" s="121"/>
      <c r="H86" s="295"/>
      <c r="I86" s="295"/>
      <c r="J86" s="155"/>
      <c r="K86" s="203"/>
      <c r="L86" s="201"/>
      <c r="M86" s="201"/>
      <c r="N86" s="321"/>
      <c r="O86" s="319"/>
      <c r="P86" s="319"/>
      <c r="Q86" s="322"/>
      <c r="R86" s="323"/>
      <c r="S86" s="324"/>
      <c r="T86" s="325"/>
      <c r="U86" s="326"/>
      <c r="V86" s="199"/>
      <c r="W86" s="195"/>
      <c r="X86" s="198"/>
      <c r="Y86" s="105"/>
      <c r="Z86" s="105"/>
      <c r="AA86" s="201"/>
      <c r="AB86" s="202"/>
      <c r="AC86" s="202"/>
      <c r="AD86" s="221"/>
      <c r="AE86" s="213"/>
      <c r="AF86" s="215"/>
      <c r="AG86" s="33"/>
      <c r="AH86" s="33"/>
      <c r="AI86" s="245"/>
      <c r="AJ86" s="218"/>
      <c r="AK86" s="220"/>
      <c r="AL86" s="220"/>
      <c r="AM86" s="220"/>
    </row>
    <row r="87" spans="2:39" x14ac:dyDescent="0.25">
      <c r="B87" s="272"/>
      <c r="C87" s="273"/>
      <c r="D87" s="275"/>
      <c r="E87" s="275"/>
      <c r="F87" s="275"/>
      <c r="G87" s="274"/>
      <c r="H87" s="276"/>
      <c r="I87" s="276"/>
      <c r="J87" s="277"/>
      <c r="K87" s="335"/>
      <c r="L87" s="329"/>
      <c r="M87" s="329"/>
      <c r="N87" s="279"/>
      <c r="O87" s="280"/>
      <c r="P87" s="280"/>
      <c r="Q87" s="281"/>
      <c r="R87" s="282"/>
      <c r="S87" s="283"/>
      <c r="T87" s="284"/>
      <c r="U87" s="285"/>
      <c r="V87" s="286"/>
      <c r="W87" s="287"/>
      <c r="X87" s="288"/>
      <c r="Y87" s="328"/>
      <c r="Z87" s="328"/>
      <c r="AA87" s="329"/>
      <c r="AB87" s="330"/>
      <c r="AC87" s="330"/>
      <c r="AD87" s="318"/>
      <c r="AE87" s="331"/>
      <c r="AF87" s="332"/>
      <c r="AG87" s="333"/>
      <c r="AH87" s="333"/>
      <c r="AI87" s="314"/>
      <c r="AJ87" s="315"/>
      <c r="AK87" s="316"/>
      <c r="AL87" s="316"/>
      <c r="AM87" s="316"/>
    </row>
    <row r="88" spans="2:39" x14ac:dyDescent="0.25">
      <c r="B88" s="272"/>
      <c r="C88" s="273"/>
      <c r="D88" s="275"/>
      <c r="E88" s="275"/>
      <c r="F88" s="275"/>
      <c r="G88" s="274"/>
      <c r="H88" s="276"/>
      <c r="I88" s="276"/>
      <c r="J88" s="277"/>
      <c r="K88" s="335"/>
      <c r="L88" s="329"/>
      <c r="M88" s="329"/>
      <c r="N88" s="279"/>
      <c r="O88" s="280"/>
      <c r="P88" s="280"/>
      <c r="Q88" s="281"/>
      <c r="R88" s="282"/>
      <c r="S88" s="283"/>
      <c r="T88" s="284"/>
      <c r="U88" s="285"/>
      <c r="V88" s="286"/>
      <c r="W88" s="287"/>
      <c r="X88" s="288"/>
      <c r="Y88" s="328"/>
      <c r="Z88" s="328"/>
      <c r="AA88" s="329"/>
      <c r="AB88" s="330"/>
      <c r="AC88" s="330"/>
      <c r="AD88" s="318"/>
      <c r="AE88" s="331"/>
      <c r="AF88" s="332"/>
      <c r="AG88" s="333"/>
      <c r="AH88" s="333"/>
      <c r="AI88" s="314"/>
      <c r="AJ88" s="315"/>
      <c r="AK88" s="316"/>
      <c r="AL88" s="316"/>
      <c r="AM88" s="316"/>
    </row>
    <row r="89" spans="2:39" x14ac:dyDescent="0.25">
      <c r="B89" s="272"/>
      <c r="C89" s="273"/>
      <c r="D89" s="275"/>
      <c r="E89" s="275"/>
      <c r="F89" s="275"/>
      <c r="G89" s="274"/>
      <c r="H89" s="276"/>
      <c r="I89" s="276"/>
      <c r="J89" s="277"/>
      <c r="K89" s="335"/>
      <c r="L89" s="329"/>
      <c r="M89" s="329"/>
      <c r="N89" s="279"/>
      <c r="O89" s="280"/>
      <c r="P89" s="280"/>
      <c r="Q89" s="281"/>
      <c r="R89" s="282"/>
      <c r="S89" s="283"/>
      <c r="T89" s="284"/>
      <c r="U89" s="285"/>
      <c r="V89" s="286"/>
      <c r="W89" s="287"/>
      <c r="X89" s="288"/>
      <c r="Y89" s="328"/>
      <c r="Z89" s="328"/>
      <c r="AA89" s="329"/>
      <c r="AB89" s="330"/>
      <c r="AC89" s="330"/>
      <c r="AD89" s="318"/>
      <c r="AE89" s="331"/>
      <c r="AF89" s="332"/>
      <c r="AG89" s="333"/>
      <c r="AH89" s="333"/>
      <c r="AI89" s="314"/>
      <c r="AJ89" s="315"/>
      <c r="AK89" s="316"/>
      <c r="AL89" s="316"/>
      <c r="AM89" s="316"/>
    </row>
    <row r="90" spans="2:39" x14ac:dyDescent="0.25">
      <c r="B90" s="272"/>
      <c r="C90" s="273"/>
      <c r="D90" s="275"/>
      <c r="E90" s="275"/>
      <c r="F90" s="275"/>
      <c r="G90" s="274"/>
      <c r="H90" s="276"/>
      <c r="I90" s="276"/>
      <c r="J90" s="334"/>
      <c r="K90" s="335"/>
      <c r="L90" s="329"/>
      <c r="M90" s="329"/>
      <c r="N90" s="279"/>
      <c r="O90" s="280"/>
      <c r="P90" s="280"/>
      <c r="Q90" s="336"/>
      <c r="R90" s="337"/>
      <c r="S90" s="338"/>
      <c r="T90" s="339"/>
      <c r="U90" s="340"/>
      <c r="V90" s="286"/>
      <c r="W90" s="287"/>
      <c r="X90" s="288"/>
      <c r="Y90" s="328"/>
      <c r="Z90" s="328"/>
      <c r="AA90" s="329"/>
      <c r="AB90" s="330"/>
      <c r="AC90" s="330"/>
      <c r="AD90" s="318"/>
      <c r="AE90" s="331"/>
      <c r="AF90" s="332"/>
      <c r="AG90" s="333"/>
      <c r="AH90" s="333"/>
      <c r="AI90" s="314"/>
      <c r="AJ90" s="315"/>
      <c r="AK90" s="316"/>
      <c r="AL90" s="316"/>
      <c r="AM90" s="316"/>
    </row>
    <row r="91" spans="2:39" x14ac:dyDescent="0.25">
      <c r="B91" s="272"/>
      <c r="C91" s="273"/>
      <c r="D91" s="275"/>
      <c r="E91" s="275"/>
      <c r="F91" s="275"/>
      <c r="G91" s="274"/>
      <c r="H91" s="276"/>
      <c r="I91" s="276"/>
      <c r="J91" s="334"/>
      <c r="K91" s="335"/>
      <c r="L91" s="329"/>
      <c r="M91" s="329"/>
      <c r="N91" s="279"/>
      <c r="O91" s="280"/>
      <c r="P91" s="280"/>
      <c r="Q91" s="281"/>
      <c r="R91" s="282"/>
      <c r="S91" s="283"/>
      <c r="T91" s="284"/>
      <c r="U91" s="285"/>
      <c r="V91" s="286"/>
      <c r="W91" s="287"/>
      <c r="X91" s="288"/>
      <c r="Y91" s="328"/>
      <c r="Z91" s="328"/>
      <c r="AA91" s="329"/>
      <c r="AB91" s="330"/>
      <c r="AC91" s="330"/>
      <c r="AD91" s="318"/>
      <c r="AE91" s="331"/>
      <c r="AF91" s="332"/>
      <c r="AG91" s="333"/>
      <c r="AH91" s="333"/>
      <c r="AI91" s="314"/>
      <c r="AJ91" s="315"/>
      <c r="AK91" s="316"/>
      <c r="AL91" s="316"/>
      <c r="AM91" s="316"/>
    </row>
    <row r="92" spans="2:39" x14ac:dyDescent="0.25">
      <c r="B92" s="272"/>
      <c r="C92" s="273"/>
      <c r="D92" s="275"/>
      <c r="E92" s="275"/>
      <c r="F92" s="275"/>
      <c r="G92" s="274"/>
      <c r="H92" s="276"/>
      <c r="I92" s="276"/>
      <c r="J92" s="334"/>
      <c r="K92" s="335"/>
      <c r="L92" s="329"/>
      <c r="M92" s="329"/>
      <c r="N92" s="279"/>
      <c r="O92" s="280"/>
      <c r="P92" s="280"/>
      <c r="Q92" s="281"/>
      <c r="R92" s="282"/>
      <c r="S92" s="283"/>
      <c r="T92" s="284"/>
      <c r="U92" s="285"/>
      <c r="V92" s="286"/>
      <c r="W92" s="287"/>
      <c r="X92" s="288"/>
      <c r="Y92" s="328"/>
      <c r="Z92" s="328"/>
      <c r="AA92" s="329"/>
      <c r="AB92" s="330"/>
      <c r="AC92" s="330"/>
      <c r="AD92" s="318"/>
      <c r="AE92" s="331"/>
      <c r="AF92" s="332"/>
      <c r="AG92" s="333"/>
      <c r="AH92" s="333"/>
      <c r="AI92" s="314"/>
      <c r="AJ92" s="315"/>
      <c r="AK92" s="316"/>
      <c r="AL92" s="316"/>
      <c r="AM92" s="316"/>
    </row>
    <row r="93" spans="2:39" x14ac:dyDescent="0.25">
      <c r="B93" s="272"/>
      <c r="C93" s="273"/>
      <c r="D93" s="275"/>
      <c r="E93" s="275"/>
      <c r="F93" s="275"/>
      <c r="G93" s="274"/>
      <c r="H93" s="276"/>
      <c r="I93" s="276"/>
      <c r="J93" s="334"/>
      <c r="K93" s="335"/>
      <c r="L93" s="329"/>
      <c r="M93" s="329"/>
      <c r="N93" s="279"/>
      <c r="O93" s="280"/>
      <c r="P93" s="280"/>
      <c r="Q93" s="281"/>
      <c r="R93" s="282"/>
      <c r="S93" s="283"/>
      <c r="T93" s="284"/>
      <c r="U93" s="285"/>
      <c r="V93" s="286"/>
      <c r="W93" s="287"/>
      <c r="X93" s="288"/>
      <c r="Y93" s="328"/>
      <c r="Z93" s="328"/>
      <c r="AA93" s="329"/>
      <c r="AB93" s="330"/>
      <c r="AC93" s="330"/>
      <c r="AD93" s="318"/>
      <c r="AE93" s="331"/>
      <c r="AF93" s="332"/>
      <c r="AG93" s="333"/>
      <c r="AH93" s="333"/>
      <c r="AI93" s="314"/>
      <c r="AJ93" s="315"/>
      <c r="AK93" s="316"/>
      <c r="AL93" s="316"/>
      <c r="AM93" s="316"/>
    </row>
    <row r="94" spans="2:39" x14ac:dyDescent="0.25">
      <c r="B94" s="272"/>
      <c r="C94" s="273"/>
      <c r="D94" s="275"/>
      <c r="E94" s="275"/>
      <c r="F94" s="275"/>
      <c r="G94" s="274"/>
      <c r="H94" s="276"/>
      <c r="I94" s="276"/>
      <c r="J94" s="334"/>
      <c r="K94" s="335"/>
      <c r="L94" s="329"/>
      <c r="M94" s="329"/>
      <c r="N94" s="279"/>
      <c r="O94" s="280"/>
      <c r="P94" s="280"/>
      <c r="Q94" s="281"/>
      <c r="R94" s="282"/>
      <c r="S94" s="283"/>
      <c r="T94" s="284"/>
      <c r="U94" s="285"/>
      <c r="V94" s="286"/>
      <c r="W94" s="287"/>
      <c r="X94" s="288"/>
      <c r="Y94" s="328"/>
      <c r="Z94" s="328"/>
      <c r="AA94" s="329"/>
      <c r="AB94" s="330"/>
      <c r="AC94" s="330"/>
      <c r="AD94" s="318"/>
      <c r="AE94" s="331"/>
      <c r="AF94" s="332"/>
      <c r="AG94" s="333"/>
      <c r="AH94" s="333"/>
      <c r="AI94" s="314"/>
      <c r="AJ94" s="315"/>
      <c r="AK94" s="316"/>
      <c r="AL94" s="316"/>
      <c r="AM94" s="316"/>
    </row>
    <row r="95" spans="2:39" x14ac:dyDescent="0.25">
      <c r="B95" s="272"/>
      <c r="C95" s="273"/>
      <c r="D95" s="275"/>
      <c r="E95" s="275"/>
      <c r="F95" s="275"/>
      <c r="G95" s="274"/>
      <c r="H95" s="276"/>
      <c r="I95" s="276"/>
      <c r="J95" s="334"/>
      <c r="K95" s="335"/>
      <c r="L95" s="329"/>
      <c r="M95" s="329"/>
      <c r="N95" s="279"/>
      <c r="O95" s="280"/>
      <c r="P95" s="280"/>
      <c r="Q95" s="281"/>
      <c r="R95" s="282"/>
      <c r="S95" s="283"/>
      <c r="T95" s="284"/>
      <c r="U95" s="285"/>
      <c r="V95" s="286"/>
      <c r="W95" s="287"/>
      <c r="X95" s="288"/>
      <c r="Y95" s="328"/>
      <c r="Z95" s="328"/>
      <c r="AA95" s="329"/>
      <c r="AB95" s="330"/>
      <c r="AC95" s="330"/>
      <c r="AD95" s="318"/>
      <c r="AE95" s="331"/>
      <c r="AF95" s="332"/>
      <c r="AG95" s="333"/>
      <c r="AH95" s="333"/>
      <c r="AI95" s="314"/>
      <c r="AJ95" s="315"/>
      <c r="AK95" s="316"/>
      <c r="AL95" s="316"/>
      <c r="AM95" s="316"/>
    </row>
    <row r="96" spans="2:39" x14ac:dyDescent="0.25">
      <c r="B96" s="272"/>
      <c r="C96" s="273"/>
      <c r="D96" s="275"/>
      <c r="E96" s="275"/>
      <c r="F96" s="275"/>
      <c r="G96" s="274"/>
      <c r="H96" s="276"/>
      <c r="I96" s="276"/>
      <c r="J96" s="334"/>
      <c r="K96" s="335"/>
      <c r="L96" s="329"/>
      <c r="M96" s="329"/>
      <c r="N96" s="279"/>
      <c r="O96" s="280"/>
      <c r="P96" s="280"/>
      <c r="Q96" s="281"/>
      <c r="R96" s="282"/>
      <c r="S96" s="283"/>
      <c r="T96" s="284"/>
      <c r="U96" s="285"/>
      <c r="V96" s="286"/>
      <c r="W96" s="287"/>
      <c r="X96" s="288"/>
      <c r="Y96" s="328"/>
      <c r="Z96" s="328"/>
      <c r="AA96" s="329"/>
      <c r="AB96" s="330"/>
      <c r="AC96" s="330"/>
      <c r="AD96" s="318"/>
      <c r="AE96" s="331"/>
      <c r="AF96" s="332"/>
      <c r="AG96" s="333"/>
      <c r="AH96" s="333"/>
      <c r="AI96" s="314"/>
      <c r="AJ96" s="315"/>
      <c r="AK96" s="316"/>
      <c r="AL96" s="316"/>
      <c r="AM96" s="316"/>
    </row>
    <row r="97" spans="2:39" x14ac:dyDescent="0.25">
      <c r="B97" s="272"/>
      <c r="C97" s="273"/>
      <c r="D97" s="275"/>
      <c r="E97" s="275"/>
      <c r="F97" s="275"/>
      <c r="G97" s="274"/>
      <c r="H97" s="276"/>
      <c r="I97" s="276"/>
      <c r="J97" s="334"/>
      <c r="K97" s="335"/>
      <c r="L97" s="329"/>
      <c r="M97" s="329"/>
      <c r="N97" s="279"/>
      <c r="O97" s="280"/>
      <c r="P97" s="280"/>
      <c r="Q97" s="281"/>
      <c r="R97" s="282"/>
      <c r="S97" s="283"/>
      <c r="T97" s="284"/>
      <c r="U97" s="285"/>
      <c r="V97" s="286"/>
      <c r="W97" s="287"/>
      <c r="X97" s="288"/>
      <c r="Y97" s="328"/>
      <c r="Z97" s="328"/>
      <c r="AA97" s="329"/>
      <c r="AB97" s="330"/>
      <c r="AC97" s="330"/>
      <c r="AD97" s="318"/>
      <c r="AE97" s="331"/>
      <c r="AF97" s="332"/>
      <c r="AG97" s="333"/>
      <c r="AH97" s="333"/>
      <c r="AI97" s="314"/>
      <c r="AJ97" s="315"/>
      <c r="AK97" s="316"/>
      <c r="AL97" s="316"/>
      <c r="AM97" s="316"/>
    </row>
    <row r="98" spans="2:39" x14ac:dyDescent="0.25">
      <c r="B98" s="272"/>
      <c r="C98" s="273"/>
      <c r="D98" s="275"/>
      <c r="E98" s="275"/>
      <c r="F98" s="275"/>
      <c r="G98" s="274"/>
      <c r="H98" s="276"/>
      <c r="I98" s="276"/>
      <c r="J98" s="334"/>
      <c r="K98" s="335"/>
      <c r="L98" s="329"/>
      <c r="M98" s="329"/>
      <c r="N98" s="279"/>
      <c r="O98" s="280"/>
      <c r="P98" s="280"/>
      <c r="Q98" s="281"/>
      <c r="R98" s="282"/>
      <c r="S98" s="283"/>
      <c r="T98" s="284"/>
      <c r="U98" s="285"/>
      <c r="V98" s="286"/>
      <c r="W98" s="287"/>
      <c r="X98" s="288"/>
      <c r="Y98" s="328"/>
      <c r="Z98" s="328"/>
      <c r="AA98" s="329"/>
      <c r="AB98" s="330"/>
      <c r="AC98" s="330"/>
      <c r="AD98" s="318"/>
      <c r="AE98" s="331"/>
      <c r="AF98" s="332"/>
      <c r="AG98" s="333"/>
      <c r="AH98" s="333"/>
      <c r="AI98" s="314"/>
      <c r="AJ98" s="315"/>
      <c r="AK98" s="316"/>
      <c r="AL98" s="316"/>
      <c r="AM98" s="316"/>
    </row>
    <row r="99" spans="2:39" x14ac:dyDescent="0.25">
      <c r="B99" s="272"/>
      <c r="C99" s="273"/>
      <c r="D99" s="275"/>
      <c r="E99" s="275"/>
      <c r="F99" s="275"/>
      <c r="G99" s="274"/>
      <c r="H99" s="276"/>
      <c r="I99" s="276"/>
      <c r="J99" s="334"/>
      <c r="K99" s="335"/>
      <c r="L99" s="329"/>
      <c r="M99" s="329"/>
      <c r="N99" s="279"/>
      <c r="O99" s="280"/>
      <c r="P99" s="280"/>
      <c r="Q99" s="281"/>
      <c r="R99" s="282"/>
      <c r="S99" s="283"/>
      <c r="T99" s="284"/>
      <c r="U99" s="285"/>
      <c r="V99" s="286"/>
      <c r="W99" s="287"/>
      <c r="X99" s="288"/>
      <c r="Y99" s="328"/>
      <c r="Z99" s="328"/>
      <c r="AA99" s="329"/>
      <c r="AB99" s="330"/>
      <c r="AC99" s="330"/>
      <c r="AD99" s="318"/>
      <c r="AE99" s="331"/>
      <c r="AF99" s="332"/>
      <c r="AG99" s="333"/>
      <c r="AH99" s="333"/>
      <c r="AI99" s="314"/>
      <c r="AJ99" s="315"/>
      <c r="AK99" s="316"/>
      <c r="AL99" s="316"/>
      <c r="AM99" s="31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r 6 F v V 3 P z O G 6 j A A A A 9 g A A A B I A H A B D b 2 5 m a W c v U G F j a 2 F n Z S 5 4 b W w g o h g A K K A U A A A A A A A A A A A A A A A A A A A A A A A A A A A A h Y + 9 D o I w G E V f h X T v D 9 X B k I 8 y s E o 0 M T G u T a n Q C M X Q Y n k 3 B x / J V x C j q J v j P f c M 9 9 6 v N 8 j G t o k u u n e m s y m K C U O R t q o r j a 1 S N P g j X q F M w F a q k 6 x 0 N M n W J a M r U 1 R 7 f 0 4 o D S G Q s C B d X 1 H O W E w P x X q n a t 1 K 9 J H N f x k b 6 7 y 0 S i M B + 9 c Y w U n M O e F L T h j Q G U J h 7 F f g 0 9 5 n + w M h H x o / 9 F p o h / M N 0 D k C f X 8 Q D 1 B L A w Q U A A I A C A C v o W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6 F v V 3 N m / 4 w d A Q A A 6 A E A A B M A H A B G b 3 J t d W x h c y 9 T Z W N 0 a W 9 u M S 5 t I K I Y A C i g F A A A A A A A A A A A A A A A A A A A A A A A A A A A A H W P z W r C Q B S F 9 4 G 8 w 2 X c J B B D p / Y n V r J p b I t 0 I 8 S u n C x u z V U D k 4 n M j F A r P p J P 4 Y u Z + A e F 5 m 4 u f O d w O M f Q z B a V g v T 8 + c B 1 X M c s U V M O H T b B b 0 l 3 n I M 3 x g U B j 7 q 8 7 z O I Q Z J 1 H a g v r d Z 6 R j U Z 5 / P w Z D f e e y E p T C p l S V n j s e R F f B n S R n y S l B s Y H v b 0 K 4 b V b F 0 2 u v j A 1 B a l G K k F q Y L 0 Y Y / i F S W q O j U n K N G S L l C k 4 7 c u j / r P U S 9 c 5 X P m B z A d l S t J T Q Y 2 z W P G w x 7 L / O D c 6 9 Y 8 v l T c T k d 5 f B v E s t 1 0 i B a z i 7 3 D k i X W D X K Y b F b U L D w 5 w 4 l G Z e a V L p N K r k v V i M a 7 h g T b L T t z z g K w t Q a W f u w u g C u / b + G 9 F v 7 Q w h 9 b + N M f v v N d p 1 D / D h o c A V B L A Q I t A B Q A A g A I A K + h b 1 d z 8 z h u o w A A A P Y A A A A S A A A A A A A A A A A A A A A A A A A A A A B D b 2 5 m a W c v U G F j a 2 F n Z S 5 4 b W x Q S w E C L Q A U A A I A C A C v o W 9 X D 8 r p q 6 Q A A A D p A A A A E w A A A A A A A A A A A A A A A A D v A A A A W 0 N v b n R l b n R f V H l w Z X N d L n h t b F B L A Q I t A B Q A A g A I A K + h b 1 d z Z v + M H Q E A A O g B A A A T A A A A A A A A A A A A A A A A A O A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M A A A A A A A A 7 Q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x O C 0 x O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M T o x M j o w N i 4 3 N D c 2 N z M w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T E g K F B h Z 2 U g M T g t M T k p L 0 F 1 d G 9 S Z W 1 v d m V k Q 2 9 s d W 1 u c z E u e 0 N v b H V t b j E s M H 0 m c X V v d D s s J n F 1 b 3 Q 7 U 2 V j d G l v b j E v V G F i b G U w M T E g K F B h Z 2 U g M T g t M T k p L 0 F 1 d G 9 S Z W 1 v d m V k Q 2 9 s d W 1 u c z E u e 0 N v b H V t b j I s M X 0 m c X V v d D s s J n F 1 b 3 Q 7 U 2 V j d G l v b j E v V G F i b G U w M T E g K F B h Z 2 U g M T g t M T k p L 0 F 1 d G 9 S Z W 1 v d m V k Q 2 9 s d W 1 u c z E u e 0 N v b H V t b j M s M n 0 m c X V v d D s s J n F 1 b 3 Q 7 U 2 V j d G l v b j E v V G F i b G U w M T E g K F B h Z 2 U g M T g t M T k p L 0 F 1 d G 9 S Z W 1 v d m V k Q 2 9 s d W 1 u c z E u e 0 N v b H V t b j Q s M 3 0 m c X V v d D s s J n F 1 b 3 Q 7 U 2 V j d G l v b j E v V G F i b G U w M T E g K F B h Z 2 U g M T g t M T k p L 0 F 1 d G 9 S Z W 1 v d m V k Q 2 9 s d W 1 u c z E u e 0 N v b H V t b j U s N H 0 m c X V v d D s s J n F 1 b 3 Q 7 U 2 V j d G l v b j E v V G F i b G U w M T E g K F B h Z 2 U g M T g t M T k p L 0 F 1 d G 9 S Z W 1 v d m V k Q 2 9 s d W 1 u c z E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T E g K F B h Z 2 U g M T g t M T k p L 0 F 1 d G 9 S Z W 1 v d m V k Q 2 9 s d W 1 u c z E u e 0 N v b H V t b j E s M H 0 m c X V v d D s s J n F 1 b 3 Q 7 U 2 V j d G l v b j E v V G F i b G U w M T E g K F B h Z 2 U g M T g t M T k p L 0 F 1 d G 9 S Z W 1 v d m V k Q 2 9 s d W 1 u c z E u e 0 N v b H V t b j I s M X 0 m c X V v d D s s J n F 1 b 3 Q 7 U 2 V j d G l v b j E v V G F i b G U w M T E g K F B h Z 2 U g M T g t M T k p L 0 F 1 d G 9 S Z W 1 v d m V k Q 2 9 s d W 1 u c z E u e 0 N v b H V t b j M s M n 0 m c X V v d D s s J n F 1 b 3 Q 7 U 2 V j d G l v b j E v V G F i b G U w M T E g K F B h Z 2 U g M T g t M T k p L 0 F 1 d G 9 S Z W 1 v d m V k Q 2 9 s d W 1 u c z E u e 0 N v b H V t b j Q s M 3 0 m c X V v d D s s J n F 1 b 3 Q 7 U 2 V j d G l v b j E v V G F i b G U w M T E g K F B h Z 2 U g M T g t M T k p L 0 F 1 d G 9 S Z W 1 v d m V k Q 2 9 s d W 1 u c z E u e 0 N v b H V t b j U s N H 0 m c X V v d D s s J n F 1 b 3 Q 7 U 2 V j d G l v b j E v V G F i b G U w M T E g K F B h Z 2 U g M T g t M T k p L 0 F 1 d G 9 S Z W 1 v d m V k Q 2 9 s d W 1 u c z E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x O C 0 x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E 4 L T E 5 K S 9 U Y W J s Z T A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x O C 0 x O S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f b L a O 6 J p k i k P M J 4 g j A c 8 Q A A A A A C A A A A A A A Q Z g A A A A E A A C A A A A D m q B H w w S t j b F 3 Y I h z O W / z X d 0 B k x U B V v L G b y v O f T e 5 i P w A A A A A O g A A A A A I A A C A A A A C h + X c Y m 8 W d w / C Y n g 3 8 n M v Y h Z R T C G P j 3 W c 0 S Z c d s k F o W F A A A A C 9 w g l z y G h P + C q j N q P 3 X I K d t r y / M q E d r O P r p J 0 / M p P e C K Y u L x A J 3 D l N O u Z Y g G f C S O p K 0 y w p / k n R n Z k r I 6 D + O 2 c c B q t 9 v k H R A u F B k G C r Q / 0 Y N U A A A A B E h M H u h y 4 8 J 6 g U m U V W r 8 4 b K X b R k 0 O R 1 C l V m E Z M Z N + Y z k w W s c V E D 5 o W 6 A R P 1 Q + Q K Q / 6 e 5 V 3 M m a v V S e p R f L 9 d T X P < / D a t a M a s h u p > 
</file>

<file path=customXml/itemProps1.xml><?xml version="1.0" encoding="utf-8"?>
<ds:datastoreItem xmlns:ds="http://schemas.openxmlformats.org/officeDocument/2006/customXml" ds:itemID="{371D0483-F0EA-4032-A94A-FD03244564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PVT_Ginj</vt:lpstr>
      <vt:lpstr>PVT USR</vt:lpstr>
      <vt:lpstr>PVT SR</vt:lpstr>
      <vt:lpstr>UNS RES</vt:lpstr>
      <vt:lpstr>MBal_Undersaturated Reservoir</vt:lpstr>
      <vt:lpstr>MBal_Som_Saturated-Res</vt:lpstr>
      <vt:lpstr>SAT RES</vt:lpstr>
      <vt:lpstr>Huff&amp;Puff_1st Cycle</vt:lpstr>
      <vt:lpstr>Huff&amp;Puff_2nd Cycle</vt:lpstr>
      <vt:lpstr>Huff&amp;Puff_3rd Cycle</vt:lpstr>
      <vt:lpstr>Huff&amp;Puff_4th Cycle</vt:lpstr>
      <vt:lpstr>Huff&amp;Puff_5th Cycle</vt:lpstr>
      <vt:lpstr>Summary</vt:lpstr>
      <vt:lpstr>Paper</vt:lpstr>
      <vt:lpstr>Graphs</vt:lpstr>
      <vt:lpstr>Graphs Cycles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Díez</dc:creator>
  <cp:lastModifiedBy>Kelly Díez</cp:lastModifiedBy>
  <dcterms:created xsi:type="dcterms:W3CDTF">2022-10-29T03:24:01Z</dcterms:created>
  <dcterms:modified xsi:type="dcterms:W3CDTF">2024-07-14T17:28:07Z</dcterms:modified>
</cp:coreProperties>
</file>