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10" windowHeight="9735" tabRatio="672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L25" i="2" l="1"/>
  <c r="L21" i="2"/>
  <c r="I25" i="2"/>
  <c r="I23" i="2"/>
  <c r="I22" i="2"/>
  <c r="I24" i="2" s="1"/>
  <c r="F24" i="2"/>
  <c r="F23" i="2"/>
  <c r="F25" i="2" s="1"/>
  <c r="Y62" i="1" l="1"/>
  <c r="V31" i="1"/>
  <c r="AP78" i="1"/>
  <c r="AP79" i="1"/>
  <c r="AO23" i="1"/>
  <c r="W51" i="1"/>
  <c r="BH17" i="1"/>
  <c r="I7" i="2"/>
  <c r="B23" i="2" l="1"/>
  <c r="B25" i="2" s="1"/>
  <c r="I14" i="2"/>
  <c r="I15" i="2" s="1"/>
  <c r="I4" i="2" l="1"/>
  <c r="F12" i="2" l="1"/>
  <c r="F15" i="2" s="1"/>
  <c r="B12" i="2"/>
  <c r="B15" i="2" s="1"/>
  <c r="F8" i="2"/>
  <c r="BC17" i="1"/>
  <c r="C4" i="2"/>
  <c r="B7" i="2" s="1"/>
  <c r="O8" i="1"/>
  <c r="AQ65" i="1"/>
  <c r="Y65" i="1"/>
  <c r="AQ64" i="1"/>
  <c r="Y64" i="1"/>
  <c r="AQ63" i="1"/>
  <c r="Y63" i="1"/>
  <c r="AQ62" i="1"/>
  <c r="AQ61" i="1"/>
  <c r="AQ60" i="1"/>
  <c r="AU59" i="1"/>
  <c r="AQ59" i="1"/>
  <c r="AQ58" i="1"/>
  <c r="AQ57" i="1"/>
  <c r="AQ56" i="1"/>
  <c r="AQ55" i="1"/>
  <c r="AM54" i="1"/>
  <c r="AI50" i="1"/>
  <c r="AU48" i="1"/>
  <c r="AU61" i="1" s="1"/>
  <c r="C37" i="1"/>
  <c r="AK29" i="1"/>
  <c r="AK21" i="1"/>
  <c r="AU20" i="1"/>
  <c r="AK20" i="1"/>
  <c r="AK19" i="1"/>
  <c r="K19" i="1"/>
  <c r="BL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AI11" i="1"/>
  <c r="AA11" i="1"/>
  <c r="O11" i="1"/>
  <c r="G11" i="1"/>
  <c r="BH10" i="1"/>
  <c r="BC10" i="1"/>
  <c r="AW10" i="1"/>
  <c r="AA10" i="1"/>
  <c r="O10" i="1"/>
  <c r="G10" i="1"/>
  <c r="AW9" i="1"/>
  <c r="AA9" i="1"/>
  <c r="O9" i="1"/>
  <c r="G9" i="1"/>
  <c r="AW8" i="1"/>
  <c r="AA8" i="1"/>
  <c r="AB8" i="1" s="1"/>
  <c r="AB9" i="1" s="1"/>
  <c r="AB10" i="1" s="1"/>
  <c r="AB11" i="1" s="1"/>
  <c r="AB12" i="1" s="1"/>
  <c r="AB13" i="1" s="1"/>
  <c r="AB14" i="1" s="1"/>
  <c r="G8" i="1"/>
  <c r="AK78" i="1" l="1"/>
  <c r="AJ56" i="1"/>
  <c r="AJ55" i="1"/>
  <c r="AK59" i="1"/>
  <c r="AL57" i="1"/>
  <c r="AU26" i="1"/>
  <c r="AL55" i="1"/>
  <c r="AL59" i="1"/>
  <c r="AU34" i="1"/>
  <c r="AJ58" i="1"/>
  <c r="AK61" i="1"/>
  <c r="AK62" i="1"/>
  <c r="AL63" i="1"/>
  <c r="AJ65" i="1"/>
  <c r="AL66" i="1"/>
  <c r="AK67" i="1"/>
  <c r="AJ68" i="1"/>
  <c r="AL70" i="1"/>
  <c r="AK71" i="1"/>
  <c r="AJ72" i="1"/>
  <c r="AL74" i="1"/>
  <c r="AK75" i="1"/>
  <c r="AJ76" i="1"/>
  <c r="AL78" i="1"/>
  <c r="AI55" i="1"/>
  <c r="AK56" i="1"/>
  <c r="AK58" i="1"/>
  <c r="AJ60" i="1"/>
  <c r="AL61" i="1"/>
  <c r="AL62" i="1"/>
  <c r="AJ64" i="1"/>
  <c r="AK65" i="1"/>
  <c r="AL67" i="1"/>
  <c r="AK68" i="1"/>
  <c r="AJ69" i="1"/>
  <c r="AL71" i="1"/>
  <c r="AK72" i="1"/>
  <c r="AJ73" i="1"/>
  <c r="AL75" i="1"/>
  <c r="AK76" i="1"/>
  <c r="AJ77" i="1"/>
  <c r="AL56" i="1"/>
  <c r="AJ57" i="1"/>
  <c r="AL58" i="1"/>
  <c r="AJ59" i="1"/>
  <c r="AK60" i="1"/>
  <c r="AJ63" i="1"/>
  <c r="AK64" i="1"/>
  <c r="AL65" i="1"/>
  <c r="AJ66" i="1"/>
  <c r="AL68" i="1"/>
  <c r="AK69" i="1"/>
  <c r="AJ70" i="1"/>
  <c r="AL72" i="1"/>
  <c r="AK73" i="1"/>
  <c r="AJ74" i="1"/>
  <c r="AL76" i="1"/>
  <c r="AK77" i="1"/>
  <c r="AJ78" i="1"/>
  <c r="AK55" i="1"/>
  <c r="AK57" i="1"/>
  <c r="AL60" i="1"/>
  <c r="AJ61" i="1"/>
  <c r="AJ62" i="1"/>
  <c r="AK63" i="1"/>
  <c r="AL64" i="1"/>
  <c r="AK66" i="1"/>
  <c r="AJ67" i="1"/>
  <c r="AL69" i="1"/>
  <c r="AK70" i="1"/>
  <c r="AJ71" i="1"/>
  <c r="AL73" i="1"/>
  <c r="AK74" i="1"/>
  <c r="AJ75" i="1"/>
  <c r="AL77" i="1"/>
  <c r="AM55" i="1" l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<sst xmlns="http://schemas.openxmlformats.org/spreadsheetml/2006/main" count="281" uniqueCount="186">
  <si>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</si>
  <si>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</si>
  <si>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</si>
  <si>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</si>
  <si>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</si>
  <si>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</si>
  <si>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</si>
  <si>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</si>
  <si>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</si>
  <si>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</si>
  <si>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</si>
  <si>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</si>
  <si>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</si>
  <si>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</si>
  <si>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</si>
  <si>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</si>
  <si>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</si>
  <si>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</si>
  <si>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</si>
  <si>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</si>
  <si>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</si>
  <si>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</si>
  <si>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</si>
  <si>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</si>
  <si>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</si>
  <si>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</si>
  <si>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</si>
  <si>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</si>
  <si>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</si>
  <si>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</si>
  <si>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</si>
  <si>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</si>
  <si>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</si>
  <si>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</si>
  <si>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</si>
  <si>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</si>
  <si>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</si>
  <si>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</si>
  <si>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</si>
  <si>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</si>
  <si>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</si>
  <si>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</si>
  <si>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</si>
  <si>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</si>
  <si>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</si>
  <si>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</si>
  <si>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</si>
  <si>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</si>
  <si>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</si>
  <si>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</si>
  <si>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</si>
  <si>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</si>
  <si>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</si>
  <si>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</si>
  <si>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</si>
  <si>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</si>
  <si>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</si>
  <si>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</si>
  <si>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</si>
  <si>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</si>
  <si>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</si>
  <si>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</si>
  <si>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</si>
  <si>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</si>
  <si>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</si>
  <si>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</si>
  <si>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</si>
  <si>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</si>
  <si>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</si>
  <si>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</si>
  <si>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</si>
  <si>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</si>
  <si>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</si>
  <si>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</si>
  <si>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</si>
  <si>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</si>
  <si>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</si>
  <si>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</si>
  <si>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</si>
  <si>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</si>
  <si>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</si>
  <si>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</si>
  <si>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</si>
  <si>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</si>
  <si>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</si>
  <si>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</si>
  <si>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</si>
  <si>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</si>
  <si>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</si>
  <si>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</si>
  <si>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</si>
  <si>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</si>
  <si>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</si>
  <si>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</si>
  <si>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</si>
  <si>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</si>
  <si>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</si>
  <si>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</si>
  <si>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</si>
  <si>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</si>
  <si>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</si>
  <si>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</si>
  <si>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</si>
  <si>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</si>
  <si>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</si>
  <si>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</si>
  <si>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</si>
  <si>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</si>
  <si>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</si>
  <si>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</si>
  <si>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</si>
  <si>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</si>
  <si>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</si>
  <si>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</si>
  <si>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</si>
  <si>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</si>
  <si>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</si>
  <si>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</si>
  <si>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</si>
  <si>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</si>
  <si>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</si>
  <si>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</si>
  <si>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</si>
  <si>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</si>
  <si>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</si>
  <si>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</si>
  <si>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</si>
  <si>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</si>
  <si>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</si>
  <si>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</si>
  <si>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</si>
  <si>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</si>
  <si>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</si>
  <si>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</si>
  <si>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</si>
  <si>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</si>
  <si>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</si>
  <si>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</si>
  <si>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</si>
  <si>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</si>
  <si>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</si>
  <si>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</si>
  <si>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</si>
  <si>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</si>
  <si>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</si>
  <si>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</si>
  <si>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</si>
  <si>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</si>
  <si>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</si>
  <si>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</si>
  <si>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</si>
  <si>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</si>
  <si>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</si>
  <si>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</si>
  <si>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</si>
  <si>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</si>
  <si>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</si>
  <si>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</si>
  <si>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DATOS</t>
  </si>
  <si>
    <t>INTERES</t>
  </si>
  <si>
    <t>V.ACTUAL</t>
  </si>
  <si>
    <t>N.P</t>
  </si>
  <si>
    <t>VALOR TRIMESTRAL</t>
  </si>
  <si>
    <t>V.A</t>
  </si>
  <si>
    <t>PAGO</t>
  </si>
  <si>
    <t>INVERSION</t>
  </si>
  <si>
    <t>valor presente</t>
  </si>
  <si>
    <t>nper</t>
  </si>
  <si>
    <t>tasa de interes anual</t>
  </si>
  <si>
    <t>tasa de interes mensual</t>
  </si>
  <si>
    <t>respuesta</t>
  </si>
  <si>
    <t>renta?</t>
  </si>
  <si>
    <t>valor futuro</t>
  </si>
  <si>
    <t>debe depositAR</t>
  </si>
  <si>
    <t>VF=</t>
  </si>
  <si>
    <t>NPE=</t>
  </si>
  <si>
    <t>INTERES A</t>
  </si>
  <si>
    <t>INTERESM=</t>
  </si>
  <si>
    <t>PAGO=</t>
  </si>
  <si>
    <t>CUBRE DE INT=</t>
  </si>
  <si>
    <t>INTE GEN=</t>
  </si>
  <si>
    <t>T. EFECT=</t>
  </si>
  <si>
    <t>TASA EF=</t>
  </si>
  <si>
    <t>N.PER=</t>
  </si>
  <si>
    <t>TASA N=</t>
  </si>
  <si>
    <t>interes mens.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</si>
</sst>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\ #,##0.00_);[Red]\(&quot;$&quot;\ 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"/>
    <numFmt numFmtId="169" formatCode="[$$-540A]#,##0.00;[Red][$$-540A]#,##0.00"/>
    <numFmt numFmtId="170" formatCode="0.000"/>
    <numFmt numFmtId="171" formatCode="0.0%"/>
  </numFmts>
  <fonts count="16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1"/>
      <color theme="9" tint="-0.499984740745262"/>
      <name val="Calibri"/>
      <family val="2"/>
    </font>
    <font>
      <b/>
      <sz val="11"/>
      <color theme="5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5" fillId="0" borderId="0"/>
  </cellStyleXfs>
  <cellXfs count="12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2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2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2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2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2" applyFont="1" applyBorder="1" applyAlignment="1">
      <alignment horizontal="center"/>
    </xf>
    <xf numFmtId="0" fontId="7" fillId="0" borderId="14" xfId="2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5" fillId="0" borderId="16" xfId="2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2" applyBorder="1" applyAlignment="1">
      <alignment horizontal="center"/>
    </xf>
    <xf numFmtId="166" fontId="0" fillId="0" borderId="19" xfId="0" applyNumberFormat="1" applyBorder="1"/>
    <xf numFmtId="0" fontId="8" fillId="0" borderId="2" xfId="2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2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68" fontId="0" fillId="0" borderId="0" xfId="0" applyNumberFormat="1"/>
    <xf numFmtId="166" fontId="10" fillId="0" borderId="12" xfId="0" applyNumberFormat="1" applyFont="1" applyBorder="1"/>
    <xf numFmtId="0" fontId="11" fillId="0" borderId="12" xfId="0" applyFont="1" applyBorder="1"/>
    <xf numFmtId="0" fontId="0" fillId="0" borderId="12" xfId="0" applyBorder="1" applyAlignment="1">
      <alignment horizontal="center"/>
    </xf>
    <xf numFmtId="10" fontId="1" fillId="0" borderId="0" xfId="1" applyNumberFormat="1" applyAlignment="1">
      <alignment horizontal="center"/>
    </xf>
    <xf numFmtId="169" fontId="0" fillId="0" borderId="7" xfId="0" applyNumberFormat="1" applyFont="1" applyBorder="1"/>
    <xf numFmtId="10" fontId="1" fillId="0" borderId="0" xfId="1" applyNumberFormat="1" applyBorder="1"/>
    <xf numFmtId="9" fontId="0" fillId="0" borderId="7" xfId="0" applyNumberFormat="1" applyBorder="1"/>
    <xf numFmtId="9" fontId="0" fillId="0" borderId="12" xfId="0" applyNumberFormat="1" applyBorder="1"/>
    <xf numFmtId="9" fontId="1" fillId="0" borderId="12" xfId="1" applyBorder="1"/>
    <xf numFmtId="2" fontId="0" fillId="0" borderId="12" xfId="0" applyNumberForma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9" fontId="1" fillId="0" borderId="0" xfId="1" applyAlignment="1">
      <alignment horizontal="center"/>
    </xf>
    <xf numFmtId="171" fontId="0" fillId="0" borderId="12" xfId="0" applyNumberFormat="1" applyBorder="1"/>
    <xf numFmtId="10" fontId="0" fillId="0" borderId="12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13" fillId="4" borderId="12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/>
    <xf numFmtId="10" fontId="1" fillId="0" borderId="12" xfId="1" applyNumberFormat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1" fillId="0" borderId="25" xfId="0" applyFont="1" applyBorder="1" applyAlignment="1"/>
    <xf numFmtId="0" fontId="0" fillId="6" borderId="12" xfId="0" applyFill="1" applyBorder="1"/>
    <xf numFmtId="0" fontId="12" fillId="5" borderId="20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0" fontId="11" fillId="7" borderId="12" xfId="0" applyFont="1" applyFill="1" applyBorder="1"/>
    <xf numFmtId="0" fontId="14" fillId="0" borderId="12" xfId="0" applyFont="1" applyBorder="1" applyAlignment="1">
      <alignment horizontal="center"/>
    </xf>
    <xf numFmtId="8" fontId="15" fillId="4" borderId="12" xfId="0" applyNumberFormat="1" applyFont="1" applyFill="1" applyBorder="1"/>
    <xf numFmtId="8" fontId="15" fillId="4" borderId="12" xfId="0" applyNumberFormat="1" applyFont="1" applyFill="1" applyBorder="1" applyAlignment="1">
      <alignment horizontal="center"/>
    </xf>
    <xf numFmtId="0" fontId="15" fillId="4" borderId="12" xfId="0" applyFont="1" applyFill="1" applyBorder="1"/>
    <xf numFmtId="2" fontId="15" fillId="4" borderId="12" xfId="0" applyNumberFormat="1" applyFont="1" applyFill="1" applyBorder="1"/>
    <xf numFmtId="0" fontId="15" fillId="3" borderId="12" xfId="0" applyFont="1" applyFill="1" applyBorder="1" applyAlignment="1">
      <alignment horizontal="center"/>
    </xf>
    <xf numFmtId="0" fontId="0" fillId="6" borderId="0" xfId="0" applyFill="1" applyBorder="1"/>
  </cellXfs>
  <cellStyles count="3">
    <cellStyle name="Normal" xfId="0" builtinId="0"/>
    <cellStyle name="Porcentaje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430920</xdr:colOff>
      <xdr:row>51</xdr:row>
      <xdr:rowOff>145830</xdr:rowOff>
    </xdr:from>
    <xdr:to>
      <xdr:col>8</xdr:col>
      <xdr:colOff>610920</xdr:colOff>
      <xdr:row>51</xdr:row>
      <xdr:rowOff>155550</xdr:rowOff>
    </xdr:to>
    <xdr:sp macro="" textlink="">
      <xdr:nvSpPr>
        <xdr:cNvPr id="2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519120</xdr:colOff>
      <xdr:row>51</xdr:row>
      <xdr:rowOff>38190</xdr:rowOff>
    </xdr:from>
    <xdr:to>
      <xdr:col>4</xdr:col>
      <xdr:colOff>519120</xdr:colOff>
      <xdr:row>52</xdr:row>
      <xdr:rowOff>31650</xdr:rowOff>
    </xdr:to>
    <xdr:sp macro="" textlink="">
      <xdr:nvSpPr>
        <xdr:cNvPr id="3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3</xdr:col>
      <xdr:colOff>2145</xdr:colOff>
      <xdr:row>51</xdr:row>
      <xdr:rowOff>160950</xdr:rowOff>
    </xdr:from>
    <xdr:to>
      <xdr:col>3</xdr:col>
      <xdr:colOff>174960</xdr:colOff>
      <xdr:row>56</xdr:row>
      <xdr:rowOff>6930</xdr:rowOff>
    </xdr:to>
    <xdr:sp macro="" textlink="">
      <xdr:nvSpPr>
        <xdr:cNvPr id="4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79920</xdr:colOff>
      <xdr:row>51</xdr:row>
      <xdr:rowOff>146910</xdr:rowOff>
    </xdr:from>
    <xdr:to>
      <xdr:col>6</xdr:col>
      <xdr:colOff>311400</xdr:colOff>
      <xdr:row>55</xdr:row>
      <xdr:rowOff>183390</xdr:rowOff>
    </xdr:to>
    <xdr:sp macro="" textlink="">
      <xdr:nvSpPr>
        <xdr:cNvPr id="5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437400</xdr:colOff>
      <xdr:row>51</xdr:row>
      <xdr:rowOff>66990</xdr:rowOff>
    </xdr:from>
    <xdr:to>
      <xdr:col>2</xdr:col>
      <xdr:colOff>437400</xdr:colOff>
      <xdr:row>52</xdr:row>
      <xdr:rowOff>118770</xdr:rowOff>
    </xdr:to>
    <xdr:sp macro="" textlink="">
      <xdr:nvSpPr>
        <xdr:cNvPr id="6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597600</xdr:colOff>
      <xdr:row>51</xdr:row>
      <xdr:rowOff>38190</xdr:rowOff>
    </xdr:from>
    <xdr:to>
      <xdr:col>8</xdr:col>
      <xdr:colOff>597600</xdr:colOff>
      <xdr:row>52</xdr:row>
      <xdr:rowOff>31650</xdr:rowOff>
    </xdr:to>
    <xdr:sp macro="" textlink="">
      <xdr:nvSpPr>
        <xdr:cNvPr id="7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403785</xdr:colOff>
      <xdr:row>29</xdr:row>
      <xdr:rowOff>19620</xdr:rowOff>
    </xdr:from>
    <xdr:to>
      <xdr:col>22</xdr:col>
      <xdr:colOff>461025</xdr:colOff>
      <xdr:row>35</xdr:row>
      <xdr:rowOff>69900</xdr:rowOff>
    </xdr:to>
    <xdr:sp macro="" textlink="">
      <xdr:nvSpPr>
        <xdr:cNvPr id="8" name="CustomShape 1"/>
        <xdr:cNvSpPr/>
      </xdr:nvSpPr>
      <xdr:spPr>
        <a:xfrm>
          <a:off x="16091460" y="7249095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38640</xdr:colOff>
      <xdr:row>27</xdr:row>
      <xdr:rowOff>529455</xdr:rowOff>
    </xdr:from>
    <xdr:to>
      <xdr:col>24</xdr:col>
      <xdr:colOff>311700</xdr:colOff>
      <xdr:row>28</xdr:row>
      <xdr:rowOff>10230</xdr:rowOff>
    </xdr:to>
    <xdr:sp macro="" textlink="">
      <xdr:nvSpPr>
        <xdr:cNvPr id="9" name="CustomShape 1"/>
        <xdr:cNvSpPr/>
      </xdr:nvSpPr>
      <xdr:spPr>
        <a:xfrm>
          <a:off x="16297815" y="6682605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23</xdr:col>
      <xdr:colOff>69780</xdr:colOff>
      <xdr:row>30</xdr:row>
      <xdr:rowOff>30795</xdr:rowOff>
    </xdr:from>
    <xdr:to>
      <xdr:col>31</xdr:col>
      <xdr:colOff>24780</xdr:colOff>
      <xdr:row>31</xdr:row>
      <xdr:rowOff>66795</xdr:rowOff>
    </xdr:to>
    <xdr:sp macro="" textlink="">
      <xdr:nvSpPr>
        <xdr:cNvPr id="10" name="CustomShape 1"/>
        <xdr:cNvSpPr/>
      </xdr:nvSpPr>
      <xdr:spPr>
        <a:xfrm>
          <a:off x="16328955" y="7450770"/>
          <a:ext cx="5250900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442515</xdr:colOff>
      <xdr:row>29</xdr:row>
      <xdr:rowOff>36945</xdr:rowOff>
    </xdr:from>
    <xdr:to>
      <xdr:col>23</xdr:col>
      <xdr:colOff>505515</xdr:colOff>
      <xdr:row>34</xdr:row>
      <xdr:rowOff>107385</xdr:rowOff>
    </xdr:to>
    <xdr:sp macro="" textlink="">
      <xdr:nvSpPr>
        <xdr:cNvPr id="11" name="CustomShape 1"/>
        <xdr:cNvSpPr/>
      </xdr:nvSpPr>
      <xdr:spPr>
        <a:xfrm>
          <a:off x="16701690" y="726642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523950</xdr:colOff>
      <xdr:row>27</xdr:row>
      <xdr:rowOff>503610</xdr:rowOff>
    </xdr:from>
    <xdr:to>
      <xdr:col>25</xdr:col>
      <xdr:colOff>524670</xdr:colOff>
      <xdr:row>27</xdr:row>
      <xdr:rowOff>870210</xdr:rowOff>
    </xdr:to>
    <xdr:sp macro="" textlink="">
      <xdr:nvSpPr>
        <xdr:cNvPr id="12" name="CustomShape 1"/>
        <xdr:cNvSpPr/>
      </xdr:nvSpPr>
      <xdr:spPr>
        <a:xfrm>
          <a:off x="17354625" y="6656760"/>
          <a:ext cx="91512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881505</xdr:colOff>
      <xdr:row>28</xdr:row>
      <xdr:rowOff>144795</xdr:rowOff>
    </xdr:from>
    <xdr:to>
      <xdr:col>25</xdr:col>
      <xdr:colOff>30105</xdr:colOff>
      <xdr:row>34</xdr:row>
      <xdr:rowOff>24735</xdr:rowOff>
    </xdr:to>
    <xdr:sp macro="" textlink="">
      <xdr:nvSpPr>
        <xdr:cNvPr id="13" name="CustomShape 1"/>
        <xdr:cNvSpPr/>
      </xdr:nvSpPr>
      <xdr:spPr>
        <a:xfrm>
          <a:off x="17712180" y="71837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26</xdr:col>
      <xdr:colOff>19110</xdr:colOff>
      <xdr:row>27</xdr:row>
      <xdr:rowOff>458850</xdr:rowOff>
    </xdr:from>
    <xdr:to>
      <xdr:col>27</xdr:col>
      <xdr:colOff>679350</xdr:colOff>
      <xdr:row>27</xdr:row>
      <xdr:rowOff>825450</xdr:rowOff>
    </xdr:to>
    <xdr:sp macro="" textlink="">
      <xdr:nvSpPr>
        <xdr:cNvPr id="14" name="CustomShape 1"/>
        <xdr:cNvSpPr/>
      </xdr:nvSpPr>
      <xdr:spPr>
        <a:xfrm>
          <a:off x="18335685" y="6612000"/>
          <a:ext cx="144129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500055</xdr:colOff>
      <xdr:row>29</xdr:row>
      <xdr:rowOff>58095</xdr:rowOff>
    </xdr:from>
    <xdr:to>
      <xdr:col>26</xdr:col>
      <xdr:colOff>563055</xdr:colOff>
      <xdr:row>34</xdr:row>
      <xdr:rowOff>128535</xdr:rowOff>
    </xdr:to>
    <xdr:sp macro="" textlink="">
      <xdr:nvSpPr>
        <xdr:cNvPr id="15" name="CustomShape 1"/>
        <xdr:cNvSpPr/>
      </xdr:nvSpPr>
      <xdr:spPr>
        <a:xfrm>
          <a:off x="18816630" y="72875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87495</xdr:colOff>
      <xdr:row>27</xdr:row>
      <xdr:rowOff>492240</xdr:rowOff>
    </xdr:from>
    <xdr:to>
      <xdr:col>30</xdr:col>
      <xdr:colOff>214665</xdr:colOff>
      <xdr:row>27</xdr:row>
      <xdr:rowOff>858840</xdr:rowOff>
    </xdr:to>
    <xdr:sp macro="" textlink="">
      <xdr:nvSpPr>
        <xdr:cNvPr id="16" name="CustomShape 1"/>
        <xdr:cNvSpPr/>
      </xdr:nvSpPr>
      <xdr:spPr>
        <a:xfrm>
          <a:off x="19928070" y="6645390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24</xdr:col>
      <xdr:colOff>397650</xdr:colOff>
      <xdr:row>34</xdr:row>
      <xdr:rowOff>175470</xdr:rowOff>
    </xdr:from>
    <xdr:to>
      <xdr:col>26</xdr:col>
      <xdr:colOff>32250</xdr:colOff>
      <xdr:row>35</xdr:row>
      <xdr:rowOff>99450</xdr:rowOff>
    </xdr:to>
    <xdr:sp macro="" textlink="">
      <xdr:nvSpPr>
        <xdr:cNvPr id="17" name="CustomShape 1"/>
        <xdr:cNvSpPr/>
      </xdr:nvSpPr>
      <xdr:spPr>
        <a:xfrm>
          <a:off x="17228325" y="8357445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302400</xdr:colOff>
      <xdr:row>48</xdr:row>
      <xdr:rowOff>148530</xdr:rowOff>
    </xdr:from>
    <xdr:to>
      <xdr:col>24</xdr:col>
      <xdr:colOff>762840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T43" zoomScaleNormal="100" workbookViewId="0">
      <selection activeCell="U56" sqref="U56:Z56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2.28515625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17.7109375"/>
    <col min="41" max="41" width="12.140625"/>
    <col min="42" max="42" width="12.28515625"/>
    <col min="43" max="43" width="11.5703125"/>
    <col min="44" max="44" width="12.28515625"/>
    <col min="45" max="45" width="14.7109375"/>
    <col min="46" max="46" width="14.140625"/>
    <col min="47" max="47" width="14"/>
    <col min="48" max="48" width="8.5703125"/>
    <col min="49" max="49" width="10.85546875"/>
    <col min="50" max="53" width="8.5703125"/>
    <col min="54" max="54" width="14.85546875"/>
    <col min="55" max="55" width="10.5703125"/>
    <col min="56" max="58" width="8.5703125"/>
    <col min="59" max="59" width="15.42578125"/>
    <col min="60" max="60" width="10"/>
    <col min="61" max="62" width="8.5703125"/>
    <col min="63" max="63" width="15.42578125"/>
    <col min="64" max="64" width="10"/>
    <col min="65" max="1025" width="8.5703125"/>
  </cols>
  <sheetData>
    <row r="1" spans="2:64">
      <c r="AT1" s="78" t="s">
        <v>0</v>
      </c>
      <c r="AU1" s="78"/>
      <c r="AV1" s="78"/>
      <c r="AW1" s="78"/>
      <c r="AX1" s="78"/>
    </row>
    <row r="2" spans="2:64">
      <c r="AT2" s="1"/>
      <c r="AW2" s="2"/>
      <c r="AX2" s="3"/>
    </row>
    <row r="3" spans="2:64">
      <c r="AH3" s="79" t="s">
        <v>1</v>
      </c>
      <c r="AI3" s="79"/>
      <c r="AJ3" s="79"/>
      <c r="AK3" s="79"/>
      <c r="AL3" s="79"/>
      <c r="AM3" s="79"/>
      <c r="AN3" s="79"/>
      <c r="AO3" s="79"/>
      <c r="AT3" s="1" t="s">
        <v>2</v>
      </c>
      <c r="AU3">
        <v>15000</v>
      </c>
      <c r="AW3" s="2"/>
      <c r="AX3" s="3"/>
      <c r="BA3" s="80" t="s">
        <v>3</v>
      </c>
      <c r="BB3" s="80"/>
      <c r="BC3" s="80"/>
      <c r="BF3" s="80" t="s">
        <v>4</v>
      </c>
      <c r="BG3" s="80"/>
      <c r="BH3" s="80"/>
      <c r="BJ3" s="80" t="s">
        <v>5</v>
      </c>
      <c r="BK3" s="80"/>
      <c r="BL3" s="80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81" t="s">
        <v>11</v>
      </c>
      <c r="C5" s="81"/>
      <c r="D5" s="81"/>
      <c r="E5" s="81"/>
      <c r="F5" s="81"/>
      <c r="G5" s="81"/>
      <c r="H5" s="81"/>
      <c r="J5" s="81" t="s">
        <v>12</v>
      </c>
      <c r="K5" s="81"/>
      <c r="L5" s="81"/>
      <c r="M5" s="81"/>
      <c r="N5" s="81"/>
      <c r="O5" s="81"/>
      <c r="P5" s="81"/>
      <c r="Q5" s="81"/>
      <c r="R5" s="81"/>
      <c r="U5" s="81" t="s">
        <v>13</v>
      </c>
      <c r="V5" s="81"/>
      <c r="W5" s="81"/>
      <c r="X5" s="81"/>
      <c r="Y5" s="81"/>
      <c r="Z5" s="81"/>
      <c r="AA5" s="81"/>
      <c r="AB5" s="81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82" t="s">
        <v>18</v>
      </c>
      <c r="AK6" s="82"/>
      <c r="AL6" s="82"/>
      <c r="AM6" s="82"/>
      <c r="AN6" s="82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83" t="s">
        <v>28</v>
      </c>
      <c r="AK7" s="83"/>
      <c r="AL7" s="83"/>
      <c r="AM7" s="83"/>
      <c r="AN7" s="83"/>
      <c r="AO7" s="83"/>
      <c r="AT7" s="84" t="s">
        <v>29</v>
      </c>
      <c r="AU7" s="84"/>
      <c r="AV7" s="84"/>
      <c r="AW7" s="84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3"/>
    </row>
    <row r="8" spans="2:64">
      <c r="B8" s="1"/>
      <c r="F8">
        <v>1</v>
      </c>
      <c r="G8">
        <f t="shared" ref="G8:G17" si="0"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 t="shared" ref="O8:O17" si="1"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 t="shared" ref="AA8:AA14" si="2">DB($V$7,$V$8,$V$9,Z8,$V$11)</f>
        <v>4785</v>
      </c>
      <c r="AB8" s="9">
        <f>$V$7-AA8</f>
        <v>10215</v>
      </c>
      <c r="AH8" s="1"/>
      <c r="AJ8" s="83"/>
      <c r="AK8" s="83"/>
      <c r="AL8" s="83"/>
      <c r="AM8" s="83"/>
      <c r="AN8" s="83"/>
      <c r="AO8" s="83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si="0"/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 t="shared" si="1"/>
        <v>568</v>
      </c>
      <c r="R9" s="3"/>
      <c r="U9" s="1" t="s">
        <v>34</v>
      </c>
      <c r="V9">
        <v>6</v>
      </c>
      <c r="Z9">
        <v>2</v>
      </c>
      <c r="AA9" s="8">
        <f t="shared" si="2"/>
        <v>3258.585</v>
      </c>
      <c r="AB9" s="9">
        <f t="shared" ref="AB9:AB14" si="3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4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 t="shared" si="1"/>
        <v>426</v>
      </c>
      <c r="R10" s="3"/>
      <c r="U10" s="1" t="s">
        <v>21</v>
      </c>
      <c r="V10">
        <v>1</v>
      </c>
      <c r="Z10">
        <v>3</v>
      </c>
      <c r="AA10" s="8">
        <f t="shared" si="2"/>
        <v>2219.0963849999998</v>
      </c>
      <c r="AB10" s="9">
        <f t="shared" si="3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4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 t="shared" si="1"/>
        <v>319</v>
      </c>
      <c r="R11" s="3"/>
      <c r="U11" s="1" t="s">
        <v>39</v>
      </c>
      <c r="V11">
        <v>12</v>
      </c>
      <c r="Z11">
        <v>4</v>
      </c>
      <c r="AA11" s="8">
        <f t="shared" si="2"/>
        <v>1511.204638185</v>
      </c>
      <c r="AB11" s="9">
        <f t="shared" si="3"/>
        <v>3226.1139768150001</v>
      </c>
      <c r="AH11" s="12" t="s">
        <v>1</v>
      </c>
      <c r="AI11" s="13">
        <f>NPER(AI4,AI5,AI6,,$AI$9)</f>
        <v>22.425741878036444</v>
      </c>
      <c r="AJ11" s="14"/>
      <c r="AK11" s="14"/>
      <c r="AL11" s="14"/>
      <c r="AM11" s="14"/>
      <c r="AN11" s="14"/>
      <c r="AO11" s="15"/>
      <c r="AT11" s="1">
        <v>2013</v>
      </c>
      <c r="AU11">
        <v>3</v>
      </c>
      <c r="AV11">
        <v>14202</v>
      </c>
      <c r="AW11" s="2">
        <f t="shared" si="4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si="1"/>
        <v>240</v>
      </c>
      <c r="R12" s="3"/>
      <c r="U12" s="1"/>
      <c r="V12" s="5"/>
      <c r="Z12">
        <v>5</v>
      </c>
      <c r="AA12" s="8">
        <f t="shared" si="2"/>
        <v>1029.1303586039851</v>
      </c>
      <c r="AB12" s="9">
        <f t="shared" si="3"/>
        <v>2196.9836182110148</v>
      </c>
      <c r="AT12" s="1">
        <v>2014</v>
      </c>
      <c r="AU12">
        <v>4</v>
      </c>
      <c r="AV12">
        <v>14120</v>
      </c>
      <c r="AW12" s="2">
        <f t="shared" si="4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1"/>
        <v>180</v>
      </c>
      <c r="R13" s="3"/>
      <c r="U13" s="1" t="s">
        <v>6</v>
      </c>
      <c r="V13" s="82" t="s">
        <v>41</v>
      </c>
      <c r="W13" s="82"/>
      <c r="X13" s="82"/>
      <c r="Z13">
        <v>6</v>
      </c>
      <c r="AA13" s="8">
        <f t="shared" si="2"/>
        <v>700.83777420931369</v>
      </c>
      <c r="AB13" s="9">
        <f t="shared" si="3"/>
        <v>1496.1458440017011</v>
      </c>
      <c r="AT13" s="1">
        <v>2015</v>
      </c>
      <c r="AU13">
        <v>5</v>
      </c>
      <c r="AV13">
        <v>15000</v>
      </c>
      <c r="AW13" s="2">
        <f t="shared" si="4"/>
        <v>15000</v>
      </c>
      <c r="AX13" s="3"/>
      <c r="BA13" s="1"/>
      <c r="BB13" t="s">
        <v>42</v>
      </c>
      <c r="BC13" s="16">
        <v>0.03</v>
      </c>
      <c r="BF13" s="1"/>
      <c r="BG13" t="s">
        <v>42</v>
      </c>
      <c r="BH13" s="16">
        <v>2.5000000000000001E-2</v>
      </c>
      <c r="BJ13" s="1"/>
      <c r="BL13" s="16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1"/>
        <v>135</v>
      </c>
      <c r="R14" s="3"/>
      <c r="U14" s="12" t="s">
        <v>6</v>
      </c>
      <c r="V14" s="17">
        <f>1-(V8/V7)^(1/V9)</f>
        <v>0.31870793094203864</v>
      </c>
      <c r="W14" s="14"/>
      <c r="X14" s="14"/>
      <c r="Y14" s="14"/>
      <c r="Z14" s="14">
        <v>7</v>
      </c>
      <c r="AA14" s="18" t="e">
        <f t="shared" si="2"/>
        <v>#NUM!</v>
      </c>
      <c r="AB14" s="19" t="e">
        <f t="shared" si="3"/>
        <v>#NUM!</v>
      </c>
      <c r="AT14" s="1">
        <v>2016</v>
      </c>
      <c r="AU14">
        <v>6</v>
      </c>
      <c r="AV14">
        <v>12500</v>
      </c>
      <c r="AW14" s="2">
        <f t="shared" si="4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1"/>
        <v>101</v>
      </c>
      <c r="R15" s="3"/>
      <c r="AT15" s="1">
        <v>2017</v>
      </c>
      <c r="AU15">
        <v>7</v>
      </c>
      <c r="AV15">
        <v>15100</v>
      </c>
      <c r="AW15" s="2">
        <f t="shared" si="4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82" t="s">
        <v>47</v>
      </c>
      <c r="C16" s="82"/>
      <c r="D16" s="82"/>
      <c r="E16" s="82"/>
      <c r="F16" s="82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1"/>
        <v>152</v>
      </c>
      <c r="R16" s="3"/>
      <c r="AN16" s="85" t="s">
        <v>48</v>
      </c>
      <c r="AO16" s="85"/>
      <c r="AP16" s="85"/>
      <c r="AQ16" s="85"/>
      <c r="AT16" s="1">
        <v>2018</v>
      </c>
      <c r="AU16">
        <v>8</v>
      </c>
      <c r="AV16">
        <v>16200</v>
      </c>
      <c r="AW16" s="2">
        <f t="shared" si="4"/>
        <v>16200</v>
      </c>
      <c r="AX16" s="3"/>
      <c r="BA16" s="1"/>
      <c r="BC16" s="3"/>
      <c r="BF16" s="1"/>
      <c r="BH16" s="3"/>
      <c r="BJ16" s="1"/>
      <c r="BL16" s="3"/>
    </row>
    <row r="17" spans="2:64">
      <c r="B17" s="12"/>
      <c r="C17" s="14"/>
      <c r="D17" s="14"/>
      <c r="E17" s="14"/>
      <c r="F17" s="14">
        <v>10</v>
      </c>
      <c r="G17" s="14">
        <f t="shared" si="0"/>
        <v>0</v>
      </c>
      <c r="H17" s="15">
        <v>2019</v>
      </c>
      <c r="J17" s="1"/>
      <c r="K17" s="2"/>
      <c r="L17" s="2"/>
      <c r="M17" s="2">
        <v>2019</v>
      </c>
      <c r="N17">
        <v>9</v>
      </c>
      <c r="O17">
        <f t="shared" si="1"/>
        <v>0</v>
      </c>
      <c r="P17" s="2"/>
      <c r="R17" s="3"/>
      <c r="AH17" s="78" t="s">
        <v>49</v>
      </c>
      <c r="AI17" s="78"/>
      <c r="AJ17" s="78"/>
      <c r="AK17" s="78"/>
      <c r="AN17" s="20"/>
      <c r="AO17" s="21"/>
      <c r="AP17" s="21"/>
      <c r="AQ17" s="22"/>
      <c r="AT17" s="1"/>
      <c r="AW17" s="2"/>
      <c r="AX17" s="3"/>
      <c r="BA17" s="23"/>
      <c r="BB17" s="24" t="s">
        <v>3</v>
      </c>
      <c r="BC17" s="19">
        <f>PV(BC13,BC14,-BC15)</f>
        <v>3717.098402810368</v>
      </c>
      <c r="BF17" s="23"/>
      <c r="BG17" s="24" t="s">
        <v>4</v>
      </c>
      <c r="BH17" s="19">
        <f>FV(BH13,BH14,-BH15)</f>
        <v>4152.5156249999909</v>
      </c>
      <c r="BJ17" s="23"/>
      <c r="BK17" s="24" t="s">
        <v>4</v>
      </c>
      <c r="BL17" s="19">
        <f>FVSCHEDULE(BL4,BK7:BK10)</f>
        <v>1059.56298021</v>
      </c>
    </row>
    <row r="18" spans="2:64" ht="84.95" customHeight="1">
      <c r="J18" s="1"/>
      <c r="R18" s="3"/>
      <c r="AH18" s="25" t="s">
        <v>32</v>
      </c>
      <c r="AI18" s="25" t="s">
        <v>50</v>
      </c>
      <c r="AJ18" s="25" t="s">
        <v>51</v>
      </c>
      <c r="AK18" s="25" t="s">
        <v>52</v>
      </c>
      <c r="AN18" s="20" t="s">
        <v>53</v>
      </c>
      <c r="AO18" s="26">
        <v>2.4E-2</v>
      </c>
      <c r="AP18" s="21"/>
      <c r="AQ18" s="22"/>
      <c r="AT18" s="27" t="s">
        <v>54</v>
      </c>
      <c r="AU18" s="28" t="s">
        <v>55</v>
      </c>
      <c r="AW18" s="2"/>
      <c r="AX18" s="3"/>
      <c r="BA18" s="28" t="s">
        <v>56</v>
      </c>
      <c r="BF18" s="28" t="s">
        <v>57</v>
      </c>
      <c r="BJ18" s="28" t="s">
        <v>58</v>
      </c>
    </row>
    <row r="19" spans="2:64">
      <c r="J19" s="6" t="s">
        <v>59</v>
      </c>
      <c r="K19" s="6">
        <f>1/K14</f>
        <v>10</v>
      </c>
      <c r="R19" s="3"/>
      <c r="AH19" s="29">
        <v>100</v>
      </c>
      <c r="AI19" s="30" t="s">
        <v>60</v>
      </c>
      <c r="AJ19" s="30" t="s">
        <v>61</v>
      </c>
      <c r="AK19" s="29">
        <f>CONVERT(AH19,"m","yd")</f>
        <v>109.36132983377078</v>
      </c>
      <c r="AL19" s="31"/>
      <c r="AM19" s="31"/>
      <c r="AN19" s="20" t="s">
        <v>62</v>
      </c>
      <c r="AO19" s="2">
        <v>200</v>
      </c>
      <c r="AP19" s="21"/>
      <c r="AQ19" s="22"/>
      <c r="AT19" s="1"/>
      <c r="AW19" s="2"/>
      <c r="AX19" s="3"/>
    </row>
    <row r="20" spans="2:64">
      <c r="J20" s="6" t="s">
        <v>63</v>
      </c>
      <c r="K20" s="6">
        <v>1.5</v>
      </c>
      <c r="R20" s="3"/>
      <c r="AH20" s="32">
        <v>200</v>
      </c>
      <c r="AI20" s="6" t="s">
        <v>64</v>
      </c>
      <c r="AJ20" s="6" t="s">
        <v>60</v>
      </c>
      <c r="AK20" s="6">
        <f>CONVERT(AH20,"mi","m")</f>
        <v>321868.79999999999</v>
      </c>
      <c r="AN20" s="20"/>
      <c r="AO20" s="21"/>
      <c r="AP20" s="21"/>
      <c r="AQ20" s="22"/>
      <c r="AT20" s="1" t="s">
        <v>65</v>
      </c>
      <c r="AU20" s="33">
        <f>NPV($AU$5,AV9:AV16)-$AU$3</f>
        <v>61188.52101583789</v>
      </c>
      <c r="AW20" s="2"/>
      <c r="AX20" s="3"/>
    </row>
    <row r="21" spans="2:64" ht="20.25">
      <c r="J21" s="6" t="s">
        <v>66</v>
      </c>
      <c r="K21" s="6">
        <v>2</v>
      </c>
      <c r="L21" s="86" t="s">
        <v>67</v>
      </c>
      <c r="M21" s="86"/>
      <c r="N21" s="86"/>
      <c r="O21" s="86"/>
      <c r="P21" s="86"/>
      <c r="Q21" s="86"/>
      <c r="R21" s="86"/>
      <c r="U21" s="34"/>
      <c r="V21" s="35"/>
      <c r="W21" s="35"/>
      <c r="X21" s="35"/>
      <c r="Y21" s="36" t="s">
        <v>68</v>
      </c>
      <c r="Z21" s="35"/>
      <c r="AA21" s="35"/>
      <c r="AB21" s="35"/>
      <c r="AC21" s="35"/>
      <c r="AD21" s="35"/>
      <c r="AE21" s="35"/>
      <c r="AF21" s="37"/>
      <c r="AH21" s="32">
        <v>300</v>
      </c>
      <c r="AI21" s="6" t="s">
        <v>69</v>
      </c>
      <c r="AJ21" s="6" t="s">
        <v>60</v>
      </c>
      <c r="AK21" s="6">
        <f>CONVERT(AH21,"km","m")</f>
        <v>300000</v>
      </c>
      <c r="AN21" s="20" t="s">
        <v>70</v>
      </c>
      <c r="AO21" s="21"/>
      <c r="AP21" s="21"/>
      <c r="AQ21" s="22"/>
      <c r="AT21" s="1"/>
      <c r="AW21" s="2"/>
      <c r="AX21" s="3"/>
    </row>
    <row r="22" spans="2:64">
      <c r="J22" s="6" t="s">
        <v>71</v>
      </c>
      <c r="K22" s="6">
        <v>2.5</v>
      </c>
      <c r="L22" s="87" t="s">
        <v>72</v>
      </c>
      <c r="M22" s="87"/>
      <c r="N22" s="87"/>
      <c r="O22" s="87"/>
      <c r="P22" s="87"/>
      <c r="Q22" s="87"/>
      <c r="R22" s="15"/>
      <c r="U22" s="1"/>
      <c r="AF22" s="3"/>
      <c r="AH22" s="2"/>
      <c r="AI22" s="5"/>
      <c r="AN22" s="20"/>
      <c r="AO22" s="21"/>
      <c r="AP22" s="21"/>
      <c r="AQ22" s="22"/>
      <c r="AT22" s="1"/>
      <c r="AX22" s="3"/>
    </row>
    <row r="23" spans="2:64">
      <c r="U23" s="1" t="s">
        <v>73</v>
      </c>
      <c r="V23" s="11">
        <v>41275</v>
      </c>
      <c r="AF23" s="3"/>
      <c r="AH23" s="2"/>
      <c r="AN23" s="20" t="s">
        <v>74</v>
      </c>
      <c r="AO23" s="26">
        <f>NOMINAL($AO$18,$AO$19)</f>
        <v>2.3717932857003632E-2</v>
      </c>
      <c r="AP23" s="21"/>
      <c r="AQ23" s="22"/>
      <c r="AT23" s="1"/>
      <c r="AX23" s="3"/>
    </row>
    <row r="24" spans="2:64">
      <c r="U24" s="1" t="s">
        <v>75</v>
      </c>
      <c r="V24" s="11">
        <v>41456</v>
      </c>
      <c r="AF24" s="3"/>
      <c r="AH24" s="2"/>
      <c r="AN24" s="23"/>
      <c r="AO24" s="14"/>
      <c r="AP24" s="14"/>
      <c r="AQ24" s="15"/>
      <c r="AT24" s="1"/>
      <c r="AX24" s="3"/>
    </row>
    <row r="25" spans="2:64">
      <c r="U25" s="1" t="s">
        <v>76</v>
      </c>
      <c r="V25" s="11">
        <v>41365</v>
      </c>
      <c r="AF25" s="3"/>
      <c r="AH25" s="2"/>
      <c r="AN25" s="2"/>
      <c r="AT25" s="1"/>
      <c r="AX25" s="3"/>
    </row>
    <row r="26" spans="2:64">
      <c r="B26" s="78" t="s">
        <v>77</v>
      </c>
      <c r="C26" s="78"/>
      <c r="D26" s="78"/>
      <c r="E26" s="78"/>
      <c r="F26" s="78"/>
      <c r="G26" s="78"/>
      <c r="H26" s="78"/>
      <c r="I26" s="78"/>
      <c r="U26" s="1" t="s">
        <v>6</v>
      </c>
      <c r="V26" s="5">
        <v>0.1</v>
      </c>
      <c r="AF26" s="3"/>
      <c r="AH26" s="2"/>
      <c r="AN26" s="2"/>
      <c r="AT26" s="1" t="s">
        <v>54</v>
      </c>
      <c r="AU26" s="26">
        <f>IRR(AW8:AW16)</f>
        <v>0.93068436136971178</v>
      </c>
      <c r="AV26" s="2"/>
      <c r="AW26" s="2"/>
      <c r="AX26" s="3"/>
    </row>
    <row r="27" spans="2:64">
      <c r="B27" s="1" t="s">
        <v>78</v>
      </c>
      <c r="C27" s="88" t="s">
        <v>79</v>
      </c>
      <c r="D27" s="88"/>
      <c r="E27" s="88"/>
      <c r="F27" s="88"/>
      <c r="I27" s="3"/>
      <c r="U27" s="1" t="s">
        <v>80</v>
      </c>
      <c r="V27">
        <v>5000</v>
      </c>
      <c r="AF27" s="3"/>
      <c r="AH27" s="89" t="s">
        <v>81</v>
      </c>
      <c r="AI27" s="89"/>
      <c r="AJ27" s="89"/>
      <c r="AK27" s="89"/>
      <c r="AL27" s="38"/>
      <c r="AM27" s="38"/>
      <c r="AT27" s="1"/>
      <c r="AX27" s="3"/>
    </row>
    <row r="28" spans="2:64" ht="69.95" customHeight="1">
      <c r="B28" s="1" t="s">
        <v>82</v>
      </c>
      <c r="C28" s="11">
        <v>42050</v>
      </c>
      <c r="D28" s="88" t="s">
        <v>83</v>
      </c>
      <c r="E28" s="88"/>
      <c r="F28" s="88"/>
      <c r="G28" s="88"/>
      <c r="I28" s="3"/>
      <c r="U28" s="1" t="s">
        <v>84</v>
      </c>
      <c r="V28">
        <v>2</v>
      </c>
      <c r="AF28" s="3"/>
      <c r="AH28" s="6" t="s">
        <v>85</v>
      </c>
      <c r="AI28" s="6" t="s">
        <v>86</v>
      </c>
      <c r="AJ28" s="6" t="s">
        <v>87</v>
      </c>
      <c r="AK28" s="6" t="s">
        <v>88</v>
      </c>
      <c r="AL28" s="2"/>
      <c r="AM28" s="21"/>
      <c r="AT28" s="90" t="s">
        <v>89</v>
      </c>
      <c r="AU28" s="90"/>
      <c r="AV28" s="28" t="s">
        <v>90</v>
      </c>
      <c r="AX28" s="3"/>
    </row>
    <row r="29" spans="2:64">
      <c r="B29" s="1" t="s">
        <v>91</v>
      </c>
      <c r="C29" s="11">
        <v>42155</v>
      </c>
      <c r="D29" s="88" t="s">
        <v>92</v>
      </c>
      <c r="E29" s="88"/>
      <c r="F29" s="88"/>
      <c r="G29" s="88"/>
      <c r="I29" s="3"/>
      <c r="U29" s="1" t="s">
        <v>45</v>
      </c>
      <c r="V29">
        <v>1</v>
      </c>
      <c r="AF29" s="3"/>
      <c r="AH29" s="39">
        <v>20000</v>
      </c>
      <c r="AI29" s="39">
        <v>4</v>
      </c>
      <c r="AJ29" s="39">
        <v>200</v>
      </c>
      <c r="AK29" s="40">
        <f>SLN(AH29,AJ29,AI29)</f>
        <v>4950</v>
      </c>
      <c r="AL29" s="21"/>
      <c r="AT29" s="90" t="s">
        <v>93</v>
      </c>
      <c r="AU29" s="90"/>
      <c r="AV29" s="5">
        <v>0.11700000000000001</v>
      </c>
      <c r="AX29" s="3"/>
    </row>
    <row r="30" spans="2:64" outlineLevel="1">
      <c r="B30" s="1" t="s">
        <v>84</v>
      </c>
      <c r="C30">
        <v>2</v>
      </c>
      <c r="D30" t="s">
        <v>94</v>
      </c>
      <c r="I30" s="3"/>
      <c r="U30" s="1" t="s">
        <v>95</v>
      </c>
      <c r="V30">
        <v>1</v>
      </c>
      <c r="AF30" s="3"/>
      <c r="AH30" s="2"/>
      <c r="AI30" s="2"/>
      <c r="AJ30" s="2"/>
      <c r="AK30" s="2"/>
      <c r="AL30" s="21"/>
      <c r="AM30" s="21"/>
      <c r="AT30" s="90" t="s">
        <v>89</v>
      </c>
      <c r="AU30" s="90"/>
      <c r="AV30" s="5">
        <v>0.95</v>
      </c>
      <c r="AX30" s="3"/>
    </row>
    <row r="31" spans="2:64">
      <c r="B31" s="1" t="s">
        <v>45</v>
      </c>
      <c r="C31">
        <v>2</v>
      </c>
      <c r="D31" s="82" t="s">
        <v>47</v>
      </c>
      <c r="E31" s="82"/>
      <c r="F31" s="82"/>
      <c r="G31" s="82"/>
      <c r="H31" s="82"/>
      <c r="I31" s="3"/>
      <c r="U31" s="1" t="s">
        <v>96</v>
      </c>
      <c r="V31" s="63">
        <f>ACCRINT(V23,V24,V25,V26,V27,V28,V29,V30)</f>
        <v>124.30939226519337</v>
      </c>
      <c r="AF31" s="3"/>
      <c r="AH31" s="2"/>
      <c r="AI31" s="2"/>
      <c r="AJ31" s="2"/>
      <c r="AK31" s="2"/>
      <c r="AL31" s="21"/>
      <c r="AM31" s="21"/>
      <c r="AT31" s="1"/>
      <c r="AX31" s="3"/>
    </row>
    <row r="32" spans="2:64">
      <c r="B32" s="1" t="s">
        <v>97</v>
      </c>
      <c r="C32" t="s">
        <v>98</v>
      </c>
      <c r="I32" s="3"/>
      <c r="U32" s="1"/>
      <c r="AF32" s="3"/>
      <c r="AH32" s="2"/>
      <c r="AI32" s="2"/>
      <c r="AJ32" s="2"/>
      <c r="AK32" s="2"/>
      <c r="AL32" s="21"/>
      <c r="AM32" s="21"/>
      <c r="AT32" s="1"/>
      <c r="AX32" s="3"/>
    </row>
    <row r="33" spans="2:50">
      <c r="B33" s="1" t="s">
        <v>99</v>
      </c>
      <c r="C33" t="s">
        <v>100</v>
      </c>
      <c r="I33" s="3"/>
      <c r="U33" s="1"/>
      <c r="AF33" s="3"/>
      <c r="AH33" s="41"/>
      <c r="AI33" s="38"/>
      <c r="AJ33" s="38"/>
      <c r="AK33" s="38"/>
      <c r="AL33" s="21"/>
      <c r="AM33" s="21"/>
      <c r="AT33" s="1"/>
      <c r="AX33" s="3"/>
    </row>
    <row r="34" spans="2:50">
      <c r="B34" s="91" t="s">
        <v>101</v>
      </c>
      <c r="C34" s="91"/>
      <c r="D34" s="91"/>
      <c r="E34" s="91"/>
      <c r="F34" s="91"/>
      <c r="G34" s="91"/>
      <c r="H34" s="91"/>
      <c r="I34" s="91"/>
      <c r="U34" s="1"/>
      <c r="AF34" s="3"/>
      <c r="AH34" s="2"/>
      <c r="AI34" s="2"/>
      <c r="AJ34" s="2"/>
      <c r="AK34" s="2"/>
      <c r="AL34" s="21"/>
      <c r="AM34" s="21"/>
      <c r="AT34" s="23" t="s">
        <v>102</v>
      </c>
      <c r="AU34" s="70">
        <f>MIRR($AW$8:$AW$16,AV29,AV30)</f>
        <v>0.94507028649166447</v>
      </c>
      <c r="AV34" s="14"/>
      <c r="AW34" s="14"/>
      <c r="AX34" s="15"/>
    </row>
    <row r="35" spans="2:50">
      <c r="B35" s="91" t="s">
        <v>103</v>
      </c>
      <c r="C35" s="91"/>
      <c r="D35" s="91"/>
      <c r="E35" s="91"/>
      <c r="F35" s="91"/>
      <c r="G35" s="91"/>
      <c r="H35" s="91"/>
      <c r="I35" s="91"/>
      <c r="U35" s="1"/>
      <c r="AF35" s="3"/>
      <c r="AH35" s="2"/>
      <c r="AI35" s="2"/>
      <c r="AJ35" s="2"/>
      <c r="AK35" s="8"/>
      <c r="AL35" s="21"/>
      <c r="AM35" s="21"/>
    </row>
    <row r="36" spans="2:50">
      <c r="B36" s="42"/>
      <c r="I36" s="3"/>
      <c r="U36" s="1"/>
      <c r="AF36" s="3"/>
      <c r="AH36" s="43"/>
      <c r="AI36" s="21"/>
      <c r="AJ36" s="21"/>
      <c r="AK36" s="21"/>
      <c r="AL36" s="21"/>
      <c r="AM36" s="21"/>
    </row>
    <row r="37" spans="2:50">
      <c r="B37" s="42" t="s">
        <v>104</v>
      </c>
      <c r="C37">
        <f>COUPDAYS(C28,C29,C30,C31)</f>
        <v>180</v>
      </c>
      <c r="I37" s="3"/>
      <c r="U37" s="1"/>
      <c r="AF37" s="3"/>
      <c r="AH37" s="43"/>
      <c r="AI37" s="21"/>
      <c r="AJ37" s="21"/>
      <c r="AK37" s="21"/>
      <c r="AL37" s="21"/>
      <c r="AM37" s="21"/>
    </row>
    <row r="38" spans="2:50">
      <c r="B38" s="42"/>
      <c r="I38" s="3"/>
      <c r="U38" s="1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5"/>
      <c r="AH38" s="43"/>
      <c r="AI38" s="21"/>
      <c r="AJ38" s="21"/>
      <c r="AK38" s="21"/>
      <c r="AL38" s="21"/>
      <c r="AM38" s="21"/>
    </row>
    <row r="39" spans="2:50">
      <c r="B39" s="1"/>
      <c r="C39" t="s">
        <v>78</v>
      </c>
      <c r="E39" t="s">
        <v>105</v>
      </c>
      <c r="I39" s="3" t="s">
        <v>91</v>
      </c>
      <c r="AH39" s="43"/>
      <c r="AI39" s="21"/>
      <c r="AJ39" s="21"/>
      <c r="AK39" s="21"/>
      <c r="AL39" s="21"/>
      <c r="AM39" s="21"/>
      <c r="AT39" s="80" t="s">
        <v>106</v>
      </c>
      <c r="AU39" s="80"/>
      <c r="AV39" s="80"/>
      <c r="AW39" s="80"/>
      <c r="AX39" s="80"/>
    </row>
    <row r="40" spans="2:50">
      <c r="B40" s="1"/>
      <c r="I40" s="3"/>
      <c r="AH40" s="43"/>
      <c r="AI40" s="21"/>
      <c r="AJ40" s="21"/>
      <c r="AK40" s="21"/>
      <c r="AL40" s="21"/>
      <c r="AM40" s="21"/>
      <c r="AT40" s="1"/>
      <c r="AX40" s="3"/>
    </row>
    <row r="41" spans="2:50">
      <c r="B41" s="1"/>
      <c r="E41" s="11">
        <v>42050</v>
      </c>
      <c r="I41" s="44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4"/>
      <c r="D43" s="92" t="s">
        <v>107</v>
      </c>
      <c r="E43" s="92"/>
      <c r="F43" s="92"/>
      <c r="G43" s="14"/>
      <c r="H43" s="14"/>
      <c r="I43" s="15"/>
      <c r="AT43" s="1"/>
      <c r="AX43" s="3"/>
    </row>
    <row r="44" spans="2:50">
      <c r="U44" s="79" t="s">
        <v>108</v>
      </c>
      <c r="V44" s="79"/>
      <c r="W44" s="79"/>
      <c r="X44" s="79"/>
      <c r="Y44" s="79"/>
      <c r="Z44" s="79"/>
      <c r="AA44" s="79"/>
      <c r="AB44" s="79"/>
      <c r="AC44" s="79"/>
      <c r="AD44" s="79"/>
      <c r="AT44" s="1"/>
      <c r="AX44" s="3"/>
    </row>
    <row r="45" spans="2:50">
      <c r="U45" s="1"/>
      <c r="AD45" s="3"/>
      <c r="AH45" s="78" t="s">
        <v>109</v>
      </c>
      <c r="AI45" s="78"/>
      <c r="AJ45" s="78"/>
      <c r="AK45" s="78"/>
      <c r="AL45" s="78"/>
      <c r="AM45" s="78"/>
      <c r="AN45" s="78"/>
      <c r="AT45" s="1"/>
      <c r="AX45" s="3"/>
    </row>
    <row r="46" spans="2:50">
      <c r="U46" s="93" t="s">
        <v>110</v>
      </c>
      <c r="V46" s="93"/>
      <c r="W46" s="5">
        <v>5.1999999999999998E-2</v>
      </c>
      <c r="AD46" s="3"/>
      <c r="AH46" s="1"/>
      <c r="AN46" s="3"/>
      <c r="AO46" s="78" t="s">
        <v>111</v>
      </c>
      <c r="AP46" s="78"/>
      <c r="AQ46" s="78"/>
      <c r="AR46" s="78"/>
      <c r="AT46" s="94" t="s">
        <v>112</v>
      </c>
      <c r="AU46" s="94"/>
      <c r="AV46" s="94"/>
      <c r="AW46" s="94"/>
      <c r="AX46" s="3"/>
    </row>
    <row r="47" spans="2:50">
      <c r="U47" s="93" t="s">
        <v>113</v>
      </c>
      <c r="V47" s="93"/>
      <c r="W47">
        <v>2</v>
      </c>
      <c r="X47" s="86" t="s">
        <v>114</v>
      </c>
      <c r="Y47" s="86"/>
      <c r="Z47" s="86"/>
      <c r="AA47" s="86"/>
      <c r="AB47" s="86"/>
      <c r="AC47" s="86"/>
      <c r="AD47" s="86"/>
      <c r="AH47" s="1" t="s">
        <v>115</v>
      </c>
      <c r="AI47">
        <v>30000</v>
      </c>
      <c r="AL47" t="s">
        <v>116</v>
      </c>
      <c r="AN47" s="3"/>
      <c r="AO47" s="1" t="s">
        <v>117</v>
      </c>
      <c r="AP47">
        <v>30000</v>
      </c>
      <c r="AR47" s="3"/>
      <c r="AT47" s="45" t="s">
        <v>118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119</v>
      </c>
      <c r="AI48" s="5">
        <v>1.95E-2</v>
      </c>
      <c r="AL48" t="s">
        <v>120</v>
      </c>
      <c r="AN48" s="3"/>
      <c r="AO48" s="1" t="s">
        <v>121</v>
      </c>
      <c r="AP48">
        <v>3000</v>
      </c>
      <c r="AR48" s="3"/>
      <c r="AT48" s="6" t="s">
        <v>122</v>
      </c>
      <c r="AU48" s="6">
        <f>-AU41</f>
        <v>-15000</v>
      </c>
      <c r="AV48" s="95" t="s">
        <v>123</v>
      </c>
      <c r="AW48" s="95"/>
      <c r="AX48" s="3"/>
    </row>
    <row r="49" spans="21:50">
      <c r="U49" s="1"/>
      <c r="AD49" s="3"/>
      <c r="AH49" s="1" t="s">
        <v>124</v>
      </c>
      <c r="AI49">
        <v>24</v>
      </c>
      <c r="AN49" s="3"/>
      <c r="AO49" s="1" t="s">
        <v>34</v>
      </c>
      <c r="AP49">
        <v>10</v>
      </c>
      <c r="AR49" s="3"/>
      <c r="AT49" s="6" t="s">
        <v>125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126</v>
      </c>
      <c r="AI50">
        <f>AI48/12</f>
        <v>1.6249999999999999E-3</v>
      </c>
      <c r="AN50" s="3"/>
      <c r="AO50" s="1" t="s">
        <v>127</v>
      </c>
      <c r="AR50" s="3"/>
      <c r="AT50" s="6" t="s">
        <v>128</v>
      </c>
      <c r="AU50" s="6">
        <v>13880</v>
      </c>
      <c r="AV50" s="6"/>
      <c r="AW50" s="6"/>
      <c r="AX50" s="3"/>
    </row>
    <row r="51" spans="21:50">
      <c r="U51" s="96" t="s">
        <v>129</v>
      </c>
      <c r="V51" s="96"/>
      <c r="W51" s="17">
        <f>EFFECT(W46,W47)</f>
        <v>5.2675999999999945E-2</v>
      </c>
      <c r="X51" s="14"/>
      <c r="Y51" s="14"/>
      <c r="Z51" s="14"/>
      <c r="AA51" s="14"/>
      <c r="AB51" s="14"/>
      <c r="AC51" s="14"/>
      <c r="AD51" s="15"/>
      <c r="AH51" s="1"/>
      <c r="AJ51" t="s">
        <v>130</v>
      </c>
      <c r="AK51" t="s">
        <v>131</v>
      </c>
      <c r="AM51" s="3" t="s">
        <v>132</v>
      </c>
      <c r="AO51" s="1"/>
      <c r="AR51" s="3"/>
      <c r="AT51" s="6" t="s">
        <v>133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6"/>
      <c r="AR52" s="3"/>
      <c r="AT52" s="6" t="s">
        <v>134</v>
      </c>
      <c r="AU52" s="6">
        <v>14120</v>
      </c>
      <c r="AV52" s="6"/>
      <c r="AW52" s="6"/>
      <c r="AX52" s="3"/>
    </row>
    <row r="53" spans="21:50">
      <c r="AH53" s="47" t="s">
        <v>135</v>
      </c>
      <c r="AI53" s="48" t="s">
        <v>136</v>
      </c>
      <c r="AJ53" s="48" t="s">
        <v>137</v>
      </c>
      <c r="AK53" s="48" t="s">
        <v>138</v>
      </c>
      <c r="AL53" s="48" t="s">
        <v>139</v>
      </c>
      <c r="AM53" s="49" t="s">
        <v>140</v>
      </c>
      <c r="AO53" s="47" t="s">
        <v>135</v>
      </c>
      <c r="AP53" s="48" t="s">
        <v>136</v>
      </c>
      <c r="AQ53" s="48" t="s">
        <v>138</v>
      </c>
      <c r="AR53" s="49"/>
      <c r="AT53" s="6" t="s">
        <v>141</v>
      </c>
      <c r="AU53" s="6">
        <v>15000</v>
      </c>
      <c r="AV53" s="6"/>
      <c r="AW53" s="6"/>
      <c r="AX53" s="3"/>
    </row>
    <row r="54" spans="21:50">
      <c r="AH54" s="50">
        <v>0</v>
      </c>
      <c r="AI54" s="51"/>
      <c r="AJ54" s="51"/>
      <c r="AK54" s="51"/>
      <c r="AL54" s="51"/>
      <c r="AM54" s="52">
        <f>AI47</f>
        <v>30000</v>
      </c>
      <c r="AO54" s="50">
        <v>0</v>
      </c>
      <c r="AP54" s="97">
        <v>30000</v>
      </c>
      <c r="AQ54" s="46"/>
      <c r="AR54" s="52"/>
      <c r="AT54" s="6" t="s">
        <v>142</v>
      </c>
      <c r="AU54" s="6">
        <v>12500</v>
      </c>
      <c r="AV54" s="6"/>
      <c r="AW54" s="6"/>
      <c r="AX54" s="3"/>
    </row>
    <row r="55" spans="21:50">
      <c r="AH55" s="50">
        <v>1</v>
      </c>
      <c r="AI55" s="46">
        <f t="shared" ref="AI55:AI78" si="5">AM54</f>
        <v>30000</v>
      </c>
      <c r="AJ55" s="64">
        <f>IPMT($AI$50,AH55,$AI$49,-$AM$54)</f>
        <v>48.75</v>
      </c>
      <c r="AK55" s="46">
        <f t="shared" ref="AK55:AK78" si="6">PPMT($AI$50,AH55,$AI$49,-$AM$54)</f>
        <v>1226.7986550605017</v>
      </c>
      <c r="AL55" s="46">
        <f t="shared" ref="AL55:AL78" si="7">PMT($AI$50,$AI$49,-$AI$47)</f>
        <v>1275.5486550605017</v>
      </c>
      <c r="AM55" s="52">
        <f t="shared" ref="AM55:AM78" si="8">AI55-AK55</f>
        <v>28773.201344939498</v>
      </c>
      <c r="AO55" s="50">
        <v>1</v>
      </c>
      <c r="AP55" s="97"/>
      <c r="AQ55" s="46">
        <f t="shared" ref="AQ55:AQ65" si="9">SYD($AP$47,$AP$48,$AP$49,AO55)</f>
        <v>4909.090909090909</v>
      </c>
      <c r="AR55" s="52"/>
      <c r="AT55" s="6" t="s">
        <v>143</v>
      </c>
      <c r="AU55" s="6">
        <v>15100</v>
      </c>
      <c r="AV55" s="6"/>
      <c r="AW55" s="6"/>
      <c r="AX55" s="3"/>
    </row>
    <row r="56" spans="21:50">
      <c r="U56" s="78" t="s">
        <v>144</v>
      </c>
      <c r="V56" s="78"/>
      <c r="W56" s="78"/>
      <c r="X56" s="78"/>
      <c r="Y56" s="78"/>
      <c r="Z56" s="78"/>
      <c r="AH56" s="50">
        <v>2</v>
      </c>
      <c r="AI56" s="46">
        <f t="shared" si="5"/>
        <v>28773.201344939498</v>
      </c>
      <c r="AJ56" s="46">
        <f t="shared" ref="AJ56:AJ78" si="10">IPMT($AI$50,AH56,$AI$49,-$AM$54)</f>
        <v>46.756452185526683</v>
      </c>
      <c r="AK56" s="46">
        <f t="shared" si="6"/>
        <v>1228.7922028749749</v>
      </c>
      <c r="AL56" s="46">
        <f t="shared" si="7"/>
        <v>1275.5486550605017</v>
      </c>
      <c r="AM56" s="52">
        <f t="shared" si="8"/>
        <v>27544.409142064524</v>
      </c>
      <c r="AO56" s="50">
        <v>2</v>
      </c>
      <c r="AP56" s="97"/>
      <c r="AQ56" s="46">
        <f t="shared" si="9"/>
        <v>4418.181818181818</v>
      </c>
      <c r="AR56" s="52"/>
      <c r="AT56" s="6" t="s">
        <v>145</v>
      </c>
      <c r="AU56" s="6">
        <v>16200</v>
      </c>
      <c r="AV56" s="6"/>
      <c r="AW56" s="6"/>
      <c r="AX56" s="3"/>
    </row>
    <row r="57" spans="21:50">
      <c r="U57" s="93" t="s">
        <v>6</v>
      </c>
      <c r="V57" s="93"/>
      <c r="W57" s="5">
        <v>0.06</v>
      </c>
      <c r="Z57" s="3"/>
      <c r="AH57" s="50">
        <v>3</v>
      </c>
      <c r="AI57" s="46">
        <f t="shared" si="5"/>
        <v>27544.409142064524</v>
      </c>
      <c r="AJ57" s="46">
        <f t="shared" si="10"/>
        <v>44.759664855854858</v>
      </c>
      <c r="AK57" s="46">
        <f t="shared" si="6"/>
        <v>1230.7889902046468</v>
      </c>
      <c r="AL57" s="46">
        <f t="shared" si="7"/>
        <v>1275.5486550605017</v>
      </c>
      <c r="AM57" s="52">
        <f t="shared" si="8"/>
        <v>26313.620151859875</v>
      </c>
      <c r="AO57" s="50">
        <v>3</v>
      </c>
      <c r="AP57" s="97"/>
      <c r="AQ57" s="46">
        <f t="shared" si="9"/>
        <v>3927.2727272727275</v>
      </c>
      <c r="AR57" s="52"/>
      <c r="AT57" s="1"/>
      <c r="AX57" s="3"/>
    </row>
    <row r="58" spans="21:50">
      <c r="U58" s="93" t="s">
        <v>146</v>
      </c>
      <c r="V58" s="93"/>
      <c r="W58">
        <v>4</v>
      </c>
      <c r="X58" t="s">
        <v>147</v>
      </c>
      <c r="Z58" s="3"/>
      <c r="AH58" s="50">
        <v>4</v>
      </c>
      <c r="AI58" s="46">
        <f t="shared" si="5"/>
        <v>26313.620151859875</v>
      </c>
      <c r="AJ58" s="46">
        <f t="shared" si="10"/>
        <v>42.75963274677229</v>
      </c>
      <c r="AK58" s="46">
        <f t="shared" si="6"/>
        <v>1232.7890223137294</v>
      </c>
      <c r="AL58" s="46">
        <f t="shared" si="7"/>
        <v>1275.5486550605017</v>
      </c>
      <c r="AM58" s="52">
        <f t="shared" si="8"/>
        <v>25080.831129546146</v>
      </c>
      <c r="AO58" s="50">
        <v>4</v>
      </c>
      <c r="AP58" s="97"/>
      <c r="AQ58" s="46">
        <f t="shared" si="9"/>
        <v>3436.3636363636365</v>
      </c>
      <c r="AR58" s="52"/>
      <c r="AT58" s="1"/>
      <c r="AX58" s="3"/>
    </row>
    <row r="59" spans="21:50">
      <c r="U59" s="93" t="s">
        <v>148</v>
      </c>
      <c r="V59" s="93"/>
      <c r="W59">
        <v>5000</v>
      </c>
      <c r="X59" t="s">
        <v>149</v>
      </c>
      <c r="Z59" s="3"/>
      <c r="AH59" s="50">
        <v>5</v>
      </c>
      <c r="AI59" s="46">
        <f t="shared" si="5"/>
        <v>25080.831129546146</v>
      </c>
      <c r="AJ59" s="46">
        <f t="shared" si="10"/>
        <v>40.756350585512486</v>
      </c>
      <c r="AK59" s="46">
        <f t="shared" si="6"/>
        <v>1234.7923044749891</v>
      </c>
      <c r="AL59" s="46">
        <f t="shared" si="7"/>
        <v>1275.5486550605017</v>
      </c>
      <c r="AM59" s="52">
        <f t="shared" si="8"/>
        <v>23846.038825071158</v>
      </c>
      <c r="AO59" s="50">
        <v>5</v>
      </c>
      <c r="AP59" s="97"/>
      <c r="AQ59" s="46">
        <f t="shared" si="9"/>
        <v>2945.4545454545455</v>
      </c>
      <c r="AR59" s="52"/>
      <c r="AT59" s="1" t="s">
        <v>150</v>
      </c>
      <c r="AU59" s="33" t="e">
        <f>XNPV(AU42,AU48:AU56,AT48:AT56)</f>
        <v>#VALUE!</v>
      </c>
      <c r="AX59" s="3"/>
    </row>
    <row r="60" spans="21:50">
      <c r="U60" s="4"/>
      <c r="Z60" s="3"/>
      <c r="AH60" s="50">
        <v>6</v>
      </c>
      <c r="AI60" s="46">
        <f t="shared" si="5"/>
        <v>23846.038825071158</v>
      </c>
      <c r="AJ60" s="46">
        <f t="shared" si="10"/>
        <v>38.749813090740631</v>
      </c>
      <c r="AK60" s="46">
        <f t="shared" si="6"/>
        <v>1236.798841969761</v>
      </c>
      <c r="AL60" s="46">
        <f t="shared" si="7"/>
        <v>1275.5486550605017</v>
      </c>
      <c r="AM60" s="52">
        <f t="shared" si="8"/>
        <v>22609.239983101397</v>
      </c>
      <c r="AO60" s="50">
        <v>6</v>
      </c>
      <c r="AP60" s="97"/>
      <c r="AQ60" s="46">
        <f t="shared" si="9"/>
        <v>2454.5454545454545</v>
      </c>
      <c r="AR60" s="52"/>
      <c r="AT60" s="1"/>
      <c r="AX60" s="3"/>
    </row>
    <row r="61" spans="21:50">
      <c r="U61" s="4"/>
      <c r="X61" s="6" t="s">
        <v>21</v>
      </c>
      <c r="Y61" s="6" t="s">
        <v>151</v>
      </c>
      <c r="Z61" s="3"/>
      <c r="AH61" s="50">
        <v>7</v>
      </c>
      <c r="AI61" s="46">
        <f t="shared" si="5"/>
        <v>22609.239983101397</v>
      </c>
      <c r="AJ61" s="46">
        <f t="shared" si="10"/>
        <v>36.740014972539768</v>
      </c>
      <c r="AK61" s="46">
        <f t="shared" si="6"/>
        <v>1238.808640087962</v>
      </c>
      <c r="AL61" s="46">
        <f t="shared" si="7"/>
        <v>1275.5486550605017</v>
      </c>
      <c r="AM61" s="52">
        <f t="shared" si="8"/>
        <v>21370.431343013435</v>
      </c>
      <c r="AO61" s="50">
        <v>7</v>
      </c>
      <c r="AP61" s="97"/>
      <c r="AQ61" s="46">
        <f t="shared" si="9"/>
        <v>1963.6363636363637</v>
      </c>
      <c r="AR61" s="52"/>
      <c r="AT61" s="23" t="s">
        <v>152</v>
      </c>
      <c r="AU61" s="14">
        <f>XIRR(AU48:AU56,AT48:AT56)</f>
        <v>68.475326919555641</v>
      </c>
      <c r="AV61" s="14"/>
      <c r="AW61" s="14"/>
      <c r="AX61" s="15"/>
    </row>
    <row r="62" spans="21:50">
      <c r="U62" s="4"/>
      <c r="X62" s="6">
        <v>1</v>
      </c>
      <c r="Y62" s="6">
        <f>ISPMT($W$57,X62,$W$58,$W$59)</f>
        <v>-225</v>
      </c>
      <c r="Z62" s="98" t="s">
        <v>153</v>
      </c>
      <c r="AA62" s="98"/>
      <c r="AB62" s="98"/>
      <c r="AC62" s="98"/>
      <c r="AH62" s="50">
        <v>8</v>
      </c>
      <c r="AI62" s="46">
        <f t="shared" si="5"/>
        <v>21370.431343013435</v>
      </c>
      <c r="AJ62" s="46">
        <f t="shared" si="10"/>
        <v>34.726950932396825</v>
      </c>
      <c r="AK62" s="46">
        <f t="shared" si="6"/>
        <v>1240.8217041281048</v>
      </c>
      <c r="AL62" s="46">
        <f t="shared" si="7"/>
        <v>1275.5486550605017</v>
      </c>
      <c r="AM62" s="52">
        <f t="shared" si="8"/>
        <v>20129.609638885329</v>
      </c>
      <c r="AO62" s="50">
        <v>8</v>
      </c>
      <c r="AP62" s="97"/>
      <c r="AQ62" s="46">
        <f t="shared" si="9"/>
        <v>1472.7272727272727</v>
      </c>
      <c r="AR62" s="52"/>
    </row>
    <row r="63" spans="21:50">
      <c r="U63" s="4"/>
      <c r="X63" s="6">
        <v>2</v>
      </c>
      <c r="Y63" s="6">
        <f>ISPMT($W$57,X63,$W$58,$W$59)</f>
        <v>-150</v>
      </c>
      <c r="Z63" s="3"/>
      <c r="AH63" s="50">
        <v>9</v>
      </c>
      <c r="AI63" s="46">
        <f t="shared" si="5"/>
        <v>20129.609638885329</v>
      </c>
      <c r="AJ63" s="46">
        <f t="shared" si="10"/>
        <v>32.710615663188662</v>
      </c>
      <c r="AK63" s="46">
        <f t="shared" si="6"/>
        <v>1242.8380393973132</v>
      </c>
      <c r="AL63" s="46">
        <f t="shared" si="7"/>
        <v>1275.5486550605017</v>
      </c>
      <c r="AM63" s="52">
        <f t="shared" si="8"/>
        <v>18886.771599488016</v>
      </c>
      <c r="AO63" s="50">
        <v>9</v>
      </c>
      <c r="AP63" s="97"/>
      <c r="AQ63" s="46">
        <f t="shared" si="9"/>
        <v>981.81818181818187</v>
      </c>
      <c r="AR63" s="52"/>
    </row>
    <row r="64" spans="21:50">
      <c r="U64" s="4"/>
      <c r="X64" s="6">
        <v>3</v>
      </c>
      <c r="Y64" s="6">
        <f>ISPMT($W$57,X64,$W$58,$W$59)</f>
        <v>-75</v>
      </c>
      <c r="Z64" s="3"/>
      <c r="AH64" s="50">
        <v>10</v>
      </c>
      <c r="AI64" s="46">
        <f t="shared" si="5"/>
        <v>18886.771599488016</v>
      </c>
      <c r="AJ64" s="46">
        <f t="shared" si="10"/>
        <v>30.69100384916803</v>
      </c>
      <c r="AK64" s="46">
        <f t="shared" si="6"/>
        <v>1244.8576512113336</v>
      </c>
      <c r="AL64" s="46">
        <f t="shared" si="7"/>
        <v>1275.5486550605017</v>
      </c>
      <c r="AM64" s="52">
        <f t="shared" si="8"/>
        <v>17641.913948276684</v>
      </c>
      <c r="AO64" s="50">
        <v>10</v>
      </c>
      <c r="AP64" s="97"/>
      <c r="AQ64" s="46">
        <f t="shared" si="9"/>
        <v>490.90909090909093</v>
      </c>
      <c r="AR64" s="52"/>
    </row>
    <row r="65" spans="21:44">
      <c r="U65" s="4"/>
      <c r="X65" s="6">
        <v>4</v>
      </c>
      <c r="Y65" s="6">
        <f>ISPMT($W$57,X65,$W$58,$W$59)</f>
        <v>0</v>
      </c>
      <c r="Z65" s="3"/>
      <c r="AH65" s="50">
        <v>11</v>
      </c>
      <c r="AI65" s="46">
        <f t="shared" si="5"/>
        <v>17641.913948276684</v>
      </c>
      <c r="AJ65" s="46">
        <f t="shared" si="10"/>
        <v>28.66811016594961</v>
      </c>
      <c r="AK65" s="46">
        <f t="shared" si="6"/>
        <v>1246.880544894552</v>
      </c>
      <c r="AL65" s="46">
        <f t="shared" si="7"/>
        <v>1275.5486550605017</v>
      </c>
      <c r="AM65" s="52">
        <f t="shared" si="8"/>
        <v>16395.033403382131</v>
      </c>
      <c r="AO65" s="53">
        <v>11</v>
      </c>
      <c r="AP65" s="97"/>
      <c r="AQ65" s="54" t="e">
        <f t="shared" si="9"/>
        <v>#NUM!</v>
      </c>
      <c r="AR65" s="52"/>
    </row>
    <row r="66" spans="21:44">
      <c r="U66" s="12"/>
      <c r="V66" s="14"/>
      <c r="W66" s="14"/>
      <c r="X66" s="14"/>
      <c r="Y66" s="14"/>
      <c r="Z66" s="15"/>
      <c r="AH66" s="53">
        <v>12</v>
      </c>
      <c r="AI66" s="46">
        <f t="shared" si="5"/>
        <v>16395.033403382131</v>
      </c>
      <c r="AJ66" s="46">
        <f t="shared" si="10"/>
        <v>26.641929280495962</v>
      </c>
      <c r="AK66" s="46">
        <f t="shared" si="6"/>
        <v>1248.9067257800057</v>
      </c>
      <c r="AL66" s="46">
        <f t="shared" si="7"/>
        <v>1275.5486550605017</v>
      </c>
      <c r="AM66" s="52">
        <f t="shared" si="8"/>
        <v>15146.126677602126</v>
      </c>
      <c r="AO66" s="43"/>
      <c r="AP66" s="21"/>
      <c r="AQ66" s="21"/>
      <c r="AR66" s="21"/>
    </row>
    <row r="67" spans="21:44">
      <c r="AH67" s="50">
        <v>13</v>
      </c>
      <c r="AI67" s="46">
        <f t="shared" si="5"/>
        <v>15146.126677602126</v>
      </c>
      <c r="AJ67" s="46">
        <f t="shared" si="10"/>
        <v>24.612455851103451</v>
      </c>
      <c r="AK67" s="46">
        <f t="shared" si="6"/>
        <v>1250.9361992093982</v>
      </c>
      <c r="AL67" s="46">
        <f t="shared" si="7"/>
        <v>1275.5486550605017</v>
      </c>
      <c r="AM67" s="52">
        <f t="shared" si="8"/>
        <v>13895.190478392728</v>
      </c>
      <c r="AO67" s="43"/>
      <c r="AP67" s="21"/>
      <c r="AQ67" s="21"/>
      <c r="AR67" s="21"/>
    </row>
    <row r="68" spans="21:44">
      <c r="AH68" s="50">
        <v>14</v>
      </c>
      <c r="AI68" s="46">
        <f t="shared" si="5"/>
        <v>13895.190478392728</v>
      </c>
      <c r="AJ68" s="46">
        <f t="shared" si="10"/>
        <v>22.579684527388185</v>
      </c>
      <c r="AK68" s="46">
        <f t="shared" si="6"/>
        <v>1252.9689705331134</v>
      </c>
      <c r="AL68" s="46">
        <f t="shared" si="7"/>
        <v>1275.5486550605017</v>
      </c>
      <c r="AM68" s="52">
        <f t="shared" si="8"/>
        <v>12642.221507859615</v>
      </c>
      <c r="AO68" s="43"/>
      <c r="AP68" s="21"/>
      <c r="AQ68" s="21"/>
      <c r="AR68" s="21"/>
    </row>
    <row r="69" spans="21:44">
      <c r="AH69" s="50">
        <v>15</v>
      </c>
      <c r="AI69" s="46">
        <f t="shared" si="5"/>
        <v>12642.221507859615</v>
      </c>
      <c r="AJ69" s="46">
        <f t="shared" si="10"/>
        <v>20.543609950271872</v>
      </c>
      <c r="AK69" s="46">
        <f t="shared" si="6"/>
        <v>1255.0050451102297</v>
      </c>
      <c r="AL69" s="46">
        <f t="shared" si="7"/>
        <v>1275.5486550605017</v>
      </c>
      <c r="AM69" s="52">
        <f t="shared" si="8"/>
        <v>11387.216462749384</v>
      </c>
      <c r="AO69" s="43"/>
      <c r="AP69" s="21"/>
      <c r="AQ69" s="21"/>
      <c r="AR69" s="21"/>
    </row>
    <row r="70" spans="21:44">
      <c r="AH70" s="50">
        <v>16</v>
      </c>
      <c r="AI70" s="46">
        <f t="shared" si="5"/>
        <v>11387.216462749384</v>
      </c>
      <c r="AJ70" s="46">
        <f t="shared" si="10"/>
        <v>18.504226751967749</v>
      </c>
      <c r="AK70" s="46">
        <f t="shared" si="6"/>
        <v>1257.044428308534</v>
      </c>
      <c r="AL70" s="46">
        <f t="shared" si="7"/>
        <v>1275.5486550605017</v>
      </c>
      <c r="AM70" s="52">
        <f t="shared" si="8"/>
        <v>10130.17203444085</v>
      </c>
      <c r="AO70" s="43"/>
      <c r="AP70" s="21"/>
      <c r="AQ70" s="21"/>
      <c r="AR70" s="21"/>
    </row>
    <row r="71" spans="21:44">
      <c r="AH71" s="50">
        <v>17</v>
      </c>
      <c r="AI71" s="46">
        <f t="shared" si="5"/>
        <v>10130.17203444085</v>
      </c>
      <c r="AJ71" s="46">
        <f t="shared" si="10"/>
        <v>16.461529555966379</v>
      </c>
      <c r="AK71" s="46">
        <f t="shared" si="6"/>
        <v>1259.0871255045352</v>
      </c>
      <c r="AL71" s="46">
        <f t="shared" si="7"/>
        <v>1275.5486550605017</v>
      </c>
      <c r="AM71" s="52">
        <f t="shared" si="8"/>
        <v>8871.0849089363146</v>
      </c>
      <c r="AO71" s="85" t="s">
        <v>154</v>
      </c>
      <c r="AP71" s="85"/>
      <c r="AQ71" s="85"/>
      <c r="AR71" s="85"/>
    </row>
    <row r="72" spans="21:44">
      <c r="AH72" s="50">
        <v>18</v>
      </c>
      <c r="AI72" s="46">
        <f t="shared" si="5"/>
        <v>8871.0849089363146</v>
      </c>
      <c r="AJ72" s="46">
        <f t="shared" si="10"/>
        <v>14.415512977021514</v>
      </c>
      <c r="AK72" s="46">
        <f t="shared" si="6"/>
        <v>1261.1331420834802</v>
      </c>
      <c r="AL72" s="46">
        <f t="shared" si="7"/>
        <v>1275.5486550605017</v>
      </c>
      <c r="AM72" s="52">
        <f t="shared" si="8"/>
        <v>7609.9517668528342</v>
      </c>
      <c r="AO72" s="55"/>
      <c r="AP72" s="56"/>
      <c r="AQ72" s="56"/>
      <c r="AR72" s="57"/>
    </row>
    <row r="73" spans="21:44">
      <c r="AH73" s="50">
        <v>19</v>
      </c>
      <c r="AI73" s="46">
        <f t="shared" si="5"/>
        <v>7609.9517668528342</v>
      </c>
      <c r="AJ73" s="46">
        <f t="shared" si="10"/>
        <v>12.366171621135857</v>
      </c>
      <c r="AK73" s="46">
        <f t="shared" si="6"/>
        <v>1263.1824834393658</v>
      </c>
      <c r="AL73" s="46">
        <f t="shared" si="7"/>
        <v>1275.5486550605017</v>
      </c>
      <c r="AM73" s="52">
        <f t="shared" si="8"/>
        <v>6346.7692834134687</v>
      </c>
      <c r="AO73" s="58" t="s">
        <v>146</v>
      </c>
      <c r="AP73" s="59">
        <v>24</v>
      </c>
      <c r="AQ73" s="60"/>
      <c r="AR73" s="61"/>
    </row>
    <row r="74" spans="21:44">
      <c r="AH74" s="50">
        <v>20</v>
      </c>
      <c r="AI74" s="46">
        <f t="shared" si="5"/>
        <v>6346.7692834134687</v>
      </c>
      <c r="AJ74" s="46">
        <f t="shared" si="10"/>
        <v>10.313500085546888</v>
      </c>
      <c r="AK74" s="46">
        <f t="shared" si="6"/>
        <v>1265.2351549749549</v>
      </c>
      <c r="AL74" s="46">
        <f t="shared" si="7"/>
        <v>1275.5486550605017</v>
      </c>
      <c r="AM74" s="52">
        <f t="shared" si="8"/>
        <v>5081.534128438514</v>
      </c>
      <c r="AO74" s="58" t="s">
        <v>14</v>
      </c>
      <c r="AP74" s="60">
        <v>200</v>
      </c>
      <c r="AQ74" s="60"/>
      <c r="AR74" s="61"/>
    </row>
    <row r="75" spans="21:44">
      <c r="AH75" s="50">
        <v>21</v>
      </c>
      <c r="AI75" s="46">
        <f t="shared" si="5"/>
        <v>5081.534128438514</v>
      </c>
      <c r="AJ75" s="46">
        <f t="shared" si="10"/>
        <v>8.2574929587125858</v>
      </c>
      <c r="AK75" s="46">
        <f t="shared" si="6"/>
        <v>1267.291162101789</v>
      </c>
      <c r="AL75" s="46">
        <f t="shared" si="7"/>
        <v>1275.5486550605017</v>
      </c>
      <c r="AM75" s="52">
        <f t="shared" si="8"/>
        <v>3814.2429663367247</v>
      </c>
      <c r="AO75" s="58" t="s">
        <v>155</v>
      </c>
      <c r="AP75" s="60">
        <v>20000</v>
      </c>
      <c r="AQ75" s="60"/>
      <c r="AR75" s="61"/>
    </row>
    <row r="76" spans="21:44">
      <c r="AH76" s="50">
        <v>22</v>
      </c>
      <c r="AI76" s="46">
        <f t="shared" si="5"/>
        <v>3814.2429663367247</v>
      </c>
      <c r="AJ76" s="46">
        <f t="shared" si="10"/>
        <v>6.1981448202971787</v>
      </c>
      <c r="AK76" s="46">
        <f t="shared" si="6"/>
        <v>1269.3505102402044</v>
      </c>
      <c r="AL76" s="46">
        <f t="shared" si="7"/>
        <v>1275.5486550605017</v>
      </c>
      <c r="AM76" s="52">
        <f t="shared" si="8"/>
        <v>2544.8924560965206</v>
      </c>
      <c r="AO76" s="58"/>
      <c r="AP76" s="60"/>
      <c r="AQ76" s="60"/>
      <c r="AR76" s="61"/>
    </row>
    <row r="77" spans="21:44">
      <c r="AH77" s="50">
        <v>23</v>
      </c>
      <c r="AI77" s="46">
        <f t="shared" si="5"/>
        <v>2544.8924560965206</v>
      </c>
      <c r="AJ77" s="46">
        <f t="shared" si="10"/>
        <v>4.1354502411568461</v>
      </c>
      <c r="AK77" s="46">
        <f t="shared" si="6"/>
        <v>1271.4132048193446</v>
      </c>
      <c r="AL77" s="46">
        <f t="shared" si="7"/>
        <v>1275.5486550605017</v>
      </c>
      <c r="AM77" s="52">
        <f t="shared" si="8"/>
        <v>1273.479251277176</v>
      </c>
      <c r="AO77" s="58"/>
      <c r="AP77" s="60"/>
      <c r="AQ77" s="60"/>
      <c r="AR77" s="61"/>
    </row>
    <row r="78" spans="21:44">
      <c r="AH78" s="50">
        <v>24</v>
      </c>
      <c r="AI78" s="46">
        <f t="shared" si="5"/>
        <v>1273.479251277176</v>
      </c>
      <c r="AJ78" s="46">
        <f t="shared" si="10"/>
        <v>2.0694037833254115</v>
      </c>
      <c r="AK78" s="46">
        <f t="shared" si="6"/>
        <v>1273.4792512771762</v>
      </c>
      <c r="AL78" s="46">
        <f t="shared" si="7"/>
        <v>1275.5486550605017</v>
      </c>
      <c r="AM78" s="52">
        <f t="shared" si="8"/>
        <v>0</v>
      </c>
      <c r="AO78" s="58" t="s">
        <v>6</v>
      </c>
      <c r="AP78" s="69">
        <f>-RATE(AP73,AP74,-AP75)</f>
        <v>9.2367917101386629E-2</v>
      </c>
      <c r="AQ78" s="60" t="s">
        <v>156</v>
      </c>
      <c r="AR78" s="61"/>
    </row>
    <row r="79" spans="21:44">
      <c r="AO79" s="12"/>
      <c r="AP79" s="68">
        <f>AP78*AP78</f>
        <v>8.5318321096486318E-3</v>
      </c>
      <c r="AQ79" s="24" t="s">
        <v>157</v>
      </c>
      <c r="AR79" s="62"/>
    </row>
    <row r="86" spans="36:36">
      <c r="AJ86" t="s">
        <v>81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abSelected="1" topLeftCell="A16" zoomScaleNormal="100" workbookViewId="0">
      <selection activeCell="G53" sqref="G53"/>
    </sheetView>
  </sheetViews>
  <sheetFormatPr baseColWidth="10" defaultColWidth="9.140625" defaultRowHeight="15"/>
  <cols>
    <col min="1" max="1" width="23" customWidth="1"/>
    <col min="2" max="2" width="11" bestFit="1" customWidth="1"/>
    <col min="3" max="3" width="12" bestFit="1" customWidth="1"/>
    <col min="4" max="4" width="13.28515625" customWidth="1"/>
    <col min="5" max="5" width="16.140625" customWidth="1"/>
    <col min="6" max="6" width="14.5703125" bestFit="1" customWidth="1"/>
    <col min="7" max="7" width="8.5703125"/>
    <col min="8" max="8" width="25.85546875" customWidth="1"/>
    <col min="9" max="9" width="12.28515625" bestFit="1" customWidth="1"/>
    <col min="10" max="10" width="8.5703125"/>
    <col min="11" max="11" width="10.5703125" customWidth="1"/>
    <col min="12" max="1015" width="8.5703125"/>
  </cols>
  <sheetData>
    <row r="2" spans="1:10">
      <c r="A2" s="103">
        <v>1</v>
      </c>
      <c r="B2" s="104"/>
      <c r="C2" s="105"/>
      <c r="E2" s="103">
        <v>2</v>
      </c>
      <c r="F2" s="105"/>
      <c r="H2" s="103">
        <v>5</v>
      </c>
      <c r="I2" s="104"/>
      <c r="J2" s="105"/>
    </row>
    <row r="3" spans="1:10">
      <c r="A3" s="117" t="s">
        <v>158</v>
      </c>
      <c r="B3" s="51"/>
      <c r="C3" s="51"/>
      <c r="E3" s="117" t="s">
        <v>158</v>
      </c>
      <c r="F3" s="51"/>
      <c r="H3" s="117" t="s">
        <v>158</v>
      </c>
      <c r="I3" s="51"/>
      <c r="J3" s="51"/>
    </row>
    <row r="4" spans="1:10">
      <c r="A4" s="117" t="s">
        <v>159</v>
      </c>
      <c r="B4" s="73">
        <v>0.22</v>
      </c>
      <c r="C4" s="102">
        <f>B4/12</f>
        <v>1.8333333333333333E-2</v>
      </c>
      <c r="E4" s="117" t="s">
        <v>159</v>
      </c>
      <c r="F4" s="71">
        <v>0.02</v>
      </c>
      <c r="H4" s="117" t="s">
        <v>159</v>
      </c>
      <c r="I4" s="74">
        <f>0.3/12</f>
        <v>2.4999999999999998E-2</v>
      </c>
      <c r="J4" s="75"/>
    </row>
    <row r="5" spans="1:10">
      <c r="A5" s="117" t="s">
        <v>160</v>
      </c>
      <c r="B5" s="66">
        <v>1000</v>
      </c>
      <c r="C5" s="51"/>
      <c r="E5" s="117" t="s">
        <v>164</v>
      </c>
      <c r="F5" s="51">
        <v>100000</v>
      </c>
      <c r="H5" s="117" t="s">
        <v>165</v>
      </c>
      <c r="I5" s="66">
        <v>20000</v>
      </c>
      <c r="J5" s="51"/>
    </row>
    <row r="6" spans="1:10">
      <c r="A6" s="117" t="s">
        <v>161</v>
      </c>
      <c r="B6" s="66">
        <v>9</v>
      </c>
      <c r="C6" s="51"/>
      <c r="E6" s="117" t="s">
        <v>161</v>
      </c>
      <c r="F6" s="51">
        <v>6</v>
      </c>
      <c r="H6" s="117" t="s">
        <v>161</v>
      </c>
      <c r="I6" s="66">
        <v>5</v>
      </c>
      <c r="J6" s="51"/>
    </row>
    <row r="7" spans="1:10">
      <c r="A7" s="117" t="s">
        <v>4</v>
      </c>
      <c r="B7" s="99">
        <f>FV(C4,B6,-B5)</f>
        <v>9689.0241596536216</v>
      </c>
      <c r="C7" s="51"/>
      <c r="E7" s="117" t="s">
        <v>162</v>
      </c>
      <c r="F7" s="72">
        <v>0.06</v>
      </c>
      <c r="H7" s="117" t="s">
        <v>4</v>
      </c>
      <c r="I7" s="120">
        <f>FV(J4,I6,-I5)</f>
        <v>100000</v>
      </c>
      <c r="J7" s="51"/>
    </row>
    <row r="8" spans="1:10">
      <c r="A8" s="51"/>
      <c r="B8" s="51"/>
      <c r="C8" s="51"/>
      <c r="E8" s="117" t="s">
        <v>163</v>
      </c>
      <c r="F8" s="119">
        <f>PV(F7,F6,-F5)</f>
        <v>491732.43260053947</v>
      </c>
    </row>
    <row r="10" spans="1:10" ht="15.75">
      <c r="A10" s="106">
        <v>3</v>
      </c>
      <c r="B10" s="107"/>
      <c r="C10" s="108"/>
      <c r="E10" s="106">
        <v>4</v>
      </c>
      <c r="F10" s="108"/>
      <c r="H10" s="103">
        <v>6</v>
      </c>
      <c r="I10" s="104"/>
      <c r="J10" s="105"/>
    </row>
    <row r="11" spans="1:10">
      <c r="A11" s="117" t="s">
        <v>158</v>
      </c>
      <c r="B11" s="51"/>
      <c r="C11" s="51"/>
      <c r="E11" s="117" t="s">
        <v>158</v>
      </c>
      <c r="F11" s="51"/>
      <c r="H11" s="117" t="s">
        <v>166</v>
      </c>
      <c r="I11" s="51">
        <v>40000</v>
      </c>
      <c r="J11" s="51"/>
    </row>
    <row r="12" spans="1:10">
      <c r="A12" s="117" t="s">
        <v>159</v>
      </c>
      <c r="B12" s="66">
        <f>0.36/4</f>
        <v>0.09</v>
      </c>
      <c r="C12" s="67"/>
      <c r="E12" s="117" t="s">
        <v>159</v>
      </c>
      <c r="F12" s="66">
        <f>0.48/6</f>
        <v>0.08</v>
      </c>
      <c r="H12" s="117" t="s">
        <v>167</v>
      </c>
      <c r="I12" s="51">
        <v>10</v>
      </c>
      <c r="J12" s="51"/>
    </row>
    <row r="13" spans="1:10">
      <c r="A13" s="117" t="s">
        <v>160</v>
      </c>
      <c r="B13" s="66">
        <v>40000</v>
      </c>
      <c r="C13" s="51"/>
      <c r="E13" s="117" t="s">
        <v>160</v>
      </c>
      <c r="F13" s="66">
        <v>2000</v>
      </c>
      <c r="H13" s="117" t="s">
        <v>168</v>
      </c>
      <c r="I13" s="71">
        <v>0.24</v>
      </c>
      <c r="J13" s="51"/>
    </row>
    <row r="14" spans="1:10">
      <c r="A14" s="117" t="s">
        <v>161</v>
      </c>
      <c r="B14" s="66">
        <v>6</v>
      </c>
      <c r="C14" s="51"/>
      <c r="E14" s="117" t="s">
        <v>161</v>
      </c>
      <c r="F14" s="66">
        <v>6</v>
      </c>
      <c r="H14" s="117" t="s">
        <v>169</v>
      </c>
      <c r="I14" s="77">
        <f xml:space="preserve"> 0.24/12</f>
        <v>0.02</v>
      </c>
      <c r="J14" s="51"/>
    </row>
    <row r="15" spans="1:10">
      <c r="A15" s="117" t="s">
        <v>159</v>
      </c>
      <c r="B15" s="120">
        <f>ISPMT(B12,1,6,-B13)</f>
        <v>3000</v>
      </c>
      <c r="C15" s="51"/>
      <c r="E15" s="117" t="s">
        <v>159</v>
      </c>
      <c r="F15" s="120">
        <f>ISPMT(F12,2,60,-F13)</f>
        <v>154.66666666666666</v>
      </c>
      <c r="H15" s="117" t="s">
        <v>170</v>
      </c>
      <c r="I15" s="119">
        <f>FV(I14,I12,-I11)</f>
        <v>437988.83998951415</v>
      </c>
      <c r="J15" s="51"/>
    </row>
    <row r="16" spans="1:10">
      <c r="A16" s="51"/>
      <c r="B16" s="51"/>
      <c r="C16" s="51"/>
      <c r="E16" s="65"/>
      <c r="F16" s="65"/>
      <c r="H16" s="51"/>
      <c r="I16" s="51"/>
      <c r="J16" s="51"/>
    </row>
    <row r="17" spans="1:15">
      <c r="A17" s="109"/>
      <c r="B17" s="109"/>
    </row>
    <row r="18" spans="1:15" ht="15.75">
      <c r="A18" s="103">
        <v>7</v>
      </c>
      <c r="B18" s="105"/>
      <c r="E18" s="106">
        <v>9</v>
      </c>
      <c r="F18" s="108"/>
      <c r="H18" s="106">
        <v>10</v>
      </c>
      <c r="I18" s="108"/>
      <c r="K18" s="106">
        <v>11</v>
      </c>
      <c r="L18" s="107"/>
      <c r="M18" s="108"/>
    </row>
    <row r="19" spans="1:15">
      <c r="A19" s="117" t="s">
        <v>171</v>
      </c>
      <c r="B19" s="110"/>
      <c r="D19" s="58"/>
      <c r="E19" s="117" t="s">
        <v>178</v>
      </c>
      <c r="F19" s="51">
        <v>1600</v>
      </c>
      <c r="H19" s="117" t="s">
        <v>178</v>
      </c>
      <c r="I19" s="51">
        <v>2000</v>
      </c>
      <c r="K19" s="117" t="s">
        <v>182</v>
      </c>
      <c r="L19" s="51">
        <v>0.02</v>
      </c>
      <c r="M19" s="51"/>
    </row>
    <row r="20" spans="1:15">
      <c r="A20" s="117" t="s">
        <v>167</v>
      </c>
      <c r="B20" s="51">
        <v>8</v>
      </c>
      <c r="D20" s="58"/>
      <c r="E20" s="117" t="s">
        <v>175</v>
      </c>
      <c r="F20" s="51">
        <v>40</v>
      </c>
      <c r="H20" s="117" t="s">
        <v>175</v>
      </c>
      <c r="I20" s="51">
        <v>12</v>
      </c>
      <c r="K20" s="117" t="s">
        <v>183</v>
      </c>
      <c r="L20" s="51">
        <v>36</v>
      </c>
      <c r="M20" s="51"/>
    </row>
    <row r="21" spans="1:15">
      <c r="A21" s="117" t="s">
        <v>172</v>
      </c>
      <c r="B21" s="51">
        <v>80000</v>
      </c>
      <c r="D21" s="58"/>
      <c r="E21" s="117"/>
      <c r="F21" s="51"/>
      <c r="H21" s="117" t="s">
        <v>176</v>
      </c>
      <c r="I21" s="51">
        <v>0.3</v>
      </c>
      <c r="K21" s="117" t="s">
        <v>184</v>
      </c>
      <c r="L21" s="51">
        <f>NOMINAL(L19,L20)</f>
        <v>1.9808074740070403E-2</v>
      </c>
      <c r="M21" s="51"/>
    </row>
    <row r="22" spans="1:15">
      <c r="A22" s="117" t="s">
        <v>168</v>
      </c>
      <c r="B22" s="71">
        <v>0.3</v>
      </c>
      <c r="D22" s="58"/>
      <c r="E22" s="117" t="s">
        <v>176</v>
      </c>
      <c r="F22" s="51">
        <v>0.28000000000000003</v>
      </c>
      <c r="H22" s="117" t="s">
        <v>177</v>
      </c>
      <c r="I22" s="51">
        <f>I21/12</f>
        <v>2.4999999999999998E-2</v>
      </c>
      <c r="K22" s="117"/>
      <c r="L22" s="51"/>
      <c r="M22" s="51"/>
    </row>
    <row r="23" spans="1:15">
      <c r="A23" s="117" t="s">
        <v>169</v>
      </c>
      <c r="B23" s="76">
        <f>0.3/12</f>
        <v>2.4999999999999998E-2</v>
      </c>
      <c r="D23" s="58"/>
      <c r="E23" s="117" t="s">
        <v>177</v>
      </c>
      <c r="F23" s="51">
        <f>F22/12</f>
        <v>2.3333333333333334E-2</v>
      </c>
      <c r="H23" s="117" t="s">
        <v>174</v>
      </c>
      <c r="I23" s="51">
        <f>FV(I22,I20,-I19)</f>
        <v>27591.105939703804</v>
      </c>
      <c r="K23" s="117" t="s">
        <v>182</v>
      </c>
      <c r="L23" s="51">
        <v>2.5000000000000001E-2</v>
      </c>
      <c r="M23" s="51"/>
    </row>
    <row r="24" spans="1:15">
      <c r="A24" s="117"/>
      <c r="B24" s="51"/>
      <c r="D24" s="58"/>
      <c r="E24" s="117" t="s">
        <v>3</v>
      </c>
      <c r="F24" s="51">
        <f>PV(F23,F20,-F19)</f>
        <v>41315.664137256084</v>
      </c>
      <c r="H24" s="117" t="s">
        <v>180</v>
      </c>
      <c r="I24" s="51">
        <f>ISPMT(I22,1,I20,-I19)</f>
        <v>45.833333333333336</v>
      </c>
      <c r="K24" s="117" t="s">
        <v>183</v>
      </c>
      <c r="L24" s="51">
        <v>28</v>
      </c>
      <c r="M24" s="51"/>
    </row>
    <row r="25" spans="1:15">
      <c r="A25" s="117" t="s">
        <v>173</v>
      </c>
      <c r="B25" s="122">
        <f xml:space="preserve"> -PV(B23,B20,,B21)</f>
        <v>65659.725665047357</v>
      </c>
      <c r="D25" s="12"/>
      <c r="E25" s="117" t="s">
        <v>179</v>
      </c>
      <c r="F25" s="121">
        <f>ISPMT(F23,1,F20,-F24)</f>
        <v>939.93135912257605</v>
      </c>
      <c r="H25" s="117" t="s">
        <v>181</v>
      </c>
      <c r="I25" s="121">
        <f>EFFECT(I21,I20)</f>
        <v>0.34488882424629752</v>
      </c>
      <c r="K25" s="117" t="s">
        <v>184</v>
      </c>
      <c r="L25" s="121">
        <f>NOMINAL(L23,L24)</f>
        <v>2.4703503740206578E-2</v>
      </c>
      <c r="M25" s="51"/>
    </row>
    <row r="26" spans="1:15">
      <c r="A26" s="63"/>
    </row>
    <row r="28" spans="1:15">
      <c r="A28" s="111">
        <v>12</v>
      </c>
      <c r="B28" s="112"/>
      <c r="C28" s="112"/>
      <c r="D28" s="112"/>
      <c r="E28" s="112"/>
      <c r="F28" s="112"/>
      <c r="G28" s="113"/>
    </row>
    <row r="29" spans="1:15">
      <c r="A29" s="114"/>
      <c r="B29" s="115"/>
      <c r="C29" s="115"/>
      <c r="D29" s="115"/>
      <c r="E29" s="115"/>
      <c r="F29" s="115"/>
      <c r="G29" s="116"/>
    </row>
    <row r="30" spans="1:15">
      <c r="A30" s="117" t="s">
        <v>115</v>
      </c>
      <c r="B30" s="117">
        <v>20000</v>
      </c>
      <c r="C30" s="117"/>
      <c r="D30" s="117"/>
      <c r="E30" s="117" t="s">
        <v>116</v>
      </c>
      <c r="F30" s="117"/>
      <c r="G30" s="117"/>
    </row>
    <row r="31" spans="1:15">
      <c r="A31" s="117" t="s">
        <v>185</v>
      </c>
      <c r="B31" s="117">
        <v>0.08</v>
      </c>
      <c r="C31" s="117"/>
      <c r="D31" s="117"/>
      <c r="E31" s="117" t="s">
        <v>120</v>
      </c>
      <c r="F31" s="117"/>
      <c r="G31" s="117"/>
    </row>
    <row r="32" spans="1:15">
      <c r="A32" s="117" t="s">
        <v>124</v>
      </c>
      <c r="B32" s="117">
        <v>12</v>
      </c>
      <c r="C32" s="117"/>
      <c r="D32" s="117"/>
      <c r="E32" s="117"/>
      <c r="F32" s="117"/>
      <c r="G32" s="117"/>
      <c r="I32" s="100"/>
      <c r="J32" s="100"/>
      <c r="K32" s="100"/>
      <c r="L32" s="100"/>
      <c r="M32" s="100"/>
      <c r="N32" s="100"/>
      <c r="O32" s="100"/>
    </row>
    <row r="33" spans="1:15" ht="15.75" customHeight="1">
      <c r="A33" s="117"/>
      <c r="B33" s="117"/>
      <c r="C33" s="117"/>
      <c r="D33" s="117"/>
      <c r="E33" s="117"/>
      <c r="F33" s="117"/>
      <c r="G33" s="117"/>
      <c r="I33" s="100"/>
      <c r="J33" s="100"/>
      <c r="K33" s="100"/>
      <c r="L33" s="100"/>
      <c r="M33" s="100"/>
      <c r="N33" s="100"/>
      <c r="O33" s="100"/>
    </row>
    <row r="34" spans="1:15">
      <c r="A34" s="117"/>
      <c r="B34" s="117"/>
      <c r="C34" s="117" t="s">
        <v>130</v>
      </c>
      <c r="D34" s="117" t="s">
        <v>131</v>
      </c>
      <c r="E34" s="117"/>
      <c r="F34" s="117" t="s">
        <v>132</v>
      </c>
      <c r="G34" s="117"/>
      <c r="I34" s="101"/>
      <c r="J34" s="101"/>
      <c r="K34" s="101"/>
      <c r="L34" s="101"/>
      <c r="M34" s="101"/>
      <c r="N34" s="101"/>
      <c r="O34" s="101"/>
    </row>
    <row r="35" spans="1:15">
      <c r="A35" s="65"/>
      <c r="B35" s="65"/>
      <c r="C35" s="65"/>
      <c r="D35" s="65"/>
      <c r="E35" s="65"/>
      <c r="F35" s="65"/>
      <c r="G35" s="65"/>
      <c r="I35" s="101"/>
      <c r="J35" s="101"/>
      <c r="K35" s="101"/>
      <c r="L35" s="101"/>
      <c r="M35" s="101"/>
      <c r="N35" s="101"/>
      <c r="O35" s="101"/>
    </row>
    <row r="36" spans="1:15">
      <c r="A36" s="118" t="s">
        <v>135</v>
      </c>
      <c r="B36" s="118" t="s">
        <v>136</v>
      </c>
      <c r="C36" s="118" t="s">
        <v>137</v>
      </c>
      <c r="D36" s="118" t="s">
        <v>138</v>
      </c>
      <c r="E36" s="118" t="s">
        <v>139</v>
      </c>
      <c r="F36" s="118" t="s">
        <v>140</v>
      </c>
      <c r="G36" s="118"/>
      <c r="I36" s="101"/>
      <c r="J36" s="101"/>
      <c r="K36" s="101"/>
      <c r="L36" s="101"/>
      <c r="M36" s="101"/>
      <c r="N36" s="101"/>
      <c r="O36" s="101"/>
    </row>
    <row r="37" spans="1:15">
      <c r="A37" s="66">
        <v>0</v>
      </c>
      <c r="B37" s="66"/>
      <c r="C37" s="66"/>
      <c r="D37" s="66"/>
      <c r="E37" s="66"/>
      <c r="F37" s="66">
        <v>20000</v>
      </c>
      <c r="G37" s="51"/>
      <c r="I37" s="101"/>
      <c r="J37" s="101"/>
      <c r="K37" s="101"/>
      <c r="L37" s="101"/>
      <c r="M37" s="101"/>
      <c r="N37" s="101"/>
      <c r="O37" s="101"/>
    </row>
    <row r="38" spans="1:15">
      <c r="A38" s="66">
        <v>1</v>
      </c>
      <c r="B38" s="66">
        <v>20000</v>
      </c>
      <c r="C38" s="66">
        <v>1600.0000000000002</v>
      </c>
      <c r="D38" s="66">
        <v>1053.9003384893913</v>
      </c>
      <c r="E38" s="66">
        <v>2653.9003384893913</v>
      </c>
      <c r="F38" s="66">
        <v>18946.099661510609</v>
      </c>
      <c r="G38" s="51"/>
      <c r="I38" s="101"/>
      <c r="J38" s="101"/>
      <c r="K38" s="101"/>
      <c r="L38" s="101"/>
      <c r="M38" s="101"/>
      <c r="N38" s="101"/>
      <c r="O38" s="101"/>
    </row>
    <row r="39" spans="1:15">
      <c r="A39" s="66">
        <v>2</v>
      </c>
      <c r="B39" s="66">
        <v>18946.099661510609</v>
      </c>
      <c r="C39" s="66">
        <v>1515.6879729208488</v>
      </c>
      <c r="D39" s="66">
        <v>1138.2123655685425</v>
      </c>
      <c r="E39" s="66">
        <v>2653.9003384893913</v>
      </c>
      <c r="F39" s="66">
        <v>17807.887295942066</v>
      </c>
      <c r="G39" s="51"/>
      <c r="I39" s="101"/>
      <c r="J39" s="101"/>
      <c r="K39" s="101"/>
      <c r="L39" s="101"/>
      <c r="M39" s="101"/>
      <c r="N39" s="101"/>
      <c r="O39" s="101"/>
    </row>
    <row r="40" spans="1:15">
      <c r="A40" s="66">
        <v>3</v>
      </c>
      <c r="B40" s="66">
        <v>17807.887295942066</v>
      </c>
      <c r="C40" s="66">
        <v>1424.6309836753653</v>
      </c>
      <c r="D40" s="66">
        <v>1229.269354814026</v>
      </c>
      <c r="E40" s="66">
        <v>2653.9003384893913</v>
      </c>
      <c r="F40" s="66">
        <v>16578.617941128039</v>
      </c>
      <c r="G40" s="51"/>
      <c r="I40" s="101"/>
      <c r="J40" s="101"/>
      <c r="K40" s="101"/>
      <c r="L40" s="101"/>
      <c r="M40" s="101"/>
      <c r="N40" s="101"/>
      <c r="O40" s="101"/>
    </row>
    <row r="41" spans="1:15">
      <c r="A41" s="66">
        <v>4</v>
      </c>
      <c r="B41" s="66">
        <v>16578.617941128039</v>
      </c>
      <c r="C41" s="66">
        <v>1326.2894352902435</v>
      </c>
      <c r="D41" s="66">
        <v>1327.610903199148</v>
      </c>
      <c r="E41" s="66">
        <v>2653.9003384893913</v>
      </c>
      <c r="F41" s="66">
        <v>15251.007037928892</v>
      </c>
      <c r="G41" s="51"/>
      <c r="I41" s="2"/>
      <c r="J41" s="2"/>
      <c r="K41" s="2"/>
      <c r="L41" s="2"/>
      <c r="M41" s="2"/>
      <c r="N41" s="2"/>
      <c r="O41" s="2"/>
    </row>
    <row r="42" spans="1:15">
      <c r="A42" s="66">
        <v>5</v>
      </c>
      <c r="B42" s="66">
        <v>15251.007037928892</v>
      </c>
      <c r="C42" s="66">
        <v>1220.0805630343114</v>
      </c>
      <c r="D42" s="66">
        <v>1433.8197754550799</v>
      </c>
      <c r="E42" s="66">
        <v>2653.9003384893913</v>
      </c>
      <c r="F42" s="66">
        <v>13817.187262473812</v>
      </c>
      <c r="G42" s="51"/>
      <c r="I42" s="2"/>
      <c r="J42" s="2"/>
      <c r="K42" s="2"/>
      <c r="L42" s="2"/>
      <c r="M42" s="2"/>
      <c r="N42" s="2"/>
      <c r="O42" s="2"/>
    </row>
    <row r="43" spans="1:15">
      <c r="A43" s="66">
        <v>6</v>
      </c>
      <c r="B43" s="66">
        <v>13817.187262473812</v>
      </c>
      <c r="C43" s="66">
        <v>1105.3749809979049</v>
      </c>
      <c r="D43" s="66">
        <v>1548.5253574914864</v>
      </c>
      <c r="E43" s="66">
        <v>2653.9003384893913</v>
      </c>
      <c r="F43" s="66">
        <v>12268.661904982326</v>
      </c>
      <c r="G43" s="51"/>
      <c r="I43" s="2"/>
      <c r="J43" s="2"/>
      <c r="K43" s="2"/>
      <c r="L43" s="2"/>
      <c r="M43" s="2"/>
      <c r="N43" s="2"/>
      <c r="O43" s="2"/>
    </row>
    <row r="44" spans="1:15">
      <c r="A44" s="66">
        <v>7</v>
      </c>
      <c r="B44" s="66">
        <v>12268.661904982326</v>
      </c>
      <c r="C44" s="66">
        <v>981.49295239858611</v>
      </c>
      <c r="D44" s="66">
        <v>1672.4073860908052</v>
      </c>
      <c r="E44" s="66">
        <v>2653.9003384893913</v>
      </c>
      <c r="F44" s="66">
        <v>10596.254518891521</v>
      </c>
      <c r="G44" s="51"/>
      <c r="I44" s="2"/>
      <c r="J44" s="2"/>
      <c r="K44" s="2"/>
      <c r="L44" s="2"/>
      <c r="M44" s="2"/>
      <c r="N44" s="2"/>
      <c r="O44" s="2"/>
    </row>
    <row r="45" spans="1:15">
      <c r="A45" s="66">
        <v>8</v>
      </c>
      <c r="B45" s="66">
        <v>10596.254518891521</v>
      </c>
      <c r="C45" s="66">
        <v>847.70036151132172</v>
      </c>
      <c r="D45" s="66">
        <v>1806.1999769780696</v>
      </c>
      <c r="E45" s="66">
        <v>2653.9003384893913</v>
      </c>
      <c r="F45" s="66">
        <v>8790.0545419134505</v>
      </c>
      <c r="G45" s="51"/>
      <c r="I45" s="2"/>
      <c r="J45" s="2"/>
      <c r="K45" s="2"/>
      <c r="L45" s="2"/>
      <c r="M45" s="2"/>
      <c r="N45" s="2"/>
      <c r="O45" s="2"/>
    </row>
    <row r="46" spans="1:15">
      <c r="A46" s="66">
        <v>9</v>
      </c>
      <c r="B46" s="66">
        <v>8790.0545419134505</v>
      </c>
      <c r="C46" s="66">
        <v>703.20436335307602</v>
      </c>
      <c r="D46" s="66">
        <v>1950.6959751363152</v>
      </c>
      <c r="E46" s="66">
        <v>2653.9003384893913</v>
      </c>
      <c r="F46" s="66">
        <v>6839.3585667771349</v>
      </c>
      <c r="G46" s="51"/>
      <c r="I46" s="2"/>
      <c r="J46" s="2"/>
      <c r="K46" s="2"/>
      <c r="L46" s="2"/>
      <c r="M46" s="2"/>
      <c r="N46" s="2"/>
      <c r="O46" s="2"/>
    </row>
    <row r="47" spans="1:15">
      <c r="A47" s="66">
        <v>10</v>
      </c>
      <c r="B47" s="66">
        <v>6839.3585667771349</v>
      </c>
      <c r="C47" s="66">
        <v>547.14868534217089</v>
      </c>
      <c r="D47" s="66">
        <v>2106.7516531472202</v>
      </c>
      <c r="E47" s="66">
        <v>2653.9003384893913</v>
      </c>
      <c r="F47" s="66">
        <v>4732.6069136299147</v>
      </c>
      <c r="G47" s="51"/>
      <c r="I47" s="2"/>
      <c r="J47" s="2"/>
      <c r="K47" s="2"/>
      <c r="L47" s="2"/>
      <c r="M47" s="2"/>
      <c r="N47" s="2"/>
      <c r="O47" s="2"/>
    </row>
    <row r="48" spans="1:15">
      <c r="A48" s="66">
        <v>11</v>
      </c>
      <c r="B48" s="66">
        <v>4732.6069136299147</v>
      </c>
      <c r="C48" s="66">
        <v>378.60855309039329</v>
      </c>
      <c r="D48" s="66">
        <v>2275.2917853989979</v>
      </c>
      <c r="E48" s="66">
        <v>2653.9003384893913</v>
      </c>
      <c r="F48" s="66">
        <v>2457.3151282309168</v>
      </c>
      <c r="G48" s="51"/>
      <c r="I48" s="2"/>
      <c r="J48" s="2"/>
      <c r="K48" s="2"/>
      <c r="L48" s="2"/>
      <c r="M48" s="2"/>
      <c r="N48" s="2"/>
      <c r="O48" s="2"/>
    </row>
    <row r="49" spans="1:15">
      <c r="A49" s="66">
        <v>12</v>
      </c>
      <c r="B49" s="66">
        <v>2457.3151282309168</v>
      </c>
      <c r="C49" s="66">
        <v>196.58521025847341</v>
      </c>
      <c r="D49" s="66">
        <v>2457.3151282309177</v>
      </c>
      <c r="E49" s="66">
        <v>2653.9003384893913</v>
      </c>
      <c r="F49" s="123">
        <v>0</v>
      </c>
      <c r="G49" s="51"/>
      <c r="I49" s="2"/>
      <c r="J49" s="2"/>
      <c r="K49" s="2"/>
      <c r="L49" s="2"/>
      <c r="M49" s="2"/>
      <c r="N49" s="2"/>
      <c r="O49" s="2"/>
    </row>
    <row r="50" spans="1:15">
      <c r="I50" s="2"/>
      <c r="J50" s="2"/>
      <c r="K50" s="2"/>
      <c r="L50" s="2"/>
      <c r="M50" s="2"/>
      <c r="N50" s="2"/>
      <c r="O50" s="2"/>
    </row>
    <row r="51" spans="1:15">
      <c r="A51" s="2"/>
      <c r="B51" s="2"/>
      <c r="C51" s="2"/>
      <c r="D51" s="2"/>
      <c r="E51" s="2"/>
      <c r="I51" s="2"/>
      <c r="J51" s="2"/>
      <c r="K51" s="2"/>
      <c r="L51" s="2"/>
      <c r="M51" s="2"/>
      <c r="N51" s="2"/>
      <c r="O51" s="2"/>
    </row>
    <row r="52" spans="1:15">
      <c r="I52" s="2"/>
      <c r="J52" s="2"/>
      <c r="K52" s="2"/>
      <c r="L52" s="2"/>
      <c r="M52" s="2"/>
      <c r="N52" s="2"/>
      <c r="O52" s="2"/>
    </row>
    <row r="53" spans="1:15">
      <c r="I53" s="2"/>
      <c r="J53" s="2"/>
      <c r="K53" s="2"/>
      <c r="L53" s="2"/>
      <c r="M53" s="2"/>
      <c r="N53" s="124"/>
      <c r="O53" s="2"/>
    </row>
    <row r="54" spans="1:15">
      <c r="I54" s="2"/>
      <c r="J54" s="2"/>
      <c r="K54" s="2"/>
      <c r="L54" s="2"/>
      <c r="M54" s="2"/>
      <c r="N54" s="2"/>
      <c r="O54" s="2"/>
    </row>
    <row r="55" spans="1:15">
      <c r="I55" s="2"/>
      <c r="J55" s="2"/>
      <c r="K55" s="2"/>
      <c r="L55" s="2"/>
      <c r="M55" s="2"/>
      <c r="N55" s="2"/>
      <c r="O55" s="2"/>
    </row>
  </sheetData>
  <mergeCells count="12">
    <mergeCell ref="K18:M18"/>
    <mergeCell ref="I32:O33"/>
    <mergeCell ref="A10:C10"/>
    <mergeCell ref="A28:G29"/>
    <mergeCell ref="A18:B18"/>
    <mergeCell ref="E10:F10"/>
    <mergeCell ref="H10:J10"/>
    <mergeCell ref="H18:I18"/>
    <mergeCell ref="E18:F18"/>
    <mergeCell ref="A2:C2"/>
    <mergeCell ref="E2:F2"/>
    <mergeCell ref="H2:J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>
    <row r="1" spans="1:1">
      <c r="A1" s="5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2015-07-08T13:01:58Z</dcterms:modified>
  <dc:language>es-EC</dc:language>
</cp:coreProperties>
</file>