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drawings/drawing3.xml" ContentType="application/vnd.openxmlformats-officedocument.drawing+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IGFU\Tesis\"/>
    </mc:Choice>
  </mc:AlternateContent>
  <bookViews>
    <workbookView xWindow="480" yWindow="150" windowWidth="10395" windowHeight="4785"/>
  </bookViews>
  <sheets>
    <sheet name="Cálculos de Sueldos" sheetId="1" r:id="rId1"/>
    <sheet name="Costo Producción(2)" sheetId="3" r:id="rId2"/>
    <sheet name="Costo Fijos" sheetId="2" r:id="rId3"/>
    <sheet name="Costo Producción" sheetId="4" r:id="rId4"/>
    <sheet name="Costo Ind. Fabr" sheetId="5" r:id="rId5"/>
    <sheet name="Otros Gastos" sheetId="6" r:id="rId6"/>
    <sheet name="Utilidad" sheetId="9" r:id="rId7"/>
    <sheet name="P. Equilib" sheetId="10" r:id="rId8"/>
    <sheet name="Definiciones" sheetId="7" r:id="rId9"/>
    <sheet name="K de Trabajo" sheetId="19" r:id="rId10"/>
    <sheet name="Inversión" sheetId="8" r:id="rId11"/>
    <sheet name="Depreciación" sheetId="11" r:id="rId12"/>
    <sheet name="Préstamo" sheetId="12" r:id="rId13"/>
    <sheet name="Proyecciones" sheetId="14" r:id="rId14"/>
    <sheet name="F.E.Banco" sheetId="13" r:id="rId15"/>
    <sheet name="F.E.Cap. Propio" sheetId="16" r:id="rId16"/>
    <sheet name="Tasa de descuento" sheetId="18" r:id="rId17"/>
    <sheet name="Periodo de Recuperación" sheetId="20" r:id="rId18"/>
  </sheets>
  <calcPr calcId="152511"/>
</workbook>
</file>

<file path=xl/calcChain.xml><?xml version="1.0" encoding="utf-8"?>
<calcChain xmlns="http://schemas.openxmlformats.org/spreadsheetml/2006/main">
  <c r="D17" i="13" l="1"/>
  <c r="C17" i="13"/>
  <c r="G2" i="11"/>
  <c r="G3" i="11"/>
  <c r="G4" i="11"/>
  <c r="G5" i="11"/>
  <c r="E5" i="18" l="1"/>
  <c r="E4" i="18"/>
  <c r="B1" i="19" l="1"/>
  <c r="B23" i="1" l="1"/>
  <c r="F20" i="8" l="1"/>
  <c r="C8" i="9"/>
  <c r="D3" i="3" l="1"/>
  <c r="H20" i="1"/>
  <c r="H19" i="1"/>
  <c r="H11" i="1"/>
  <c r="H12" i="1"/>
  <c r="H13" i="1"/>
  <c r="H10" i="1"/>
  <c r="H4" i="1"/>
  <c r="M20" i="1"/>
  <c r="M19" i="1"/>
  <c r="M11" i="1"/>
  <c r="M12" i="1"/>
  <c r="M13" i="1"/>
  <c r="M10" i="1"/>
  <c r="M4" i="1"/>
  <c r="F27" i="8" l="1"/>
  <c r="D3" i="11" s="1"/>
  <c r="E3" i="11" l="1"/>
  <c r="H3" i="11"/>
  <c r="I3" i="11" s="1"/>
  <c r="J3" i="11" s="1"/>
  <c r="F28" i="8"/>
  <c r="C8" i="14"/>
  <c r="C3" i="14"/>
  <c r="D3" i="14" s="1"/>
  <c r="E3" i="14" s="1"/>
  <c r="F3" i="14" s="1"/>
  <c r="G3" i="14" s="1"/>
  <c r="C9" i="14" l="1"/>
  <c r="C10" i="14" s="1"/>
  <c r="C3" i="13" s="1"/>
  <c r="D8" i="14"/>
  <c r="E8" i="14" s="1"/>
  <c r="F8" i="14" s="1"/>
  <c r="G8" i="14" s="1"/>
  <c r="D9" i="14"/>
  <c r="G9" i="14"/>
  <c r="E9" i="14"/>
  <c r="F34" i="8"/>
  <c r="F35" i="8"/>
  <c r="F36" i="8"/>
  <c r="F37" i="8"/>
  <c r="D5" i="11" s="1"/>
  <c r="F38" i="8"/>
  <c r="F33" i="8"/>
  <c r="D4" i="11" s="1"/>
  <c r="F4" i="8"/>
  <c r="F5" i="8"/>
  <c r="F6" i="8"/>
  <c r="F7" i="8"/>
  <c r="F8" i="8"/>
  <c r="F9" i="8"/>
  <c r="F10" i="8"/>
  <c r="F11" i="8"/>
  <c r="F12" i="8"/>
  <c r="F13" i="8"/>
  <c r="F14" i="8"/>
  <c r="F15" i="8"/>
  <c r="F16" i="8"/>
  <c r="F17" i="8"/>
  <c r="F18" i="8"/>
  <c r="F19" i="8"/>
  <c r="F21" i="8"/>
  <c r="F3" i="8"/>
  <c r="E4" i="11" l="1"/>
  <c r="H4" i="11"/>
  <c r="I4" i="11" s="1"/>
  <c r="J4" i="11" s="1"/>
  <c r="E5" i="11"/>
  <c r="H5" i="11"/>
  <c r="I5" i="11" s="1"/>
  <c r="J5" i="11" s="1"/>
  <c r="F22" i="8"/>
  <c r="C3" i="16"/>
  <c r="G10" i="14"/>
  <c r="G3" i="13" s="1"/>
  <c r="E10" i="14"/>
  <c r="E3" i="16" s="1"/>
  <c r="D10" i="14"/>
  <c r="D3" i="13" s="1"/>
  <c r="G3" i="16"/>
  <c r="F39" i="8"/>
  <c r="F9" i="14"/>
  <c r="F10" i="14" s="1"/>
  <c r="I6" i="3"/>
  <c r="I15" i="3" s="1"/>
  <c r="B3" i="4"/>
  <c r="B8" i="2"/>
  <c r="B7" i="2"/>
  <c r="B6" i="2"/>
  <c r="B5" i="2"/>
  <c r="B4" i="2"/>
  <c r="B3" i="2"/>
  <c r="E19" i="1"/>
  <c r="E20" i="1"/>
  <c r="E11" i="1"/>
  <c r="E12" i="1"/>
  <c r="E13" i="1"/>
  <c r="E10" i="1"/>
  <c r="E4" i="1"/>
  <c r="I3" i="6"/>
  <c r="K13" i="3"/>
  <c r="K14" i="3"/>
  <c r="K12" i="3"/>
  <c r="K17" i="8" l="1"/>
  <c r="I21" i="8" s="1"/>
  <c r="D3" i="16"/>
  <c r="I16" i="3"/>
  <c r="K15" i="3"/>
  <c r="E3" i="13"/>
  <c r="F3" i="16"/>
  <c r="F3" i="13"/>
  <c r="F15" i="5"/>
  <c r="G15" i="5" s="1"/>
  <c r="H15" i="5" s="1"/>
  <c r="F14" i="5"/>
  <c r="G14" i="5" s="1"/>
  <c r="H14" i="5" s="1"/>
  <c r="F13" i="5"/>
  <c r="G13" i="5" s="1"/>
  <c r="H13" i="5" s="1"/>
  <c r="F12" i="5"/>
  <c r="G12" i="5" s="1"/>
  <c r="H12" i="5" s="1"/>
  <c r="F11" i="5"/>
  <c r="G11" i="5" s="1"/>
  <c r="H11" i="5" s="1"/>
  <c r="F10" i="5"/>
  <c r="G10" i="5" s="1"/>
  <c r="H10" i="5" s="1"/>
  <c r="F9" i="5"/>
  <c r="G9" i="5" s="1"/>
  <c r="H9" i="5" s="1"/>
  <c r="F8" i="5"/>
  <c r="G8" i="5" s="1"/>
  <c r="H8" i="5" s="1"/>
  <c r="F4" i="5"/>
  <c r="G4" i="5" s="1"/>
  <c r="H4" i="5" s="1"/>
  <c r="F5" i="5"/>
  <c r="G5" i="5" s="1"/>
  <c r="H5" i="5" s="1"/>
  <c r="F6" i="5"/>
  <c r="G6" i="5" s="1"/>
  <c r="H6" i="5" s="1"/>
  <c r="F7" i="5"/>
  <c r="G7" i="5" s="1"/>
  <c r="H7" i="5" s="1"/>
  <c r="F3" i="5"/>
  <c r="G3" i="5" s="1"/>
  <c r="H3" i="5" s="1"/>
  <c r="D7" i="5"/>
  <c r="D6" i="5"/>
  <c r="D5" i="5"/>
  <c r="D4" i="5"/>
  <c r="E4" i="3"/>
  <c r="E5" i="3"/>
  <c r="E7" i="3"/>
  <c r="E8" i="3"/>
  <c r="E9" i="3"/>
  <c r="E3" i="3"/>
  <c r="K17" i="3" l="1"/>
  <c r="K20" i="3" s="1"/>
  <c r="I2" i="6" s="1"/>
  <c r="I4" i="6" s="1"/>
  <c r="K16" i="3"/>
  <c r="H16" i="5"/>
  <c r="J6" i="3"/>
  <c r="D6" i="3" s="1"/>
  <c r="E6" i="3" s="1"/>
  <c r="E10" i="3" s="1"/>
  <c r="C17" i="2"/>
  <c r="T20" i="1"/>
  <c r="O20" i="1"/>
  <c r="N20" i="1"/>
  <c r="L20" i="1"/>
  <c r="I20" i="1"/>
  <c r="P20" i="1"/>
  <c r="T19" i="1"/>
  <c r="O19" i="1"/>
  <c r="N19" i="1"/>
  <c r="L19" i="1"/>
  <c r="I19" i="1"/>
  <c r="P19" i="1"/>
  <c r="T12" i="1"/>
  <c r="T13" i="1"/>
  <c r="O12" i="1"/>
  <c r="O13" i="1"/>
  <c r="N12" i="1"/>
  <c r="N13" i="1"/>
  <c r="L12" i="1"/>
  <c r="L13" i="1"/>
  <c r="I12" i="1"/>
  <c r="I13" i="1"/>
  <c r="P12" i="1"/>
  <c r="P13" i="1"/>
  <c r="T11" i="1"/>
  <c r="O11" i="1"/>
  <c r="N11" i="1"/>
  <c r="L11" i="1"/>
  <c r="I11" i="1"/>
  <c r="P11" i="1"/>
  <c r="T10" i="1"/>
  <c r="O10" i="1"/>
  <c r="N10" i="1"/>
  <c r="L10" i="1"/>
  <c r="I10" i="1"/>
  <c r="P10" i="1"/>
  <c r="I4" i="1"/>
  <c r="T4" i="1"/>
  <c r="O4" i="1"/>
  <c r="N4" i="1"/>
  <c r="L4" i="1"/>
  <c r="P4" i="1"/>
  <c r="E11" i="3" l="1"/>
  <c r="E12" i="3" s="1"/>
  <c r="C1" i="9" s="1"/>
  <c r="B8" i="19"/>
  <c r="C22" i="9"/>
  <c r="B5" i="19"/>
  <c r="D3" i="6"/>
  <c r="K6" i="3"/>
  <c r="R19" i="1"/>
  <c r="S19" i="1" s="1"/>
  <c r="U19" i="1" s="1"/>
  <c r="C7" i="2" s="1"/>
  <c r="R20" i="1"/>
  <c r="S20" i="1" s="1"/>
  <c r="U20" i="1" s="1"/>
  <c r="C8" i="2" s="1"/>
  <c r="Q19" i="1"/>
  <c r="Q20" i="1"/>
  <c r="K19" i="1"/>
  <c r="K20" i="1"/>
  <c r="R13" i="1"/>
  <c r="S13" i="1" s="1"/>
  <c r="U13" i="1" s="1"/>
  <c r="C6" i="2" s="1"/>
  <c r="R12" i="1"/>
  <c r="S12" i="1" s="1"/>
  <c r="U12" i="1" s="1"/>
  <c r="C5" i="2" s="1"/>
  <c r="Q13" i="1"/>
  <c r="Q12" i="1"/>
  <c r="K13" i="1"/>
  <c r="K12" i="1"/>
  <c r="R10" i="1"/>
  <c r="S10" i="1" s="1"/>
  <c r="U10" i="1" s="1"/>
  <c r="R11" i="1"/>
  <c r="S11" i="1" s="1"/>
  <c r="U11" i="1" s="1"/>
  <c r="C4" i="2" s="1"/>
  <c r="Q10" i="1"/>
  <c r="Q11" i="1"/>
  <c r="K10" i="1"/>
  <c r="K11" i="1"/>
  <c r="R4" i="1"/>
  <c r="S4" i="1" s="1"/>
  <c r="U4" i="1" s="1"/>
  <c r="Q4" i="1"/>
  <c r="K4" i="1"/>
  <c r="C3" i="2" l="1"/>
  <c r="D3" i="2" s="1"/>
  <c r="V20" i="1"/>
  <c r="D8" i="2"/>
  <c r="V19" i="1"/>
  <c r="V21" i="1" s="1"/>
  <c r="D7" i="2"/>
  <c r="V11" i="1"/>
  <c r="D4" i="2"/>
  <c r="V12" i="1"/>
  <c r="D5" i="2"/>
  <c r="V13" i="1"/>
  <c r="D6" i="2"/>
  <c r="D3" i="4"/>
  <c r="U5" i="1"/>
  <c r="U14" i="1"/>
  <c r="B14" i="19" s="1"/>
  <c r="B16" i="19" s="1"/>
  <c r="U21" i="1"/>
  <c r="B7" i="19" s="1"/>
  <c r="V10" i="1"/>
  <c r="V4" i="1"/>
  <c r="V5" i="1" s="1"/>
  <c r="V14" i="1" l="1"/>
  <c r="V24" i="1"/>
  <c r="D9" i="2"/>
  <c r="C3" i="4"/>
  <c r="D4" i="4"/>
  <c r="B6" i="19" s="1"/>
  <c r="C2" i="9" l="1"/>
  <c r="C15" i="14"/>
  <c r="C7" i="9"/>
  <c r="C3" i="9" l="1"/>
  <c r="C16" i="9" s="1"/>
  <c r="C9" i="9"/>
  <c r="C1" i="10"/>
  <c r="C5" i="16"/>
  <c r="C5" i="13"/>
  <c r="D15" i="14"/>
  <c r="C12" i="9" l="1"/>
  <c r="D5" i="13"/>
  <c r="D5" i="16"/>
  <c r="E15" i="14"/>
  <c r="K16" i="10"/>
  <c r="C19" i="9"/>
  <c r="C20" i="9" s="1"/>
  <c r="C2" i="10"/>
  <c r="C3" i="10" s="1"/>
  <c r="C4" i="10" l="1"/>
  <c r="C8" i="10"/>
  <c r="C9" i="10" s="1"/>
  <c r="F15" i="14"/>
  <c r="E5" i="16"/>
  <c r="E5" i="13"/>
  <c r="G15" i="14" l="1"/>
  <c r="F5" i="13"/>
  <c r="F5" i="16"/>
  <c r="G5" i="16" l="1"/>
  <c r="G5" i="13"/>
  <c r="K18" i="8" l="1"/>
  <c r="B16" i="13"/>
  <c r="D2" i="11"/>
  <c r="D6" i="11" l="1"/>
  <c r="H2" i="11"/>
  <c r="I2" i="11" s="1"/>
  <c r="J2" i="11" s="1"/>
  <c r="J6" i="11" s="1"/>
  <c r="G4" i="18"/>
  <c r="D8" i="6"/>
  <c r="D11" i="6" s="1"/>
  <c r="B9" i="19" s="1"/>
  <c r="E2" i="11"/>
  <c r="E6" i="11" s="1"/>
  <c r="B15" i="16"/>
  <c r="F6" i="16" l="1"/>
  <c r="F11" i="16" s="1"/>
  <c r="F7" i="13"/>
  <c r="F12" i="13" s="1"/>
  <c r="G6" i="16"/>
  <c r="G11" i="16" s="1"/>
  <c r="G7" i="13"/>
  <c r="G12" i="13" s="1"/>
  <c r="G17" i="16"/>
  <c r="G19" i="13"/>
  <c r="B10" i="19"/>
  <c r="B18" i="19" s="1"/>
  <c r="G5" i="18"/>
  <c r="G8" i="18" s="1"/>
  <c r="C20" i="14"/>
  <c r="D20" i="14" s="1"/>
  <c r="C23" i="9"/>
  <c r="C24" i="9" s="1"/>
  <c r="C4" i="13"/>
  <c r="E7" i="13"/>
  <c r="E12" i="13" s="1"/>
  <c r="D6" i="16"/>
  <c r="D11" i="16" s="1"/>
  <c r="C7" i="13"/>
  <c r="C12" i="13" s="1"/>
  <c r="E6" i="16"/>
  <c r="E11" i="16" s="1"/>
  <c r="D7" i="13"/>
  <c r="D12" i="13" s="1"/>
  <c r="C6" i="16"/>
  <c r="C11" i="16" s="1"/>
  <c r="B16" i="16" l="1"/>
  <c r="B18" i="16" s="1"/>
  <c r="G18" i="13"/>
  <c r="G16" i="16"/>
  <c r="B18" i="13"/>
  <c r="I22" i="8"/>
  <c r="I23" i="8" s="1"/>
  <c r="C4" i="16"/>
  <c r="D4" i="13"/>
  <c r="D4" i="16"/>
  <c r="D7" i="16" s="1"/>
  <c r="D8" i="16" s="1"/>
  <c r="E20" i="14"/>
  <c r="C7" i="16"/>
  <c r="C8" i="16" s="1"/>
  <c r="K25" i="8" l="1"/>
  <c r="K24" i="8"/>
  <c r="F20" i="14"/>
  <c r="E4" i="13"/>
  <c r="E4" i="16"/>
  <c r="E7" i="16" s="1"/>
  <c r="D9" i="16"/>
  <c r="D12" i="16" s="1"/>
  <c r="D18" i="16" s="1"/>
  <c r="C9" i="16"/>
  <c r="C12" i="16" s="1"/>
  <c r="C18" i="16" s="1"/>
  <c r="D4" i="18" l="1"/>
  <c r="D6" i="18" s="1"/>
  <c r="B3" i="12"/>
  <c r="D5" i="18"/>
  <c r="K26" i="8"/>
  <c r="E8" i="16"/>
  <c r="E9" i="16" s="1"/>
  <c r="E12" i="16" s="1"/>
  <c r="E18" i="16" s="1"/>
  <c r="G20" i="14"/>
  <c r="F4" i="16"/>
  <c r="F7" i="16" s="1"/>
  <c r="F4" i="13"/>
  <c r="F12" i="12" l="1"/>
  <c r="F17" i="13" s="1"/>
  <c r="F11" i="12"/>
  <c r="E17" i="13" s="1"/>
  <c r="D9" i="12"/>
  <c r="F13" i="12"/>
  <c r="G17" i="13" s="1"/>
  <c r="B17" i="13"/>
  <c r="B20" i="13" s="1"/>
  <c r="B1" i="20" s="1"/>
  <c r="F8" i="16"/>
  <c r="F9" i="16" s="1"/>
  <c r="F12" i="16" s="1"/>
  <c r="F18" i="16" s="1"/>
  <c r="G4" i="13"/>
  <c r="G4" i="16"/>
  <c r="G7" i="16" s="1"/>
  <c r="D10" i="12" l="1"/>
  <c r="E9" i="12"/>
  <c r="G8" i="16"/>
  <c r="G9" i="16" s="1"/>
  <c r="G12" i="16" s="1"/>
  <c r="G18" i="16" s="1"/>
  <c r="G9" i="12" l="1"/>
  <c r="C6" i="13"/>
  <c r="C8" i="13" s="1"/>
  <c r="D11" i="12"/>
  <c r="E10" i="12"/>
  <c r="B22" i="16"/>
  <c r="B23" i="16"/>
  <c r="D6" i="13" l="1"/>
  <c r="D8" i="13" s="1"/>
  <c r="G10" i="12"/>
  <c r="C9" i="13"/>
  <c r="C10" i="13" s="1"/>
  <c r="C13" i="13" s="1"/>
  <c r="C20" i="13" s="1"/>
  <c r="D12" i="12"/>
  <c r="E11" i="12"/>
  <c r="B2" i="20" l="1"/>
  <c r="C2" i="20" s="1"/>
  <c r="E6" i="13"/>
  <c r="E8" i="13" s="1"/>
  <c r="E9" i="13" s="1"/>
  <c r="E10" i="13" s="1"/>
  <c r="E13" i="13" s="1"/>
  <c r="E20" i="13" s="1"/>
  <c r="B4" i="20" s="1"/>
  <c r="G11" i="12"/>
  <c r="D13" i="12"/>
  <c r="E13" i="12" s="1"/>
  <c r="E12" i="12"/>
  <c r="D9" i="13"/>
  <c r="D10" i="13" s="1"/>
  <c r="D13" i="13" s="1"/>
  <c r="D20" i="13" s="1"/>
  <c r="B3" i="20" l="1"/>
  <c r="G6" i="13"/>
  <c r="G8" i="13" s="1"/>
  <c r="G9" i="13" s="1"/>
  <c r="G10" i="13" s="1"/>
  <c r="G13" i="13" s="1"/>
  <c r="G20" i="13" s="1"/>
  <c r="B6" i="20" s="1"/>
  <c r="G13" i="12"/>
  <c r="G12" i="12"/>
  <c r="F6" i="13"/>
  <c r="F8" i="13" s="1"/>
  <c r="F9" i="13" s="1"/>
  <c r="F10" i="13" s="1"/>
  <c r="F13" i="13" s="1"/>
  <c r="F20" i="13" s="1"/>
  <c r="B5" i="20" s="1"/>
  <c r="C3" i="20"/>
  <c r="C4" i="20" s="1"/>
  <c r="C5" i="20" s="1"/>
  <c r="C6" i="20" s="1"/>
  <c r="B24" i="13" l="1"/>
  <c r="B25" i="13"/>
</calcChain>
</file>

<file path=xl/comments1.xml><?xml version="1.0" encoding="utf-8"?>
<comments xmlns="http://schemas.openxmlformats.org/spreadsheetml/2006/main">
  <authors>
    <author>DICK</author>
  </authors>
  <commentList>
    <comment ref="J2" authorId="0" shapeId="0">
      <text>
        <r>
          <rPr>
            <b/>
            <sz val="8"/>
            <color indexed="81"/>
            <rFont val="Tahoma"/>
            <family val="2"/>
          </rPr>
          <t>DICK:</t>
        </r>
        <r>
          <rPr>
            <sz val="8"/>
            <color indexed="81"/>
            <rFont val="Tahoma"/>
            <family val="2"/>
          </rPr>
          <t xml:space="preserve">
Comisión ganada por los vendedores, según política de cada empresa</t>
        </r>
      </text>
    </comment>
    <comment ref="L2" authorId="0" shapeId="0">
      <text>
        <r>
          <rPr>
            <b/>
            <sz val="8"/>
            <color indexed="81"/>
            <rFont val="Tahoma"/>
            <family val="2"/>
          </rPr>
          <t>DICK:</t>
        </r>
        <r>
          <rPr>
            <sz val="8"/>
            <color indexed="81"/>
            <rFont val="Tahoma"/>
            <family val="2"/>
          </rPr>
          <t xml:space="preserve">
Bono Navideño
es igual al sueldo que percibe mensualmente el empleado o operario
se paga maximo el 24 de diciembre</t>
        </r>
      </text>
    </comment>
    <comment ref="M2" authorId="0" shapeId="0">
      <text>
        <r>
          <rPr>
            <b/>
            <sz val="8"/>
            <color indexed="81"/>
            <rFont val="Tahoma"/>
            <family val="2"/>
          </rPr>
          <t>DICK:</t>
        </r>
        <r>
          <rPr>
            <sz val="8"/>
            <color indexed="81"/>
            <rFont val="Tahoma"/>
            <family val="2"/>
          </rPr>
          <t xml:space="preserve">
Bono Escolar
= (dias al año trabajados (incluidos feriados y de descanso) x salario basico unificado (sin importar el cargo que ocupe en la empresa) ) / 365 dias al año
Fecha de Pago:
Trabajadores de la Costa y Galapagos:
El 15 de marzo
Trabajadores de la Sierra y Oriente:
El 15 de agosto</t>
        </r>
      </text>
    </comment>
    <comment ref="N2" authorId="0" shapeId="0">
      <text>
        <r>
          <rPr>
            <b/>
            <sz val="8"/>
            <color indexed="81"/>
            <rFont val="Tahoma"/>
            <family val="2"/>
          </rPr>
          <t>DICK:</t>
        </r>
        <r>
          <rPr>
            <sz val="8"/>
            <color indexed="81"/>
            <rFont val="Tahoma"/>
            <family val="2"/>
          </rPr>
          <t xml:space="preserve">
Sueldo / 2 porque son 15 días de vacaciones
Se les da a todos los trabajadores que han cumplido un año de trabajo...</t>
        </r>
      </text>
    </comment>
    <comment ref="O2" authorId="0" shapeId="0">
      <text>
        <r>
          <rPr>
            <b/>
            <sz val="8"/>
            <color indexed="81"/>
            <rFont val="Tahoma"/>
            <family val="2"/>
          </rPr>
          <t>DICK:</t>
        </r>
        <r>
          <rPr>
            <sz val="8"/>
            <color indexed="81"/>
            <rFont val="Tahoma"/>
            <family val="2"/>
          </rPr>
          <t xml:space="preserve">
8.33% mensual
Se paga despues del primer año de trabajo</t>
        </r>
      </text>
    </comment>
    <comment ref="F3" authorId="0" shapeId="0">
      <text>
        <r>
          <rPr>
            <b/>
            <sz val="8"/>
            <color indexed="81"/>
            <rFont val="Tahoma"/>
            <family val="2"/>
          </rPr>
          <t>DICK:</t>
        </r>
        <r>
          <rPr>
            <sz val="8"/>
            <color indexed="81"/>
            <rFont val="Tahoma"/>
            <family val="2"/>
          </rPr>
          <t xml:space="preserve">
Después de jornada normal. Lunes a Viernes hasta las 12 de la noche</t>
        </r>
      </text>
    </comment>
    <comment ref="G3" authorId="0" shapeId="0">
      <text>
        <r>
          <rPr>
            <b/>
            <sz val="8"/>
            <color indexed="81"/>
            <rFont val="Tahoma"/>
            <family val="2"/>
          </rPr>
          <t>DICK:</t>
        </r>
        <r>
          <rPr>
            <sz val="8"/>
            <color indexed="81"/>
            <rFont val="Tahoma"/>
            <family val="2"/>
          </rPr>
          <t xml:space="preserve">
De 12 de la noche hasta 6 de la mañana. Fin de semana y Feriados</t>
        </r>
      </text>
    </comment>
    <comment ref="C4" authorId="0" shapeId="0">
      <text>
        <r>
          <rPr>
            <b/>
            <sz val="8"/>
            <color indexed="81"/>
            <rFont val="Tahoma"/>
            <family val="2"/>
          </rPr>
          <t>DICK:</t>
        </r>
        <r>
          <rPr>
            <sz val="8"/>
            <color indexed="81"/>
            <rFont val="Tahoma"/>
            <family val="2"/>
          </rPr>
          <t xml:space="preserve">
252 dias laborales al año… 252/12=21dias laborales al mes..</t>
        </r>
      </text>
    </comment>
    <comment ref="J8" authorId="0" shapeId="0">
      <text>
        <r>
          <rPr>
            <b/>
            <sz val="8"/>
            <color indexed="81"/>
            <rFont val="Tahoma"/>
            <family val="2"/>
          </rPr>
          <t>DICK:</t>
        </r>
        <r>
          <rPr>
            <sz val="8"/>
            <color indexed="81"/>
            <rFont val="Tahoma"/>
            <family val="2"/>
          </rPr>
          <t xml:space="preserve">
Comisión ganada por los vendedores, según política de cada empresa</t>
        </r>
      </text>
    </comment>
    <comment ref="L8" authorId="0" shapeId="0">
      <text>
        <r>
          <rPr>
            <b/>
            <sz val="8"/>
            <color indexed="81"/>
            <rFont val="Tahoma"/>
            <family val="2"/>
          </rPr>
          <t>DICK:</t>
        </r>
        <r>
          <rPr>
            <sz val="8"/>
            <color indexed="81"/>
            <rFont val="Tahoma"/>
            <family val="2"/>
          </rPr>
          <t xml:space="preserve">
Bono Navideño
es igual al sueldo que percibe mensualmente el empleado / operario</t>
        </r>
      </text>
    </comment>
    <comment ref="M8" authorId="0" shapeId="0">
      <text>
        <r>
          <rPr>
            <b/>
            <sz val="8"/>
            <color indexed="81"/>
            <rFont val="Tahoma"/>
            <family val="2"/>
          </rPr>
          <t>DICK:</t>
        </r>
        <r>
          <rPr>
            <sz val="8"/>
            <color indexed="81"/>
            <rFont val="Tahoma"/>
            <family val="2"/>
          </rPr>
          <t xml:space="preserve">
Bono Escolar
= (dias al año trabajados (incluidos feriados y de descanso) x salario basico unificado (sin importar el cargo que ocupe en la empresa) ) / 365 dias al año</t>
        </r>
      </text>
    </comment>
    <comment ref="N8" authorId="0" shapeId="0">
      <text>
        <r>
          <rPr>
            <b/>
            <sz val="8"/>
            <color indexed="81"/>
            <rFont val="Tahoma"/>
            <family val="2"/>
          </rPr>
          <t>DICK:</t>
        </r>
        <r>
          <rPr>
            <sz val="8"/>
            <color indexed="81"/>
            <rFont val="Tahoma"/>
            <family val="2"/>
          </rPr>
          <t xml:space="preserve">
Sueldo / 2 porque son 15 días de vacaciones</t>
        </r>
      </text>
    </comment>
    <comment ref="O8" authorId="0" shapeId="0">
      <text>
        <r>
          <rPr>
            <b/>
            <sz val="8"/>
            <color indexed="81"/>
            <rFont val="Tahoma"/>
            <family val="2"/>
          </rPr>
          <t>DICK:</t>
        </r>
        <r>
          <rPr>
            <sz val="8"/>
            <color indexed="81"/>
            <rFont val="Tahoma"/>
            <family val="2"/>
          </rPr>
          <t xml:space="preserve">
8.33% mensual</t>
        </r>
      </text>
    </comment>
    <comment ref="F9" authorId="0" shapeId="0">
      <text>
        <r>
          <rPr>
            <b/>
            <sz val="8"/>
            <color indexed="81"/>
            <rFont val="Tahoma"/>
            <family val="2"/>
          </rPr>
          <t>DICK:</t>
        </r>
        <r>
          <rPr>
            <sz val="8"/>
            <color indexed="81"/>
            <rFont val="Tahoma"/>
            <family val="2"/>
          </rPr>
          <t xml:space="preserve">
Después de jornada normal. Lunes a Viernes hasta las 12 de la noche</t>
        </r>
      </text>
    </comment>
    <comment ref="G9" authorId="0" shapeId="0">
      <text>
        <r>
          <rPr>
            <b/>
            <sz val="8"/>
            <color indexed="81"/>
            <rFont val="Tahoma"/>
            <family val="2"/>
          </rPr>
          <t>DICK:</t>
        </r>
        <r>
          <rPr>
            <sz val="8"/>
            <color indexed="81"/>
            <rFont val="Tahoma"/>
            <family val="2"/>
          </rPr>
          <t xml:space="preserve">
De 12 de la noche hasta 6 de la mañana. Fin de semana y Feriados</t>
        </r>
      </text>
    </comment>
    <comment ref="J17" authorId="0" shapeId="0">
      <text>
        <r>
          <rPr>
            <b/>
            <sz val="8"/>
            <color indexed="81"/>
            <rFont val="Tahoma"/>
            <family val="2"/>
          </rPr>
          <t>DICK:</t>
        </r>
        <r>
          <rPr>
            <sz val="8"/>
            <color indexed="81"/>
            <rFont val="Tahoma"/>
            <family val="2"/>
          </rPr>
          <t xml:space="preserve">
Comisión ganada por los vendedores, según política de cada empresa</t>
        </r>
      </text>
    </comment>
    <comment ref="L17" authorId="0" shapeId="0">
      <text>
        <r>
          <rPr>
            <b/>
            <sz val="8"/>
            <color indexed="81"/>
            <rFont val="Tahoma"/>
            <family val="2"/>
          </rPr>
          <t>DICK:</t>
        </r>
        <r>
          <rPr>
            <sz val="8"/>
            <color indexed="81"/>
            <rFont val="Tahoma"/>
            <family val="2"/>
          </rPr>
          <t xml:space="preserve">
Bono Navideño
es igual al sueldo que percibe mensualmente el empleado / operario</t>
        </r>
      </text>
    </comment>
    <comment ref="M17" authorId="0" shapeId="0">
      <text>
        <r>
          <rPr>
            <b/>
            <sz val="8"/>
            <color indexed="81"/>
            <rFont val="Tahoma"/>
            <family val="2"/>
          </rPr>
          <t>DICK:</t>
        </r>
        <r>
          <rPr>
            <sz val="8"/>
            <color indexed="81"/>
            <rFont val="Tahoma"/>
            <family val="2"/>
          </rPr>
          <t xml:space="preserve">
Bono Escolar
= (dias al año trabajados (incluidos feriados y de descanso) x salario basico unificado (sin importar el cargo que ocupe en la empresa) ) / 365 dias al año</t>
        </r>
      </text>
    </comment>
    <comment ref="N17" authorId="0" shapeId="0">
      <text>
        <r>
          <rPr>
            <b/>
            <sz val="8"/>
            <color indexed="81"/>
            <rFont val="Tahoma"/>
            <family val="2"/>
          </rPr>
          <t>DICK:</t>
        </r>
        <r>
          <rPr>
            <sz val="8"/>
            <color indexed="81"/>
            <rFont val="Tahoma"/>
            <family val="2"/>
          </rPr>
          <t xml:space="preserve">
Sueldo / 2 porque son 15 días de vacaciones</t>
        </r>
      </text>
    </comment>
    <comment ref="O17" authorId="0" shapeId="0">
      <text>
        <r>
          <rPr>
            <b/>
            <sz val="8"/>
            <color indexed="81"/>
            <rFont val="Tahoma"/>
            <family val="2"/>
          </rPr>
          <t>DICK:</t>
        </r>
        <r>
          <rPr>
            <sz val="8"/>
            <color indexed="81"/>
            <rFont val="Tahoma"/>
            <family val="2"/>
          </rPr>
          <t xml:space="preserve">
8.33% mensual</t>
        </r>
      </text>
    </comment>
    <comment ref="F18" authorId="0" shapeId="0">
      <text>
        <r>
          <rPr>
            <b/>
            <sz val="8"/>
            <color indexed="81"/>
            <rFont val="Tahoma"/>
            <family val="2"/>
          </rPr>
          <t>DICK:</t>
        </r>
        <r>
          <rPr>
            <sz val="8"/>
            <color indexed="81"/>
            <rFont val="Tahoma"/>
            <family val="2"/>
          </rPr>
          <t xml:space="preserve">
Después de jornada normal. Lunes a Viernes hasta las 12 de la noche</t>
        </r>
      </text>
    </comment>
    <comment ref="G18" authorId="0" shapeId="0">
      <text>
        <r>
          <rPr>
            <b/>
            <sz val="8"/>
            <color indexed="81"/>
            <rFont val="Tahoma"/>
            <family val="2"/>
          </rPr>
          <t>DICK:</t>
        </r>
        <r>
          <rPr>
            <sz val="8"/>
            <color indexed="81"/>
            <rFont val="Tahoma"/>
            <family val="2"/>
          </rPr>
          <t xml:space="preserve">
De 12 de la noche hasta 6 de la mañana. Fin de semana y Feriados</t>
        </r>
      </text>
    </comment>
  </commentList>
</comments>
</file>

<file path=xl/comments2.xml><?xml version="1.0" encoding="utf-8"?>
<comments xmlns="http://schemas.openxmlformats.org/spreadsheetml/2006/main">
  <authors>
    <author>DICK</author>
  </authors>
  <commentList>
    <comment ref="A1" authorId="0" shapeId="0">
      <text>
        <r>
          <rPr>
            <b/>
            <sz val="8"/>
            <color indexed="81"/>
            <rFont val="Tahoma"/>
            <family val="2"/>
          </rPr>
          <t>DICK:</t>
        </r>
        <r>
          <rPr>
            <sz val="8"/>
            <color indexed="81"/>
            <rFont val="Tahoma"/>
            <family val="2"/>
          </rPr>
          <t xml:space="preserve">
1000 Pollos con peso promedio 2,2679kg = 5,00lb</t>
        </r>
      </text>
    </comment>
    <comment ref="D3" authorId="0" shapeId="0">
      <text>
        <r>
          <rPr>
            <b/>
            <sz val="8"/>
            <color indexed="81"/>
            <rFont val="Tahoma"/>
            <family val="2"/>
          </rPr>
          <t>DICK:</t>
        </r>
        <r>
          <rPr>
            <sz val="8"/>
            <color indexed="81"/>
            <rFont val="Tahoma"/>
            <family val="2"/>
          </rPr>
          <t xml:space="preserve">
$0,90 por libra pie según faenadores</t>
        </r>
      </text>
    </comment>
    <comment ref="A6" authorId="0" shapeId="0">
      <text>
        <r>
          <rPr>
            <b/>
            <sz val="8"/>
            <color indexed="81"/>
            <rFont val="Tahoma"/>
            <family val="2"/>
          </rPr>
          <t>DICK:</t>
        </r>
        <r>
          <rPr>
            <sz val="8"/>
            <color indexed="81"/>
            <rFont val="Tahoma"/>
            <family val="2"/>
          </rPr>
          <t xml:space="preserve">
Incluido Limpieza</t>
        </r>
      </text>
    </comment>
    <comment ref="C6" authorId="0" shapeId="0">
      <text>
        <r>
          <rPr>
            <b/>
            <sz val="8"/>
            <color indexed="81"/>
            <rFont val="Tahoma"/>
            <family val="2"/>
          </rPr>
          <t>DICK:</t>
        </r>
        <r>
          <rPr>
            <sz val="8"/>
            <color indexed="81"/>
            <rFont val="Tahoma"/>
            <family val="2"/>
          </rPr>
          <t xml:space="preserve">
Consumo diario… 1000 Pollos</t>
        </r>
      </text>
    </comment>
    <comment ref="D6" authorId="0" shapeId="0">
      <text>
        <r>
          <rPr>
            <b/>
            <sz val="8"/>
            <color indexed="81"/>
            <rFont val="Tahoma"/>
            <family val="2"/>
          </rPr>
          <t>DICK:</t>
        </r>
        <r>
          <rPr>
            <sz val="8"/>
            <color indexed="81"/>
            <rFont val="Tahoma"/>
            <family val="2"/>
          </rPr>
          <t xml:space="preserve">
Calculado según datos y recargos de interagua</t>
        </r>
      </text>
    </comment>
    <comment ref="I6" authorId="0" shapeId="0">
      <text>
        <r>
          <rPr>
            <b/>
            <sz val="8"/>
            <color indexed="81"/>
            <rFont val="Tahoma"/>
            <family val="2"/>
          </rPr>
          <t>DICK:</t>
        </r>
        <r>
          <rPr>
            <sz val="8"/>
            <color indexed="81"/>
            <rFont val="Tahoma"/>
            <family val="2"/>
          </rPr>
          <t xml:space="preserve">
Consumo al mes</t>
        </r>
      </text>
    </comment>
    <comment ref="K6" authorId="0" shapeId="0">
      <text>
        <r>
          <rPr>
            <b/>
            <sz val="8"/>
            <color indexed="81"/>
            <rFont val="Tahoma"/>
            <family val="2"/>
          </rPr>
          <t>DICK:</t>
        </r>
        <r>
          <rPr>
            <sz val="8"/>
            <color indexed="81"/>
            <rFont val="Tahoma"/>
            <family val="2"/>
          </rPr>
          <t xml:space="preserve">
Al mes</t>
        </r>
      </text>
    </comment>
    <comment ref="D7" authorId="0" shapeId="0">
      <text>
        <r>
          <rPr>
            <b/>
            <sz val="8"/>
            <color indexed="81"/>
            <rFont val="Tahoma"/>
            <family val="2"/>
          </rPr>
          <t>DICK:</t>
        </r>
        <r>
          <rPr>
            <sz val="8"/>
            <color indexed="81"/>
            <rFont val="Tahoma"/>
            <family val="2"/>
          </rPr>
          <t xml:space="preserve">
incl IVA</t>
        </r>
      </text>
    </comment>
    <comment ref="D8" authorId="0" shapeId="0">
      <text>
        <r>
          <rPr>
            <b/>
            <sz val="8"/>
            <color indexed="81"/>
            <rFont val="Tahoma"/>
            <family val="2"/>
          </rPr>
          <t>DICK:</t>
        </r>
        <r>
          <rPr>
            <sz val="8"/>
            <color indexed="81"/>
            <rFont val="Tahoma"/>
            <family val="2"/>
          </rPr>
          <t xml:space="preserve">
incl IVA</t>
        </r>
      </text>
    </comment>
    <comment ref="D9" authorId="0" shapeId="0">
      <text>
        <r>
          <rPr>
            <b/>
            <sz val="8"/>
            <color indexed="81"/>
            <rFont val="Tahoma"/>
            <family val="2"/>
          </rPr>
          <t>DICK:</t>
        </r>
        <r>
          <rPr>
            <sz val="8"/>
            <color indexed="81"/>
            <rFont val="Tahoma"/>
            <family val="2"/>
          </rPr>
          <t xml:space="preserve">
incl IVA</t>
        </r>
      </text>
    </comment>
    <comment ref="E12" authorId="0" shapeId="0">
      <text>
        <r>
          <rPr>
            <b/>
            <sz val="8"/>
            <color indexed="81"/>
            <rFont val="Tahoma"/>
            <family val="2"/>
          </rPr>
          <t>DICK:</t>
        </r>
        <r>
          <rPr>
            <sz val="8"/>
            <color indexed="81"/>
            <rFont val="Tahoma"/>
            <family val="2"/>
          </rPr>
          <t xml:space="preserve">
REGLA DE TRES 
1KG=2,2046LB</t>
        </r>
      </text>
    </comment>
    <comment ref="K16" authorId="0" shapeId="0">
      <text>
        <r>
          <rPr>
            <b/>
            <sz val="8"/>
            <color indexed="81"/>
            <rFont val="Tahoma"/>
            <family val="2"/>
          </rPr>
          <t>DICK:</t>
        </r>
        <r>
          <rPr>
            <sz val="8"/>
            <color indexed="81"/>
            <rFont val="Tahoma"/>
            <family val="2"/>
          </rPr>
          <t xml:space="preserve">
Sin recargos</t>
        </r>
      </text>
    </comment>
    <comment ref="I17" authorId="0" shapeId="0">
      <text>
        <r>
          <rPr>
            <b/>
            <sz val="8"/>
            <color indexed="81"/>
            <rFont val="Tahoma"/>
            <family val="2"/>
          </rPr>
          <t>DICK:</t>
        </r>
        <r>
          <rPr>
            <sz val="8"/>
            <color indexed="81"/>
            <rFont val="Tahoma"/>
            <family val="2"/>
          </rPr>
          <t xml:space="preserve">
Corresponde al 80% del valor total facturado, por concepto de agua potable</t>
        </r>
      </text>
    </comment>
    <comment ref="I18" authorId="0" shapeId="0">
      <text>
        <r>
          <rPr>
            <b/>
            <sz val="8"/>
            <color indexed="81"/>
            <rFont val="Tahoma"/>
            <family val="2"/>
          </rPr>
          <t>DICK:</t>
        </r>
        <r>
          <rPr>
            <sz val="8"/>
            <color indexed="81"/>
            <rFont val="Tahoma"/>
            <family val="2"/>
          </rPr>
          <t xml:space="preserve">
Según diametro de tuberia del inmueble.. En este caso 1/2"…. Ver tabla interagua</t>
        </r>
      </text>
    </comment>
    <comment ref="I19" authorId="0" shapeId="0">
      <text>
        <r>
          <rPr>
            <b/>
            <sz val="8"/>
            <color indexed="81"/>
            <rFont val="Tahoma"/>
            <family val="2"/>
          </rPr>
          <t>DICK:</t>
        </r>
        <r>
          <rPr>
            <sz val="8"/>
            <color indexed="81"/>
            <rFont val="Tahoma"/>
            <family val="2"/>
          </rPr>
          <t xml:space="preserve">
Contribución Especial de Mejoras.. Ver tabla de interagua</t>
        </r>
      </text>
    </comment>
    <comment ref="K20" authorId="0" shapeId="0">
      <text>
        <r>
          <rPr>
            <b/>
            <sz val="8"/>
            <color indexed="81"/>
            <rFont val="Tahoma"/>
            <family val="2"/>
          </rPr>
          <t>DICK:</t>
        </r>
        <r>
          <rPr>
            <sz val="8"/>
            <color indexed="81"/>
            <rFont val="Tahoma"/>
            <family val="2"/>
          </rPr>
          <t xml:space="preserve">
Al mes</t>
        </r>
      </text>
    </comment>
  </commentList>
</comments>
</file>

<file path=xl/comments3.xml><?xml version="1.0" encoding="utf-8"?>
<comments xmlns="http://schemas.openxmlformats.org/spreadsheetml/2006/main">
  <authors>
    <author>DICK</author>
  </authors>
  <commentList>
    <comment ref="A12" authorId="0" shapeId="0">
      <text>
        <r>
          <rPr>
            <b/>
            <sz val="8"/>
            <color indexed="81"/>
            <rFont val="Tahoma"/>
            <family val="2"/>
          </rPr>
          <t>DICK:</t>
        </r>
        <r>
          <rPr>
            <sz val="8"/>
            <color indexed="81"/>
            <rFont val="Tahoma"/>
            <family val="2"/>
          </rPr>
          <t xml:space="preserve">
Estos costos tambien son considerados costos fijos</t>
        </r>
      </text>
    </comment>
    <comment ref="C15" authorId="0" shapeId="0">
      <text>
        <r>
          <rPr>
            <b/>
            <sz val="8"/>
            <color indexed="81"/>
            <rFont val="Tahoma"/>
            <family val="2"/>
          </rPr>
          <t>DICK:</t>
        </r>
        <r>
          <rPr>
            <sz val="8"/>
            <color indexed="81"/>
            <rFont val="Tahoma"/>
            <family val="2"/>
          </rPr>
          <t xml:space="preserve">
Con Plan TV Cable:
10+iva=11,20*12=134,40</t>
        </r>
      </text>
    </comment>
  </commentList>
</comments>
</file>

<file path=xl/comments4.xml><?xml version="1.0" encoding="utf-8"?>
<comments xmlns="http://schemas.openxmlformats.org/spreadsheetml/2006/main">
  <authors>
    <author>DICK</author>
  </authors>
  <commentList>
    <comment ref="C2" authorId="0" shapeId="0">
      <text>
        <r>
          <rPr>
            <b/>
            <sz val="8"/>
            <color indexed="81"/>
            <rFont val="Tahoma"/>
            <family val="2"/>
          </rPr>
          <t>DICK:</t>
        </r>
        <r>
          <rPr>
            <sz val="8"/>
            <color indexed="81"/>
            <rFont val="Tahoma"/>
            <family val="2"/>
          </rPr>
          <t xml:space="preserve">
Incluido decimos vacaciones fondo reserva, beneficios en general….</t>
        </r>
      </text>
    </comment>
  </commentList>
</comments>
</file>

<file path=xl/comments5.xml><?xml version="1.0" encoding="utf-8"?>
<comments xmlns="http://schemas.openxmlformats.org/spreadsheetml/2006/main">
  <authors>
    <author>DICK</author>
  </authors>
  <commentList>
    <comment ref="D3" authorId="0" shapeId="0">
      <text>
        <r>
          <rPr>
            <b/>
            <sz val="8"/>
            <color indexed="81"/>
            <rFont val="Tahoma"/>
            <family val="2"/>
          </rPr>
          <t>DICK:</t>
        </r>
        <r>
          <rPr>
            <sz val="8"/>
            <color indexed="81"/>
            <rFont val="Tahoma"/>
            <family val="2"/>
          </rPr>
          <t xml:space="preserve">
asumiendo 1 lt por operario al mes, seria entonces:
1x6x12</t>
        </r>
      </text>
    </comment>
    <comment ref="D4" authorId="0" shapeId="0">
      <text>
        <r>
          <rPr>
            <b/>
            <sz val="8"/>
            <color indexed="81"/>
            <rFont val="Tahoma"/>
            <family val="2"/>
          </rPr>
          <t>DICK:</t>
        </r>
        <r>
          <rPr>
            <sz val="8"/>
            <color indexed="81"/>
            <rFont val="Tahoma"/>
            <family val="2"/>
          </rPr>
          <t xml:space="preserve">
1 lt por mes</t>
        </r>
      </text>
    </comment>
    <comment ref="D5" authorId="0" shapeId="0">
      <text>
        <r>
          <rPr>
            <b/>
            <sz val="8"/>
            <color indexed="81"/>
            <rFont val="Tahoma"/>
            <family val="2"/>
          </rPr>
          <t>DICK:</t>
        </r>
        <r>
          <rPr>
            <sz val="8"/>
            <color indexed="81"/>
            <rFont val="Tahoma"/>
            <family val="2"/>
          </rPr>
          <t xml:space="preserve">
5 lt por mes</t>
        </r>
      </text>
    </comment>
    <comment ref="D6" authorId="0" shapeId="0">
      <text>
        <r>
          <rPr>
            <b/>
            <sz val="8"/>
            <color indexed="81"/>
            <rFont val="Tahoma"/>
            <family val="2"/>
          </rPr>
          <t>DICK:</t>
        </r>
        <r>
          <rPr>
            <sz val="8"/>
            <color indexed="81"/>
            <rFont val="Tahoma"/>
            <family val="2"/>
          </rPr>
          <t xml:space="preserve">
2 lt por mes</t>
        </r>
      </text>
    </comment>
    <comment ref="D7" authorId="0" shapeId="0">
      <text>
        <r>
          <rPr>
            <b/>
            <sz val="8"/>
            <color indexed="81"/>
            <rFont val="Tahoma"/>
            <family val="2"/>
          </rPr>
          <t>DICK:</t>
        </r>
        <r>
          <rPr>
            <sz val="8"/>
            <color indexed="81"/>
            <rFont val="Tahoma"/>
            <family val="2"/>
          </rPr>
          <t xml:space="preserve">
10 lt por mes
</t>
        </r>
      </text>
    </comment>
    <comment ref="D9" authorId="0" shapeId="0">
      <text>
        <r>
          <rPr>
            <b/>
            <sz val="8"/>
            <color indexed="81"/>
            <rFont val="Tahoma"/>
            <family val="2"/>
          </rPr>
          <t>DICK:</t>
        </r>
        <r>
          <rPr>
            <sz val="8"/>
            <color indexed="81"/>
            <rFont val="Tahoma"/>
            <family val="2"/>
          </rPr>
          <t xml:space="preserve">
2 por operario anual</t>
        </r>
      </text>
    </comment>
    <comment ref="D10" authorId="0" shapeId="0">
      <text>
        <r>
          <rPr>
            <b/>
            <sz val="8"/>
            <color indexed="81"/>
            <rFont val="Tahoma"/>
            <family val="2"/>
          </rPr>
          <t>DICK:</t>
        </r>
        <r>
          <rPr>
            <sz val="8"/>
            <color indexed="81"/>
            <rFont val="Tahoma"/>
            <family val="2"/>
          </rPr>
          <t xml:space="preserve">
lo mismo q el anterior</t>
        </r>
      </text>
    </comment>
    <comment ref="D11" authorId="0" shapeId="0">
      <text>
        <r>
          <rPr>
            <b/>
            <sz val="8"/>
            <color indexed="81"/>
            <rFont val="Tahoma"/>
            <family val="2"/>
          </rPr>
          <t>DICK:</t>
        </r>
        <r>
          <rPr>
            <sz val="8"/>
            <color indexed="81"/>
            <rFont val="Tahoma"/>
            <family val="2"/>
          </rPr>
          <t xml:space="preserve">
2 por personal total (16) al mes </t>
        </r>
      </text>
    </comment>
    <comment ref="D12" authorId="0" shapeId="0">
      <text>
        <r>
          <rPr>
            <b/>
            <sz val="8"/>
            <color indexed="81"/>
            <rFont val="Tahoma"/>
            <family val="2"/>
          </rPr>
          <t>DICK:</t>
        </r>
        <r>
          <rPr>
            <sz val="8"/>
            <color indexed="81"/>
            <rFont val="Tahoma"/>
            <family val="2"/>
          </rPr>
          <t xml:space="preserve">
2 por operario al mes</t>
        </r>
      </text>
    </comment>
    <comment ref="D13" authorId="0" shapeId="0">
      <text>
        <r>
          <rPr>
            <b/>
            <sz val="8"/>
            <color indexed="81"/>
            <rFont val="Tahoma"/>
            <family val="2"/>
          </rPr>
          <t>DICK:</t>
        </r>
        <r>
          <rPr>
            <sz val="8"/>
            <color indexed="81"/>
            <rFont val="Tahoma"/>
            <family val="2"/>
          </rPr>
          <t xml:space="preserve">
Lo mismo que el anterior</t>
        </r>
      </text>
    </comment>
    <comment ref="D14" authorId="0" shapeId="0">
      <text>
        <r>
          <rPr>
            <b/>
            <sz val="8"/>
            <color indexed="81"/>
            <rFont val="Tahoma"/>
            <family val="2"/>
          </rPr>
          <t>DICK:</t>
        </r>
        <r>
          <rPr>
            <sz val="8"/>
            <color indexed="81"/>
            <rFont val="Tahoma"/>
            <family val="2"/>
          </rPr>
          <t xml:space="preserve">
1 por operario cada 6 meses+ 3 para visitas</t>
        </r>
      </text>
    </comment>
    <comment ref="D15" authorId="0" shapeId="0">
      <text>
        <r>
          <rPr>
            <b/>
            <sz val="8"/>
            <color indexed="81"/>
            <rFont val="Tahoma"/>
            <family val="2"/>
          </rPr>
          <t>DICK:</t>
        </r>
        <r>
          <rPr>
            <sz val="8"/>
            <color indexed="81"/>
            <rFont val="Tahoma"/>
            <family val="2"/>
          </rPr>
          <t xml:space="preserve">
Igual al anterior</t>
        </r>
      </text>
    </comment>
  </commentList>
</comments>
</file>

<file path=xl/comments6.xml><?xml version="1.0" encoding="utf-8"?>
<comments xmlns="http://schemas.openxmlformats.org/spreadsheetml/2006/main">
  <authors>
    <author>DICK</author>
  </authors>
  <commentList>
    <comment ref="H1" authorId="0" shapeId="0">
      <text>
        <r>
          <rPr>
            <b/>
            <sz val="8"/>
            <color indexed="81"/>
            <rFont val="Tahoma"/>
            <family val="2"/>
          </rPr>
          <t>DICK:</t>
        </r>
        <r>
          <rPr>
            <sz val="8"/>
            <color indexed="81"/>
            <rFont val="Tahoma"/>
            <family val="2"/>
          </rPr>
          <t xml:space="preserve">
Servicios Básicos que varian según la producción.</t>
        </r>
      </text>
    </comment>
    <comment ref="I2" authorId="0" shapeId="0">
      <text>
        <r>
          <rPr>
            <b/>
            <sz val="8"/>
            <color indexed="81"/>
            <rFont val="Tahoma"/>
            <family val="2"/>
          </rPr>
          <t>DICK:</t>
        </r>
        <r>
          <rPr>
            <sz val="8"/>
            <color indexed="81"/>
            <rFont val="Tahoma"/>
            <family val="2"/>
          </rPr>
          <t xml:space="preserve">
Anual</t>
        </r>
      </text>
    </comment>
    <comment ref="H3" authorId="0" shapeId="0">
      <text>
        <r>
          <rPr>
            <b/>
            <sz val="8"/>
            <color indexed="81"/>
            <rFont val="Tahoma"/>
            <family val="2"/>
          </rPr>
          <t>DICK:</t>
        </r>
        <r>
          <rPr>
            <sz val="8"/>
            <color indexed="81"/>
            <rFont val="Tahoma"/>
            <family val="2"/>
          </rPr>
          <t xml:space="preserve">
En nuestro caso es $0,062 x Kwh.. Ya que nuestro consumo es &lt;=300kwh al mes.</t>
        </r>
      </text>
    </comment>
    <comment ref="I3" authorId="0" shapeId="0">
      <text>
        <r>
          <rPr>
            <b/>
            <sz val="8"/>
            <color indexed="81"/>
            <rFont val="Tahoma"/>
            <family val="2"/>
          </rPr>
          <t>DICK:</t>
        </r>
        <r>
          <rPr>
            <sz val="8"/>
            <color indexed="81"/>
            <rFont val="Tahoma"/>
            <family val="2"/>
          </rPr>
          <t xml:space="preserve">
Donde el $1,414 es la tarifa x comercialización.. 0,41 alumbrado.. 0,86 ordenanza municipal.. 4,38 le de defensa contra incendio</t>
        </r>
      </text>
    </comment>
    <comment ref="D10" authorId="0" shapeId="0">
      <text>
        <r>
          <rPr>
            <b/>
            <sz val="8"/>
            <color indexed="81"/>
            <rFont val="Tahoma"/>
            <family val="2"/>
          </rPr>
          <t>DICK:</t>
        </r>
        <r>
          <rPr>
            <sz val="8"/>
            <color indexed="81"/>
            <rFont val="Tahoma"/>
            <family val="2"/>
          </rPr>
          <t xml:space="preserve">
Asumiendo $85 al mes x vendedor… por buenas ventas..</t>
        </r>
      </text>
    </comment>
  </commentList>
</comments>
</file>

<file path=xl/comments7.xml><?xml version="1.0" encoding="utf-8"?>
<comments xmlns="http://schemas.openxmlformats.org/spreadsheetml/2006/main">
  <authors>
    <author>DICK</author>
  </authors>
  <commentList>
    <comment ref="A3" authorId="0" shapeId="0">
      <text>
        <r>
          <rPr>
            <b/>
            <sz val="8"/>
            <color indexed="81"/>
            <rFont val="Tahoma"/>
            <family val="2"/>
          </rPr>
          <t>DICK:</t>
        </r>
        <r>
          <rPr>
            <sz val="8"/>
            <color indexed="81"/>
            <rFont val="Tahoma"/>
            <family val="2"/>
          </rPr>
          <t xml:space="preserve">
Por libra</t>
        </r>
      </text>
    </comment>
    <comment ref="C8" authorId="0" shapeId="0">
      <text>
        <r>
          <rPr>
            <b/>
            <sz val="8"/>
            <color indexed="81"/>
            <rFont val="Tahoma"/>
            <charset val="1"/>
          </rPr>
          <t>DICK:</t>
        </r>
        <r>
          <rPr>
            <sz val="8"/>
            <color indexed="81"/>
            <rFont val="Tahoma"/>
            <charset val="1"/>
          </rPr>
          <t xml:space="preserve">
El 272,15544 kg es la perdida y ganancia que tiene el pollo durante el proceso de faenado… 
osea 5lb-0,6=4,4lb es el peso promedio con que se distribuye el pollo
0,6lb=0,272155kgx1000=272,15544Kg</t>
        </r>
      </text>
    </comment>
  </commentList>
</comments>
</file>

<file path=xl/comments8.xml><?xml version="1.0" encoding="utf-8"?>
<comments xmlns="http://schemas.openxmlformats.org/spreadsheetml/2006/main">
  <authors>
    <author>DICK</author>
  </authors>
  <commentList>
    <comment ref="A3" authorId="0" shapeId="0">
      <text>
        <r>
          <rPr>
            <b/>
            <sz val="8"/>
            <color indexed="81"/>
            <rFont val="Tahoma"/>
            <family val="2"/>
          </rPr>
          <t>DICK:</t>
        </r>
        <r>
          <rPr>
            <sz val="8"/>
            <color indexed="81"/>
            <rFont val="Tahoma"/>
            <family val="2"/>
          </rPr>
          <t xml:space="preserve">
Anual</t>
        </r>
      </text>
    </comment>
    <comment ref="A4" authorId="0" shapeId="0">
      <text>
        <r>
          <rPr>
            <b/>
            <sz val="8"/>
            <color indexed="81"/>
            <rFont val="Tahoma"/>
            <family val="2"/>
          </rPr>
          <t>DICK:</t>
        </r>
        <r>
          <rPr>
            <sz val="8"/>
            <color indexed="81"/>
            <rFont val="Tahoma"/>
            <family val="2"/>
          </rPr>
          <t xml:space="preserve">
Anual</t>
        </r>
      </text>
    </comment>
    <comment ref="C8" authorId="0" shapeId="0">
      <text>
        <r>
          <rPr>
            <b/>
            <sz val="8"/>
            <color indexed="81"/>
            <rFont val="Tahoma"/>
            <family val="2"/>
          </rPr>
          <t>DICK:</t>
        </r>
        <r>
          <rPr>
            <sz val="8"/>
            <color indexed="81"/>
            <rFont val="Tahoma"/>
            <family val="2"/>
          </rPr>
          <t xml:space="preserve">
donde 5,0045 es las libras promedio x pollo</t>
        </r>
      </text>
    </comment>
  </commentList>
</comments>
</file>

<file path=xl/comments9.xml><?xml version="1.0" encoding="utf-8"?>
<comments xmlns="http://schemas.openxmlformats.org/spreadsheetml/2006/main">
  <authors>
    <author>DICK</author>
  </authors>
  <commentList>
    <comment ref="C5" authorId="0" shapeId="0">
      <text>
        <r>
          <rPr>
            <b/>
            <sz val="8"/>
            <color indexed="81"/>
            <rFont val="Tahoma"/>
            <charset val="1"/>
          </rPr>
          <t>DICK:</t>
        </r>
        <r>
          <rPr>
            <sz val="8"/>
            <color indexed="81"/>
            <rFont val="Tahoma"/>
            <charset val="1"/>
          </rPr>
          <t xml:space="preserve">
Inflación Actual 
Enero - 31 - 2013</t>
        </r>
      </text>
    </comment>
  </commentList>
</comments>
</file>

<file path=xl/sharedStrings.xml><?xml version="1.0" encoding="utf-8"?>
<sst xmlns="http://schemas.openxmlformats.org/spreadsheetml/2006/main" count="376" uniqueCount="248">
  <si>
    <t>Cargos</t>
  </si>
  <si>
    <t>TOTAL</t>
  </si>
  <si>
    <t>COSTOS VARIOS</t>
  </si>
  <si>
    <t>TOTAL ANUAL</t>
  </si>
  <si>
    <t>Días Trabajados</t>
  </si>
  <si>
    <t>N° Empleados</t>
  </si>
  <si>
    <t>SUELDOS Y SALARIOS MANO DE OBRA DIRECTA</t>
  </si>
  <si>
    <t>Sueldo Nominal</t>
  </si>
  <si>
    <t>Sueldo Ganado</t>
  </si>
  <si>
    <t>Horas Exras</t>
  </si>
  <si>
    <t>Valor de Hrs. Extras</t>
  </si>
  <si>
    <t>Comisión</t>
  </si>
  <si>
    <t>Total Ingresos</t>
  </si>
  <si>
    <t>Décimo Tercer Sueldo</t>
  </si>
  <si>
    <t>Décimo Cuarto</t>
  </si>
  <si>
    <t>Vacaciones</t>
  </si>
  <si>
    <t>Fondo de Reserva</t>
  </si>
  <si>
    <t>Aporte Patronal 11.15%</t>
  </si>
  <si>
    <t>Aporte Personal 9.35%</t>
  </si>
  <si>
    <t>Gasto Mensual</t>
  </si>
  <si>
    <t>OPERARIOS</t>
  </si>
  <si>
    <t>$ por Hora</t>
  </si>
  <si>
    <t>Gasto Total Sueldo Anual</t>
  </si>
  <si>
    <t>Total Sueldos y Beneficio Anual</t>
  </si>
  <si>
    <t>SUELDOS Y SALARIOS DEPARTAMENTO ADMINISTRATIVO</t>
  </si>
  <si>
    <t>G. GENERAL</t>
  </si>
  <si>
    <t>CONTADOR</t>
  </si>
  <si>
    <t>GUARDIAN</t>
  </si>
  <si>
    <t>SUELDOS Y SALARIOS DEPARTAMENTO DE VENTAS</t>
  </si>
  <si>
    <t>CHOFERES</t>
  </si>
  <si>
    <t>SUELDOS Y SALARIOS ANUALES</t>
  </si>
  <si>
    <t>CARGOS</t>
  </si>
  <si>
    <t>CANTIDAD</t>
  </si>
  <si>
    <t xml:space="preserve">SUELDO ANUAL </t>
  </si>
  <si>
    <t>Gasto Anual Emp/T Oper</t>
  </si>
  <si>
    <t>Gasto Anual B.Emp x Op</t>
  </si>
  <si>
    <t>MATERIA PRIMA</t>
  </si>
  <si>
    <t>MATERIA PRIMA PARA 2270Kg</t>
  </si>
  <si>
    <t>MEDIDA</t>
  </si>
  <si>
    <t>PRECIO UNITARIO</t>
  </si>
  <si>
    <t>PRECIO TOTAL</t>
  </si>
  <si>
    <t>Pollo en Pie Kilos</t>
  </si>
  <si>
    <t>Hielo</t>
  </si>
  <si>
    <t>Hipoclorito de Sodio</t>
  </si>
  <si>
    <t>Agua</t>
  </si>
  <si>
    <t>Empacado Pollo</t>
  </si>
  <si>
    <t>Empacado Menudencia</t>
  </si>
  <si>
    <t>Grapas</t>
  </si>
  <si>
    <t>kilo</t>
  </si>
  <si>
    <t>m3</t>
  </si>
  <si>
    <t>COSTO POR KILO</t>
  </si>
  <si>
    <t>COSTO DE PRODUCCION POR LIBRA</t>
  </si>
  <si>
    <t>MANO DE OBRA</t>
  </si>
  <si>
    <t>SUELDO ANUAL</t>
  </si>
  <si>
    <t>TOTAL DE SUELDO</t>
  </si>
  <si>
    <t>ALCOGEL-MQ</t>
  </si>
  <si>
    <t>BC-200</t>
  </si>
  <si>
    <t>DEEP CLEANER</t>
  </si>
  <si>
    <t>DISH WASH</t>
  </si>
  <si>
    <t>HAND SOAP</t>
  </si>
  <si>
    <t>DESINFECTANTE DE PISOS, BAÑOS, ETC. CON AROMA</t>
  </si>
  <si>
    <t>CEPILLOS</t>
  </si>
  <si>
    <t>CUCHILLOS GRANDES</t>
  </si>
  <si>
    <t>CUCHILLOS PEQUEÑOS</t>
  </si>
  <si>
    <t>MASCARILLAS</t>
  </si>
  <si>
    <t>IVA</t>
  </si>
  <si>
    <t>COSTOS INDIRECTOS DE FABRICACION ANUAL</t>
  </si>
  <si>
    <t>lt</t>
  </si>
  <si>
    <t>P.V.P UNITARIO</t>
  </si>
  <si>
    <t>NOMBRE PRODUCTO</t>
  </si>
  <si>
    <t>PARA LIMPIAR GRASA  HOLLIN, DESENGRASANTE INDUSTRIAL CONCENTRADO</t>
  </si>
  <si>
    <t>unidad</t>
  </si>
  <si>
    <t>unidades</t>
  </si>
  <si>
    <t>DETALLE</t>
  </si>
  <si>
    <t>VALOR</t>
  </si>
  <si>
    <t>SERVICIOS BÁSICOS</t>
  </si>
  <si>
    <t>PUBLICIDAD Y PROPAGANDA</t>
  </si>
  <si>
    <t>MANTENIMIENTO DE CAMIONES</t>
  </si>
  <si>
    <t>COMBUSTIBLE</t>
  </si>
  <si>
    <t>FUMIGACIONES</t>
  </si>
  <si>
    <t>MANTENIMIENTO DE EQUIPOS</t>
  </si>
  <si>
    <t>VARIOS</t>
  </si>
  <si>
    <t>COMISIONES POR VENTAS</t>
  </si>
  <si>
    <t>AGUA</t>
  </si>
  <si>
    <t>P. UNIT</t>
  </si>
  <si>
    <t>VALOR ALCANTARILLADO</t>
  </si>
  <si>
    <t>CEM</t>
  </si>
  <si>
    <t>CARGO FIJO</t>
  </si>
  <si>
    <t>TOTAL A FACTURAR INTERAGUA</t>
  </si>
  <si>
    <t xml:space="preserve">AGUA </t>
  </si>
  <si>
    <t>LUZ</t>
  </si>
  <si>
    <t>COFIAS</t>
  </si>
  <si>
    <t>DETALLES</t>
  </si>
  <si>
    <t xml:space="preserve"> </t>
  </si>
  <si>
    <t>SEGUROS</t>
  </si>
  <si>
    <t>COSTO VARIABLE UNITARIO</t>
  </si>
  <si>
    <t>MATERIA PRIMA / LIBRA</t>
  </si>
  <si>
    <t>MANO DE  OBRA / LIBRA</t>
  </si>
  <si>
    <t>COSTO FIJO UNITARIO</t>
  </si>
  <si>
    <t>COSTO TOTAL UNITARIO</t>
  </si>
  <si>
    <t>COSTOS FIJOS TOTAL ANUALES</t>
  </si>
  <si>
    <t>MARGEN DE CONTRIBUCION</t>
  </si>
  <si>
    <t>P.V.P / LIBRA</t>
  </si>
  <si>
    <t>INGRESO / LIBRA</t>
  </si>
  <si>
    <t>INGRESO ANUAL</t>
  </si>
  <si>
    <t>EGRESOS</t>
  </si>
  <si>
    <t>OTROS GASTOS</t>
  </si>
  <si>
    <t>GASTOS ANUALES</t>
  </si>
  <si>
    <t>UTILIDAD ANUAL</t>
  </si>
  <si>
    <t>PUNTO DE EQUILIBRIO ($)</t>
  </si>
  <si>
    <t>PUNTO DE EQUILIBRIO (LB)</t>
  </si>
  <si>
    <t>PUNTO DE EQUILIBRIO (unidades x día)</t>
  </si>
  <si>
    <t>PUNTO DE EQUILIBRIO (unidades x año)</t>
  </si>
  <si>
    <t>EQUIPOS Y MATERIALES</t>
  </si>
  <si>
    <t>COSTO UNITARIO</t>
  </si>
  <si>
    <t>CONOS DE SACRIFICIO</t>
  </si>
  <si>
    <t>MESA DE TRABAJO</t>
  </si>
  <si>
    <t>TANQUE DE ENFRIAMIENTO</t>
  </si>
  <si>
    <t>PALETA DE MOVIMIENTO</t>
  </si>
  <si>
    <t>CONGELADOR</t>
  </si>
  <si>
    <t>SISTEMA DE DUCHA DE AGUA</t>
  </si>
  <si>
    <t>ELEVADOR</t>
  </si>
  <si>
    <t>BOMBA DE AGUA 0,5HP</t>
  </si>
  <si>
    <t xml:space="preserve">MALLAS DE RETENCIÓN DE SOLIDOS </t>
  </si>
  <si>
    <t>TUBOS DE TRANSPORTE PVC 4"</t>
  </si>
  <si>
    <t>ESCALDADORA ROTATIVA CON TERMÓMETRO</t>
  </si>
  <si>
    <t>DESPLUMADORA CENTRÍFUGA</t>
  </si>
  <si>
    <t>TERMÓMETRO</t>
  </si>
  <si>
    <t>BALANZA 50Kg</t>
  </si>
  <si>
    <t>BALANZA DE 5Kg</t>
  </si>
  <si>
    <t>AFILADOR DE CUCHILLO MECÁNICO</t>
  </si>
  <si>
    <t>CONO DE RECEPCIÓN DE AGUA RESIDUAL</t>
  </si>
  <si>
    <t>CONO DE EMPACADO X 6</t>
  </si>
  <si>
    <t>ó</t>
  </si>
  <si>
    <t>PE($) = PE(Unid) * PVP</t>
  </si>
  <si>
    <t>EQUIPO DE OFICINA Y DE COMPUTO</t>
  </si>
  <si>
    <t>DESCRIPCIÓN</t>
  </si>
  <si>
    <t>SUMADORAS</t>
  </si>
  <si>
    <t>TELÉFONO / FAX</t>
  </si>
  <si>
    <t>ESCRITORIO CON SILLAS</t>
  </si>
  <si>
    <t>AIRE ACONDICIONADO</t>
  </si>
  <si>
    <t>COMPUTADORAS</t>
  </si>
  <si>
    <t>IMPRESORAS LÁSER</t>
  </si>
  <si>
    <t>INVERSIÓN TOTAL</t>
  </si>
  <si>
    <t>COSTO MANTENIMIENTO ANUAL</t>
  </si>
  <si>
    <t xml:space="preserve">DEPRECIACIONES ANUALES </t>
  </si>
  <si>
    <t>VIDA ÚTIL</t>
  </si>
  <si>
    <t xml:space="preserve">TOTAL </t>
  </si>
  <si>
    <t>DEPRECIACIÓN</t>
  </si>
  <si>
    <t>EQUIPOS DE OFICINA</t>
  </si>
  <si>
    <t>EQUIPOS DE COMPUTO</t>
  </si>
  <si>
    <t>MAQUINARIAS Y EQ. AUXILIARES</t>
  </si>
  <si>
    <t>AÑO</t>
  </si>
  <si>
    <t>AÑOS</t>
  </si>
  <si>
    <t>VENTAS ANUALES</t>
  </si>
  <si>
    <t>COSTOS VARIABLES</t>
  </si>
  <si>
    <t>COSTOS FIJOS</t>
  </si>
  <si>
    <t>FLUJO EFECTIVO</t>
  </si>
  <si>
    <t>INVERSIÓN</t>
  </si>
  <si>
    <t xml:space="preserve">FLUJO NETO </t>
  </si>
  <si>
    <t>PROYECCIÓN DE INGRESOS</t>
  </si>
  <si>
    <t>INFLACIÓN ANUAL</t>
  </si>
  <si>
    <t>PRECIO DE VENTA</t>
  </si>
  <si>
    <t>CANTIDAD A VENDER</t>
  </si>
  <si>
    <t>PRODUCCIÓN ANUAL  LIBRA</t>
  </si>
  <si>
    <t>PRODUCCIÓN ANUAL (LB)</t>
  </si>
  <si>
    <t>PROYECCIÓN DE COSTOS FIJOS</t>
  </si>
  <si>
    <t>COSTOS FIJOS TOTALES</t>
  </si>
  <si>
    <t>PROYECCIÓN DE COSTOS VARIABLES</t>
  </si>
  <si>
    <t>COSTOS VARIABLES TOTALES</t>
  </si>
  <si>
    <t>UTILIDAD ANTES DE IMP.</t>
  </si>
  <si>
    <t>FLUJO EFECTIVO PRÉSTAMO</t>
  </si>
  <si>
    <t xml:space="preserve">      VARIOS</t>
  </si>
  <si>
    <t xml:space="preserve">      ACTIVOS</t>
  </si>
  <si>
    <t xml:space="preserve">      CAPITAL DE TRABAJO</t>
  </si>
  <si>
    <t xml:space="preserve">      VALOR DE DESECHO</t>
  </si>
  <si>
    <t>VAN</t>
  </si>
  <si>
    <t>TIR</t>
  </si>
  <si>
    <t>FLUJO EFECTIVO CAPITAL PROPIO</t>
  </si>
  <si>
    <t>VENDEDOR / REPARTIDOR</t>
  </si>
  <si>
    <t>TOTAL DE EMPLEADOS</t>
  </si>
  <si>
    <t>GUANTES DE NITRILO</t>
  </si>
  <si>
    <t>BOTAS DE CAUCHO</t>
  </si>
  <si>
    <t>0 - 15</t>
  </si>
  <si>
    <t>RANGO DE CONSUMO m3</t>
  </si>
  <si>
    <t>16 - 30</t>
  </si>
  <si>
    <t>31 - 60</t>
  </si>
  <si>
    <t>61 - 100</t>
  </si>
  <si>
    <t>CONSUMO AGUA</t>
  </si>
  <si>
    <t>Saldo inicial</t>
  </si>
  <si>
    <t>% particip.</t>
  </si>
  <si>
    <t>Costo nominal</t>
  </si>
  <si>
    <t>Pasivos</t>
  </si>
  <si>
    <t>Patrimonio</t>
  </si>
  <si>
    <t>Activos</t>
  </si>
  <si>
    <t>Costo promedio ponderado proyectado del capital</t>
  </si>
  <si>
    <t>Costo Ponderado</t>
  </si>
  <si>
    <t>Factor Caja (ciclo de caja)</t>
  </si>
  <si>
    <t>CAPITAL DE TRABAJO OPERATIVO</t>
  </si>
  <si>
    <t>Mano de obra directa fabricación</t>
  </si>
  <si>
    <t>Mano de obra directa planta</t>
  </si>
  <si>
    <t>Mano de obra indirecta</t>
  </si>
  <si>
    <t>Materia prima</t>
  </si>
  <si>
    <t>Otros costos</t>
  </si>
  <si>
    <t>CAPITAL DE TRABAJO ADMINISTRACIÓN Y VENTAS</t>
  </si>
  <si>
    <t>Gastos administrativos</t>
  </si>
  <si>
    <t>Gastos de ventas</t>
  </si>
  <si>
    <t>CAPITAL DE TRABAJO</t>
  </si>
  <si>
    <t>Inversión</t>
  </si>
  <si>
    <t>K de Trabajo</t>
  </si>
  <si>
    <t>K Propio</t>
  </si>
  <si>
    <t>Préstamo</t>
  </si>
  <si>
    <t>% DEPRECIACIÓN</t>
  </si>
  <si>
    <t>DEPRECIACIÓN ANUAL</t>
  </si>
  <si>
    <t>DEPRECIACIÓN ACUMULADA</t>
  </si>
  <si>
    <t>ACT. FIJO FINAL 5 AÑOS</t>
  </si>
  <si>
    <t>VALOR DE SALVAMENTO</t>
  </si>
  <si>
    <t>AÑOS DE GRACIA</t>
  </si>
  <si>
    <t>PRÉSTAMO</t>
  </si>
  <si>
    <t>PRINCIPAL</t>
  </si>
  <si>
    <t>AMORTIZACIÓN</t>
  </si>
  <si>
    <t>CUOTA</t>
  </si>
  <si>
    <t>INTERÉS</t>
  </si>
  <si>
    <t>PERÍODO</t>
  </si>
  <si>
    <t>TASA IMPUESTO 34% IR</t>
  </si>
  <si>
    <t xml:space="preserve">      PRÉSTAMO</t>
  </si>
  <si>
    <t>tasa impositiva</t>
  </si>
  <si>
    <t>ACUMULADOS</t>
  </si>
  <si>
    <t>PERIODOS</t>
  </si>
  <si>
    <t>Flujo 1</t>
  </si>
  <si>
    <t>Flujo 2</t>
  </si>
  <si>
    <t>Flujo 3</t>
  </si>
  <si>
    <t>Flujo 4</t>
  </si>
  <si>
    <t>Flujo 5</t>
  </si>
  <si>
    <t>JEFE PRODUCCIÓN</t>
  </si>
  <si>
    <t>MATRÍCULA DE VEHÍCULOS</t>
  </si>
  <si>
    <t>SERVICIOS PÚBLICOS (TELÉFONO)</t>
  </si>
  <si>
    <t>GEL ANTISÉPTICO,DESCONTAMINANTE DE MANOS, CON AROMA</t>
  </si>
  <si>
    <t>DESCRIPCIÓN DEL PRODUCTO</t>
  </si>
  <si>
    <t>ES UN DETERGENTE LÍQUIDO PARA LAVADO MANUAL DE VAJILLA</t>
  </si>
  <si>
    <t>JABÓN LÍQUIDO PARA MANOS CON PERFUME Y/O AROMA</t>
  </si>
  <si>
    <t>MANDILES PLÁSTICOS</t>
  </si>
  <si>
    <t>COSTO INDIRECTO FABRICACIÓN</t>
  </si>
  <si>
    <t>CRONÓMETRO DE PARED CON ALARMA</t>
  </si>
  <si>
    <t>VEHÍCULOS</t>
  </si>
  <si>
    <t>INTERÉS CFN</t>
  </si>
  <si>
    <t>INTERÉS FINANCIERO</t>
  </si>
  <si>
    <t>UTILIDAD DESPUÉS DE IMP.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</si>
</sst>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 #,##0.00_);[Red]\(&quot;$&quot;\ #,##0.00\)"/>
    <numFmt numFmtId="164" formatCode="&quot;$&quot;\ #,##0.00"/>
    <numFmt numFmtId="165" formatCode="&quot;$&quot;\ #,##0.000"/>
  </numFmts>
  <fonts count="13" x14ac:knownFonts="1">
    <font>
      <sz val="11"/>
      <color theme="1"/>
      <name val="Calibri"/>
      <family val="2"/>
      <scheme val="minor"/>
    </font>
    <font>
      <b/>
      <sz val="11"/>
      <color theme="1"/>
      <name val="Calibri"/>
      <family val="2"/>
      <scheme val="minor"/>
    </font>
    <font>
      <b/>
      <sz val="11"/>
      <color rgb="FFFF0000"/>
      <name val="Calibri"/>
      <family val="2"/>
      <scheme val="minor"/>
    </font>
    <font>
      <sz val="8"/>
      <color indexed="81"/>
      <name val="Tahoma"/>
      <family val="2"/>
    </font>
    <font>
      <b/>
      <sz val="8"/>
      <color indexed="81"/>
      <name val="Tahoma"/>
      <family val="2"/>
    </font>
    <font>
      <b/>
      <sz val="11"/>
      <name val="Calibri"/>
      <family val="2"/>
      <scheme val="minor"/>
    </font>
    <font>
      <sz val="11"/>
      <name val="Calibri"/>
      <family val="2"/>
      <scheme val="minor"/>
    </font>
    <font>
      <b/>
      <sz val="11"/>
      <color rgb="FFC00000"/>
      <name val="Calibri"/>
      <family val="2"/>
      <scheme val="minor"/>
    </font>
    <font>
      <sz val="8"/>
      <color theme="1"/>
      <name val="Calibri"/>
      <family val="2"/>
      <scheme val="minor"/>
    </font>
    <font>
      <sz val="11"/>
      <color rgb="FFFF0000"/>
      <name val="Calibri"/>
      <family val="2"/>
      <scheme val="minor"/>
    </font>
    <font>
      <sz val="8"/>
      <color indexed="81"/>
      <name val="Tahoma"/>
      <charset val="1"/>
    </font>
    <font>
      <b/>
      <sz val="8"/>
      <color indexed="81"/>
      <name val="Tahoma"/>
      <charset val="1"/>
    </font>
    <font>
      <b/>
      <sz val="9"/>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0"/>
        <bgColor indexed="64"/>
      </patternFill>
    </fill>
    <fill>
      <patternFill patternType="solid">
        <fgColor theme="8" tint="0.79998168889431442"/>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s>
  <cellStyleXfs count="1">
    <xf numFmtId="0" fontId="0" fillId="0" borderId="0"/>
  </cellStyleXfs>
  <cellXfs count="369">
    <xf numFmtId="0" fontId="0" fillId="0" borderId="0" xfId="0"/>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0" xfId="0" applyFont="1" applyBorder="1" applyAlignment="1">
      <alignment horizontal="center"/>
    </xf>
    <xf numFmtId="0" fontId="6" fillId="0" borderId="1" xfId="0" applyFont="1" applyBorder="1" applyAlignment="1">
      <alignment horizontal="center"/>
    </xf>
    <xf numFmtId="9" fontId="2" fillId="0" borderId="27" xfId="0" applyNumberFormat="1" applyFont="1" applyBorder="1" applyAlignment="1">
      <alignment horizontal="center" vertical="center" wrapText="1"/>
    </xf>
    <xf numFmtId="0" fontId="5" fillId="0" borderId="4" xfId="0" applyFont="1" applyBorder="1" applyAlignment="1">
      <alignment horizontal="left"/>
    </xf>
    <xf numFmtId="0" fontId="5" fillId="0" borderId="31" xfId="0" applyFont="1" applyBorder="1" applyAlignment="1">
      <alignment horizontal="left"/>
    </xf>
    <xf numFmtId="0" fontId="6" fillId="0" borderId="20" xfId="0" applyFont="1" applyBorder="1" applyAlignment="1">
      <alignment horizontal="center"/>
    </xf>
    <xf numFmtId="9" fontId="2" fillId="0" borderId="11" xfId="0" applyNumberFormat="1" applyFont="1" applyBorder="1" applyAlignment="1">
      <alignment horizontal="center" vertical="center" wrapText="1"/>
    </xf>
    <xf numFmtId="2" fontId="5" fillId="0" borderId="18" xfId="0" applyNumberFormat="1" applyFont="1" applyBorder="1" applyAlignment="1">
      <alignment horizontal="center"/>
    </xf>
    <xf numFmtId="0" fontId="5" fillId="0" borderId="23" xfId="0" applyFont="1" applyBorder="1" applyAlignment="1">
      <alignment horizontal="left"/>
    </xf>
    <xf numFmtId="0" fontId="6" fillId="0" borderId="24" xfId="0" applyFont="1" applyBorder="1" applyAlignment="1">
      <alignment horizontal="center"/>
    </xf>
    <xf numFmtId="0" fontId="5" fillId="0" borderId="26" xfId="0" applyFont="1" applyBorder="1" applyAlignment="1">
      <alignment horizontal="left"/>
    </xf>
    <xf numFmtId="0" fontId="6" fillId="0" borderId="27" xfId="0" applyFont="1" applyBorder="1" applyAlignment="1">
      <alignment horizontal="center"/>
    </xf>
    <xf numFmtId="0" fontId="5" fillId="0" borderId="2" xfId="0" applyFont="1" applyBorder="1" applyAlignment="1">
      <alignment horizontal="left"/>
    </xf>
    <xf numFmtId="0" fontId="2" fillId="0" borderId="33" xfId="0" applyFont="1" applyBorder="1" applyAlignment="1">
      <alignment horizontal="left"/>
    </xf>
    <xf numFmtId="0" fontId="2" fillId="0" borderId="17" xfId="0" applyFont="1" applyBorder="1" applyAlignment="1">
      <alignment horizontal="left"/>
    </xf>
    <xf numFmtId="0" fontId="2" fillId="0" borderId="22" xfId="0" applyFont="1" applyBorder="1" applyAlignment="1">
      <alignment horizontal="left"/>
    </xf>
    <xf numFmtId="2" fontId="5" fillId="0" borderId="21" xfId="0" applyNumberFormat="1" applyFont="1" applyBorder="1" applyAlignment="1">
      <alignment horizontal="center"/>
    </xf>
    <xf numFmtId="0" fontId="5" fillId="0" borderId="10" xfId="0" applyFont="1" applyBorder="1" applyAlignment="1">
      <alignment horizontal="left"/>
    </xf>
    <xf numFmtId="0" fontId="0" fillId="0" borderId="5" xfId="0" applyFont="1" applyBorder="1" applyAlignment="1">
      <alignment horizontal="center"/>
    </xf>
    <xf numFmtId="0" fontId="0" fillId="0" borderId="1" xfId="0" applyFont="1" applyBorder="1" applyAlignment="1">
      <alignment horizontal="center"/>
    </xf>
    <xf numFmtId="0" fontId="0" fillId="0" borderId="11" xfId="0" applyFont="1" applyBorder="1" applyAlignment="1">
      <alignment horizontal="center"/>
    </xf>
    <xf numFmtId="0" fontId="7" fillId="0" borderId="0" xfId="0" applyFont="1" applyAlignment="1">
      <alignment horizontal="center"/>
    </xf>
    <xf numFmtId="0" fontId="1" fillId="0" borderId="0" xfId="0" applyFont="1" applyBorder="1" applyAlignment="1"/>
    <xf numFmtId="0" fontId="1" fillId="0" borderId="0" xfId="0" applyFont="1" applyBorder="1" applyAlignment="1">
      <alignment horizontal="left"/>
    </xf>
    <xf numFmtId="0" fontId="0" fillId="0" borderId="0" xfId="0" applyBorder="1"/>
    <xf numFmtId="0" fontId="2" fillId="0" borderId="0" xfId="0" applyFont="1" applyBorder="1" applyAlignment="1"/>
    <xf numFmtId="0" fontId="0" fillId="0" borderId="1" xfId="0" applyBorder="1" applyAlignment="1">
      <alignment horizontal="center"/>
    </xf>
    <xf numFmtId="0" fontId="1" fillId="0" borderId="2" xfId="0" applyFont="1" applyBorder="1" applyAlignment="1">
      <alignment horizontal="left"/>
    </xf>
    <xf numFmtId="0" fontId="1" fillId="0" borderId="10" xfId="0" applyFont="1" applyBorder="1" applyAlignment="1">
      <alignment horizontal="left"/>
    </xf>
    <xf numFmtId="0" fontId="0" fillId="0" borderId="11" xfId="0" applyBorder="1" applyAlignment="1">
      <alignment horizontal="center"/>
    </xf>
    <xf numFmtId="0" fontId="0" fillId="0" borderId="31" xfId="0" applyBorder="1" applyAlignment="1">
      <alignment horizontal="left"/>
    </xf>
    <xf numFmtId="0" fontId="0" fillId="0" borderId="20" xfId="0" applyBorder="1" applyAlignment="1">
      <alignment horizont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164" fontId="0" fillId="0" borderId="20" xfId="0" applyNumberFormat="1" applyBorder="1" applyAlignment="1">
      <alignment horizontal="center"/>
    </xf>
    <xf numFmtId="164" fontId="0" fillId="0" borderId="32" xfId="0" applyNumberFormat="1" applyBorder="1" applyAlignment="1">
      <alignment horizontal="center"/>
    </xf>
    <xf numFmtId="164" fontId="0" fillId="0" borderId="5" xfId="0" applyNumberFormat="1" applyFont="1" applyBorder="1" applyAlignment="1">
      <alignment horizontal="center"/>
    </xf>
    <xf numFmtId="164" fontId="0" fillId="0" borderId="6" xfId="0" applyNumberFormat="1" applyFont="1" applyBorder="1" applyAlignment="1">
      <alignment horizontal="center"/>
    </xf>
    <xf numFmtId="164" fontId="0" fillId="0" borderId="1" xfId="0" applyNumberFormat="1" applyFont="1" applyBorder="1" applyAlignment="1">
      <alignment horizontal="center"/>
    </xf>
    <xf numFmtId="164" fontId="0" fillId="0" borderId="3" xfId="0" applyNumberFormat="1" applyFont="1" applyBorder="1" applyAlignment="1">
      <alignment horizontal="center"/>
    </xf>
    <xf numFmtId="164" fontId="0" fillId="0" borderId="11" xfId="0" applyNumberFormat="1" applyFont="1" applyBorder="1" applyAlignment="1">
      <alignment horizontal="center"/>
    </xf>
    <xf numFmtId="164" fontId="0" fillId="0" borderId="12" xfId="0" applyNumberFormat="1" applyFont="1" applyBorder="1" applyAlignment="1">
      <alignment horizontal="center"/>
    </xf>
    <xf numFmtId="164" fontId="2" fillId="2" borderId="9" xfId="0" applyNumberFormat="1" applyFont="1" applyFill="1" applyBorder="1" applyAlignment="1">
      <alignment horizontal="center"/>
    </xf>
    <xf numFmtId="164" fontId="0" fillId="0" borderId="3" xfId="0" applyNumberFormat="1" applyBorder="1" applyAlignment="1">
      <alignment horizontal="center"/>
    </xf>
    <xf numFmtId="164" fontId="2" fillId="2" borderId="28" xfId="0" applyNumberFormat="1" applyFont="1" applyFill="1" applyBorder="1" applyAlignment="1">
      <alignment horizontal="center"/>
    </xf>
    <xf numFmtId="164" fontId="0" fillId="0" borderId="1" xfId="0" applyNumberFormat="1" applyBorder="1" applyAlignment="1">
      <alignment horizontal="center"/>
    </xf>
    <xf numFmtId="164" fontId="0" fillId="0" borderId="11" xfId="0" applyNumberFormat="1" applyBorder="1" applyAlignment="1">
      <alignment horizontal="center"/>
    </xf>
    <xf numFmtId="164" fontId="0" fillId="0" borderId="12" xfId="0" applyNumberFormat="1" applyBorder="1" applyAlignment="1">
      <alignment horizontal="center"/>
    </xf>
    <xf numFmtId="164" fontId="1" fillId="4" borderId="25" xfId="0" applyNumberFormat="1" applyFont="1" applyFill="1" applyBorder="1" applyAlignment="1">
      <alignment horizontal="center"/>
    </xf>
    <xf numFmtId="164" fontId="6" fillId="0" borderId="20" xfId="0" applyNumberFormat="1" applyFont="1" applyBorder="1" applyAlignment="1">
      <alignment horizontal="center"/>
    </xf>
    <xf numFmtId="164" fontId="6" fillId="0" borderId="24" xfId="0" applyNumberFormat="1" applyFont="1" applyBorder="1" applyAlignment="1">
      <alignment horizontal="center"/>
    </xf>
    <xf numFmtId="164" fontId="6" fillId="0" borderId="1" xfId="0" applyNumberFormat="1" applyFont="1" applyBorder="1" applyAlignment="1">
      <alignment horizontal="center"/>
    </xf>
    <xf numFmtId="164" fontId="6" fillId="0" borderId="27" xfId="0" applyNumberFormat="1" applyFont="1" applyBorder="1" applyAlignment="1">
      <alignment horizontal="center"/>
    </xf>
    <xf numFmtId="164" fontId="6" fillId="0" borderId="32" xfId="0" applyNumberFormat="1" applyFont="1" applyBorder="1" applyAlignment="1">
      <alignment horizontal="center"/>
    </xf>
    <xf numFmtId="164" fontId="6" fillId="0" borderId="25" xfId="0" applyNumberFormat="1" applyFont="1" applyBorder="1" applyAlignment="1">
      <alignment horizontal="center"/>
    </xf>
    <xf numFmtId="164" fontId="6" fillId="0" borderId="3" xfId="0" applyNumberFormat="1" applyFont="1" applyBorder="1" applyAlignment="1">
      <alignment horizontal="center"/>
    </xf>
    <xf numFmtId="164" fontId="6" fillId="0" borderId="28" xfId="0" applyNumberFormat="1" applyFont="1" applyBorder="1" applyAlignment="1">
      <alignment horizontal="center"/>
    </xf>
    <xf numFmtId="164" fontId="5" fillId="2" borderId="8" xfId="0" applyNumberFormat="1" applyFont="1" applyFill="1" applyBorder="1" applyAlignment="1">
      <alignment horizontal="center"/>
    </xf>
    <xf numFmtId="164" fontId="5" fillId="2" borderId="9" xfId="0" applyNumberFormat="1" applyFont="1" applyFill="1" applyBorder="1" applyAlignment="1">
      <alignment horizontal="center"/>
    </xf>
    <xf numFmtId="164" fontId="5" fillId="2" borderId="18" xfId="0" applyNumberFormat="1" applyFont="1" applyFill="1" applyBorder="1" applyAlignment="1">
      <alignment horizontal="center"/>
    </xf>
    <xf numFmtId="164" fontId="7" fillId="0" borderId="0" xfId="0" applyNumberFormat="1" applyFont="1" applyAlignment="1">
      <alignment horizontal="center"/>
    </xf>
    <xf numFmtId="0" fontId="8" fillId="0" borderId="1" xfId="0" applyFont="1" applyBorder="1" applyAlignment="1">
      <alignment horizontal="center" vertical="center" wrapText="1"/>
    </xf>
    <xf numFmtId="0" fontId="8" fillId="0" borderId="5" xfId="0" applyFont="1" applyBorder="1" applyAlignment="1">
      <alignment horizontal="center" vertical="center" wrapText="1"/>
    </xf>
    <xf numFmtId="0" fontId="0" fillId="0" borderId="5" xfId="0" applyBorder="1" applyAlignment="1">
      <alignment horizontal="center" vertical="center"/>
    </xf>
    <xf numFmtId="164" fontId="0" fillId="0" borderId="5" xfId="0" applyNumberFormat="1" applyBorder="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1" fillId="0" borderId="5" xfId="0" applyFont="1" applyBorder="1" applyAlignment="1">
      <alignment vertical="center"/>
    </xf>
    <xf numFmtId="0" fontId="1" fillId="0" borderId="1" xfId="0" applyFont="1" applyBorder="1" applyAlignment="1">
      <alignment vertical="center"/>
    </xf>
    <xf numFmtId="0" fontId="1" fillId="0" borderId="6" xfId="0" applyFont="1" applyBorder="1" applyAlignment="1">
      <alignment horizontal="center"/>
    </xf>
    <xf numFmtId="2" fontId="0" fillId="0" borderId="1" xfId="0" applyNumberFormat="1" applyBorder="1" applyAlignment="1">
      <alignment horizontal="center"/>
    </xf>
    <xf numFmtId="0" fontId="0" fillId="0" borderId="2" xfId="0"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164" fontId="0" fillId="0" borderId="25" xfId="0" applyNumberFormat="1" applyBorder="1" applyAlignment="1">
      <alignment horizontal="center"/>
    </xf>
    <xf numFmtId="165" fontId="0" fillId="0" borderId="1" xfId="0" applyNumberFormat="1" applyBorder="1" applyAlignment="1">
      <alignment horizontal="center"/>
    </xf>
    <xf numFmtId="0" fontId="1" fillId="0" borderId="41" xfId="0" applyFont="1" applyBorder="1" applyAlignment="1">
      <alignment horizontal="center"/>
    </xf>
    <xf numFmtId="0" fontId="1" fillId="0" borderId="39" xfId="0" applyFont="1" applyBorder="1" applyAlignment="1">
      <alignment horizontal="center"/>
    </xf>
    <xf numFmtId="164" fontId="1" fillId="0" borderId="28" xfId="0" applyNumberFormat="1" applyFont="1" applyBorder="1" applyAlignment="1">
      <alignment horizontal="center"/>
    </xf>
    <xf numFmtId="164" fontId="0" fillId="0" borderId="28" xfId="0" applyNumberFormat="1" applyBorder="1" applyAlignment="1">
      <alignment horizontal="center"/>
    </xf>
    <xf numFmtId="164" fontId="0" fillId="0" borderId="18" xfId="0" applyNumberFormat="1" applyBorder="1" applyAlignment="1">
      <alignment horizontal="center"/>
    </xf>
    <xf numFmtId="0" fontId="0" fillId="0" borderId="22" xfId="0" applyBorder="1" applyAlignment="1">
      <alignment horizontal="center"/>
    </xf>
    <xf numFmtId="0" fontId="1" fillId="0" borderId="4" xfId="0" applyFont="1" applyBorder="1"/>
    <xf numFmtId="0" fontId="1" fillId="0" borderId="2" xfId="0" applyFont="1" applyBorder="1"/>
    <xf numFmtId="164" fontId="0" fillId="0" borderId="6" xfId="0" applyNumberFormat="1" applyBorder="1" applyAlignment="1">
      <alignment horizontal="center"/>
    </xf>
    <xf numFmtId="164" fontId="2" fillId="2" borderId="25" xfId="0" applyNumberFormat="1" applyFont="1" applyFill="1" applyBorder="1" applyAlignment="1">
      <alignment horizontal="center"/>
    </xf>
    <xf numFmtId="0" fontId="5" fillId="0" borderId="40" xfId="0" applyFont="1" applyBorder="1" applyAlignment="1">
      <alignment horizontal="center"/>
    </xf>
    <xf numFmtId="164" fontId="5" fillId="0" borderId="42" xfId="0" applyNumberFormat="1" applyFont="1" applyBorder="1" applyAlignment="1">
      <alignment horizontal="center"/>
    </xf>
    <xf numFmtId="164" fontId="0" fillId="0" borderId="25" xfId="0" applyNumberFormat="1" applyFont="1" applyBorder="1" applyAlignment="1">
      <alignment horizontal="center"/>
    </xf>
    <xf numFmtId="164" fontId="0" fillId="0" borderId="28" xfId="0" applyNumberFormat="1" applyFont="1" applyBorder="1" applyAlignment="1">
      <alignment horizontal="center"/>
    </xf>
    <xf numFmtId="164" fontId="5" fillId="0" borderId="19" xfId="0" applyNumberFormat="1" applyFont="1" applyBorder="1" applyAlignment="1">
      <alignment horizontal="center"/>
    </xf>
    <xf numFmtId="164" fontId="5" fillId="0" borderId="44" xfId="0" applyNumberFormat="1" applyFont="1" applyBorder="1" applyAlignment="1">
      <alignment horizontal="center"/>
    </xf>
    <xf numFmtId="164" fontId="2" fillId="2" borderId="39" xfId="0" applyNumberFormat="1" applyFont="1" applyFill="1" applyBorder="1" applyAlignment="1">
      <alignment horizontal="center"/>
    </xf>
    <xf numFmtId="0" fontId="6" fillId="0" borderId="5" xfId="0" applyFont="1" applyBorder="1" applyAlignment="1">
      <alignment horizontal="center"/>
    </xf>
    <xf numFmtId="164" fontId="6" fillId="0" borderId="5" xfId="0" applyNumberFormat="1" applyFont="1" applyBorder="1" applyAlignment="1">
      <alignment horizontal="center"/>
    </xf>
    <xf numFmtId="0" fontId="2" fillId="0" borderId="6" xfId="0" applyFont="1" applyBorder="1" applyAlignment="1">
      <alignment horizontal="center"/>
    </xf>
    <xf numFmtId="164" fontId="1" fillId="0" borderId="0" xfId="0" applyNumberFormat="1" applyFont="1" applyBorder="1" applyAlignment="1">
      <alignment horizontal="center"/>
    </xf>
    <xf numFmtId="0" fontId="1" fillId="0" borderId="26" xfId="0" applyFont="1" applyBorder="1"/>
    <xf numFmtId="0" fontId="1" fillId="4" borderId="0" xfId="0" applyFont="1" applyFill="1" applyBorder="1" applyAlignment="1">
      <alignment horizontal="left"/>
    </xf>
    <xf numFmtId="164" fontId="2" fillId="4" borderId="0" xfId="0" applyNumberFormat="1" applyFont="1" applyFill="1" applyBorder="1" applyAlignment="1">
      <alignment horizontal="center"/>
    </xf>
    <xf numFmtId="164" fontId="6" fillId="4" borderId="25" xfId="0" applyNumberFormat="1" applyFont="1" applyFill="1" applyBorder="1" applyAlignment="1">
      <alignment horizontal="center"/>
    </xf>
    <xf numFmtId="0" fontId="2" fillId="3" borderId="8" xfId="0" applyFont="1" applyFill="1" applyBorder="1" applyAlignment="1">
      <alignment horizontal="center"/>
    </xf>
    <xf numFmtId="0" fontId="2" fillId="3" borderId="9" xfId="0" applyFont="1" applyFill="1" applyBorder="1" applyAlignment="1">
      <alignment horizontal="center"/>
    </xf>
    <xf numFmtId="164" fontId="0" fillId="4" borderId="25" xfId="0" applyNumberFormat="1" applyFill="1" applyBorder="1" applyAlignment="1">
      <alignment horizontal="center"/>
    </xf>
    <xf numFmtId="2" fontId="2" fillId="2" borderId="39" xfId="0" applyNumberFormat="1" applyFont="1" applyFill="1" applyBorder="1" applyAlignment="1">
      <alignment horizontal="center" vertical="center"/>
    </xf>
    <xf numFmtId="0" fontId="0" fillId="0" borderId="0" xfId="0" applyAlignment="1">
      <alignment horizontal="left"/>
    </xf>
    <xf numFmtId="164" fontId="0" fillId="0" borderId="0" xfId="0" applyNumberFormat="1" applyAlignment="1">
      <alignment horizontal="center"/>
    </xf>
    <xf numFmtId="0" fontId="0" fillId="0" borderId="5" xfId="0" applyBorder="1" applyAlignment="1">
      <alignment horizontal="center"/>
    </xf>
    <xf numFmtId="164" fontId="0" fillId="0" borderId="5" xfId="0" applyNumberFormat="1" applyBorder="1" applyAlignment="1">
      <alignment horizontal="center"/>
    </xf>
    <xf numFmtId="0" fontId="2" fillId="4" borderId="8" xfId="0" applyFont="1" applyFill="1" applyBorder="1" applyAlignment="1">
      <alignment horizontal="center"/>
    </xf>
    <xf numFmtId="0" fontId="2" fillId="4" borderId="9" xfId="0" applyFont="1" applyFill="1" applyBorder="1" applyAlignment="1">
      <alignment horizontal="center"/>
    </xf>
    <xf numFmtId="0" fontId="0" fillId="0" borderId="26" xfId="0" applyBorder="1" applyAlignment="1">
      <alignment horizontal="center"/>
    </xf>
    <xf numFmtId="164" fontId="2" fillId="2" borderId="27" xfId="0" applyNumberFormat="1" applyFont="1" applyFill="1" applyBorder="1" applyAlignment="1">
      <alignment horizontal="center"/>
    </xf>
    <xf numFmtId="164" fontId="0" fillId="0" borderId="0" xfId="0" applyNumberFormat="1"/>
    <xf numFmtId="0" fontId="0" fillId="0" borderId="0" xfId="0" applyBorder="1" applyAlignment="1">
      <alignment horizontal="center"/>
    </xf>
    <xf numFmtId="0" fontId="0" fillId="0" borderId="0" xfId="0" applyBorder="1" applyAlignment="1">
      <alignment horizontal="left"/>
    </xf>
    <xf numFmtId="10" fontId="0" fillId="0" borderId="9" xfId="0" applyNumberFormat="1" applyBorder="1" applyAlignment="1">
      <alignment horizontal="center"/>
    </xf>
    <xf numFmtId="0" fontId="2" fillId="0" borderId="5" xfId="0" applyFont="1" applyBorder="1" applyAlignment="1">
      <alignment horizontal="center"/>
    </xf>
    <xf numFmtId="4" fontId="0" fillId="0" borderId="27" xfId="0" applyNumberForma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4" fontId="0" fillId="0" borderId="1" xfId="0" applyNumberFormat="1" applyBorder="1" applyAlignment="1">
      <alignment horizontal="center"/>
    </xf>
    <xf numFmtId="4" fontId="0" fillId="0" borderId="3" xfId="0" applyNumberFormat="1" applyBorder="1" applyAlignment="1">
      <alignment horizontal="center"/>
    </xf>
    <xf numFmtId="164" fontId="0" fillId="2" borderId="27" xfId="0" applyNumberFormat="1" applyFill="1" applyBorder="1" applyAlignment="1">
      <alignment horizontal="center"/>
    </xf>
    <xf numFmtId="164" fontId="0" fillId="2" borderId="28" xfId="0" applyNumberFormat="1" applyFill="1" applyBorder="1" applyAlignment="1">
      <alignment horizontal="center"/>
    </xf>
    <xf numFmtId="164" fontId="0" fillId="2" borderId="27" xfId="0" applyNumberFormat="1" applyFill="1" applyBorder="1"/>
    <xf numFmtId="164" fontId="0" fillId="2" borderId="28" xfId="0" applyNumberFormat="1" applyFill="1" applyBorder="1"/>
    <xf numFmtId="164" fontId="0" fillId="0" borderId="27" xfId="0" applyNumberFormat="1" applyBorder="1" applyAlignment="1">
      <alignment horizontal="center"/>
    </xf>
    <xf numFmtId="0" fontId="1" fillId="2" borderId="23" xfId="0" applyFont="1" applyFill="1" applyBorder="1" applyAlignment="1">
      <alignment horizontal="center"/>
    </xf>
    <xf numFmtId="0" fontId="1" fillId="2" borderId="26" xfId="0" applyFont="1" applyFill="1" applyBorder="1" applyAlignment="1">
      <alignment horizontal="center"/>
    </xf>
    <xf numFmtId="8" fontId="1" fillId="2" borderId="25" xfId="0" applyNumberFormat="1" applyFont="1" applyFill="1" applyBorder="1" applyAlignment="1">
      <alignment horizontal="center"/>
    </xf>
    <xf numFmtId="9" fontId="1" fillId="2" borderId="28" xfId="0" applyNumberFormat="1" applyFont="1" applyFill="1" applyBorder="1" applyAlignment="1">
      <alignment horizontal="center"/>
    </xf>
    <xf numFmtId="0" fontId="2" fillId="0" borderId="0" xfId="0" applyFont="1" applyFill="1" applyBorder="1" applyAlignment="1">
      <alignment horizontal="center"/>
    </xf>
    <xf numFmtId="0" fontId="2" fillId="4" borderId="8" xfId="0" applyFont="1" applyFill="1" applyBorder="1" applyAlignment="1">
      <alignment horizontal="center"/>
    </xf>
    <xf numFmtId="0" fontId="1" fillId="3" borderId="7" xfId="0" applyFont="1" applyFill="1" applyBorder="1" applyAlignment="1">
      <alignment horizontal="left"/>
    </xf>
    <xf numFmtId="165" fontId="0" fillId="0" borderId="11" xfId="0" applyNumberFormat="1" applyBorder="1" applyAlignment="1">
      <alignment horizontal="center"/>
    </xf>
    <xf numFmtId="0" fontId="0" fillId="0" borderId="24" xfId="0" applyBorder="1" applyAlignment="1">
      <alignment horizontal="center"/>
    </xf>
    <xf numFmtId="164" fontId="0" fillId="0" borderId="24" xfId="0" applyNumberFormat="1" applyBorder="1" applyAlignment="1">
      <alignment horizontal="center"/>
    </xf>
    <xf numFmtId="164" fontId="0" fillId="0" borderId="0" xfId="0" applyNumberFormat="1" applyBorder="1" applyAlignment="1">
      <alignment horizontal="center"/>
    </xf>
    <xf numFmtId="0" fontId="2" fillId="2" borderId="7" xfId="0" applyFont="1" applyFill="1" applyBorder="1" applyAlignment="1">
      <alignment horizontal="left"/>
    </xf>
    <xf numFmtId="4" fontId="0" fillId="4" borderId="12" xfId="0" applyNumberFormat="1" applyFill="1" applyBorder="1" applyAlignment="1">
      <alignment horizontal="center"/>
    </xf>
    <xf numFmtId="0" fontId="2" fillId="2" borderId="8" xfId="0" applyFont="1" applyFill="1" applyBorder="1" applyAlignment="1">
      <alignment horizontal="center"/>
    </xf>
    <xf numFmtId="165" fontId="0" fillId="0" borderId="5" xfId="0" applyNumberFormat="1" applyBorder="1" applyAlignment="1">
      <alignment horizontal="center"/>
    </xf>
    <xf numFmtId="0" fontId="0" fillId="0" borderId="49" xfId="0" applyBorder="1" applyAlignment="1">
      <alignment horizontal="center"/>
    </xf>
    <xf numFmtId="0" fontId="0" fillId="0" borderId="36" xfId="0" applyBorder="1" applyAlignment="1">
      <alignment horizontal="center"/>
    </xf>
    <xf numFmtId="0" fontId="0" fillId="0" borderId="53" xfId="0" applyBorder="1" applyAlignment="1">
      <alignment horizontal="center"/>
    </xf>
    <xf numFmtId="0" fontId="0" fillId="0" borderId="51" xfId="0" applyBorder="1" applyAlignment="1">
      <alignment horizontal="center"/>
    </xf>
    <xf numFmtId="0" fontId="0" fillId="0" borderId="52" xfId="0" applyBorder="1" applyAlignment="1">
      <alignment horizontal="center"/>
    </xf>
    <xf numFmtId="1" fontId="1" fillId="3" borderId="9" xfId="0" applyNumberFormat="1" applyFont="1" applyFill="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1" fillId="0" borderId="2" xfId="0" applyFont="1" applyBorder="1" applyAlignment="1">
      <alignment horizontal="left"/>
    </xf>
    <xf numFmtId="0" fontId="1" fillId="0" borderId="26" xfId="0" applyFont="1" applyBorder="1" applyAlignment="1">
      <alignment horizontal="left"/>
    </xf>
    <xf numFmtId="0" fontId="1" fillId="2" borderId="7" xfId="0" applyFont="1" applyFill="1" applyBorder="1" applyAlignment="1">
      <alignment horizontal="left"/>
    </xf>
    <xf numFmtId="0" fontId="1" fillId="0" borderId="23" xfId="0" applyFont="1" applyBorder="1" applyAlignment="1">
      <alignment horizontal="left"/>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1" fillId="0" borderId="2" xfId="0" applyFont="1" applyBorder="1" applyAlignment="1">
      <alignment horizontal="left"/>
    </xf>
    <xf numFmtId="0" fontId="1" fillId="0" borderId="26" xfId="0" applyFont="1" applyBorder="1" applyAlignment="1">
      <alignment horizontal="left"/>
    </xf>
    <xf numFmtId="0" fontId="0" fillId="0" borderId="7" xfId="0" applyBorder="1"/>
    <xf numFmtId="0" fontId="0" fillId="0" borderId="9" xfId="0" applyBorder="1" applyAlignment="1">
      <alignment horizontal="center"/>
    </xf>
    <xf numFmtId="0" fontId="0" fillId="0" borderId="3" xfId="0" applyBorder="1" applyAlignment="1">
      <alignment horizontal="center"/>
    </xf>
    <xf numFmtId="164" fontId="0" fillId="4" borderId="12" xfId="0" applyNumberFormat="1" applyFill="1" applyBorder="1" applyAlignment="1">
      <alignment horizontal="center"/>
    </xf>
    <xf numFmtId="164" fontId="2" fillId="2" borderId="19" xfId="0" applyNumberFormat="1" applyFont="1" applyFill="1" applyBorder="1" applyAlignment="1">
      <alignment horizontal="center"/>
    </xf>
    <xf numFmtId="0" fontId="2" fillId="2" borderId="9" xfId="0" applyFont="1" applyFill="1" applyBorder="1" applyAlignment="1">
      <alignment horizontal="center"/>
    </xf>
    <xf numFmtId="164" fontId="0" fillId="0" borderId="9" xfId="0" applyNumberFormat="1" applyBorder="1" applyAlignment="1">
      <alignment horizontal="center"/>
    </xf>
    <xf numFmtId="164" fontId="0" fillId="0" borderId="3" xfId="0" applyNumberFormat="1" applyFill="1" applyBorder="1" applyAlignment="1">
      <alignment horizontal="center"/>
    </xf>
    <xf numFmtId="0" fontId="1" fillId="0" borderId="0" xfId="0" applyFont="1" applyBorder="1" applyAlignment="1">
      <alignment horizontal="center"/>
    </xf>
    <xf numFmtId="0" fontId="0" fillId="0" borderId="25" xfId="0" applyBorder="1" applyAlignment="1">
      <alignment horizontal="center"/>
    </xf>
    <xf numFmtId="0" fontId="0" fillId="0" borderId="23" xfId="0" applyBorder="1" applyAlignment="1">
      <alignment horizontal="center"/>
    </xf>
    <xf numFmtId="0" fontId="1" fillId="0" borderId="0" xfId="0" applyFont="1" applyFill="1" applyBorder="1"/>
    <xf numFmtId="164" fontId="1" fillId="0" borderId="0" xfId="0" applyNumberFormat="1" applyFont="1" applyFill="1" applyBorder="1" applyAlignment="1">
      <alignment horizontal="center"/>
    </xf>
    <xf numFmtId="0" fontId="0" fillId="0" borderId="0" xfId="0" applyFill="1" applyBorder="1"/>
    <xf numFmtId="164" fontId="0" fillId="0" borderId="0" xfId="0" applyNumberFormat="1" applyFill="1" applyBorder="1" applyAlignment="1">
      <alignment horizontal="center"/>
    </xf>
    <xf numFmtId="164" fontId="1" fillId="0" borderId="9" xfId="0" applyNumberFormat="1" applyFont="1" applyBorder="1" applyAlignment="1">
      <alignment horizontal="center"/>
    </xf>
    <xf numFmtId="0" fontId="1" fillId="0" borderId="10" xfId="0" applyFont="1" applyBorder="1"/>
    <xf numFmtId="0" fontId="1" fillId="2" borderId="7" xfId="0" applyFont="1" applyFill="1" applyBorder="1"/>
    <xf numFmtId="164" fontId="1" fillId="2" borderId="9" xfId="0" applyNumberFormat="1" applyFont="1" applyFill="1" applyBorder="1" applyAlignment="1">
      <alignment horizontal="center"/>
    </xf>
    <xf numFmtId="0" fontId="2" fillId="3" borderId="7" xfId="0" applyFont="1" applyFill="1" applyBorder="1"/>
    <xf numFmtId="164" fontId="2" fillId="3" borderId="9" xfId="0" applyNumberFormat="1" applyFont="1" applyFill="1" applyBorder="1"/>
    <xf numFmtId="0" fontId="0" fillId="0" borderId="10" xfId="0" applyBorder="1" applyAlignment="1">
      <alignment horizontal="center"/>
    </xf>
    <xf numFmtId="0" fontId="0" fillId="0" borderId="7" xfId="0" applyBorder="1" applyAlignment="1">
      <alignment horizontal="center"/>
    </xf>
    <xf numFmtId="9" fontId="0" fillId="0" borderId="24" xfId="0" applyNumberFormat="1" applyBorder="1" applyAlignment="1">
      <alignment horizontal="center"/>
    </xf>
    <xf numFmtId="0" fontId="0" fillId="0" borderId="28" xfId="0" applyBorder="1" applyAlignment="1">
      <alignment horizontal="center"/>
    </xf>
    <xf numFmtId="9" fontId="0" fillId="0" borderId="11" xfId="0" applyNumberFormat="1" applyBorder="1" applyAlignment="1">
      <alignment horizontal="center"/>
    </xf>
    <xf numFmtId="0" fontId="0" fillId="0" borderId="12" xfId="0" applyBorder="1" applyAlignment="1">
      <alignment horizontal="center"/>
    </xf>
    <xf numFmtId="9" fontId="1" fillId="0" borderId="8" xfId="0" applyNumberFormat="1" applyFont="1" applyBorder="1" applyAlignment="1">
      <alignment horizontal="center"/>
    </xf>
    <xf numFmtId="164" fontId="0" fillId="2" borderId="23" xfId="0" applyNumberFormat="1" applyFill="1" applyBorder="1" applyAlignment="1">
      <alignment horizontal="center"/>
    </xf>
    <xf numFmtId="164" fontId="0" fillId="2" borderId="10" xfId="0" applyNumberFormat="1" applyFill="1" applyBorder="1" applyAlignment="1">
      <alignment horizontal="center"/>
    </xf>
    <xf numFmtId="164" fontId="2" fillId="2" borderId="7" xfId="0" applyNumberFormat="1" applyFont="1" applyFill="1" applyBorder="1" applyAlignment="1">
      <alignment horizontal="center"/>
    </xf>
    <xf numFmtId="164" fontId="9" fillId="0" borderId="0" xfId="0" applyNumberFormat="1" applyFont="1" applyFill="1" applyBorder="1" applyAlignment="1">
      <alignment horizontal="center"/>
    </xf>
    <xf numFmtId="0" fontId="0" fillId="0" borderId="0" xfId="0" applyFill="1" applyBorder="1" applyAlignment="1">
      <alignment horizontal="center"/>
    </xf>
    <xf numFmtId="10" fontId="0" fillId="2" borderId="9" xfId="0" applyNumberFormat="1" applyFill="1" applyBorder="1" applyAlignment="1">
      <alignment horizontal="center"/>
    </xf>
    <xf numFmtId="0" fontId="6" fillId="0" borderId="0" xfId="0" applyFont="1"/>
    <xf numFmtId="0" fontId="6" fillId="0" borderId="0" xfId="0" applyFont="1" applyAlignment="1">
      <alignment horizontal="center"/>
    </xf>
    <xf numFmtId="0" fontId="9" fillId="0" borderId="0" xfId="0" applyFont="1" applyAlignment="1">
      <alignment horizontal="center"/>
    </xf>
    <xf numFmtId="0" fontId="2" fillId="3" borderId="56" xfId="0" applyFont="1" applyFill="1" applyBorder="1" applyAlignment="1">
      <alignment horizontal="center"/>
    </xf>
    <xf numFmtId="0" fontId="2" fillId="3" borderId="55" xfId="0" applyFont="1" applyFill="1" applyBorder="1" applyAlignment="1">
      <alignment horizontal="center"/>
    </xf>
    <xf numFmtId="0" fontId="5" fillId="0" borderId="7" xfId="0" applyFont="1" applyBorder="1"/>
    <xf numFmtId="0" fontId="5" fillId="0" borderId="13" xfId="0" applyFont="1" applyBorder="1"/>
    <xf numFmtId="164" fontId="0" fillId="0" borderId="39" xfId="0" applyNumberFormat="1" applyBorder="1" applyAlignment="1">
      <alignment horizontal="center"/>
    </xf>
    <xf numFmtId="10" fontId="6" fillId="0" borderId="14" xfId="0" applyNumberFormat="1" applyFont="1" applyBorder="1" applyAlignment="1">
      <alignment horizontal="center"/>
    </xf>
    <xf numFmtId="10" fontId="6" fillId="0" borderId="15" xfId="0" applyNumberFormat="1" applyFont="1" applyBorder="1" applyAlignment="1">
      <alignment horizontal="center"/>
    </xf>
    <xf numFmtId="9" fontId="6" fillId="0" borderId="39" xfId="0" applyNumberFormat="1" applyFont="1" applyBorder="1" applyAlignment="1">
      <alignment horizontal="center"/>
    </xf>
    <xf numFmtId="10" fontId="6" fillId="0" borderId="39" xfId="0" applyNumberFormat="1" applyFont="1" applyBorder="1" applyAlignment="1">
      <alignment horizontal="center"/>
    </xf>
    <xf numFmtId="10" fontId="2" fillId="0" borderId="1" xfId="0" applyNumberFormat="1" applyFont="1" applyBorder="1" applyAlignment="1">
      <alignment horizontal="center"/>
    </xf>
    <xf numFmtId="0" fontId="2" fillId="3" borderId="23" xfId="0" applyFont="1" applyFill="1" applyBorder="1" applyAlignment="1">
      <alignment horizontal="center"/>
    </xf>
    <xf numFmtId="0" fontId="2" fillId="3" borderId="25" xfId="0" applyFont="1" applyFill="1" applyBorder="1" applyAlignment="1">
      <alignment horizontal="center"/>
    </xf>
    <xf numFmtId="10" fontId="0" fillId="0" borderId="2" xfId="0" applyNumberFormat="1" applyBorder="1" applyAlignment="1">
      <alignment horizontal="center"/>
    </xf>
    <xf numFmtId="164" fontId="0" fillId="0" borderId="1" xfId="0" applyNumberFormat="1" applyFill="1" applyBorder="1" applyAlignment="1">
      <alignment horizontal="center"/>
    </xf>
    <xf numFmtId="0" fontId="0" fillId="0" borderId="23" xfId="0" applyBorder="1"/>
    <xf numFmtId="164" fontId="2" fillId="3" borderId="24" xfId="0" applyNumberFormat="1" applyFont="1" applyFill="1" applyBorder="1" applyAlignment="1">
      <alignment horizontal="center"/>
    </xf>
    <xf numFmtId="0" fontId="2" fillId="0" borderId="28" xfId="0" applyFont="1" applyBorder="1" applyAlignment="1">
      <alignment horizontal="center"/>
    </xf>
    <xf numFmtId="164" fontId="2" fillId="0" borderId="27" xfId="0" applyNumberFormat="1" applyFont="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0" borderId="24"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28" xfId="0" applyFont="1" applyBorder="1" applyAlignment="1">
      <alignment horizontal="center" vertical="center" wrapText="1"/>
    </xf>
    <xf numFmtId="0" fontId="2" fillId="2" borderId="13" xfId="0" applyFont="1" applyFill="1" applyBorder="1" applyAlignment="1">
      <alignment horizontal="left"/>
    </xf>
    <xf numFmtId="0" fontId="2" fillId="2" borderId="14" xfId="0" applyFont="1" applyFill="1" applyBorder="1" applyAlignment="1">
      <alignment horizontal="left"/>
    </xf>
    <xf numFmtId="0" fontId="2" fillId="2" borderId="16" xfId="0" applyFont="1" applyFill="1" applyBorder="1" applyAlignment="1">
      <alignment horizontal="left"/>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2" borderId="33" xfId="0" applyFont="1" applyFill="1" applyBorder="1" applyAlignment="1">
      <alignment horizontal="left"/>
    </xf>
    <xf numFmtId="0" fontId="2" fillId="2" borderId="17" xfId="0" applyFont="1" applyFill="1" applyBorder="1" applyAlignment="1">
      <alignment horizontal="left"/>
    </xf>
    <xf numFmtId="0" fontId="2" fillId="2" borderId="22" xfId="0" applyFont="1" applyFill="1" applyBorder="1" applyAlignment="1">
      <alignment horizontal="left"/>
    </xf>
    <xf numFmtId="0" fontId="0" fillId="0" borderId="23" xfId="0" applyFont="1" applyBorder="1" applyAlignment="1">
      <alignment horizontal="left"/>
    </xf>
    <xf numFmtId="0" fontId="0" fillId="0" borderId="24" xfId="0" applyFont="1" applyBorder="1" applyAlignment="1">
      <alignment horizontal="left"/>
    </xf>
    <xf numFmtId="0" fontId="0" fillId="0" borderId="2" xfId="0" applyFont="1" applyBorder="1" applyAlignment="1">
      <alignment horizontal="left"/>
    </xf>
    <xf numFmtId="0" fontId="0" fillId="0" borderId="1" xfId="0" applyFont="1" applyBorder="1" applyAlignment="1">
      <alignment horizontal="left"/>
    </xf>
    <xf numFmtId="0" fontId="0" fillId="0" borderId="26" xfId="0" applyFont="1" applyBorder="1" applyAlignment="1">
      <alignment horizontal="left"/>
    </xf>
    <xf numFmtId="0" fontId="0" fillId="0" borderId="27" xfId="0" applyFont="1" applyBorder="1" applyAlignment="1">
      <alignment horizontal="left"/>
    </xf>
    <xf numFmtId="0" fontId="1" fillId="0" borderId="33" xfId="0" applyFont="1" applyBorder="1" applyAlignment="1">
      <alignment horizontal="left"/>
    </xf>
    <xf numFmtId="0" fontId="1" fillId="0" borderId="43" xfId="0" applyFont="1" applyBorder="1" applyAlignment="1">
      <alignment horizontal="left"/>
    </xf>
    <xf numFmtId="0" fontId="2" fillId="3" borderId="23" xfId="0" applyFont="1" applyFill="1" applyBorder="1" applyAlignment="1">
      <alignment horizontal="center"/>
    </xf>
    <xf numFmtId="0" fontId="2" fillId="3" borderId="24" xfId="0" applyFont="1" applyFill="1" applyBorder="1" applyAlignment="1">
      <alignment horizontal="center"/>
    </xf>
    <xf numFmtId="0" fontId="2" fillId="3" borderId="25" xfId="0" applyFont="1" applyFill="1" applyBorder="1" applyAlignment="1">
      <alignment horizontal="center"/>
    </xf>
    <xf numFmtId="0" fontId="1" fillId="4" borderId="23" xfId="0" applyFont="1" applyFill="1" applyBorder="1" applyAlignment="1">
      <alignment horizontal="left"/>
    </xf>
    <xf numFmtId="0" fontId="1" fillId="4" borderId="24" xfId="0" applyFont="1" applyFill="1" applyBorder="1" applyAlignment="1">
      <alignment horizontal="left"/>
    </xf>
    <xf numFmtId="0" fontId="1" fillId="2" borderId="23" xfId="0" applyFont="1" applyFill="1" applyBorder="1" applyAlignment="1">
      <alignment horizontal="left"/>
    </xf>
    <xf numFmtId="0" fontId="1" fillId="2" borderId="24" xfId="0" applyFont="1" applyFill="1" applyBorder="1" applyAlignment="1">
      <alignment horizontal="left"/>
    </xf>
    <xf numFmtId="0" fontId="12" fillId="0" borderId="50" xfId="0" applyFont="1" applyBorder="1" applyAlignment="1">
      <alignment horizontal="center" vertical="center" wrapText="1"/>
    </xf>
    <xf numFmtId="0" fontId="12" fillId="0" borderId="52" xfId="0" applyFont="1" applyBorder="1" applyAlignment="1">
      <alignment horizontal="center" vertical="center" wrapText="1"/>
    </xf>
    <xf numFmtId="0" fontId="2" fillId="0" borderId="47"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30"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2" borderId="29" xfId="0" applyFont="1" applyFill="1" applyBorder="1" applyAlignment="1">
      <alignment horizontal="left"/>
    </xf>
    <xf numFmtId="0" fontId="2" fillId="2" borderId="30" xfId="0" applyFont="1" applyFill="1" applyBorder="1" applyAlignment="1">
      <alignment horizontal="left"/>
    </xf>
    <xf numFmtId="0" fontId="2" fillId="2" borderId="7" xfId="0" applyFont="1" applyFill="1" applyBorder="1" applyAlignment="1">
      <alignment horizontal="left"/>
    </xf>
    <xf numFmtId="0" fontId="2" fillId="2" borderId="8" xfId="0" applyFont="1" applyFill="1" applyBorder="1" applyAlignment="1">
      <alignment horizontal="left"/>
    </xf>
    <xf numFmtId="0" fontId="2" fillId="3" borderId="13" xfId="0" applyFont="1" applyFill="1" applyBorder="1" applyAlignment="1">
      <alignment horizontal="center"/>
    </xf>
    <xf numFmtId="0" fontId="2" fillId="3" borderId="14" xfId="0" applyFont="1" applyFill="1" applyBorder="1" applyAlignment="1">
      <alignment horizontal="center"/>
    </xf>
    <xf numFmtId="0" fontId="2" fillId="3" borderId="15" xfId="0" applyFont="1" applyFill="1" applyBorder="1" applyAlignment="1">
      <alignment horizontal="center"/>
    </xf>
    <xf numFmtId="0" fontId="1" fillId="0" borderId="35" xfId="0" applyFont="1" applyBorder="1" applyAlignment="1">
      <alignment horizontal="left"/>
    </xf>
    <xf numFmtId="0" fontId="1" fillId="0" borderId="36" xfId="0" applyFont="1" applyBorder="1" applyAlignment="1">
      <alignment horizontal="left"/>
    </xf>
    <xf numFmtId="0" fontId="2" fillId="0" borderId="45" xfId="0" applyFont="1" applyBorder="1" applyAlignment="1">
      <alignment horizontal="center"/>
    </xf>
    <xf numFmtId="0" fontId="2" fillId="0" borderId="46" xfId="0" applyFont="1" applyBorder="1" applyAlignment="1">
      <alignment horizontal="center"/>
    </xf>
    <xf numFmtId="0" fontId="2" fillId="5" borderId="7" xfId="0" applyFont="1" applyFill="1" applyBorder="1" applyAlignment="1">
      <alignment horizontal="center"/>
    </xf>
    <xf numFmtId="0" fontId="2" fillId="5" borderId="8" xfId="0" applyFont="1" applyFill="1" applyBorder="1" applyAlignment="1">
      <alignment horizontal="center"/>
    </xf>
    <xf numFmtId="0" fontId="2" fillId="5" borderId="9" xfId="0" applyFont="1" applyFill="1" applyBorder="1" applyAlignment="1">
      <alignment horizontal="center"/>
    </xf>
    <xf numFmtId="0" fontId="1" fillId="2" borderId="13" xfId="0" applyFont="1" applyFill="1" applyBorder="1" applyAlignment="1">
      <alignment horizontal="left"/>
    </xf>
    <xf numFmtId="0" fontId="1" fillId="2" borderId="14" xfId="0" applyFont="1" applyFill="1" applyBorder="1" applyAlignment="1">
      <alignment horizontal="left"/>
    </xf>
    <xf numFmtId="0" fontId="1" fillId="2" borderId="16" xfId="0" applyFont="1" applyFill="1" applyBorder="1" applyAlignment="1">
      <alignment horizontal="left"/>
    </xf>
    <xf numFmtId="0" fontId="1" fillId="0" borderId="37" xfId="0" applyFont="1" applyBorder="1" applyAlignment="1">
      <alignment horizontal="left"/>
    </xf>
    <xf numFmtId="0" fontId="1" fillId="0" borderId="38" xfId="0" applyFont="1" applyBorder="1" applyAlignment="1">
      <alignment horizontal="left"/>
    </xf>
    <xf numFmtId="0" fontId="1" fillId="0" borderId="30" xfId="0" applyFont="1" applyBorder="1" applyAlignment="1">
      <alignment horizontal="left"/>
    </xf>
    <xf numFmtId="0" fontId="1" fillId="0" borderId="4" xfId="0" applyFont="1" applyBorder="1" applyAlignment="1">
      <alignment horizontal="center"/>
    </xf>
    <xf numFmtId="0" fontId="1" fillId="0" borderId="5" xfId="0" applyFont="1" applyBorder="1" applyAlignment="1">
      <alignment horizontal="center"/>
    </xf>
    <xf numFmtId="0" fontId="1" fillId="0" borderId="13" xfId="0" applyFont="1" applyBorder="1" applyAlignment="1">
      <alignment horizontal="center"/>
    </xf>
    <xf numFmtId="0" fontId="1" fillId="0" borderId="15" xfId="0" applyFont="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1" fillId="0" borderId="2" xfId="0" applyFont="1" applyBorder="1" applyAlignment="1">
      <alignment horizontal="left"/>
    </xf>
    <xf numFmtId="0" fontId="1" fillId="0" borderId="1" xfId="0" applyFont="1" applyBorder="1" applyAlignment="1">
      <alignment horizontal="left"/>
    </xf>
    <xf numFmtId="0" fontId="1" fillId="0" borderId="26" xfId="0" applyFont="1" applyBorder="1" applyAlignment="1">
      <alignment horizontal="left"/>
    </xf>
    <xf numFmtId="0" fontId="1" fillId="0" borderId="27" xfId="0" applyFont="1"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1" fillId="2" borderId="7" xfId="0" applyFont="1" applyFill="1" applyBorder="1" applyAlignment="1">
      <alignment horizontal="left"/>
    </xf>
    <xf numFmtId="0" fontId="1" fillId="2" borderId="8" xfId="0" applyFont="1" applyFill="1" applyBorder="1" applyAlignment="1">
      <alignment horizontal="left"/>
    </xf>
    <xf numFmtId="0" fontId="0" fillId="0" borderId="29" xfId="0" applyBorder="1" applyAlignment="1">
      <alignment horizontal="left"/>
    </xf>
    <xf numFmtId="0" fontId="0" fillId="0" borderId="30" xfId="0" applyBorder="1" applyAlignment="1">
      <alignment horizontal="left"/>
    </xf>
    <xf numFmtId="0" fontId="0" fillId="0" borderId="34" xfId="0" applyBorder="1" applyAlignment="1">
      <alignment horizontal="left"/>
    </xf>
    <xf numFmtId="0" fontId="0" fillId="0" borderId="47"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1" fillId="2" borderId="2" xfId="0" applyFont="1" applyFill="1" applyBorder="1" applyAlignment="1">
      <alignment horizontal="left"/>
    </xf>
    <xf numFmtId="0" fontId="1" fillId="2" borderId="1" xfId="0" applyFont="1" applyFill="1" applyBorder="1" applyAlignment="1">
      <alignment horizontal="left"/>
    </xf>
    <xf numFmtId="0" fontId="1" fillId="2" borderId="3" xfId="0" applyFont="1" applyFill="1" applyBorder="1" applyAlignment="1">
      <alignment horizontal="left"/>
    </xf>
    <xf numFmtId="0" fontId="1" fillId="2" borderId="34" xfId="0" applyFont="1" applyFill="1" applyBorder="1" applyAlignment="1">
      <alignment horizontal="left"/>
    </xf>
    <xf numFmtId="0" fontId="1" fillId="2" borderId="47" xfId="0" applyFont="1" applyFill="1" applyBorder="1" applyAlignment="1">
      <alignment horizontal="left"/>
    </xf>
    <xf numFmtId="0" fontId="1" fillId="2" borderId="29" xfId="0" applyFont="1" applyFill="1" applyBorder="1" applyAlignment="1">
      <alignment horizontal="left"/>
    </xf>
    <xf numFmtId="0" fontId="1" fillId="2" borderId="30" xfId="0" applyFont="1" applyFill="1" applyBorder="1" applyAlignment="1">
      <alignment horizontal="left"/>
    </xf>
    <xf numFmtId="0" fontId="0" fillId="4" borderId="23" xfId="0" applyFont="1" applyFill="1" applyBorder="1" applyAlignment="1">
      <alignment horizontal="left"/>
    </xf>
    <xf numFmtId="0" fontId="0" fillId="4" borderId="24" xfId="0" applyFont="1" applyFill="1" applyBorder="1" applyAlignment="1">
      <alignment horizontal="left"/>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0" fillId="4" borderId="10" xfId="0" applyFont="1" applyFill="1" applyBorder="1" applyAlignment="1">
      <alignment horizontal="left"/>
    </xf>
    <xf numFmtId="0" fontId="0" fillId="4" borderId="11" xfId="0" applyFont="1" applyFill="1" applyBorder="1" applyAlignment="1">
      <alignment horizontal="left"/>
    </xf>
    <xf numFmtId="0" fontId="1" fillId="2" borderId="33" xfId="0" applyFont="1" applyFill="1" applyBorder="1" applyAlignment="1">
      <alignment horizontal="left"/>
    </xf>
    <xf numFmtId="0" fontId="1" fillId="2" borderId="22" xfId="0" applyFont="1" applyFill="1" applyBorder="1" applyAlignment="1">
      <alignment horizontal="left"/>
    </xf>
    <xf numFmtId="0" fontId="5" fillId="4" borderId="2" xfId="0" applyFont="1" applyFill="1" applyBorder="1" applyAlignment="1">
      <alignment horizontal="center"/>
    </xf>
    <xf numFmtId="0" fontId="5" fillId="4" borderId="1" xfId="0" applyFont="1" applyFill="1" applyBorder="1" applyAlignment="1">
      <alignment horizontal="center"/>
    </xf>
    <xf numFmtId="0" fontId="5" fillId="4" borderId="10" xfId="0" applyFont="1" applyFill="1" applyBorder="1" applyAlignment="1">
      <alignment horizontal="center"/>
    </xf>
    <xf numFmtId="0" fontId="5" fillId="4" borderId="11" xfId="0" applyFont="1" applyFill="1" applyBorder="1" applyAlignment="1">
      <alignment horizontal="center"/>
    </xf>
    <xf numFmtId="0" fontId="0" fillId="2" borderId="16" xfId="0" applyFill="1" applyBorder="1" applyAlignment="1">
      <alignment horizontal="center"/>
    </xf>
    <xf numFmtId="0" fontId="1" fillId="2" borderId="26" xfId="0" applyFont="1" applyFill="1" applyBorder="1" applyAlignment="1">
      <alignment horizontal="left"/>
    </xf>
    <xf numFmtId="0" fontId="1" fillId="2" borderId="27" xfId="0" applyFont="1" applyFill="1" applyBorder="1" applyAlignment="1">
      <alignment horizontal="left"/>
    </xf>
    <xf numFmtId="0" fontId="2" fillId="4" borderId="7" xfId="0" applyFont="1" applyFill="1" applyBorder="1" applyAlignment="1">
      <alignment horizontal="center"/>
    </xf>
    <xf numFmtId="0" fontId="2" fillId="4" borderId="8" xfId="0" applyFont="1" applyFill="1" applyBorder="1" applyAlignment="1">
      <alignment horizontal="center"/>
    </xf>
    <xf numFmtId="0" fontId="5" fillId="4" borderId="4" xfId="0" applyFont="1" applyFill="1" applyBorder="1" applyAlignment="1">
      <alignment horizontal="center"/>
    </xf>
    <xf numFmtId="0" fontId="5" fillId="4" borderId="5" xfId="0" applyFont="1" applyFill="1" applyBorder="1" applyAlignment="1">
      <alignment horizontal="center"/>
    </xf>
    <xf numFmtId="0" fontId="1" fillId="0" borderId="10" xfId="0" applyFont="1" applyBorder="1" applyAlignment="1">
      <alignment horizontal="left"/>
    </xf>
    <xf numFmtId="0" fontId="1" fillId="0" borderId="11" xfId="0" applyFont="1" applyBorder="1" applyAlignment="1">
      <alignment horizontal="left"/>
    </xf>
    <xf numFmtId="0" fontId="1" fillId="0" borderId="31" xfId="0" applyFont="1" applyBorder="1" applyAlignment="1">
      <alignment horizontal="left"/>
    </xf>
    <xf numFmtId="0" fontId="1" fillId="0" borderId="20" xfId="0" applyFont="1" applyBorder="1" applyAlignment="1">
      <alignment horizontal="left"/>
    </xf>
    <xf numFmtId="0" fontId="1" fillId="2" borderId="7" xfId="0" applyFont="1" applyFill="1" applyBorder="1" applyAlignment="1">
      <alignment horizontal="center"/>
    </xf>
    <xf numFmtId="0" fontId="1" fillId="2" borderId="8" xfId="0" applyFont="1" applyFill="1" applyBorder="1" applyAlignment="1">
      <alignment horizontal="center"/>
    </xf>
    <xf numFmtId="0" fontId="2" fillId="4" borderId="13" xfId="0" applyFont="1" applyFill="1" applyBorder="1" applyAlignment="1">
      <alignment horizontal="center"/>
    </xf>
    <xf numFmtId="0" fontId="2" fillId="4" borderId="14" xfId="0" applyFont="1" applyFill="1" applyBorder="1" applyAlignment="1">
      <alignment horizontal="center"/>
    </xf>
    <xf numFmtId="0" fontId="2" fillId="4" borderId="16" xfId="0" applyFont="1" applyFill="1" applyBorder="1" applyAlignment="1">
      <alignment horizontal="center"/>
    </xf>
    <xf numFmtId="0" fontId="1" fillId="0" borderId="23" xfId="0" applyFont="1" applyBorder="1" applyAlignment="1">
      <alignment horizontal="left"/>
    </xf>
    <xf numFmtId="0" fontId="1" fillId="0" borderId="24" xfId="0" applyFont="1" applyBorder="1" applyAlignment="1">
      <alignment horizontal="left"/>
    </xf>
    <xf numFmtId="0" fontId="2" fillId="2" borderId="29" xfId="0" applyFont="1" applyFill="1" applyBorder="1" applyAlignment="1">
      <alignment horizontal="center"/>
    </xf>
    <xf numFmtId="0" fontId="2" fillId="2" borderId="48" xfId="0" applyFont="1" applyFill="1" applyBorder="1" applyAlignment="1">
      <alignment horizontal="center"/>
    </xf>
    <xf numFmtId="0" fontId="2" fillId="2" borderId="30" xfId="0" applyFont="1" applyFill="1" applyBorder="1" applyAlignment="1">
      <alignment horizontal="center"/>
    </xf>
    <xf numFmtId="0" fontId="1" fillId="0" borderId="34" xfId="0" applyFont="1" applyBorder="1" applyAlignment="1">
      <alignment horizontal="left"/>
    </xf>
    <xf numFmtId="0" fontId="1" fillId="0" borderId="47" xfId="0" applyFont="1" applyBorder="1" applyAlignment="1">
      <alignment horizontal="left"/>
    </xf>
    <xf numFmtId="0" fontId="0" fillId="2" borderId="29" xfId="0" applyFill="1" applyBorder="1" applyAlignment="1">
      <alignment horizontal="center"/>
    </xf>
    <xf numFmtId="0" fontId="0" fillId="2" borderId="48" xfId="0" applyFill="1" applyBorder="1" applyAlignment="1">
      <alignment horizontal="center"/>
    </xf>
    <xf numFmtId="0" fontId="0" fillId="2" borderId="30" xfId="0" applyFill="1" applyBorder="1" applyAlignment="1">
      <alignment horizontal="center"/>
    </xf>
    <xf numFmtId="0" fontId="2" fillId="0" borderId="4" xfId="0" applyFont="1" applyBorder="1" applyAlignment="1">
      <alignment horizontal="left"/>
    </xf>
    <xf numFmtId="0" fontId="2" fillId="0" borderId="5"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2" fillId="0" borderId="34" xfId="0" applyFont="1" applyBorder="1" applyAlignment="1">
      <alignment horizontal="left"/>
    </xf>
    <xf numFmtId="0" fontId="2" fillId="0" borderId="47" xfId="0" applyFont="1" applyBorder="1" applyAlignment="1">
      <alignment horizontal="left"/>
    </xf>
    <xf numFmtId="0" fontId="2" fillId="0" borderId="23" xfId="0" applyFont="1" applyBorder="1" applyAlignment="1">
      <alignment horizontal="left"/>
    </xf>
    <xf numFmtId="0" fontId="2" fillId="0" borderId="24" xfId="0" applyFont="1" applyBorder="1" applyAlignment="1">
      <alignment horizontal="left"/>
    </xf>
    <xf numFmtId="0" fontId="2" fillId="3" borderId="40" xfId="0" applyFont="1" applyFill="1" applyBorder="1" applyAlignment="1">
      <alignment horizontal="center"/>
    </xf>
    <xf numFmtId="0" fontId="2" fillId="3" borderId="41" xfId="0" applyFont="1" applyFill="1" applyBorder="1" applyAlignment="1">
      <alignment horizontal="center"/>
    </xf>
    <xf numFmtId="0" fontId="2" fillId="3" borderId="42" xfId="0" applyFont="1" applyFill="1" applyBorder="1" applyAlignment="1">
      <alignment horizontal="center"/>
    </xf>
    <xf numFmtId="0" fontId="2" fillId="3" borderId="55" xfId="0" applyFont="1" applyFill="1" applyBorder="1" applyAlignment="1">
      <alignment horizontal="center" vertical="center" wrapText="1"/>
    </xf>
    <xf numFmtId="0" fontId="2" fillId="3" borderId="57" xfId="0" applyFont="1" applyFill="1" applyBorder="1" applyAlignment="1">
      <alignment horizontal="center" vertical="center" wrapText="1"/>
    </xf>
    <xf numFmtId="0" fontId="5" fillId="0" borderId="0" xfId="0" applyFont="1" applyAlignment="1">
      <alignment horizontal="left"/>
    </xf>
    <xf numFmtId="0" fontId="5" fillId="0" borderId="54"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28575</xdr:colOff>
      <xdr:row>14</xdr:row>
      <xdr:rowOff>0</xdr:rowOff>
    </xdr:from>
    <xdr:to>
      <xdr:col>9</xdr:col>
      <xdr:colOff>752475</xdr:colOff>
      <xdr:row>17</xdr:row>
      <xdr:rowOff>47625</xdr:rowOff>
    </xdr:to>
    <xdr:sp macro="" textlink="">
      <xdr:nvSpPr>
        <xdr:cNvPr id="2" name="1 CuadroTexto"/>
        <xdr:cNvSpPr txBox="1"/>
      </xdr:nvSpPr>
      <xdr:spPr>
        <a:xfrm>
          <a:off x="3409950" y="2933700"/>
          <a:ext cx="4533900"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100" b="0" i="0">
              <a:solidFill>
                <a:schemeClr val="dk1"/>
              </a:solidFill>
              <a:effectLst/>
              <a:latin typeface="+mn-lt"/>
              <a:ea typeface="+mn-ea"/>
              <a:cs typeface="+mn-cs"/>
            </a:rPr>
            <a:t>En nuestro</a:t>
          </a:r>
          <a:r>
            <a:rPr lang="es-EC" sz="1100" b="0" i="0" baseline="0">
              <a:solidFill>
                <a:schemeClr val="dk1"/>
              </a:solidFill>
              <a:effectLst/>
              <a:latin typeface="+mn-lt"/>
              <a:ea typeface="+mn-ea"/>
              <a:cs typeface="+mn-cs"/>
            </a:rPr>
            <a:t> proyecto </a:t>
          </a:r>
          <a:r>
            <a:rPr lang="es-EC" sz="1100" b="0" i="0">
              <a:solidFill>
                <a:schemeClr val="dk1"/>
              </a:solidFill>
              <a:effectLst/>
              <a:latin typeface="+mn-lt"/>
              <a:ea typeface="+mn-ea"/>
              <a:cs typeface="+mn-cs"/>
            </a:rPr>
            <a:t>el margen de contribución unitario es de $ 0,18 por el cual nos permite cubrir el costo fijo unitario de $ 0,06 y nos queda una ganancia por libra de pollo de $ 0,12.</a:t>
          </a:r>
          <a:endParaRPr lang="es-EC" sz="1100"/>
        </a:p>
      </xdr:txBody>
    </xdr:sp>
    <xdr:clientData/>
  </xdr:twoCellAnchor>
  <xdr:twoCellAnchor>
    <xdr:from>
      <xdr:col>4</xdr:col>
      <xdr:colOff>38100</xdr:colOff>
      <xdr:row>22</xdr:row>
      <xdr:rowOff>19050</xdr:rowOff>
    </xdr:from>
    <xdr:to>
      <xdr:col>9</xdr:col>
      <xdr:colOff>752475</xdr:colOff>
      <xdr:row>24</xdr:row>
      <xdr:rowOff>66675</xdr:rowOff>
    </xdr:to>
    <xdr:sp macro="" textlink="">
      <xdr:nvSpPr>
        <xdr:cNvPr id="3" name="2 CuadroTexto"/>
        <xdr:cNvSpPr txBox="1"/>
      </xdr:nvSpPr>
      <xdr:spPr>
        <a:xfrm>
          <a:off x="3619500" y="4305300"/>
          <a:ext cx="452437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100"/>
            <a:t>Utilidad  anual de $110.251,02 antes</a:t>
          </a:r>
          <a:r>
            <a:rPr lang="es-EC" sz="1100" baseline="0"/>
            <a:t> de impuestos (SRI -&gt; IVA, IR)  y permisos de funcionamiento (Municipio, Bombero, Salud,etc.)</a:t>
          </a:r>
          <a:endParaRPr lang="es-EC"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752476</xdr:colOff>
      <xdr:row>1</xdr:row>
      <xdr:rowOff>171450</xdr:rowOff>
    </xdr:from>
    <xdr:to>
      <xdr:col>10</xdr:col>
      <xdr:colOff>276226</xdr:colOff>
      <xdr:row>5</xdr:row>
      <xdr:rowOff>9525</xdr:rowOff>
    </xdr:to>
    <xdr:sp macro="" textlink="">
      <xdr:nvSpPr>
        <xdr:cNvPr id="2" name="1 CuadroTexto"/>
        <xdr:cNvSpPr txBox="1"/>
      </xdr:nvSpPr>
      <xdr:spPr>
        <a:xfrm>
          <a:off x="3381376" y="361950"/>
          <a:ext cx="485775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100" b="0" i="0">
              <a:solidFill>
                <a:schemeClr val="dk1"/>
              </a:solidFill>
              <a:effectLst/>
              <a:latin typeface="+mn-lt"/>
              <a:ea typeface="+mn-ea"/>
              <a:cs typeface="+mn-cs"/>
            </a:rPr>
            <a:t>Esto quiere decir que la empresa debe vender un mínimo de 360.577,68 LIBRAS al</a:t>
          </a:r>
          <a:r>
            <a:rPr lang="es-EC" sz="1100" b="0" i="0" baseline="0">
              <a:solidFill>
                <a:schemeClr val="dk1"/>
              </a:solidFill>
              <a:effectLst/>
              <a:latin typeface="+mn-lt"/>
              <a:ea typeface="+mn-ea"/>
              <a:cs typeface="+mn-cs"/>
            </a:rPr>
            <a:t> año</a:t>
          </a:r>
          <a:r>
            <a:rPr lang="es-EC" sz="1100" b="0" i="0">
              <a:solidFill>
                <a:schemeClr val="dk1"/>
              </a:solidFill>
              <a:effectLst/>
              <a:latin typeface="+mn-lt"/>
              <a:ea typeface="+mn-ea"/>
              <a:cs typeface="+mn-cs"/>
            </a:rPr>
            <a:t> para no ganar ni perder dinero.  Eso equivale a un faenamiento diario aproximado de 286 pollos.</a:t>
          </a:r>
          <a:endParaRPr lang="es-EC" sz="1100"/>
        </a:p>
      </xdr:txBody>
    </xdr:sp>
    <xdr:clientData/>
  </xdr:twoCellAnchor>
  <xdr:twoCellAnchor editAs="oneCell">
    <xdr:from>
      <xdr:col>5</xdr:col>
      <xdr:colOff>247649</xdr:colOff>
      <xdr:row>11</xdr:row>
      <xdr:rowOff>9525</xdr:rowOff>
    </xdr:from>
    <xdr:to>
      <xdr:col>10</xdr:col>
      <xdr:colOff>38100</xdr:colOff>
      <xdr:row>17</xdr:row>
      <xdr:rowOff>133351</xdr:rowOff>
    </xdr:to>
    <xdr:pic>
      <xdr:nvPicPr>
        <xdr:cNvPr id="4" name="3 Imagen"/>
        <xdr:cNvPicPr>
          <a:picLocks noChangeAspect="1"/>
        </xdr:cNvPicPr>
      </xdr:nvPicPr>
      <xdr:blipFill rotWithShape="1">
        <a:blip xmlns:r="http://schemas.openxmlformats.org/officeDocument/2006/relationships" r:embed="rId1"/>
        <a:srcRect l="6544" t="41021" r="56538" b="41659"/>
        <a:stretch/>
      </xdr:blipFill>
      <xdr:spPr>
        <a:xfrm>
          <a:off x="4400549" y="2581275"/>
          <a:ext cx="3600451" cy="1266826"/>
        </a:xfrm>
        <a:prstGeom prst="rect">
          <a:avLst/>
        </a:prstGeom>
        <a:solidFill>
          <a:sysClr val="window" lastClr="FFFFFF"/>
        </a:solid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247650</xdr:colOff>
      <xdr:row>0</xdr:row>
      <xdr:rowOff>133346</xdr:rowOff>
    </xdr:from>
    <xdr:to>
      <xdr:col>7</xdr:col>
      <xdr:colOff>76200</xdr:colOff>
      <xdr:row>216</xdr:row>
      <xdr:rowOff>57150</xdr:rowOff>
    </xdr:to>
    <xdr:sp macro="" textlink="">
      <xdr:nvSpPr>
        <xdr:cNvPr id="2" name="1 CuadroTexto"/>
        <xdr:cNvSpPr txBox="1"/>
      </xdr:nvSpPr>
      <xdr:spPr>
        <a:xfrm>
          <a:off x="247650" y="133346"/>
          <a:ext cx="5162550" cy="410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EC" b="1" i="0">
              <a:solidFill>
                <a:srgbClr val="334D55"/>
              </a:solidFill>
              <a:effectLst/>
              <a:latin typeface="Arial"/>
            </a:rPr>
            <a:t>Tipos de costos</a:t>
          </a:r>
        </a:p>
        <a:p>
          <a:pPr algn="l"/>
          <a:r>
            <a:rPr lang="es-EC" b="0" i="0">
              <a:solidFill>
                <a:srgbClr val="333333"/>
              </a:solidFill>
              <a:effectLst/>
              <a:latin typeface="Arial"/>
            </a:rPr>
            <a:t>Es necesario clasificar los costos de acuerdo a categorías o grupos, de manera tal que posean ciertas características comunes para poder realizar los cálculos, el análisis y presentar la información que puede ser utilizada para la toma de decisiones.</a:t>
          </a:r>
        </a:p>
        <a:p>
          <a:pPr algn="l"/>
          <a:endParaRPr lang="es-EC" b="0" i="0">
            <a:solidFill>
              <a:srgbClr val="333333"/>
            </a:solidFill>
            <a:effectLst/>
            <a:latin typeface="Arial"/>
          </a:endParaRPr>
        </a:p>
        <a:p>
          <a:pPr algn="l">
            <a:buFont typeface="+mj-lt"/>
            <a:buAutoNum type="arabicPeriod"/>
          </a:pPr>
          <a:r>
            <a:rPr lang="es-EC" b="1" i="0">
              <a:solidFill>
                <a:srgbClr val="333333"/>
              </a:solidFill>
              <a:effectLst/>
              <a:latin typeface="Arial"/>
            </a:rPr>
            <a:t> Clasificación según la función que cumplen</a:t>
          </a:r>
          <a:endParaRPr lang="es-EC" b="0" i="0">
            <a:solidFill>
              <a:srgbClr val="333333"/>
            </a:solidFill>
            <a:effectLst/>
            <a:latin typeface="Arial"/>
          </a:endParaRPr>
        </a:p>
        <a:p>
          <a:pPr marL="742950" lvl="1" indent="-285750" algn="l">
            <a:buFont typeface="+mj-lt"/>
            <a:buAutoNum type="arabicPeriod"/>
          </a:pPr>
          <a:r>
            <a:rPr lang="es-EC" b="1" i="0">
              <a:solidFill>
                <a:srgbClr val="333333"/>
              </a:solidFill>
              <a:effectLst/>
              <a:latin typeface="Arial"/>
            </a:rPr>
            <a:t>Costo de Producción</a:t>
          </a:r>
          <a:r>
            <a:rPr lang="es-EC" b="0" i="0">
              <a:solidFill>
                <a:srgbClr val="333333"/>
              </a:solidFill>
              <a:effectLst/>
              <a:latin typeface="Arial"/>
            </a:rPr>
            <a:t/>
          </a:r>
          <a:br>
            <a:rPr lang="es-EC" b="0" i="0">
              <a:solidFill>
                <a:srgbClr val="333333"/>
              </a:solidFill>
              <a:effectLst/>
              <a:latin typeface="Arial"/>
            </a:rPr>
          </a:br>
          <a:r>
            <a:rPr lang="es-EC" b="0" i="0">
              <a:solidFill>
                <a:srgbClr val="333333"/>
              </a:solidFill>
              <a:effectLst/>
              <a:latin typeface="Arial"/>
            </a:rPr>
            <a:t>Son los que permiten obtener determinados bienes a partir de otros, mediante el empleo de un proceso de transformación. Por ejemplo:</a:t>
          </a:r>
        </a:p>
        <a:p>
          <a:pPr marL="1143000" lvl="2" indent="-228600" algn="l">
            <a:buFont typeface="+mj-lt"/>
            <a:buAutoNum type="arabicPeriod"/>
          </a:pPr>
          <a:r>
            <a:rPr lang="es-EC" b="0" i="0">
              <a:solidFill>
                <a:srgbClr val="333333"/>
              </a:solidFill>
              <a:effectLst/>
              <a:latin typeface="Arial"/>
            </a:rPr>
            <a:t>Costo de la materia prima y materiales que intervienen en el proceso productivo</a:t>
          </a:r>
        </a:p>
        <a:p>
          <a:pPr marL="1143000" lvl="2" indent="-228600" algn="l">
            <a:buFont typeface="+mj-lt"/>
            <a:buAutoNum type="arabicPeriod"/>
          </a:pPr>
          <a:r>
            <a:rPr lang="es-EC" b="0" i="0">
              <a:solidFill>
                <a:srgbClr val="333333"/>
              </a:solidFill>
              <a:effectLst/>
              <a:latin typeface="Arial"/>
            </a:rPr>
            <a:t>Sueldos y cargas sociales del personal de producción.</a:t>
          </a:r>
        </a:p>
        <a:p>
          <a:pPr marL="1143000" lvl="2" indent="-228600" algn="l">
            <a:buFont typeface="+mj-lt"/>
            <a:buAutoNum type="arabicPeriod"/>
          </a:pPr>
          <a:r>
            <a:rPr lang="es-EC" b="0" i="0">
              <a:solidFill>
                <a:srgbClr val="333333"/>
              </a:solidFill>
              <a:effectLst/>
              <a:latin typeface="Arial"/>
            </a:rPr>
            <a:t>Depreciaciones del equipo productivo.</a:t>
          </a:r>
        </a:p>
        <a:p>
          <a:pPr marL="1143000" lvl="2" indent="-228600" algn="l">
            <a:buFont typeface="+mj-lt"/>
            <a:buAutoNum type="arabicPeriod"/>
          </a:pPr>
          <a:r>
            <a:rPr lang="es-EC" b="0" i="0">
              <a:solidFill>
                <a:srgbClr val="333333"/>
              </a:solidFill>
              <a:effectLst/>
              <a:latin typeface="Arial"/>
            </a:rPr>
            <a:t>Costo de los Servicios Públicos que intervienen en el proceso productivo.</a:t>
          </a:r>
        </a:p>
        <a:p>
          <a:pPr marL="1143000" lvl="2" indent="-228600" algn="l">
            <a:buFont typeface="+mj-lt"/>
            <a:buAutoNum type="arabicPeriod"/>
          </a:pPr>
          <a:r>
            <a:rPr lang="es-EC" b="0" i="0">
              <a:solidFill>
                <a:srgbClr val="333333"/>
              </a:solidFill>
              <a:effectLst/>
              <a:latin typeface="Arial"/>
            </a:rPr>
            <a:t>Costo de envases y embalajes.</a:t>
          </a:r>
        </a:p>
        <a:p>
          <a:pPr marL="1143000" lvl="2" indent="-228600" algn="l">
            <a:buFont typeface="+mj-lt"/>
            <a:buAutoNum type="arabicPeriod"/>
          </a:pPr>
          <a:r>
            <a:rPr lang="es-EC" b="0" i="0">
              <a:solidFill>
                <a:srgbClr val="333333"/>
              </a:solidFill>
              <a:effectLst/>
              <a:latin typeface="Arial"/>
            </a:rPr>
            <a:t>Costos de almacenamiento, depósito y expedición.</a:t>
          </a:r>
        </a:p>
        <a:p>
          <a:pPr marL="742950" lvl="1" indent="-285750" algn="l">
            <a:buFont typeface="+mj-lt"/>
            <a:buAutoNum type="arabicPeriod"/>
          </a:pPr>
          <a:r>
            <a:rPr lang="es-EC" b="1" i="0">
              <a:solidFill>
                <a:srgbClr val="333333"/>
              </a:solidFill>
              <a:effectLst/>
              <a:latin typeface="Arial"/>
            </a:rPr>
            <a:t>Costo de Comercialización</a:t>
          </a:r>
          <a:r>
            <a:rPr lang="es-EC" b="0" i="0">
              <a:solidFill>
                <a:srgbClr val="333333"/>
              </a:solidFill>
              <a:effectLst/>
              <a:latin typeface="Arial"/>
            </a:rPr>
            <a:t/>
          </a:r>
          <a:br>
            <a:rPr lang="es-EC" b="0" i="0">
              <a:solidFill>
                <a:srgbClr val="333333"/>
              </a:solidFill>
              <a:effectLst/>
              <a:latin typeface="Arial"/>
            </a:rPr>
          </a:br>
          <a:r>
            <a:rPr lang="es-EC" b="0" i="0">
              <a:solidFill>
                <a:srgbClr val="333333"/>
              </a:solidFill>
              <a:effectLst/>
              <a:latin typeface="Arial"/>
            </a:rPr>
            <a:t>Es el costo que posibilita el proceso de venta de los bienes o servicios a los clientes. Por ejemplo</a:t>
          </a:r>
        </a:p>
        <a:p>
          <a:pPr marL="1143000" lvl="2" indent="-228600" algn="l">
            <a:buFont typeface="+mj-lt"/>
            <a:buAutoNum type="arabicPeriod"/>
          </a:pPr>
          <a:r>
            <a:rPr lang="es-EC" b="0" i="0">
              <a:solidFill>
                <a:srgbClr val="333333"/>
              </a:solidFill>
              <a:effectLst/>
              <a:latin typeface="Arial"/>
            </a:rPr>
            <a:t>Sueldos y cargas sociales del personal del área comercial.</a:t>
          </a:r>
        </a:p>
        <a:p>
          <a:pPr marL="1143000" lvl="2" indent="-228600" algn="l">
            <a:buFont typeface="+mj-lt"/>
            <a:buAutoNum type="arabicPeriod"/>
          </a:pPr>
          <a:r>
            <a:rPr lang="es-EC" b="0" i="0">
              <a:solidFill>
                <a:srgbClr val="333333"/>
              </a:solidFill>
              <a:effectLst/>
              <a:latin typeface="Arial"/>
            </a:rPr>
            <a:t>Comisiones sobre ventas.</a:t>
          </a:r>
        </a:p>
        <a:p>
          <a:pPr marL="1143000" lvl="2" indent="-228600" algn="l">
            <a:buFont typeface="+mj-lt"/>
            <a:buAutoNum type="arabicPeriod"/>
          </a:pPr>
          <a:r>
            <a:rPr lang="es-EC" b="0" i="0">
              <a:solidFill>
                <a:srgbClr val="333333"/>
              </a:solidFill>
              <a:effectLst/>
              <a:latin typeface="Arial"/>
            </a:rPr>
            <a:t>Fletes, hasta el lugar de destino de la mercadería.</a:t>
          </a:r>
        </a:p>
        <a:p>
          <a:pPr marL="1143000" lvl="2" indent="-228600" algn="l">
            <a:buFont typeface="+mj-lt"/>
            <a:buAutoNum type="arabicPeriod"/>
          </a:pPr>
          <a:r>
            <a:rPr lang="es-EC" b="0" i="0">
              <a:solidFill>
                <a:srgbClr val="333333"/>
              </a:solidFill>
              <a:effectLst/>
              <a:latin typeface="Arial"/>
            </a:rPr>
            <a:t>Seguros por el transporte de mercadería.</a:t>
          </a:r>
        </a:p>
        <a:p>
          <a:pPr marL="1143000" lvl="2" indent="-228600" algn="l">
            <a:buFont typeface="+mj-lt"/>
            <a:buAutoNum type="arabicPeriod"/>
          </a:pPr>
          <a:r>
            <a:rPr lang="es-EC" b="0" i="0">
              <a:solidFill>
                <a:srgbClr val="333333"/>
              </a:solidFill>
              <a:effectLst/>
              <a:latin typeface="Arial"/>
            </a:rPr>
            <a:t>Promoción y Publicidad.</a:t>
          </a:r>
        </a:p>
        <a:p>
          <a:pPr marL="1143000" lvl="2" indent="-228600" algn="l">
            <a:buFont typeface="+mj-lt"/>
            <a:buAutoNum type="arabicPeriod"/>
          </a:pPr>
          <a:r>
            <a:rPr lang="es-EC" b="0" i="0">
              <a:solidFill>
                <a:srgbClr val="333333"/>
              </a:solidFill>
              <a:effectLst/>
              <a:latin typeface="Arial"/>
            </a:rPr>
            <a:t>Servicios técnicos y garantías de post-ventas.</a:t>
          </a:r>
        </a:p>
        <a:p>
          <a:pPr marL="742950" lvl="1" indent="-285750" algn="l">
            <a:buFont typeface="+mj-lt"/>
            <a:buAutoNum type="arabicPeriod"/>
          </a:pPr>
          <a:r>
            <a:rPr lang="es-EC" b="1" i="0">
              <a:solidFill>
                <a:srgbClr val="333333"/>
              </a:solidFill>
              <a:effectLst/>
              <a:latin typeface="Arial"/>
            </a:rPr>
            <a:t>Costo de Administración</a:t>
          </a:r>
          <a:r>
            <a:rPr lang="es-EC" b="0" i="0">
              <a:solidFill>
                <a:srgbClr val="333333"/>
              </a:solidFill>
              <a:effectLst/>
              <a:latin typeface="Arial"/>
            </a:rPr>
            <a:t/>
          </a:r>
          <a:br>
            <a:rPr lang="es-EC" b="0" i="0">
              <a:solidFill>
                <a:srgbClr val="333333"/>
              </a:solidFill>
              <a:effectLst/>
              <a:latin typeface="Arial"/>
            </a:rPr>
          </a:br>
          <a:r>
            <a:rPr lang="es-EC" b="0" i="0">
              <a:solidFill>
                <a:srgbClr val="333333"/>
              </a:solidFill>
              <a:effectLst/>
              <a:latin typeface="Arial"/>
            </a:rPr>
            <a:t>Son aquellos costos necesarios para la gestión del negocio. Por ejemplo:</a:t>
          </a:r>
        </a:p>
        <a:p>
          <a:pPr marL="1143000" lvl="2" indent="-228600" algn="l">
            <a:buFont typeface="+mj-lt"/>
            <a:buAutoNum type="arabicPeriod"/>
          </a:pPr>
          <a:r>
            <a:rPr lang="es-EC" b="0" i="0">
              <a:solidFill>
                <a:srgbClr val="333333"/>
              </a:solidFill>
              <a:effectLst/>
              <a:latin typeface="Arial"/>
            </a:rPr>
            <a:t>Sueldos y cargas sociales del personal del área administrativa y general de la empresa</a:t>
          </a:r>
        </a:p>
        <a:p>
          <a:pPr marL="1143000" lvl="2" indent="-228600" algn="l">
            <a:buFont typeface="+mj-lt"/>
            <a:buAutoNum type="arabicPeriod"/>
          </a:pPr>
          <a:r>
            <a:rPr lang="es-EC" b="0" i="0">
              <a:solidFill>
                <a:srgbClr val="333333"/>
              </a:solidFill>
              <a:effectLst/>
              <a:latin typeface="Arial"/>
            </a:rPr>
            <a:t>Honorarios pagados por servicios profesionales.</a:t>
          </a:r>
        </a:p>
        <a:p>
          <a:pPr marL="1143000" lvl="2" indent="-228600" algn="l">
            <a:buFont typeface="+mj-lt"/>
            <a:buAutoNum type="arabicPeriod"/>
          </a:pPr>
          <a:r>
            <a:rPr lang="es-EC" b="0" i="0">
              <a:solidFill>
                <a:srgbClr val="333333"/>
              </a:solidFill>
              <a:effectLst/>
              <a:latin typeface="Arial"/>
            </a:rPr>
            <a:t>Servicios Públicos correspondientes al área administrativa.</a:t>
          </a:r>
        </a:p>
        <a:p>
          <a:pPr marL="1143000" lvl="2" indent="-228600" algn="l">
            <a:buFont typeface="+mj-lt"/>
            <a:buAutoNum type="arabicPeriod"/>
          </a:pPr>
          <a:r>
            <a:rPr lang="es-EC" b="0" i="0">
              <a:solidFill>
                <a:srgbClr val="333333"/>
              </a:solidFill>
              <a:effectLst/>
              <a:latin typeface="Arial"/>
            </a:rPr>
            <a:t>Alquiler de oficina.</a:t>
          </a:r>
        </a:p>
        <a:p>
          <a:pPr marL="1143000" lvl="2" indent="-228600" algn="l">
            <a:buFont typeface="+mj-lt"/>
            <a:buAutoNum type="arabicPeriod"/>
          </a:pPr>
          <a:r>
            <a:rPr lang="es-EC" b="0" i="0">
              <a:solidFill>
                <a:srgbClr val="333333"/>
              </a:solidFill>
              <a:effectLst/>
              <a:latin typeface="Arial"/>
            </a:rPr>
            <a:t>Papelería e insumos propios de la administración</a:t>
          </a:r>
        </a:p>
        <a:p>
          <a:pPr marL="742950" lvl="1" indent="-285750" algn="l">
            <a:buFont typeface="+mj-lt"/>
            <a:buAutoNum type="arabicPeriod"/>
          </a:pPr>
          <a:r>
            <a:rPr lang="es-EC" b="1" i="0">
              <a:solidFill>
                <a:srgbClr val="333333"/>
              </a:solidFill>
              <a:effectLst/>
              <a:latin typeface="Arial"/>
            </a:rPr>
            <a:t>Costo de financiación </a:t>
          </a:r>
          <a:r>
            <a:rPr lang="es-EC" b="0" i="0">
              <a:solidFill>
                <a:srgbClr val="333333"/>
              </a:solidFill>
              <a:effectLst/>
              <a:latin typeface="Arial"/>
            </a:rPr>
            <a:t/>
          </a:r>
          <a:br>
            <a:rPr lang="es-EC" b="0" i="0">
              <a:solidFill>
                <a:srgbClr val="333333"/>
              </a:solidFill>
              <a:effectLst/>
              <a:latin typeface="Arial"/>
            </a:rPr>
          </a:br>
          <a:r>
            <a:rPr lang="es-EC" b="0" i="0">
              <a:solidFill>
                <a:srgbClr val="333333"/>
              </a:solidFill>
              <a:effectLst/>
              <a:latin typeface="Arial"/>
            </a:rPr>
            <a:t>Es el correspondiente a la obtención de fondos aplicados al negocio. Por ejemplo:</a:t>
          </a:r>
        </a:p>
        <a:p>
          <a:pPr marL="1143000" lvl="2" indent="-228600" algn="l">
            <a:buFont typeface="+mj-lt"/>
            <a:buAutoNum type="arabicPeriod"/>
          </a:pPr>
          <a:r>
            <a:rPr lang="es-EC" b="0" i="0">
              <a:solidFill>
                <a:srgbClr val="333333"/>
              </a:solidFill>
              <a:effectLst/>
              <a:latin typeface="Arial"/>
            </a:rPr>
            <a:t>Intereses pagados por préstamos.</a:t>
          </a:r>
        </a:p>
        <a:p>
          <a:pPr marL="1143000" lvl="2" indent="-228600" algn="l">
            <a:buFont typeface="+mj-lt"/>
            <a:buAutoNum type="arabicPeriod"/>
          </a:pPr>
          <a:r>
            <a:rPr lang="es-EC" b="0" i="0">
              <a:solidFill>
                <a:srgbClr val="333333"/>
              </a:solidFill>
              <a:effectLst/>
              <a:latin typeface="Arial"/>
            </a:rPr>
            <a:t>Comisiones y otros gastos bancarios.</a:t>
          </a:r>
        </a:p>
        <a:p>
          <a:pPr marL="1143000" lvl="2" indent="-228600" algn="l">
            <a:buFont typeface="+mj-lt"/>
            <a:buAutoNum type="arabicPeriod"/>
          </a:pPr>
          <a:r>
            <a:rPr lang="es-EC" b="0" i="0">
              <a:solidFill>
                <a:srgbClr val="333333"/>
              </a:solidFill>
              <a:effectLst/>
              <a:latin typeface="Arial"/>
            </a:rPr>
            <a:t>Impuestos derivados de las transacciones financieras.</a:t>
          </a:r>
          <a:endParaRPr lang="es-EC" b="1" i="0">
            <a:solidFill>
              <a:srgbClr val="333333"/>
            </a:solidFill>
            <a:effectLst/>
            <a:latin typeface="Arial"/>
          </a:endParaRPr>
        </a:p>
        <a:p>
          <a:pPr algn="l">
            <a:buFont typeface="+mj-lt"/>
            <a:buAutoNum type="arabicPeriod"/>
          </a:pPr>
          <a:endParaRPr lang="es-EC" b="1" i="0">
            <a:solidFill>
              <a:srgbClr val="333333"/>
            </a:solidFill>
            <a:effectLst/>
            <a:latin typeface="Arial"/>
          </a:endParaRPr>
        </a:p>
        <a:p>
          <a:pPr algn="l">
            <a:buFont typeface="+mj-lt"/>
            <a:buAutoNum type="arabicPeriod"/>
          </a:pPr>
          <a:r>
            <a:rPr lang="es-EC" b="1" i="0">
              <a:solidFill>
                <a:srgbClr val="333333"/>
              </a:solidFill>
              <a:effectLst/>
              <a:latin typeface="Arial"/>
            </a:rPr>
            <a:t>Clasificación según su grado de variabilidad</a:t>
          </a:r>
          <a:r>
            <a:rPr lang="es-EC" b="0" i="0">
              <a:solidFill>
                <a:srgbClr val="333333"/>
              </a:solidFill>
              <a:effectLst/>
              <a:latin typeface="Arial"/>
            </a:rPr>
            <a:t> </a:t>
          </a:r>
          <a:br>
            <a:rPr lang="es-EC" b="0" i="0">
              <a:solidFill>
                <a:srgbClr val="333333"/>
              </a:solidFill>
              <a:effectLst/>
              <a:latin typeface="Arial"/>
            </a:rPr>
          </a:br>
          <a:r>
            <a:rPr lang="es-EC" b="0" i="0">
              <a:solidFill>
                <a:srgbClr val="333333"/>
              </a:solidFill>
              <a:effectLst/>
              <a:latin typeface="Arial"/>
            </a:rPr>
            <a:t>Esta clasificación es importante para la realización de estudios de planificación y control de operaciones. Está vinculado con las variaciones o no de los costos, según los niveles de actividad.</a:t>
          </a:r>
        </a:p>
        <a:p>
          <a:pPr marL="742950" lvl="1" indent="-285750" algn="l">
            <a:buFont typeface="+mj-lt"/>
            <a:buAutoNum type="arabicPeriod"/>
          </a:pPr>
          <a:r>
            <a:rPr lang="es-EC" b="1" i="0">
              <a:solidFill>
                <a:srgbClr val="333333"/>
              </a:solidFill>
              <a:effectLst/>
              <a:latin typeface="Arial"/>
            </a:rPr>
            <a:t>Costos Fijos</a:t>
          </a:r>
          <a:r>
            <a:rPr lang="es-EC" b="0" i="0">
              <a:solidFill>
                <a:srgbClr val="333333"/>
              </a:solidFill>
              <a:effectLst/>
              <a:latin typeface="Arial"/>
            </a:rPr>
            <a:t/>
          </a:r>
          <a:br>
            <a:rPr lang="es-EC" b="0" i="0">
              <a:solidFill>
                <a:srgbClr val="333333"/>
              </a:solidFill>
              <a:effectLst/>
              <a:latin typeface="Arial"/>
            </a:rPr>
          </a:br>
          <a:r>
            <a:rPr lang="es-EC" b="0" i="0">
              <a:solidFill>
                <a:srgbClr val="333333"/>
              </a:solidFill>
              <a:effectLst/>
              <a:latin typeface="Arial"/>
            </a:rPr>
            <a:t>Son aquellos costos cuyo importe permanece constante, independiente del nivel de actividad de la empresa. Se pueden identificar y llamar como costos de "mantener la empresa abierta", de manera tal que se realice o no la producción, se venda o no la mercadería o servicio, dichos costos igual deben ser solventados por la empresa. Por ejemplo:</a:t>
          </a:r>
        </a:p>
        <a:p>
          <a:pPr marL="1143000" lvl="2" indent="-228600" algn="l">
            <a:buFont typeface="+mj-lt"/>
            <a:buAutoNum type="arabicPeriod"/>
          </a:pPr>
          <a:r>
            <a:rPr lang="es-EC" b="0" i="0">
              <a:solidFill>
                <a:srgbClr val="333333"/>
              </a:solidFill>
              <a:effectLst/>
              <a:latin typeface="Arial"/>
            </a:rPr>
            <a:t>Alquileres</a:t>
          </a:r>
        </a:p>
        <a:p>
          <a:pPr marL="1143000" lvl="2" indent="-228600" algn="l">
            <a:buFont typeface="+mj-lt"/>
            <a:buAutoNum type="arabicPeriod"/>
          </a:pPr>
          <a:r>
            <a:rPr lang="es-EC" b="0" i="0">
              <a:solidFill>
                <a:srgbClr val="333333"/>
              </a:solidFill>
              <a:effectLst/>
              <a:latin typeface="Arial"/>
            </a:rPr>
            <a:t>Amortizaciones o depreciaciones</a:t>
          </a:r>
        </a:p>
        <a:p>
          <a:pPr marL="1143000" lvl="2" indent="-228600" algn="l">
            <a:buFont typeface="+mj-lt"/>
            <a:buAutoNum type="arabicPeriod"/>
          </a:pPr>
          <a:r>
            <a:rPr lang="es-EC" b="0" i="0">
              <a:solidFill>
                <a:srgbClr val="333333"/>
              </a:solidFill>
              <a:effectLst/>
              <a:latin typeface="Arial"/>
            </a:rPr>
            <a:t>Seguros</a:t>
          </a:r>
        </a:p>
        <a:p>
          <a:pPr marL="1143000" lvl="2" indent="-228600" algn="l">
            <a:buFont typeface="+mj-lt"/>
            <a:buAutoNum type="arabicPeriod"/>
          </a:pPr>
          <a:r>
            <a:rPr lang="es-EC" b="0" i="0">
              <a:solidFill>
                <a:srgbClr val="333333"/>
              </a:solidFill>
              <a:effectLst/>
              <a:latin typeface="Arial"/>
            </a:rPr>
            <a:t>Impuestos fijos</a:t>
          </a:r>
        </a:p>
        <a:p>
          <a:pPr marL="1143000" lvl="2" indent="-228600" algn="l">
            <a:buFont typeface="+mj-lt"/>
            <a:buAutoNum type="arabicPeriod"/>
          </a:pPr>
          <a:r>
            <a:rPr lang="es-EC" b="0" i="0">
              <a:solidFill>
                <a:srgbClr val="333333"/>
              </a:solidFill>
              <a:effectLst/>
              <a:latin typeface="Arial"/>
            </a:rPr>
            <a:t>Servicios Públicos (Luz, TE., Gas, etc.)</a:t>
          </a:r>
        </a:p>
        <a:p>
          <a:pPr marL="1143000" lvl="2" indent="-228600" algn="l">
            <a:buFont typeface="+mj-lt"/>
            <a:buAutoNum type="arabicPeriod"/>
          </a:pPr>
          <a:r>
            <a:rPr lang="es-EC" b="0" i="0">
              <a:solidFill>
                <a:srgbClr val="333333"/>
              </a:solidFill>
              <a:effectLst/>
              <a:latin typeface="Arial"/>
            </a:rPr>
            <a:t>Sueldo y cargas sociales de encargados, supervisores, gerentes, etc.</a:t>
          </a:r>
        </a:p>
        <a:p>
          <a:pPr marL="742950" lvl="1" indent="-285750" algn="l">
            <a:buFont typeface="+mj-lt"/>
            <a:buAutoNum type="arabicPeriod"/>
          </a:pPr>
          <a:r>
            <a:rPr lang="es-EC" b="1" i="0">
              <a:solidFill>
                <a:srgbClr val="333333"/>
              </a:solidFill>
              <a:effectLst/>
              <a:latin typeface="Arial"/>
            </a:rPr>
            <a:t>Costos Variables</a:t>
          </a:r>
          <a:r>
            <a:rPr lang="es-EC" b="0" i="0">
              <a:solidFill>
                <a:srgbClr val="333333"/>
              </a:solidFill>
              <a:effectLst/>
              <a:latin typeface="Arial"/>
            </a:rPr>
            <a:t/>
          </a:r>
          <a:br>
            <a:rPr lang="es-EC" b="0" i="0">
              <a:solidFill>
                <a:srgbClr val="333333"/>
              </a:solidFill>
              <a:effectLst/>
              <a:latin typeface="Arial"/>
            </a:rPr>
          </a:br>
          <a:r>
            <a:rPr lang="es-EC" b="0" i="0">
              <a:solidFill>
                <a:srgbClr val="333333"/>
              </a:solidFill>
              <a:effectLst/>
              <a:latin typeface="Arial"/>
            </a:rPr>
            <a:t>Son aquellos costos que varían en forma proporcional, de acuerdo al nivel de producción o actividad de la empresa. Son los costos por "producir" o "vender". Por ejemplo:</a:t>
          </a:r>
        </a:p>
        <a:p>
          <a:pPr marL="1143000" lvl="2" indent="-228600" algn="l">
            <a:buFont typeface="+mj-lt"/>
            <a:buAutoNum type="arabicPeriod"/>
          </a:pPr>
          <a:r>
            <a:rPr lang="es-EC" b="0" i="0">
              <a:solidFill>
                <a:srgbClr val="333333"/>
              </a:solidFill>
              <a:effectLst/>
              <a:latin typeface="Arial"/>
            </a:rPr>
            <a:t>Mano de obra directa (a destajo, por producción o por tanto).</a:t>
          </a:r>
        </a:p>
        <a:p>
          <a:pPr marL="1143000" lvl="2" indent="-228600" algn="l">
            <a:buFont typeface="+mj-lt"/>
            <a:buAutoNum type="arabicPeriod"/>
          </a:pPr>
          <a:r>
            <a:rPr lang="es-EC" b="0" i="0">
              <a:solidFill>
                <a:srgbClr val="333333"/>
              </a:solidFill>
              <a:effectLst/>
              <a:latin typeface="Arial"/>
            </a:rPr>
            <a:t>Materias Primas directas.</a:t>
          </a:r>
        </a:p>
        <a:p>
          <a:pPr marL="1143000" lvl="2" indent="-228600" algn="l">
            <a:buFont typeface="+mj-lt"/>
            <a:buAutoNum type="arabicPeriod"/>
          </a:pPr>
          <a:r>
            <a:rPr lang="es-EC" b="0" i="0">
              <a:solidFill>
                <a:srgbClr val="333333"/>
              </a:solidFill>
              <a:effectLst/>
              <a:latin typeface="Arial"/>
            </a:rPr>
            <a:t>Materiales e Insumos directos.</a:t>
          </a:r>
        </a:p>
        <a:p>
          <a:pPr marL="1143000" lvl="2" indent="-228600" algn="l">
            <a:buFont typeface="+mj-lt"/>
            <a:buAutoNum type="arabicPeriod"/>
          </a:pPr>
          <a:r>
            <a:rPr lang="es-EC" b="0" i="0">
              <a:solidFill>
                <a:srgbClr val="333333"/>
              </a:solidFill>
              <a:effectLst/>
              <a:latin typeface="Arial"/>
            </a:rPr>
            <a:t>Impuestos específicos.</a:t>
          </a:r>
        </a:p>
        <a:p>
          <a:pPr marL="1143000" lvl="2" indent="-228600" algn="l">
            <a:buFont typeface="+mj-lt"/>
            <a:buAutoNum type="arabicPeriod"/>
          </a:pPr>
          <a:r>
            <a:rPr lang="es-EC" b="0" i="0">
              <a:solidFill>
                <a:srgbClr val="333333"/>
              </a:solidFill>
              <a:effectLst/>
              <a:latin typeface="Arial"/>
            </a:rPr>
            <a:t>Envases, Embalajes y etiquetas.</a:t>
          </a:r>
        </a:p>
        <a:p>
          <a:pPr marL="1143000" lvl="2" indent="-228600" algn="l">
            <a:buFont typeface="+mj-lt"/>
            <a:buAutoNum type="arabicPeriod"/>
          </a:pPr>
          <a:r>
            <a:rPr lang="es-EC" b="0" i="0">
              <a:solidFill>
                <a:srgbClr val="333333"/>
              </a:solidFill>
              <a:effectLst/>
              <a:latin typeface="Arial"/>
            </a:rPr>
            <a:t>Comisiones sobre ventas.</a:t>
          </a:r>
        </a:p>
        <a:p>
          <a:pPr marL="1143000" lvl="2" indent="-228600" algn="l">
            <a:buFont typeface="+mj-lt"/>
            <a:buAutoNum type="arabicPeriod"/>
          </a:pPr>
          <a:endParaRPr lang="es-EC" b="0" i="0">
            <a:solidFill>
              <a:srgbClr val="333333"/>
            </a:solidFill>
            <a:effectLst/>
            <a:latin typeface="Arial"/>
          </a:endParaRPr>
        </a:p>
        <a:p>
          <a:pPr algn="l">
            <a:buFont typeface="+mj-lt"/>
            <a:buAutoNum type="arabicPeriod"/>
          </a:pPr>
          <a:r>
            <a:rPr lang="es-EC" b="1" i="0">
              <a:solidFill>
                <a:srgbClr val="333333"/>
              </a:solidFill>
              <a:effectLst/>
              <a:latin typeface="Arial"/>
            </a:rPr>
            <a:t>Clasificación según su asignación</a:t>
          </a:r>
          <a:endParaRPr lang="es-EC" b="0" i="0">
            <a:solidFill>
              <a:srgbClr val="333333"/>
            </a:solidFill>
            <a:effectLst/>
            <a:latin typeface="Arial"/>
          </a:endParaRPr>
        </a:p>
        <a:p>
          <a:pPr marL="742950" lvl="1" indent="-285750" algn="l">
            <a:buFont typeface="+mj-lt"/>
            <a:buAutoNum type="arabicPeriod"/>
          </a:pPr>
          <a:r>
            <a:rPr lang="es-EC" b="1" i="0">
              <a:solidFill>
                <a:srgbClr val="333333"/>
              </a:solidFill>
              <a:effectLst/>
              <a:latin typeface="Arial"/>
            </a:rPr>
            <a:t>Costos Directos </a:t>
          </a:r>
          <a:r>
            <a:rPr lang="es-EC" b="0" i="0">
              <a:solidFill>
                <a:srgbClr val="333333"/>
              </a:solidFill>
              <a:effectLst/>
              <a:latin typeface="Arial"/>
            </a:rPr>
            <a:t/>
          </a:r>
          <a:br>
            <a:rPr lang="es-EC" b="0" i="0">
              <a:solidFill>
                <a:srgbClr val="333333"/>
              </a:solidFill>
              <a:effectLst/>
              <a:latin typeface="Arial"/>
            </a:rPr>
          </a:br>
          <a:r>
            <a:rPr lang="es-EC" b="0" i="0">
              <a:solidFill>
                <a:srgbClr val="333333"/>
              </a:solidFill>
              <a:effectLst/>
              <a:latin typeface="Arial"/>
            </a:rPr>
            <a:t>Son aquellos costos que se asigna directamente a una unidad de producción. Por lo general se asimilan a los costos variables.</a:t>
          </a:r>
        </a:p>
        <a:p>
          <a:pPr marL="742950" lvl="1" indent="-285750" algn="l">
            <a:buFont typeface="+mj-lt"/>
            <a:buAutoNum type="arabicPeriod"/>
          </a:pPr>
          <a:r>
            <a:rPr lang="es-EC" b="1" i="0">
              <a:solidFill>
                <a:srgbClr val="333333"/>
              </a:solidFill>
              <a:effectLst/>
              <a:latin typeface="Arial"/>
            </a:rPr>
            <a:t>Costos Indirectos</a:t>
          </a:r>
          <a:r>
            <a:rPr lang="es-EC" b="0" i="0">
              <a:solidFill>
                <a:srgbClr val="333333"/>
              </a:solidFill>
              <a:effectLst/>
              <a:latin typeface="Arial"/>
            </a:rPr>
            <a:t/>
          </a:r>
          <a:br>
            <a:rPr lang="es-EC" b="0" i="0">
              <a:solidFill>
                <a:srgbClr val="333333"/>
              </a:solidFill>
              <a:effectLst/>
              <a:latin typeface="Arial"/>
            </a:rPr>
          </a:br>
          <a:r>
            <a:rPr lang="es-EC" b="0" i="0">
              <a:solidFill>
                <a:srgbClr val="333333"/>
              </a:solidFill>
              <a:effectLst/>
              <a:latin typeface="Arial"/>
            </a:rPr>
            <a:t>Son aquellos que no se pueden asignar directamente a un producto o servicio, sino que se distribuyen entre las diversas unidades productivas mediante algún criterio de reparto. En la mayoría de los casos los costos indirectos son costos fijos. </a:t>
          </a:r>
        </a:p>
        <a:p>
          <a:pPr marL="742950" lvl="1" indent="-285750" algn="l">
            <a:buFont typeface="+mj-lt"/>
            <a:buAutoNum type="arabicPeriod"/>
          </a:pPr>
          <a:endParaRPr lang="es-EC" b="0" i="0">
            <a:solidFill>
              <a:srgbClr val="333333"/>
            </a:solidFill>
            <a:effectLst/>
            <a:latin typeface="Arial"/>
          </a:endParaRPr>
        </a:p>
        <a:p>
          <a:pPr algn="l">
            <a:buFont typeface="+mj-lt"/>
            <a:buAutoNum type="arabicPeriod"/>
          </a:pPr>
          <a:r>
            <a:rPr lang="es-EC" b="1" i="0">
              <a:solidFill>
                <a:srgbClr val="333333"/>
              </a:solidFill>
              <a:effectLst/>
              <a:latin typeface="Arial"/>
            </a:rPr>
            <a:t>Clasificación según su comportamiento</a:t>
          </a:r>
          <a:endParaRPr lang="es-EC" b="0" i="0">
            <a:solidFill>
              <a:srgbClr val="333333"/>
            </a:solidFill>
            <a:effectLst/>
            <a:latin typeface="Arial"/>
          </a:endParaRPr>
        </a:p>
        <a:p>
          <a:pPr marL="742950" lvl="1" indent="-285750" algn="l">
            <a:buFont typeface="+mj-lt"/>
            <a:buAutoNum type="arabicPeriod"/>
          </a:pPr>
          <a:r>
            <a:rPr lang="es-EC" b="1" i="0">
              <a:solidFill>
                <a:srgbClr val="333333"/>
              </a:solidFill>
              <a:effectLst/>
              <a:latin typeface="Arial"/>
            </a:rPr>
            <a:t>Costo Variable Unitario</a:t>
          </a:r>
          <a:r>
            <a:rPr lang="es-EC" b="0" i="0">
              <a:solidFill>
                <a:srgbClr val="333333"/>
              </a:solidFill>
              <a:effectLst/>
              <a:latin typeface="Arial"/>
            </a:rPr>
            <a:t/>
          </a:r>
          <a:br>
            <a:rPr lang="es-EC" b="0" i="0">
              <a:solidFill>
                <a:srgbClr val="333333"/>
              </a:solidFill>
              <a:effectLst/>
              <a:latin typeface="Arial"/>
            </a:rPr>
          </a:br>
          <a:r>
            <a:rPr lang="es-EC" b="0" i="0">
              <a:solidFill>
                <a:srgbClr val="333333"/>
              </a:solidFill>
              <a:effectLst/>
              <a:latin typeface="Arial"/>
            </a:rPr>
            <a:t>Es el costo que se asigna directamente a cada unidad de producto. Comprende la unidad de cada materia prima o materiales utilizados para fabricar una unidad de producto terminado, así como la unidad de mano de obra directa, la unidad de envases y embalajes, la unidad de comisión por ventas, etc.</a:t>
          </a:r>
        </a:p>
        <a:p>
          <a:pPr marL="742950" lvl="1" indent="-285750" algn="l">
            <a:buFont typeface="+mj-lt"/>
            <a:buAutoNum type="arabicPeriod"/>
          </a:pPr>
          <a:r>
            <a:rPr lang="es-EC" b="1" i="0">
              <a:solidFill>
                <a:srgbClr val="333333"/>
              </a:solidFill>
              <a:effectLst/>
              <a:latin typeface="Arial"/>
            </a:rPr>
            <a:t>Costo Variable Total</a:t>
          </a:r>
          <a:r>
            <a:rPr lang="es-EC" b="0" i="0">
              <a:solidFill>
                <a:srgbClr val="333333"/>
              </a:solidFill>
              <a:effectLst/>
              <a:latin typeface="Arial"/>
            </a:rPr>
            <a:t/>
          </a:r>
          <a:br>
            <a:rPr lang="es-EC" b="0" i="0">
              <a:solidFill>
                <a:srgbClr val="333333"/>
              </a:solidFill>
              <a:effectLst/>
              <a:latin typeface="Arial"/>
            </a:rPr>
          </a:br>
          <a:r>
            <a:rPr lang="es-EC" b="0" i="0">
              <a:solidFill>
                <a:srgbClr val="333333"/>
              </a:solidFill>
              <a:effectLst/>
              <a:latin typeface="Arial"/>
            </a:rPr>
            <a:t>Es el costo que resulta de multiplicar el costo variable unitario por la cantidad de productos fabricados o servicios vendidos en un período determinado; sea éste mensual, anual o cualquier otra periodicidad.</a:t>
          </a:r>
          <a:br>
            <a:rPr lang="es-EC" b="0" i="0">
              <a:solidFill>
                <a:srgbClr val="333333"/>
              </a:solidFill>
              <a:effectLst/>
              <a:latin typeface="Arial"/>
            </a:rPr>
          </a:br>
          <a:r>
            <a:rPr lang="es-EC" b="0" i="0">
              <a:solidFill>
                <a:srgbClr val="333333"/>
              </a:solidFill>
              <a:effectLst/>
              <a:latin typeface="Arial"/>
            </a:rPr>
            <a:t>La fórmula del costo variable total es la siguiente:</a:t>
          </a:r>
          <a:br>
            <a:rPr lang="es-EC" b="0" i="0">
              <a:solidFill>
                <a:srgbClr val="333333"/>
              </a:solidFill>
              <a:effectLst/>
              <a:latin typeface="Arial"/>
            </a:rPr>
          </a:br>
          <a:r>
            <a:rPr lang="es-EC" b="1" i="1">
              <a:solidFill>
                <a:srgbClr val="333333"/>
              </a:solidFill>
              <a:effectLst/>
              <a:latin typeface="Arial"/>
            </a:rPr>
            <a:t>Costo Variable Total = Costo Variable Unitario X Cantidad </a:t>
          </a:r>
          <a:r>
            <a:rPr lang="es-EC" b="0" i="0">
              <a:solidFill>
                <a:srgbClr val="333333"/>
              </a:solidFill>
              <a:effectLst/>
              <a:latin typeface="Arial"/>
            </a:rPr>
            <a:t/>
          </a:r>
          <a:br>
            <a:rPr lang="es-EC" b="0" i="0">
              <a:solidFill>
                <a:srgbClr val="333333"/>
              </a:solidFill>
              <a:effectLst/>
              <a:latin typeface="Arial"/>
            </a:rPr>
          </a:br>
          <a:r>
            <a:rPr lang="es-EC" b="0" i="0">
              <a:solidFill>
                <a:srgbClr val="333333"/>
              </a:solidFill>
              <a:effectLst/>
              <a:latin typeface="Arial"/>
            </a:rPr>
            <a:t>Para el análisis de los costos variables, se parte de los valores unitarios para llegar a los valores totales.</a:t>
          </a:r>
          <a:br>
            <a:rPr lang="es-EC" b="0" i="0">
              <a:solidFill>
                <a:srgbClr val="333333"/>
              </a:solidFill>
              <a:effectLst/>
              <a:latin typeface="Arial"/>
            </a:rPr>
          </a:br>
          <a:r>
            <a:rPr lang="es-EC" b="0" i="0">
              <a:solidFill>
                <a:srgbClr val="333333"/>
              </a:solidFill>
              <a:effectLst/>
              <a:latin typeface="Arial"/>
            </a:rPr>
            <a:t>En los costos fijos el proceso es inverso, se parte de los costos fijos totales para llegar a los costos fijos unitarios.</a:t>
          </a:r>
        </a:p>
        <a:p>
          <a:pPr marL="742950" lvl="1" indent="-285750" algn="l">
            <a:buFont typeface="+mj-lt"/>
            <a:buAutoNum type="arabicPeriod"/>
          </a:pPr>
          <a:r>
            <a:rPr lang="es-EC" b="1" i="0">
              <a:solidFill>
                <a:srgbClr val="333333"/>
              </a:solidFill>
              <a:effectLst/>
              <a:latin typeface="Arial"/>
            </a:rPr>
            <a:t>Costo Fijo Total</a:t>
          </a:r>
          <a:r>
            <a:rPr lang="es-EC" b="0" i="0">
              <a:solidFill>
                <a:srgbClr val="333333"/>
              </a:solidFill>
              <a:effectLst/>
              <a:latin typeface="Arial"/>
            </a:rPr>
            <a:t/>
          </a:r>
          <a:br>
            <a:rPr lang="es-EC" b="0" i="0">
              <a:solidFill>
                <a:srgbClr val="333333"/>
              </a:solidFill>
              <a:effectLst/>
              <a:latin typeface="Arial"/>
            </a:rPr>
          </a:br>
          <a:r>
            <a:rPr lang="es-EC" b="0" i="0">
              <a:solidFill>
                <a:srgbClr val="333333"/>
              </a:solidFill>
              <a:effectLst/>
              <a:latin typeface="Arial"/>
            </a:rPr>
            <a:t>Es la suma de todos los costos fijos de la empresa</a:t>
          </a:r>
        </a:p>
        <a:p>
          <a:pPr marL="742950" lvl="1" indent="-285750" algn="l">
            <a:buFont typeface="+mj-lt"/>
            <a:buAutoNum type="arabicPeriod"/>
          </a:pPr>
          <a:r>
            <a:rPr lang="es-EC" b="1" i="0">
              <a:solidFill>
                <a:srgbClr val="333333"/>
              </a:solidFill>
              <a:effectLst/>
              <a:latin typeface="Arial"/>
            </a:rPr>
            <a:t>Costo Fijo Unitario</a:t>
          </a:r>
          <a:r>
            <a:rPr lang="es-EC" b="0" i="0">
              <a:solidFill>
                <a:srgbClr val="333333"/>
              </a:solidFill>
              <a:effectLst/>
              <a:latin typeface="Arial"/>
            </a:rPr>
            <a:t/>
          </a:r>
          <a:br>
            <a:rPr lang="es-EC" b="0" i="0">
              <a:solidFill>
                <a:srgbClr val="333333"/>
              </a:solidFill>
              <a:effectLst/>
              <a:latin typeface="Arial"/>
            </a:rPr>
          </a:br>
          <a:r>
            <a:rPr lang="es-EC" b="0" i="0">
              <a:solidFill>
                <a:srgbClr val="333333"/>
              </a:solidFill>
              <a:effectLst/>
              <a:latin typeface="Arial"/>
            </a:rPr>
            <a:t>Es el costo fijo total dividido por la cantidad de productos fabricados o servicios brindados. </a:t>
          </a:r>
          <a:br>
            <a:rPr lang="es-EC" b="0" i="0">
              <a:solidFill>
                <a:srgbClr val="333333"/>
              </a:solidFill>
              <a:effectLst/>
              <a:latin typeface="Arial"/>
            </a:rPr>
          </a:br>
          <a:r>
            <a:rPr lang="es-EC" b="1" i="1">
              <a:solidFill>
                <a:srgbClr val="333333"/>
              </a:solidFill>
              <a:effectLst/>
              <a:latin typeface="Arial"/>
            </a:rPr>
            <a:t>Costo fijo Unitario = Costo Fijo Total / Cantidad</a:t>
          </a:r>
          <a:endParaRPr lang="es-EC" b="0" i="0">
            <a:solidFill>
              <a:srgbClr val="333333"/>
            </a:solidFill>
            <a:effectLst/>
            <a:latin typeface="Arial"/>
          </a:endParaRPr>
        </a:p>
        <a:p>
          <a:pPr marL="742950" lvl="1" indent="-285750" algn="l">
            <a:buFont typeface="+mj-lt"/>
            <a:buAutoNum type="arabicPeriod"/>
          </a:pPr>
          <a:r>
            <a:rPr lang="es-EC" b="1" i="0">
              <a:solidFill>
                <a:srgbClr val="333333"/>
              </a:solidFill>
              <a:effectLst/>
              <a:latin typeface="Arial"/>
            </a:rPr>
            <a:t>Costo Total</a:t>
          </a:r>
          <a:r>
            <a:rPr lang="es-EC" b="0" i="0">
              <a:solidFill>
                <a:srgbClr val="333333"/>
              </a:solidFill>
              <a:effectLst/>
              <a:latin typeface="Arial"/>
            </a:rPr>
            <a:t/>
          </a:r>
          <a:br>
            <a:rPr lang="es-EC" b="0" i="0">
              <a:solidFill>
                <a:srgbClr val="333333"/>
              </a:solidFill>
              <a:effectLst/>
              <a:latin typeface="Arial"/>
            </a:rPr>
          </a:br>
          <a:r>
            <a:rPr lang="es-EC" b="0" i="0">
              <a:solidFill>
                <a:srgbClr val="333333"/>
              </a:solidFill>
              <a:effectLst/>
              <a:latin typeface="Arial"/>
            </a:rPr>
            <a:t>Es la suma del Costo Variable más el Costo Fijo. </a:t>
          </a:r>
          <a:br>
            <a:rPr lang="es-EC" b="0" i="0">
              <a:solidFill>
                <a:srgbClr val="333333"/>
              </a:solidFill>
              <a:effectLst/>
              <a:latin typeface="Arial"/>
            </a:rPr>
          </a:br>
          <a:r>
            <a:rPr lang="es-EC" b="0" i="0">
              <a:solidFill>
                <a:srgbClr val="333333"/>
              </a:solidFill>
              <a:effectLst/>
              <a:latin typeface="Arial"/>
            </a:rPr>
            <a:t>Se puede expresar en Valores Unitarios o en Valores Totales </a:t>
          </a:r>
          <a:br>
            <a:rPr lang="es-EC" b="0" i="0">
              <a:solidFill>
                <a:srgbClr val="333333"/>
              </a:solidFill>
              <a:effectLst/>
              <a:latin typeface="Arial"/>
            </a:rPr>
          </a:br>
          <a:r>
            <a:rPr lang="es-EC" b="1" i="1">
              <a:solidFill>
                <a:srgbClr val="333333"/>
              </a:solidFill>
              <a:effectLst/>
              <a:latin typeface="Arial"/>
            </a:rPr>
            <a:t>Costo Total unitario = Costo Variable unitario + Costo Fijo unitario </a:t>
          </a:r>
          <a:br>
            <a:rPr lang="es-EC" b="1" i="1">
              <a:solidFill>
                <a:srgbClr val="333333"/>
              </a:solidFill>
              <a:effectLst/>
              <a:latin typeface="Arial"/>
            </a:rPr>
          </a:br>
          <a:r>
            <a:rPr lang="es-EC" b="1" i="1">
              <a:solidFill>
                <a:srgbClr val="333333"/>
              </a:solidFill>
              <a:effectLst/>
              <a:latin typeface="Arial"/>
            </a:rPr>
            <a:t>Costo Total = Costo Variable Total + Costo Fijo Total</a:t>
          </a:r>
          <a:endParaRPr lang="es-EC" b="0" i="0">
            <a:solidFill>
              <a:srgbClr val="333333"/>
            </a:solidFill>
            <a:effectLst/>
            <a:latin typeface="Arial"/>
          </a:endParaRPr>
        </a:p>
        <a:p>
          <a:pPr algn="l"/>
          <a:r>
            <a:rPr lang="es-EC" b="1" i="0">
              <a:solidFill>
                <a:srgbClr val="006699"/>
              </a:solidFill>
              <a:effectLst/>
              <a:latin typeface="Arial"/>
            </a:rPr>
            <a:t>Contribucion marginal y punto de equilibrio</a:t>
          </a:r>
        </a:p>
        <a:p>
          <a:pPr algn="l"/>
          <a:endParaRPr lang="es-EC" b="1" i="0">
            <a:solidFill>
              <a:srgbClr val="334D55"/>
            </a:solidFill>
            <a:effectLst/>
            <a:latin typeface="Arial"/>
          </a:endParaRPr>
        </a:p>
        <a:p>
          <a:pPr algn="l"/>
          <a:r>
            <a:rPr lang="es-EC" b="1" i="0">
              <a:solidFill>
                <a:srgbClr val="334D55"/>
              </a:solidFill>
              <a:effectLst/>
              <a:latin typeface="Arial"/>
            </a:rPr>
            <a:t>Contribución Marginal</a:t>
          </a:r>
        </a:p>
        <a:p>
          <a:pPr algn="l"/>
          <a:r>
            <a:rPr lang="es-EC" b="0" i="0">
              <a:solidFill>
                <a:srgbClr val="333333"/>
              </a:solidFill>
              <a:effectLst/>
              <a:latin typeface="Arial"/>
            </a:rPr>
            <a:t>Se llama "contribución marginal" o "margen de contribución" a la diferencia entre el Precio de Venta y el Costo Variable Unitario.</a:t>
          </a:r>
        </a:p>
        <a:p>
          <a:pPr algn="ctr"/>
          <a:r>
            <a:rPr lang="es-EC" b="1"/>
            <a:t>Contribución Marginal = Precio de Venta - Costo Variable Unitario</a:t>
          </a:r>
          <a:endParaRPr lang="es-EC"/>
        </a:p>
        <a:p>
          <a:pPr algn="ctr"/>
          <a:r>
            <a:rPr lang="es-EC" b="0" i="0">
              <a:solidFill>
                <a:srgbClr val="333333"/>
              </a:solidFill>
              <a:effectLst/>
              <a:latin typeface="Arial"/>
            </a:rPr>
            <a:t>Se le llama "margen de contribución" porque muestra como "contribuyen" los precios de los productos o servicios a cubrir los costos fijos y a generar utilidad, que es la finalidad que persigue toda empresa. </a:t>
          </a:r>
          <a:br>
            <a:rPr lang="es-EC" b="0" i="0">
              <a:solidFill>
                <a:srgbClr val="333333"/>
              </a:solidFill>
              <a:effectLst/>
              <a:latin typeface="Arial"/>
            </a:rPr>
          </a:br>
          <a:endParaRPr lang="es-EC" b="0" i="0">
            <a:solidFill>
              <a:srgbClr val="333333"/>
            </a:solidFill>
            <a:effectLst/>
            <a:latin typeface="Arial"/>
          </a:endParaRPr>
        </a:p>
        <a:p>
          <a:pPr algn="l"/>
          <a:r>
            <a:rPr lang="es-EC" b="0" i="0">
              <a:solidFill>
                <a:srgbClr val="333333"/>
              </a:solidFill>
              <a:effectLst/>
              <a:latin typeface="Arial"/>
            </a:rPr>
            <a:t>Se pueden dar las siguientes alternativas:</a:t>
          </a:r>
        </a:p>
        <a:p>
          <a:pPr algn="l">
            <a:buFont typeface="+mj-lt"/>
            <a:buAutoNum type="arabicPeriod"/>
          </a:pPr>
          <a:r>
            <a:rPr lang="es-EC" b="0" i="0">
              <a:solidFill>
                <a:srgbClr val="333333"/>
              </a:solidFill>
              <a:effectLst/>
              <a:latin typeface="Arial"/>
            </a:rPr>
            <a:t>Si la contribución marginal es "positiva", contribuye a absorber el costo fijo y a dejar un "margen" para la utilidad o ganancia.</a:t>
          </a:r>
        </a:p>
        <a:p>
          <a:pPr algn="l">
            <a:buFont typeface="+mj-lt"/>
            <a:buAutoNum type="arabicPeriod"/>
          </a:pPr>
          <a:r>
            <a:rPr lang="es-EC" b="0" i="0">
              <a:solidFill>
                <a:srgbClr val="333333"/>
              </a:solidFill>
              <a:effectLst/>
              <a:latin typeface="Arial"/>
            </a:rPr>
            <a:t>Cuando la contribución marginal es igual al costo fijo, y no deja margen para la ganancia, se dice que la empresa está en su "punto de equilibrio". No gana, ni pierde.</a:t>
          </a:r>
        </a:p>
        <a:p>
          <a:pPr algn="l">
            <a:buFont typeface="+mj-lt"/>
            <a:buAutoNum type="arabicPeriod"/>
          </a:pPr>
          <a:r>
            <a:rPr lang="es-EC" b="0" i="0">
              <a:solidFill>
                <a:srgbClr val="333333"/>
              </a:solidFill>
              <a:effectLst/>
              <a:latin typeface="Arial"/>
            </a:rPr>
            <a:t>Cuando la contribución marginal no alcanza para cubrir los costos fijos, la empresa puede seguir trabajando en el corto plazo, aunque la actividad de resultado negativo. Porque esa contribución marginal sirve para absorber parte de los costos fijos.</a:t>
          </a:r>
        </a:p>
        <a:p>
          <a:pPr algn="l">
            <a:buFont typeface="+mj-lt"/>
            <a:buAutoNum type="arabicPeriod"/>
          </a:pPr>
          <a:r>
            <a:rPr lang="es-EC" b="0" i="0">
              <a:solidFill>
                <a:srgbClr val="333333"/>
              </a:solidFill>
              <a:effectLst/>
              <a:latin typeface="Arial"/>
            </a:rPr>
            <a:t>La situación más crítica se da cuando el "precio de venta" no cubre los "costos variables", o sea que la "contribución marginal" es "negativa". En este caso extremo, es cuando se debe tomar la decisión de no continuar con la elaboración de un producto o servicio.</a:t>
          </a:r>
        </a:p>
        <a:p>
          <a:pPr algn="l"/>
          <a:r>
            <a:rPr lang="es-EC" b="0" i="0">
              <a:solidFill>
                <a:srgbClr val="333333"/>
              </a:solidFill>
              <a:effectLst/>
              <a:latin typeface="Arial"/>
            </a:rPr>
            <a:t>El concepto de "</a:t>
          </a:r>
          <a:r>
            <a:rPr lang="es-EC" b="1" i="0">
              <a:solidFill>
                <a:srgbClr val="333333"/>
              </a:solidFill>
              <a:effectLst/>
              <a:latin typeface="Arial"/>
            </a:rPr>
            <a:t>contribución marginal</a:t>
          </a:r>
          <a:r>
            <a:rPr lang="es-EC" b="0" i="0">
              <a:solidFill>
                <a:srgbClr val="333333"/>
              </a:solidFill>
              <a:effectLst/>
              <a:latin typeface="Arial"/>
            </a:rPr>
            <a:t>" es muy importante en las decisiones de mantener, retirar o incorporar nuevos productos de la empresa, por la incidencia que pueden tener los mismos en la absorción de los "costos fijos" y la capacidad de "generar utilidades".</a:t>
          </a:r>
        </a:p>
        <a:p>
          <a:pPr algn="l"/>
          <a:r>
            <a:rPr lang="es-EC" b="0" i="0">
              <a:solidFill>
                <a:srgbClr val="333333"/>
              </a:solidFill>
              <a:effectLst/>
              <a:latin typeface="Arial"/>
            </a:rPr>
            <a:t>También es importante relacionar la "contribución marginal" de cada artículo con las cantidades vendidas. Porque una empresa puede tener productos de alta rotación con baja contribución marginal pero la ganancia total que generan, supera ampliamente la de otros artículos que tienen mayor "contribución marginal" pero menor venta y "menor ganancia total".</a:t>
          </a:r>
        </a:p>
        <a:p>
          <a:pPr algn="l"/>
          <a:endParaRPr lang="es-EC" b="1" i="0">
            <a:solidFill>
              <a:srgbClr val="334D55"/>
            </a:solidFill>
            <a:effectLst/>
            <a:latin typeface="Arial"/>
          </a:endParaRPr>
        </a:p>
        <a:p>
          <a:pPr algn="l"/>
          <a:r>
            <a:rPr lang="es-EC" b="1" i="0">
              <a:solidFill>
                <a:srgbClr val="334D55"/>
              </a:solidFill>
              <a:effectLst/>
              <a:latin typeface="Arial"/>
            </a:rPr>
            <a:t>Punto de Equilibrio</a:t>
          </a:r>
        </a:p>
        <a:p>
          <a:pPr algn="l"/>
          <a:r>
            <a:rPr lang="es-EC" b="0" i="0">
              <a:solidFill>
                <a:srgbClr val="333333"/>
              </a:solidFill>
              <a:effectLst/>
              <a:latin typeface="Arial"/>
            </a:rPr>
            <a:t>Se dice que una Empresa está en su Punto de Equilibrio cuando no genera ni Ganancias, ni Pérdidas. Es decir cuando el Beneficio es igual a cero.</a:t>
          </a:r>
        </a:p>
        <a:p>
          <a:pPr algn="l"/>
          <a:r>
            <a:rPr lang="es-EC" b="0" i="0">
              <a:solidFill>
                <a:srgbClr val="333333"/>
              </a:solidFill>
              <a:effectLst/>
              <a:latin typeface="Arial"/>
            </a:rPr>
            <a:t>Para un determinado costo fijo de la Empresa, y conocida la Contribución Marginal de cada producto, se puede calcular las cantidades de productos o servicios y el monto total de ventas necesario para no ganar ni perder; es decir para estar en Equilibrio.</a:t>
          </a:r>
        </a:p>
        <a:p>
          <a:pPr algn="l"/>
          <a:r>
            <a:rPr lang="es-EC" b="0" i="0">
              <a:solidFill>
                <a:srgbClr val="333333"/>
              </a:solidFill>
              <a:effectLst/>
              <a:latin typeface="Arial"/>
            </a:rPr>
            <a:t>La fórmula para el cálculo, es la siguiente:</a:t>
          </a:r>
        </a:p>
        <a:p>
          <a:pPr algn="l"/>
          <a:r>
            <a:rPr lang="es-EC" b="0" i="0">
              <a:solidFill>
                <a:srgbClr val="333333"/>
              </a:solidFill>
              <a:effectLst/>
              <a:latin typeface="Arial"/>
            </a:rPr>
            <a:t>En el caso (a) el punto de equilibrio está expresado en cantidades de producto. Y en el caso (b) en montos de venta.</a:t>
          </a:r>
        </a:p>
        <a:p>
          <a:pPr algn="l"/>
          <a:r>
            <a:rPr lang="es-EC" b="0" i="0">
              <a:solidFill>
                <a:srgbClr val="333333"/>
              </a:solidFill>
              <a:effectLst/>
              <a:latin typeface="Arial"/>
            </a:rPr>
            <a:t>Gráfico del Punto de Equilibrio</a:t>
          </a:r>
        </a:p>
        <a:p>
          <a:pPr algn="l"/>
          <a:r>
            <a:rPr lang="es-EC" b="0" i="0">
              <a:solidFill>
                <a:srgbClr val="333333"/>
              </a:solidFill>
              <a:effectLst/>
              <a:latin typeface="Arial"/>
            </a:rPr>
            <a:t>(a) Area de Pérdida</a:t>
          </a:r>
          <a:br>
            <a:rPr lang="es-EC" b="0" i="0">
              <a:solidFill>
                <a:srgbClr val="333333"/>
              </a:solidFill>
              <a:effectLst/>
              <a:latin typeface="Arial"/>
            </a:rPr>
          </a:br>
          <a:r>
            <a:rPr lang="es-EC" b="0" i="0">
              <a:solidFill>
                <a:srgbClr val="333333"/>
              </a:solidFill>
              <a:effectLst/>
              <a:latin typeface="Arial"/>
            </a:rPr>
            <a:t>(b) Area de Ganancia</a:t>
          </a:r>
        </a:p>
        <a:p>
          <a:pPr algn="l"/>
          <a:endParaRPr lang="es-EC" b="1" i="0">
            <a:solidFill>
              <a:srgbClr val="006699"/>
            </a:solidFill>
            <a:effectLst/>
            <a:latin typeface="Arial"/>
          </a:endParaRPr>
        </a:p>
        <a:p>
          <a:pPr algn="l"/>
          <a:r>
            <a:rPr lang="es-EC" b="1" i="0">
              <a:solidFill>
                <a:srgbClr val="006699"/>
              </a:solidFill>
              <a:effectLst/>
              <a:latin typeface="Arial"/>
            </a:rPr>
            <a:t>EL PRECIO DE VENTA</a:t>
          </a:r>
        </a:p>
        <a:p>
          <a:pPr algn="l"/>
          <a:r>
            <a:rPr lang="es-EC" b="0" i="0">
              <a:solidFill>
                <a:srgbClr val="333333"/>
              </a:solidFill>
              <a:effectLst/>
              <a:latin typeface="Arial"/>
            </a:rPr>
            <a:t>El precio de venta es el valor de los productos o servicios que se venden a los clientes.</a:t>
          </a:r>
        </a:p>
        <a:p>
          <a:pPr algn="l"/>
          <a:r>
            <a:rPr lang="es-EC" b="0" i="0">
              <a:solidFill>
                <a:srgbClr val="333333"/>
              </a:solidFill>
              <a:effectLst/>
              <a:latin typeface="Arial"/>
            </a:rPr>
            <a:t>La determinación de este valor, es una de las decisiones estratégicas más importantes ya que, el precio, es uno de los elementos que los consumidores tienen en cuenta a la hora de comprar lo que necesitan.</a:t>
          </a:r>
        </a:p>
        <a:p>
          <a:pPr algn="l"/>
          <a:r>
            <a:rPr lang="es-EC" b="0" i="0">
              <a:solidFill>
                <a:srgbClr val="333333"/>
              </a:solidFill>
              <a:effectLst/>
              <a:latin typeface="Arial"/>
            </a:rPr>
            <a:t>El cliente estará dispuesto a pagar por los bienes y servicios, lo que considera un precio "justo", es decir, aquel que sea equivalente al nivel de satisfacción de sus necesidades o deseos con la compra de dichos bienes o servicios.</a:t>
          </a:r>
          <a:br>
            <a:rPr lang="es-EC" b="0" i="0">
              <a:solidFill>
                <a:srgbClr val="333333"/>
              </a:solidFill>
              <a:effectLst/>
              <a:latin typeface="Arial"/>
            </a:rPr>
          </a:br>
          <a:r>
            <a:rPr lang="es-EC" b="0" i="0">
              <a:solidFill>
                <a:srgbClr val="333333"/>
              </a:solidFill>
              <a:effectLst/>
              <a:latin typeface="Arial"/>
            </a:rPr>
            <a:t>Por otro lado, la empresa espera, a través del precio, cubrir los costos y obtener ganancias.</a:t>
          </a:r>
        </a:p>
        <a:p>
          <a:pPr algn="l"/>
          <a:r>
            <a:rPr lang="es-EC" b="0" i="0">
              <a:solidFill>
                <a:srgbClr val="333333"/>
              </a:solidFill>
              <a:effectLst/>
              <a:latin typeface="Arial"/>
            </a:rPr>
            <a:t>En la determinación del precio, es necesario tomar en cuenta los objetivos de la empresa y la expectativa del cliente.</a:t>
          </a:r>
        </a:p>
        <a:p>
          <a:pPr algn="l"/>
          <a:r>
            <a:rPr lang="es-EC" b="0" i="0">
              <a:solidFill>
                <a:srgbClr val="333333"/>
              </a:solidFill>
              <a:effectLst/>
              <a:latin typeface="Arial"/>
            </a:rPr>
            <a:t>El precio de venta es ig ual al costo total del producto más la ganancia.</a:t>
          </a:r>
        </a:p>
        <a:p>
          <a:pPr algn="ctr"/>
          <a:r>
            <a:rPr lang="es-EC" b="1"/>
            <a:t>Precio de Venta = Costo Total unitario + Utilidad</a:t>
          </a:r>
          <a:endParaRPr lang="es-EC"/>
        </a:p>
        <a:p>
          <a:pPr algn="l"/>
          <a:r>
            <a:rPr lang="es-EC" b="1" i="0">
              <a:solidFill>
                <a:srgbClr val="006699"/>
              </a:solidFill>
              <a:effectLst/>
              <a:latin typeface="Arial"/>
            </a:rPr>
            <a:t>Estructura de costos</a:t>
          </a:r>
        </a:p>
        <a:p>
          <a:pPr algn="ctr"/>
          <a:r>
            <a:rPr lang="es-EC" b="1">
              <a:solidFill>
                <a:srgbClr val="006699"/>
              </a:solidFill>
              <a:effectLst/>
              <a:latin typeface="Arial"/>
            </a:rPr>
            <a:t>COSTOS VARIABLES</a:t>
          </a:r>
        </a:p>
        <a:p>
          <a:pPr>
            <a:buFont typeface="Arial"/>
            <a:buChar char="•"/>
          </a:pPr>
          <a:r>
            <a:rPr lang="es-EC">
              <a:effectLst/>
            </a:rPr>
            <a:t>Mano de obra directa</a:t>
          </a:r>
        </a:p>
        <a:p>
          <a:pPr>
            <a:buFont typeface="Arial"/>
            <a:buChar char="•"/>
          </a:pPr>
          <a:r>
            <a:rPr lang="es-EC">
              <a:effectLst/>
            </a:rPr>
            <a:t>Insumos directos</a:t>
          </a:r>
        </a:p>
        <a:p>
          <a:pPr>
            <a:buFont typeface="Arial"/>
            <a:buChar char="•"/>
          </a:pPr>
          <a:r>
            <a:rPr lang="es-EC">
              <a:effectLst/>
            </a:rPr>
            <a:t>Costos variables indirectos</a:t>
          </a:r>
          <a:br>
            <a:rPr lang="es-EC">
              <a:effectLst/>
            </a:rPr>
          </a:br>
          <a:endParaRPr lang="es-EC">
            <a:effectLst/>
          </a:endParaRPr>
        </a:p>
        <a:p>
          <a:pPr algn="ctr"/>
          <a:r>
            <a:rPr lang="es-EC" b="1">
              <a:solidFill>
                <a:srgbClr val="006699"/>
              </a:solidFill>
              <a:effectLst/>
              <a:latin typeface="Arial"/>
            </a:rPr>
            <a:t>COSTOS FIJOS</a:t>
          </a:r>
        </a:p>
        <a:p>
          <a:pPr>
            <a:buFont typeface="Arial"/>
            <a:buChar char="•"/>
          </a:pPr>
          <a:r>
            <a:rPr lang="es-EC">
              <a:effectLst/>
            </a:rPr>
            <a:t>De Producción</a:t>
          </a:r>
        </a:p>
        <a:p>
          <a:pPr>
            <a:buFont typeface="Arial"/>
            <a:buChar char="•"/>
          </a:pPr>
          <a:r>
            <a:rPr lang="es-EC">
              <a:effectLst/>
            </a:rPr>
            <a:t>De Comercialización</a:t>
          </a:r>
        </a:p>
        <a:p>
          <a:pPr>
            <a:buFont typeface="Arial"/>
            <a:buChar char="•"/>
          </a:pPr>
          <a:r>
            <a:rPr lang="es-EC">
              <a:effectLst/>
            </a:rPr>
            <a:t>De Administración</a:t>
          </a:r>
        </a:p>
        <a:p>
          <a:pPr>
            <a:buFont typeface="Arial"/>
            <a:buChar char="•"/>
          </a:pPr>
          <a:r>
            <a:rPr lang="es-EC">
              <a:effectLst/>
            </a:rPr>
            <a:t>Financieros</a:t>
          </a:r>
        </a:p>
        <a:p>
          <a:pPr algn="ctr"/>
          <a:r>
            <a:rPr lang="es-EC" b="1">
              <a:solidFill>
                <a:srgbClr val="006699"/>
              </a:solidFill>
              <a:effectLst/>
              <a:latin typeface="Arial"/>
            </a:rPr>
            <a:t>COSTO DE VENTA TOTAL</a:t>
          </a:r>
        </a:p>
        <a:p>
          <a:pPr algn="ctr"/>
          <a:endParaRPr lang="es-EC" b="1">
            <a:solidFill>
              <a:srgbClr val="006699"/>
            </a:solidFill>
            <a:effectLst/>
            <a:latin typeface="Arial"/>
          </a:endParaRPr>
        </a:p>
        <a:p>
          <a:pPr algn="ctr"/>
          <a:endParaRPr lang="es-EC" b="1">
            <a:solidFill>
              <a:srgbClr val="006699"/>
            </a:solidFill>
            <a:effectLst/>
            <a:latin typeface="Arial"/>
          </a:endParaRPr>
        </a:p>
        <a:p>
          <a:pPr algn="ctr"/>
          <a:r>
            <a:rPr lang="es-EC" b="1">
              <a:solidFill>
                <a:srgbClr val="006699"/>
              </a:solidFill>
              <a:effectLst/>
              <a:latin typeface="Arial"/>
            </a:rPr>
            <a:t>MARGEN DE UTILIDAD</a:t>
          </a:r>
        </a:p>
        <a:p>
          <a:pPr algn="ctr"/>
          <a:endParaRPr lang="es-EC" b="1">
            <a:solidFill>
              <a:srgbClr val="006699"/>
            </a:solidFill>
            <a:effectLst/>
            <a:latin typeface="Arial"/>
          </a:endParaRPr>
        </a:p>
        <a:p>
          <a:pPr algn="ctr"/>
          <a:endParaRPr lang="es-EC" b="1">
            <a:solidFill>
              <a:srgbClr val="006699"/>
            </a:solidFill>
            <a:effectLst/>
            <a:latin typeface="Arial"/>
          </a:endParaRPr>
        </a:p>
        <a:p>
          <a:pPr algn="ctr"/>
          <a:r>
            <a:rPr lang="es-EC" b="1">
              <a:solidFill>
                <a:srgbClr val="006699"/>
              </a:solidFill>
              <a:effectLst/>
              <a:latin typeface="Arial"/>
            </a:rPr>
            <a:t>PRECIO DE VENTA</a:t>
          </a:r>
        </a:p>
        <a:p>
          <a:pPr algn="ctr"/>
          <a:endParaRPr lang="es-EC" b="1">
            <a:solidFill>
              <a:srgbClr val="006699"/>
            </a:solidFill>
            <a:effectLst/>
            <a:latin typeface="Arial"/>
          </a:endParaRPr>
        </a:p>
        <a:p>
          <a:r>
            <a:rPr lang="es-EC"/>
            <a:t/>
          </a:r>
          <a:br>
            <a:rPr lang="es-EC"/>
          </a:br>
          <a:r>
            <a:rPr lang="es-EC">
              <a:hlinkClick xmlns:r="http://schemas.openxmlformats.org/officeDocument/2006/relationships" r:id=""/>
            </a:rPr>
            <a:t>http://www.infomipyme.com/Docs/GT/Offline/Empresarios/costos.htm#venta</a:t>
          </a:r>
          <a:endParaRPr lang="es-EC"/>
        </a:p>
        <a:p>
          <a:r>
            <a:rPr lang="es-EC">
              <a:hlinkClick xmlns:r="http://schemas.openxmlformats.org/officeDocument/2006/relationships" r:id=""/>
            </a:rPr>
            <a:t>http://www.infomipyme.com/Docs/GT/Offline/Empresarios/ejerCost.htm</a:t>
          </a:r>
          <a:endParaRPr lang="es-EC"/>
        </a:p>
        <a:p>
          <a:r>
            <a:rPr lang="es-EC">
              <a:hlinkClick xmlns:r="http://schemas.openxmlformats.org/officeDocument/2006/relationships" r:id=""/>
            </a:rPr>
            <a:t>http://es.scribd.com/doc/71369523/8/El-metodo-del-deficit-acumulado-maximo</a:t>
          </a:r>
          <a:endParaRPr lang="es-EC"/>
        </a:p>
        <a:p>
          <a:r>
            <a:rPr lang="es-EC">
              <a:hlinkClick xmlns:r="http://schemas.openxmlformats.org/officeDocument/2006/relationships" r:id=""/>
            </a:rPr>
            <a:t>http://www.depreciacion.net/tasas.html</a:t>
          </a:r>
          <a:endParaRPr lang="es-EC"/>
        </a:p>
        <a:p>
          <a:r>
            <a:rPr lang="es-EC">
              <a:hlinkClick xmlns:r="http://schemas.openxmlformats.org/officeDocument/2006/relationships" r:id=""/>
            </a:rPr>
            <a:t>http://www.eluniverso.com/2012/08/06/1/1356/precios-consumidor-subieron-un-026.html</a:t>
          </a:r>
          <a:endParaRPr lang="es-EC"/>
        </a:p>
        <a:p>
          <a:endParaRPr lang="es-EC"/>
        </a:p>
        <a:p>
          <a:pPr marL="0" indent="0"/>
          <a:r>
            <a:rPr lang="es-EC" sz="1100" u="sng">
              <a:solidFill>
                <a:schemeClr val="tx2"/>
              </a:solidFill>
              <a:latin typeface="+mn-lt"/>
              <a:ea typeface="+mn-ea"/>
              <a:cs typeface="+mn-cs"/>
            </a:rPr>
            <a:t>http://www.lahora.com.ec/index.php/noticias/show/1101441071#.USJmix1t08w</a:t>
          </a:r>
        </a:p>
        <a:p>
          <a:r>
            <a:rPr lang="es-EC"/>
            <a:t>(esta es para</a:t>
          </a:r>
          <a:r>
            <a:rPr lang="es-EC" baseline="0"/>
            <a:t> lo que es decimo tercer y decimo cuarto sueldo..)</a:t>
          </a:r>
        </a:p>
        <a:p>
          <a:endParaRPr lang="es-EC" baseline="0"/>
        </a:p>
        <a:p>
          <a:r>
            <a:rPr lang="es-EC" u="sng">
              <a:solidFill>
                <a:schemeClr val="tx2"/>
              </a:solidFill>
            </a:rPr>
            <a:t>http://www.ecuadorlegalonline.com/laboral/decimo-cuarto-sueldo/</a:t>
          </a:r>
        </a:p>
        <a:p>
          <a:r>
            <a:rPr lang="es-EC"/>
            <a:t>(esta es para decimo cuarto sueldo)</a:t>
          </a:r>
        </a:p>
        <a:p>
          <a:endParaRPr lang="es-EC"/>
        </a:p>
        <a:p>
          <a:r>
            <a:rPr lang="es-EC" u="sng">
              <a:solidFill>
                <a:schemeClr val="tx2"/>
              </a:solidFill>
            </a:rPr>
            <a:t>http://www.ecuadorlegalonline.com/laboral/horas-extras/</a:t>
          </a:r>
        </a:p>
        <a:p>
          <a:r>
            <a:rPr lang="es-EC"/>
            <a:t>(esta es para hora extra o extraordinaria)</a:t>
          </a:r>
        </a:p>
        <a:p>
          <a:endParaRPr lang="es-EC"/>
        </a:p>
        <a:p>
          <a:r>
            <a:rPr lang="es-EC" u="sng">
              <a:solidFill>
                <a:schemeClr val="tx2"/>
              </a:solidFill>
            </a:rPr>
            <a:t>http://blog.smsecuador.ec/2009/09/%C2%BFcomo-se-calculan-las-vacaciones/</a:t>
          </a:r>
        </a:p>
        <a:p>
          <a:r>
            <a:rPr lang="es-EC" u="none">
              <a:solidFill>
                <a:sysClr val="windowText" lastClr="000000"/>
              </a:solidFill>
            </a:rPr>
            <a:t>(esta es para vacaciones)</a:t>
          </a:r>
        </a:p>
        <a:p>
          <a:endParaRPr lang="es-EC" u="none">
            <a:solidFill>
              <a:sysClr val="windowText" lastClr="000000"/>
            </a:solidFill>
          </a:endParaRPr>
        </a:p>
        <a:p>
          <a:r>
            <a:rPr lang="es-EC" u="none">
              <a:solidFill>
                <a:sysClr val="windowText" lastClr="000000"/>
              </a:solidFill>
            </a:rPr>
            <a:t>http://www.interagua.com.ec/clientes_preguntasf_ufa.htm</a:t>
          </a:r>
        </a:p>
        <a:p>
          <a:r>
            <a:rPr lang="es-EC" u="none">
              <a:solidFill>
                <a:sysClr val="windowText" lastClr="000000"/>
              </a:solidFill>
            </a:rPr>
            <a:t>(esta es para el calculo del agua )</a:t>
          </a:r>
        </a:p>
        <a:p>
          <a:endParaRPr lang="es-EC" u="none">
            <a:solidFill>
              <a:sysClr val="windowText" lastClr="000000"/>
            </a:solidFill>
          </a:endParaRPr>
        </a:p>
        <a:p>
          <a:r>
            <a:rPr lang="es-EC" u="none">
              <a:solidFill>
                <a:sysClr val="windowText" lastClr="000000"/>
              </a:solidFill>
            </a:rPr>
            <a:t>http://www.bce.fin.ec/resumen_ticker.php?ticker_value=inflacion</a:t>
          </a:r>
        </a:p>
        <a:p>
          <a:r>
            <a:rPr lang="es-EC" u="none">
              <a:solidFill>
                <a:sysClr val="windowText" lastClr="000000"/>
              </a:solidFill>
            </a:rPr>
            <a:t>(esta es </a:t>
          </a:r>
          <a:r>
            <a:rPr lang="es-EC" u="none" baseline="0">
              <a:solidFill>
                <a:sysClr val="windowText" lastClr="000000"/>
              </a:solidFill>
            </a:rPr>
            <a:t> para la inflacion anual)</a:t>
          </a:r>
        </a:p>
        <a:p>
          <a:endParaRPr lang="es-EC" u="none" baseline="0">
            <a:solidFill>
              <a:sysClr val="windowText" lastClr="000000"/>
            </a:solidFill>
          </a:endParaRPr>
        </a:p>
        <a:p>
          <a:r>
            <a:rPr lang="es-EC" u="none">
              <a:solidFill>
                <a:sysClr val="windowText" lastClr="000000"/>
              </a:solidFill>
            </a:rPr>
            <a:t>http://lanuevaeconomia.com/inversiones-fijas-y-capital-de-trabajo-de-proyectos-de-inversion.html</a:t>
          </a:r>
        </a:p>
        <a:p>
          <a:r>
            <a:rPr lang="es-EC" u="none">
              <a:solidFill>
                <a:sysClr val="windowText" lastClr="000000"/>
              </a:solidFill>
            </a:rPr>
            <a:t>(esta es para capital de trabajo y inversion)</a:t>
          </a:r>
        </a:p>
        <a:p>
          <a:endParaRPr lang="es-EC" u="none">
            <a:solidFill>
              <a:sysClr val="windowText" lastClr="000000"/>
            </a:solidFill>
          </a:endParaRPr>
        </a:p>
        <a:p>
          <a:r>
            <a:rPr lang="es-EC" u="none">
              <a:solidFill>
                <a:sysClr val="windowText" lastClr="000000"/>
              </a:solidFill>
            </a:rPr>
            <a:t>http://www.buenastareas.com/ensayos/Valor-De-Salvamento-Vida-Util/1605603.html</a:t>
          </a:r>
        </a:p>
        <a:p>
          <a:r>
            <a:rPr lang="es-EC" u="none">
              <a:solidFill>
                <a:sysClr val="windowText" lastClr="000000"/>
              </a:solidFill>
            </a:rPr>
            <a:t>(esta</a:t>
          </a:r>
          <a:r>
            <a:rPr lang="es-EC" u="none" baseline="0">
              <a:solidFill>
                <a:sysClr val="windowText" lastClr="000000"/>
              </a:solidFill>
            </a:rPr>
            <a:t> es para valor de salvamento y depreciacion)</a:t>
          </a:r>
        </a:p>
        <a:p>
          <a:endParaRPr lang="es-EC" u="none" baseline="0">
            <a:solidFill>
              <a:sysClr val="windowText" lastClr="000000"/>
            </a:solidFill>
          </a:endParaRPr>
        </a:p>
        <a:p>
          <a:r>
            <a:rPr lang="es-EC" u="none">
              <a:solidFill>
                <a:sysClr val="windowText" lastClr="000000"/>
              </a:solidFill>
            </a:rPr>
            <a:t>http://www.virtual.unal.edu.co/cursos/sedes/manizales/4010045/Lecciones/Cap%2010/10-1-2.htm</a:t>
          </a:r>
        </a:p>
        <a:p>
          <a:r>
            <a:rPr lang="es-EC" u="none">
              <a:solidFill>
                <a:sysClr val="windowText" lastClr="000000"/>
              </a:solidFill>
            </a:rPr>
            <a:t>(esta es para el</a:t>
          </a:r>
          <a:r>
            <a:rPr lang="es-EC" u="none" baseline="0">
              <a:solidFill>
                <a:sysClr val="windowText" lastClr="000000"/>
              </a:solidFill>
            </a:rPr>
            <a:t> </a:t>
          </a:r>
          <a:r>
            <a:rPr lang="es-EC" u="none">
              <a:solidFill>
                <a:sysClr val="windowText" lastClr="000000"/>
              </a:solidFill>
            </a:rPr>
            <a:t>costo</a:t>
          </a:r>
          <a:r>
            <a:rPr lang="es-EC" u="none" baseline="0">
              <a:solidFill>
                <a:sysClr val="windowText" lastClr="000000"/>
              </a:solidFill>
            </a:rPr>
            <a:t> ponderado de capital)</a:t>
          </a:r>
        </a:p>
        <a:p>
          <a:endParaRPr lang="es-EC" u="none" baseline="0">
            <a:solidFill>
              <a:sysClr val="windowText" lastClr="000000"/>
            </a:solidFill>
          </a:endParaRPr>
        </a:p>
        <a:p>
          <a:r>
            <a:rPr lang="es-EC" u="none">
              <a:solidFill>
                <a:sysClr val="windowText" lastClr="000000"/>
              </a:solidFill>
            </a:rPr>
            <a:t>http://es.wikipedia.org/wiki/Valor_actual_neto</a:t>
          </a:r>
        </a:p>
        <a:p>
          <a:r>
            <a:rPr lang="es-EC" u="none">
              <a:solidFill>
                <a:sysClr val="windowText" lastClr="000000"/>
              </a:solidFill>
            </a:rPr>
            <a:t>(esta es para valor actual neto)</a:t>
          </a:r>
        </a:p>
        <a:p>
          <a:endParaRPr lang="es-EC" u="none">
            <a:solidFill>
              <a:sysClr val="windowText" lastClr="000000"/>
            </a:solidFill>
          </a:endParaRPr>
        </a:p>
        <a:p>
          <a:r>
            <a:rPr lang="es-EC" u="none">
              <a:solidFill>
                <a:sysClr val="windowText" lastClr="000000"/>
              </a:solidFill>
            </a:rPr>
            <a:t>http://es.wikipedia.org/wiki/Tasa_interna_de_retorno</a:t>
          </a:r>
        </a:p>
        <a:p>
          <a:r>
            <a:rPr lang="es-EC" u="none">
              <a:solidFill>
                <a:sysClr val="windowText" lastClr="000000"/>
              </a:solidFill>
            </a:rPr>
            <a:t>(esta es para tasa interna de retorno)</a:t>
          </a:r>
        </a:p>
        <a:p>
          <a:endParaRPr lang="es-EC" u="none">
            <a:solidFill>
              <a:sysClr val="windowText" lastClr="000000"/>
            </a:solidFill>
          </a:endParaRPr>
        </a:p>
        <a:p>
          <a:r>
            <a:rPr lang="es-EC" u="none">
              <a:solidFill>
                <a:sysClr val="windowText" lastClr="000000"/>
              </a:solidFill>
            </a:rPr>
            <a:t>http://biblioteca.itson.mx/oa/contaduria_finanzas/oa1/planeacion_evaluacion_financiera/p11.htm</a:t>
          </a:r>
        </a:p>
        <a:p>
          <a:r>
            <a:rPr lang="es-EC" u="none">
              <a:solidFill>
                <a:sysClr val="windowText" lastClr="000000"/>
              </a:solidFill>
            </a:rPr>
            <a:t>(ESTA ES PARA EL PERIODO DE RECUPERACIÓN DE LA INVERSIÓN)</a:t>
          </a:r>
        </a:p>
      </xdr:txBody>
    </xdr:sp>
    <xdr:clientData/>
  </xdr:twoCellAnchor>
  <xdr:twoCellAnchor editAs="oneCell">
    <xdr:from>
      <xdr:col>7</xdr:col>
      <xdr:colOff>85726</xdr:colOff>
      <xdr:row>194</xdr:row>
      <xdr:rowOff>161925</xdr:rowOff>
    </xdr:from>
    <xdr:to>
      <xdr:col>16</xdr:col>
      <xdr:colOff>714376</xdr:colOff>
      <xdr:row>204</xdr:row>
      <xdr:rowOff>171450</xdr:rowOff>
    </xdr:to>
    <xdr:pic>
      <xdr:nvPicPr>
        <xdr:cNvPr id="3" name="2 Imagen"/>
        <xdr:cNvPicPr>
          <a:picLocks noChangeAspect="1"/>
        </xdr:cNvPicPr>
      </xdr:nvPicPr>
      <xdr:blipFill rotWithShape="1">
        <a:blip xmlns:r="http://schemas.openxmlformats.org/officeDocument/2006/relationships" r:embed="rId1"/>
        <a:srcRect l="19143" t="32990" r="4089" b="32110"/>
        <a:stretch/>
      </xdr:blipFill>
      <xdr:spPr>
        <a:xfrm>
          <a:off x="5419726" y="37118925"/>
          <a:ext cx="7486650" cy="19145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514350</xdr:colOff>
      <xdr:row>7</xdr:row>
      <xdr:rowOff>95250</xdr:rowOff>
    </xdr:from>
    <xdr:to>
      <xdr:col>5</xdr:col>
      <xdr:colOff>866775</xdr:colOff>
      <xdr:row>7</xdr:row>
      <xdr:rowOff>95250</xdr:rowOff>
    </xdr:to>
    <xdr:sp macro="" textlink="">
      <xdr:nvSpPr>
        <xdr:cNvPr id="3" name="Line 3"/>
        <xdr:cNvSpPr>
          <a:spLocks noChangeShapeType="1"/>
        </xdr:cNvSpPr>
      </xdr:nvSpPr>
      <xdr:spPr bwMode="auto">
        <a:xfrm>
          <a:off x="4400550" y="1428750"/>
          <a:ext cx="3524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4"/>
  <sheetViews>
    <sheetView tabSelected="1" zoomScaleNormal="100" workbookViewId="0">
      <selection activeCell="C6" sqref="C6"/>
    </sheetView>
  </sheetViews>
  <sheetFormatPr baseColWidth="10" defaultRowHeight="15" x14ac:dyDescent="0.25"/>
  <cols>
    <col min="1" max="1" width="24" customWidth="1"/>
    <col min="2" max="2" width="11.140625" customWidth="1"/>
    <col min="3" max="3" width="11.28515625" customWidth="1"/>
    <col min="4" max="4" width="10.85546875" customWidth="1"/>
    <col min="5" max="5" width="11.7109375" customWidth="1"/>
    <col min="6" max="6" width="5.140625" customWidth="1"/>
    <col min="7" max="7" width="5.85546875" customWidth="1"/>
    <col min="8" max="8" width="7.42578125" customWidth="1"/>
    <col min="9" max="9" width="10.140625" customWidth="1"/>
    <col min="10" max="10" width="9.85546875" customWidth="1"/>
    <col min="11" max="11" width="9.5703125" customWidth="1"/>
    <col min="12" max="13" width="9.7109375" customWidth="1"/>
    <col min="14" max="14" width="11.140625" customWidth="1"/>
    <col min="15" max="17" width="9.7109375" customWidth="1"/>
    <col min="18" max="18" width="11.28515625" customWidth="1"/>
    <col min="19" max="19" width="12.42578125" customWidth="1"/>
    <col min="20" max="20" width="11" customWidth="1"/>
    <col min="21" max="21" width="15.42578125" customWidth="1"/>
    <col min="22" max="22" width="13.140625" customWidth="1"/>
  </cols>
  <sheetData>
    <row r="1" spans="1:22" ht="15.75" thickBot="1" x14ac:dyDescent="0.3">
      <c r="A1" s="225" t="s">
        <v>6</v>
      </c>
      <c r="B1" s="226"/>
      <c r="C1" s="226"/>
      <c r="D1" s="226"/>
      <c r="E1" s="226"/>
      <c r="F1" s="226"/>
      <c r="G1" s="226"/>
      <c r="H1" s="226"/>
      <c r="I1" s="226"/>
      <c r="J1" s="226"/>
      <c r="K1" s="226"/>
      <c r="L1" s="226"/>
      <c r="M1" s="226"/>
      <c r="N1" s="226"/>
      <c r="O1" s="226"/>
      <c r="P1" s="226"/>
      <c r="Q1" s="226"/>
      <c r="R1" s="226"/>
      <c r="S1" s="226"/>
      <c r="T1" s="226"/>
      <c r="U1" s="226"/>
      <c r="V1" s="227"/>
    </row>
    <row r="2" spans="1:22" ht="21.75" customHeight="1" x14ac:dyDescent="0.25">
      <c r="A2" s="229" t="s">
        <v>0</v>
      </c>
      <c r="B2" s="228" t="s">
        <v>5</v>
      </c>
      <c r="C2" s="228" t="s">
        <v>4</v>
      </c>
      <c r="D2" s="228" t="s">
        <v>7</v>
      </c>
      <c r="E2" s="228" t="s">
        <v>8</v>
      </c>
      <c r="F2" s="228" t="s">
        <v>9</v>
      </c>
      <c r="G2" s="228"/>
      <c r="H2" s="228" t="s">
        <v>21</v>
      </c>
      <c r="I2" s="228" t="s">
        <v>10</v>
      </c>
      <c r="J2" s="228" t="s">
        <v>11</v>
      </c>
      <c r="K2" s="228" t="s">
        <v>12</v>
      </c>
      <c r="L2" s="228" t="s">
        <v>13</v>
      </c>
      <c r="M2" s="228" t="s">
        <v>14</v>
      </c>
      <c r="N2" s="228" t="s">
        <v>15</v>
      </c>
      <c r="O2" s="228" t="s">
        <v>16</v>
      </c>
      <c r="P2" s="228" t="s">
        <v>17</v>
      </c>
      <c r="Q2" s="228" t="s">
        <v>18</v>
      </c>
      <c r="R2" s="228" t="s">
        <v>35</v>
      </c>
      <c r="S2" s="228" t="s">
        <v>34</v>
      </c>
      <c r="T2" s="228" t="s">
        <v>22</v>
      </c>
      <c r="U2" s="228" t="s">
        <v>23</v>
      </c>
      <c r="V2" s="232" t="s">
        <v>19</v>
      </c>
    </row>
    <row r="3" spans="1:22" ht="21.75" customHeight="1" thickBot="1" x14ac:dyDescent="0.3">
      <c r="A3" s="230"/>
      <c r="B3" s="231"/>
      <c r="C3" s="231"/>
      <c r="D3" s="231"/>
      <c r="E3" s="231"/>
      <c r="F3" s="6">
        <v>0.5</v>
      </c>
      <c r="G3" s="6">
        <v>1</v>
      </c>
      <c r="H3" s="231"/>
      <c r="I3" s="231"/>
      <c r="J3" s="231"/>
      <c r="K3" s="231"/>
      <c r="L3" s="231"/>
      <c r="M3" s="231"/>
      <c r="N3" s="231"/>
      <c r="O3" s="231"/>
      <c r="P3" s="231"/>
      <c r="Q3" s="231"/>
      <c r="R3" s="231"/>
      <c r="S3" s="231"/>
      <c r="T3" s="231"/>
      <c r="U3" s="231"/>
      <c r="V3" s="233"/>
    </row>
    <row r="4" spans="1:22" ht="15.75" thickBot="1" x14ac:dyDescent="0.3">
      <c r="A4" s="8" t="s">
        <v>20</v>
      </c>
      <c r="B4" s="9">
        <v>6</v>
      </c>
      <c r="C4" s="9">
        <v>21</v>
      </c>
      <c r="D4" s="57">
        <v>318</v>
      </c>
      <c r="E4" s="57">
        <f>(D4*C4)/21</f>
        <v>318</v>
      </c>
      <c r="F4" s="9">
        <v>0</v>
      </c>
      <c r="G4" s="9">
        <v>0</v>
      </c>
      <c r="H4" s="57">
        <f>(D4/240)*2</f>
        <v>2.65</v>
      </c>
      <c r="I4" s="57">
        <f>(((H4*50%)+H4)*F4)+(((H4*100%)+H4)*G4)</f>
        <v>0</v>
      </c>
      <c r="J4" s="57">
        <v>0</v>
      </c>
      <c r="K4" s="57">
        <f>E4+I4+J4</f>
        <v>318</v>
      </c>
      <c r="L4" s="57">
        <f>D4</f>
        <v>318</v>
      </c>
      <c r="M4" s="57">
        <f>((C4*12)*D4)/365</f>
        <v>219.55068493150685</v>
      </c>
      <c r="N4" s="57">
        <f>D4/2</f>
        <v>159</v>
      </c>
      <c r="O4" s="57">
        <f>(D4*8.3333%)*12</f>
        <v>317.99872799999997</v>
      </c>
      <c r="P4" s="57">
        <f>(E4*11.15%)*12</f>
        <v>425.48400000000004</v>
      </c>
      <c r="Q4" s="57">
        <f>(E4*9.35%)*12</f>
        <v>356.79599999999999</v>
      </c>
      <c r="R4" s="57">
        <f>L4+M4+N4+O4+P4</f>
        <v>1440.033412931507</v>
      </c>
      <c r="S4" s="57">
        <f>R4*B4</f>
        <v>8640.2004775890418</v>
      </c>
      <c r="T4" s="57">
        <f>D4*B4*12</f>
        <v>22896</v>
      </c>
      <c r="U4" s="57">
        <f>S4+T4</f>
        <v>31536.200477589042</v>
      </c>
      <c r="V4" s="61">
        <f>U4/12</f>
        <v>2628.0167064657535</v>
      </c>
    </row>
    <row r="5" spans="1:22" ht="15.75" thickBot="1" x14ac:dyDescent="0.3">
      <c r="A5" s="234" t="s">
        <v>1</v>
      </c>
      <c r="B5" s="235"/>
      <c r="C5" s="235"/>
      <c r="D5" s="235"/>
      <c r="E5" s="235"/>
      <c r="F5" s="235"/>
      <c r="G5" s="235"/>
      <c r="H5" s="235"/>
      <c r="I5" s="235"/>
      <c r="J5" s="235"/>
      <c r="K5" s="235"/>
      <c r="L5" s="235"/>
      <c r="M5" s="235"/>
      <c r="N5" s="235"/>
      <c r="O5" s="235"/>
      <c r="P5" s="235"/>
      <c r="Q5" s="235"/>
      <c r="R5" s="235"/>
      <c r="S5" s="235"/>
      <c r="T5" s="236"/>
      <c r="U5" s="65">
        <f>U4</f>
        <v>31536.200477589042</v>
      </c>
      <c r="V5" s="66">
        <f>V4</f>
        <v>2628.0167064657535</v>
      </c>
    </row>
    <row r="6" spans="1:22" ht="15.75" thickBot="1" x14ac:dyDescent="0.3"/>
    <row r="7" spans="1:22" ht="15.75" thickBot="1" x14ac:dyDescent="0.3">
      <c r="A7" s="225" t="s">
        <v>24</v>
      </c>
      <c r="B7" s="226"/>
      <c r="C7" s="226"/>
      <c r="D7" s="226"/>
      <c r="E7" s="226"/>
      <c r="F7" s="226"/>
      <c r="G7" s="226"/>
      <c r="H7" s="226"/>
      <c r="I7" s="226"/>
      <c r="J7" s="226"/>
      <c r="K7" s="226"/>
      <c r="L7" s="226"/>
      <c r="M7" s="226"/>
      <c r="N7" s="226"/>
      <c r="O7" s="226"/>
      <c r="P7" s="226"/>
      <c r="Q7" s="226"/>
      <c r="R7" s="226"/>
      <c r="S7" s="226"/>
      <c r="T7" s="226"/>
      <c r="U7" s="226"/>
      <c r="V7" s="227"/>
    </row>
    <row r="8" spans="1:22" ht="21" customHeight="1" x14ac:dyDescent="0.25">
      <c r="A8" s="229" t="s">
        <v>0</v>
      </c>
      <c r="B8" s="228" t="s">
        <v>5</v>
      </c>
      <c r="C8" s="228" t="s">
        <v>4</v>
      </c>
      <c r="D8" s="228" t="s">
        <v>7</v>
      </c>
      <c r="E8" s="228" t="s">
        <v>8</v>
      </c>
      <c r="F8" s="228" t="s">
        <v>9</v>
      </c>
      <c r="G8" s="228"/>
      <c r="H8" s="228" t="s">
        <v>21</v>
      </c>
      <c r="I8" s="228" t="s">
        <v>10</v>
      </c>
      <c r="J8" s="228" t="s">
        <v>11</v>
      </c>
      <c r="K8" s="228" t="s">
        <v>12</v>
      </c>
      <c r="L8" s="228" t="s">
        <v>13</v>
      </c>
      <c r="M8" s="228" t="s">
        <v>14</v>
      </c>
      <c r="N8" s="228" t="s">
        <v>15</v>
      </c>
      <c r="O8" s="228" t="s">
        <v>16</v>
      </c>
      <c r="P8" s="228" t="s">
        <v>17</v>
      </c>
      <c r="Q8" s="228" t="s">
        <v>18</v>
      </c>
      <c r="R8" s="228" t="s">
        <v>35</v>
      </c>
      <c r="S8" s="228" t="s">
        <v>35</v>
      </c>
      <c r="T8" s="228" t="s">
        <v>22</v>
      </c>
      <c r="U8" s="228" t="s">
        <v>23</v>
      </c>
      <c r="V8" s="232" t="s">
        <v>19</v>
      </c>
    </row>
    <row r="9" spans="1:22" ht="23.25" customHeight="1" thickBot="1" x14ac:dyDescent="0.3">
      <c r="A9" s="237"/>
      <c r="B9" s="238"/>
      <c r="C9" s="238"/>
      <c r="D9" s="238"/>
      <c r="E9" s="238"/>
      <c r="F9" s="10">
        <v>0.5</v>
      </c>
      <c r="G9" s="10">
        <v>1</v>
      </c>
      <c r="H9" s="238"/>
      <c r="I9" s="238"/>
      <c r="J9" s="238"/>
      <c r="K9" s="238"/>
      <c r="L9" s="238"/>
      <c r="M9" s="238"/>
      <c r="N9" s="238"/>
      <c r="O9" s="238"/>
      <c r="P9" s="238"/>
      <c r="Q9" s="238"/>
      <c r="R9" s="238"/>
      <c r="S9" s="238"/>
      <c r="T9" s="238"/>
      <c r="U9" s="238"/>
      <c r="V9" s="239"/>
    </row>
    <row r="10" spans="1:22" x14ac:dyDescent="0.25">
      <c r="A10" s="12" t="s">
        <v>25</v>
      </c>
      <c r="B10" s="13">
        <v>1</v>
      </c>
      <c r="C10" s="13">
        <v>21</v>
      </c>
      <c r="D10" s="58">
        <v>1000</v>
      </c>
      <c r="E10" s="58">
        <f>(D10*C10)/21</f>
        <v>1000</v>
      </c>
      <c r="F10" s="13">
        <v>0</v>
      </c>
      <c r="G10" s="13">
        <v>0</v>
      </c>
      <c r="H10" s="58">
        <f>(D10/240)*2</f>
        <v>8.3333333333333339</v>
      </c>
      <c r="I10" s="58">
        <f>(((H10*50%)+H10)*F10)+(((H10*100%)+H10)*G10)</f>
        <v>0</v>
      </c>
      <c r="J10" s="58">
        <v>0</v>
      </c>
      <c r="K10" s="58">
        <f>E10+I10+J10</f>
        <v>1000</v>
      </c>
      <c r="L10" s="58">
        <f>D10</f>
        <v>1000</v>
      </c>
      <c r="M10" s="58">
        <f>((C10*12)*$D$4)/365</f>
        <v>219.55068493150685</v>
      </c>
      <c r="N10" s="58">
        <f>D10/2</f>
        <v>500</v>
      </c>
      <c r="O10" s="58">
        <f>(D10*8.3333%)*12</f>
        <v>999.99599999999987</v>
      </c>
      <c r="P10" s="58">
        <f>(E10*11.15%)*12</f>
        <v>1338</v>
      </c>
      <c r="Q10" s="58">
        <f>(E10*9.35%)*12</f>
        <v>1122</v>
      </c>
      <c r="R10" s="58">
        <f>L10+M10+N10+O10+P10</f>
        <v>4057.5466849315067</v>
      </c>
      <c r="S10" s="58">
        <f>R10*B10</f>
        <v>4057.5466849315067</v>
      </c>
      <c r="T10" s="58">
        <f>D10*B10*12</f>
        <v>12000</v>
      </c>
      <c r="U10" s="58">
        <f>S10+T10</f>
        <v>16057.546684931507</v>
      </c>
      <c r="V10" s="62">
        <f>U10/12</f>
        <v>1338.128890410959</v>
      </c>
    </row>
    <row r="11" spans="1:22" x14ac:dyDescent="0.25">
      <c r="A11" s="16" t="s">
        <v>234</v>
      </c>
      <c r="B11" s="5">
        <v>1</v>
      </c>
      <c r="C11" s="5">
        <v>21</v>
      </c>
      <c r="D11" s="59">
        <v>800</v>
      </c>
      <c r="E11" s="59">
        <f t="shared" ref="E11:E13" si="0">(D11*C11)/21</f>
        <v>800</v>
      </c>
      <c r="F11" s="5">
        <v>0</v>
      </c>
      <c r="G11" s="5">
        <v>0</v>
      </c>
      <c r="H11" s="59">
        <f t="shared" ref="H11:H13" si="1">(D11/240)*2</f>
        <v>6.666666666666667</v>
      </c>
      <c r="I11" s="59">
        <f>(((H11*50%)+H11)*F11)+(((H11*100%)+H11)*G11)</f>
        <v>0</v>
      </c>
      <c r="J11" s="59">
        <v>0</v>
      </c>
      <c r="K11" s="59">
        <f>E11+I11+J11</f>
        <v>800</v>
      </c>
      <c r="L11" s="59">
        <f>D11</f>
        <v>800</v>
      </c>
      <c r="M11" s="59">
        <f t="shared" ref="M11:M13" si="2">((C11*12)*$D$4)/365</f>
        <v>219.55068493150685</v>
      </c>
      <c r="N11" s="59">
        <f>D11/2</f>
        <v>400</v>
      </c>
      <c r="O11" s="59">
        <f>(D11*8.3333%)*12</f>
        <v>799.99679999999989</v>
      </c>
      <c r="P11" s="59">
        <f>(E11*11.15%)*12</f>
        <v>1070.4000000000001</v>
      </c>
      <c r="Q11" s="59">
        <f>(E11*9.35%)*12</f>
        <v>897.59999999999991</v>
      </c>
      <c r="R11" s="59">
        <f>L11+M11+N11+O11+P11</f>
        <v>3289.947484931507</v>
      </c>
      <c r="S11" s="59">
        <f>R11*B11</f>
        <v>3289.947484931507</v>
      </c>
      <c r="T11" s="59">
        <f>D11*B11*12</f>
        <v>9600</v>
      </c>
      <c r="U11" s="59">
        <f>S11+T11</f>
        <v>12889.947484931507</v>
      </c>
      <c r="V11" s="63">
        <f>U11/12</f>
        <v>1074.1622904109588</v>
      </c>
    </row>
    <row r="12" spans="1:22" x14ac:dyDescent="0.25">
      <c r="A12" s="16" t="s">
        <v>26</v>
      </c>
      <c r="B12" s="5">
        <v>1</v>
      </c>
      <c r="C12" s="5">
        <v>21</v>
      </c>
      <c r="D12" s="59">
        <v>750</v>
      </c>
      <c r="E12" s="59">
        <f t="shared" si="0"/>
        <v>750</v>
      </c>
      <c r="F12" s="5">
        <v>0</v>
      </c>
      <c r="G12" s="5">
        <v>0</v>
      </c>
      <c r="H12" s="59">
        <f t="shared" si="1"/>
        <v>6.25</v>
      </c>
      <c r="I12" s="59">
        <f t="shared" ref="I12:I13" si="3">(((H12*50%)+H12)*F12)+(((H12*100%)+H12)*G12)</f>
        <v>0</v>
      </c>
      <c r="J12" s="59">
        <v>0</v>
      </c>
      <c r="K12" s="59">
        <f t="shared" ref="K12:K13" si="4">E12+I12+J12</f>
        <v>750</v>
      </c>
      <c r="L12" s="59">
        <f t="shared" ref="L12:L13" si="5">D12</f>
        <v>750</v>
      </c>
      <c r="M12" s="59">
        <f t="shared" si="2"/>
        <v>219.55068493150685</v>
      </c>
      <c r="N12" s="59">
        <f t="shared" ref="N12:N13" si="6">D12/2</f>
        <v>375</v>
      </c>
      <c r="O12" s="59">
        <f t="shared" ref="O12:O13" si="7">(D12*8.3333%)*12</f>
        <v>749.99699999999984</v>
      </c>
      <c r="P12" s="59">
        <f t="shared" ref="P12:P13" si="8">(E12*11.15%)*12</f>
        <v>1003.5</v>
      </c>
      <c r="Q12" s="59">
        <f t="shared" ref="Q12:Q13" si="9">(E12*9.35%)*12</f>
        <v>841.5</v>
      </c>
      <c r="R12" s="59">
        <f t="shared" ref="R12:R13" si="10">L12+M12+N12+O12+P12</f>
        <v>3098.0476849315064</v>
      </c>
      <c r="S12" s="59">
        <f t="shared" ref="S12:S13" si="11">R12*B12</f>
        <v>3098.0476849315064</v>
      </c>
      <c r="T12" s="59">
        <f t="shared" ref="T12:T13" si="12">D12*B12*12</f>
        <v>9000</v>
      </c>
      <c r="U12" s="59">
        <f t="shared" ref="U12:U13" si="13">S12+T12</f>
        <v>12098.047684931506</v>
      </c>
      <c r="V12" s="63">
        <f t="shared" ref="V12:V13" si="14">U12/12</f>
        <v>1008.1706404109588</v>
      </c>
    </row>
    <row r="13" spans="1:22" ht="15.75" thickBot="1" x14ac:dyDescent="0.3">
      <c r="A13" s="14" t="s">
        <v>27</v>
      </c>
      <c r="B13" s="15">
        <v>1</v>
      </c>
      <c r="C13" s="15">
        <v>21</v>
      </c>
      <c r="D13" s="60">
        <v>318</v>
      </c>
      <c r="E13" s="60">
        <f t="shared" si="0"/>
        <v>318</v>
      </c>
      <c r="F13" s="15">
        <v>0</v>
      </c>
      <c r="G13" s="15">
        <v>0</v>
      </c>
      <c r="H13" s="60">
        <f t="shared" si="1"/>
        <v>2.65</v>
      </c>
      <c r="I13" s="60">
        <f t="shared" si="3"/>
        <v>0</v>
      </c>
      <c r="J13" s="60">
        <v>0</v>
      </c>
      <c r="K13" s="60">
        <f t="shared" si="4"/>
        <v>318</v>
      </c>
      <c r="L13" s="60">
        <f t="shared" si="5"/>
        <v>318</v>
      </c>
      <c r="M13" s="60">
        <f t="shared" si="2"/>
        <v>219.55068493150685</v>
      </c>
      <c r="N13" s="60">
        <f t="shared" si="6"/>
        <v>159</v>
      </c>
      <c r="O13" s="60">
        <f t="shared" si="7"/>
        <v>317.99872799999997</v>
      </c>
      <c r="P13" s="60">
        <f t="shared" si="8"/>
        <v>425.48400000000004</v>
      </c>
      <c r="Q13" s="60">
        <f t="shared" si="9"/>
        <v>356.79599999999999</v>
      </c>
      <c r="R13" s="60">
        <f t="shared" si="10"/>
        <v>1440.033412931507</v>
      </c>
      <c r="S13" s="60">
        <f t="shared" si="11"/>
        <v>1440.033412931507</v>
      </c>
      <c r="T13" s="60">
        <f t="shared" si="12"/>
        <v>3816</v>
      </c>
      <c r="U13" s="60">
        <f t="shared" si="13"/>
        <v>5256.033412931507</v>
      </c>
      <c r="V13" s="64">
        <f t="shared" si="14"/>
        <v>438.0027844109589</v>
      </c>
    </row>
    <row r="14" spans="1:22" ht="15.75" thickBot="1" x14ac:dyDescent="0.3">
      <c r="A14" s="240" t="s">
        <v>1</v>
      </c>
      <c r="B14" s="241"/>
      <c r="C14" s="241"/>
      <c r="D14" s="241"/>
      <c r="E14" s="241"/>
      <c r="F14" s="241"/>
      <c r="G14" s="241"/>
      <c r="H14" s="241"/>
      <c r="I14" s="241"/>
      <c r="J14" s="241"/>
      <c r="K14" s="241"/>
      <c r="L14" s="241"/>
      <c r="M14" s="241"/>
      <c r="N14" s="241"/>
      <c r="O14" s="241"/>
      <c r="P14" s="241"/>
      <c r="Q14" s="241"/>
      <c r="R14" s="241"/>
      <c r="S14" s="241"/>
      <c r="T14" s="242"/>
      <c r="U14" s="67">
        <f>SUM(U10:U13)</f>
        <v>46301.575267726024</v>
      </c>
      <c r="V14" s="67">
        <f>SUM(V10:V13)</f>
        <v>3858.4646056438355</v>
      </c>
    </row>
    <row r="15" spans="1:22" ht="15.75" thickBot="1" x14ac:dyDescent="0.3">
      <c r="A15" s="17"/>
      <c r="B15" s="18"/>
      <c r="C15" s="18"/>
      <c r="D15" s="18"/>
      <c r="E15" s="18"/>
      <c r="F15" s="18"/>
      <c r="G15" s="18"/>
      <c r="H15" s="18"/>
      <c r="I15" s="18"/>
      <c r="J15" s="18"/>
      <c r="K15" s="18"/>
      <c r="L15" s="18"/>
      <c r="M15" s="18"/>
      <c r="N15" s="18"/>
      <c r="O15" s="18"/>
      <c r="P15" s="18"/>
      <c r="Q15" s="18"/>
      <c r="R15" s="18"/>
      <c r="S15" s="18"/>
      <c r="T15" s="19"/>
      <c r="U15" s="11"/>
      <c r="V15" s="20"/>
    </row>
    <row r="16" spans="1:22" ht="15.75" thickBot="1" x14ac:dyDescent="0.3">
      <c r="A16" s="225" t="s">
        <v>28</v>
      </c>
      <c r="B16" s="226"/>
      <c r="C16" s="226"/>
      <c r="D16" s="226"/>
      <c r="E16" s="226"/>
      <c r="F16" s="226"/>
      <c r="G16" s="226"/>
      <c r="H16" s="226"/>
      <c r="I16" s="226"/>
      <c r="J16" s="226"/>
      <c r="K16" s="226"/>
      <c r="L16" s="226"/>
      <c r="M16" s="226"/>
      <c r="N16" s="226"/>
      <c r="O16" s="226"/>
      <c r="P16" s="226"/>
      <c r="Q16" s="226"/>
      <c r="R16" s="226"/>
      <c r="S16" s="226"/>
      <c r="T16" s="226"/>
      <c r="U16" s="226"/>
      <c r="V16" s="227"/>
    </row>
    <row r="17" spans="1:22" ht="20.25" customHeight="1" x14ac:dyDescent="0.25">
      <c r="A17" s="229" t="s">
        <v>0</v>
      </c>
      <c r="B17" s="228" t="s">
        <v>5</v>
      </c>
      <c r="C17" s="228" t="s">
        <v>4</v>
      </c>
      <c r="D17" s="228" t="s">
        <v>7</v>
      </c>
      <c r="E17" s="228" t="s">
        <v>8</v>
      </c>
      <c r="F17" s="228" t="s">
        <v>9</v>
      </c>
      <c r="G17" s="228"/>
      <c r="H17" s="228" t="s">
        <v>21</v>
      </c>
      <c r="I17" s="228" t="s">
        <v>10</v>
      </c>
      <c r="J17" s="228" t="s">
        <v>11</v>
      </c>
      <c r="K17" s="228" t="s">
        <v>12</v>
      </c>
      <c r="L17" s="228" t="s">
        <v>13</v>
      </c>
      <c r="M17" s="228" t="s">
        <v>14</v>
      </c>
      <c r="N17" s="228" t="s">
        <v>15</v>
      </c>
      <c r="O17" s="228" t="s">
        <v>16</v>
      </c>
      <c r="P17" s="228" t="s">
        <v>17</v>
      </c>
      <c r="Q17" s="228" t="s">
        <v>18</v>
      </c>
      <c r="R17" s="228" t="s">
        <v>35</v>
      </c>
      <c r="S17" s="228" t="s">
        <v>35</v>
      </c>
      <c r="T17" s="228" t="s">
        <v>22</v>
      </c>
      <c r="U17" s="228" t="s">
        <v>23</v>
      </c>
      <c r="V17" s="232" t="s">
        <v>19</v>
      </c>
    </row>
    <row r="18" spans="1:22" ht="24" customHeight="1" thickBot="1" x14ac:dyDescent="0.3">
      <c r="A18" s="237"/>
      <c r="B18" s="238"/>
      <c r="C18" s="238"/>
      <c r="D18" s="238"/>
      <c r="E18" s="238"/>
      <c r="F18" s="10">
        <v>0.5</v>
      </c>
      <c r="G18" s="10">
        <v>1</v>
      </c>
      <c r="H18" s="238"/>
      <c r="I18" s="238"/>
      <c r="J18" s="238"/>
      <c r="K18" s="238"/>
      <c r="L18" s="238"/>
      <c r="M18" s="238"/>
      <c r="N18" s="238"/>
      <c r="O18" s="238"/>
      <c r="P18" s="238"/>
      <c r="Q18" s="238"/>
      <c r="R18" s="231"/>
      <c r="S18" s="231"/>
      <c r="T18" s="238"/>
      <c r="U18" s="238"/>
      <c r="V18" s="239"/>
    </row>
    <row r="19" spans="1:22" x14ac:dyDescent="0.25">
      <c r="A19" s="16" t="s">
        <v>29</v>
      </c>
      <c r="B19" s="5">
        <v>1</v>
      </c>
      <c r="C19" s="5">
        <v>21</v>
      </c>
      <c r="D19" s="59">
        <v>318</v>
      </c>
      <c r="E19" s="59">
        <f t="shared" ref="E19:E20" si="15">(D19*C19)/21</f>
        <v>318</v>
      </c>
      <c r="F19" s="5">
        <v>0</v>
      </c>
      <c r="G19" s="5">
        <v>0</v>
      </c>
      <c r="H19" s="59">
        <f>(D19/240)*2</f>
        <v>2.65</v>
      </c>
      <c r="I19" s="59">
        <f>(((H19*50%)+H19)*F19)+(((H19*100%)+H19)*G19)</f>
        <v>0</v>
      </c>
      <c r="J19" s="59">
        <v>0</v>
      </c>
      <c r="K19" s="59">
        <f>E19+I19+J19</f>
        <v>318</v>
      </c>
      <c r="L19" s="59">
        <f>D19</f>
        <v>318</v>
      </c>
      <c r="M19" s="59">
        <f>((C19*12)*$D$4)/365</f>
        <v>219.55068493150685</v>
      </c>
      <c r="N19" s="59">
        <f>D19/2</f>
        <v>159</v>
      </c>
      <c r="O19" s="59">
        <f>(D19*8.3333%)*12</f>
        <v>317.99872799999997</v>
      </c>
      <c r="P19" s="59">
        <f>(E19*11.15%)*12</f>
        <v>425.48400000000004</v>
      </c>
      <c r="Q19" s="59">
        <f>(E19*9.35%)*12</f>
        <v>356.79599999999999</v>
      </c>
      <c r="R19" s="59">
        <f>L19+M19+N19+O19+P19</f>
        <v>1440.033412931507</v>
      </c>
      <c r="S19" s="59">
        <f>R19*B19</f>
        <v>1440.033412931507</v>
      </c>
      <c r="T19" s="59">
        <f>D19*B19*12</f>
        <v>3816</v>
      </c>
      <c r="U19" s="59">
        <f>S19+T19</f>
        <v>5256.033412931507</v>
      </c>
      <c r="V19" s="63">
        <f>U19/12</f>
        <v>438.0027844109589</v>
      </c>
    </row>
    <row r="20" spans="1:22" ht="15.75" thickBot="1" x14ac:dyDescent="0.3">
      <c r="A20" s="14" t="s">
        <v>179</v>
      </c>
      <c r="B20" s="15">
        <v>1</v>
      </c>
      <c r="C20" s="102">
        <v>21</v>
      </c>
      <c r="D20" s="60">
        <v>318</v>
      </c>
      <c r="E20" s="103">
        <f t="shared" si="15"/>
        <v>318</v>
      </c>
      <c r="F20" s="15">
        <v>0</v>
      </c>
      <c r="G20" s="15">
        <v>0</v>
      </c>
      <c r="H20" s="59">
        <f>(D20/240)*2</f>
        <v>2.65</v>
      </c>
      <c r="I20" s="60">
        <f t="shared" ref="I20" si="16">(((H20*50%)+H20)*F20)+(((H20*100%)+H20)*G20)</f>
        <v>0</v>
      </c>
      <c r="J20" s="60">
        <v>0</v>
      </c>
      <c r="K20" s="60">
        <f t="shared" ref="K20" si="17">E20+I20+J20</f>
        <v>318</v>
      </c>
      <c r="L20" s="60">
        <f t="shared" ref="L20" si="18">D20</f>
        <v>318</v>
      </c>
      <c r="M20" s="59">
        <f>((C20*12)*$D$4)/365</f>
        <v>219.55068493150685</v>
      </c>
      <c r="N20" s="60">
        <f t="shared" ref="N20" si="19">D20/2</f>
        <v>159</v>
      </c>
      <c r="O20" s="60">
        <f t="shared" ref="O20" si="20">(D20*8.3333%)*12</f>
        <v>317.99872799999997</v>
      </c>
      <c r="P20" s="60">
        <f t="shared" ref="P20" si="21">(E20*11.15%)*12</f>
        <v>425.48400000000004</v>
      </c>
      <c r="Q20" s="60">
        <f t="shared" ref="Q20" si="22">(E20*9.35%)*12</f>
        <v>356.79599999999999</v>
      </c>
      <c r="R20" s="60">
        <f t="shared" ref="R20" si="23">L20+M20+N20+O20+P20</f>
        <v>1440.033412931507</v>
      </c>
      <c r="S20" s="60">
        <f t="shared" ref="S20" si="24">R20*B20</f>
        <v>1440.033412931507</v>
      </c>
      <c r="T20" s="60">
        <f t="shared" ref="T20" si="25">D20*B20*12</f>
        <v>3816</v>
      </c>
      <c r="U20" s="60">
        <f t="shared" ref="U20" si="26">S20+T20</f>
        <v>5256.033412931507</v>
      </c>
      <c r="V20" s="64">
        <f t="shared" ref="V20" si="27">U20/12</f>
        <v>438.0027844109589</v>
      </c>
    </row>
    <row r="21" spans="1:22" ht="15.75" thickBot="1" x14ac:dyDescent="0.3">
      <c r="A21" s="234" t="s">
        <v>1</v>
      </c>
      <c r="B21" s="235"/>
      <c r="C21" s="235"/>
      <c r="D21" s="235"/>
      <c r="E21" s="235"/>
      <c r="F21" s="235"/>
      <c r="G21" s="235"/>
      <c r="H21" s="235"/>
      <c r="I21" s="235"/>
      <c r="J21" s="235"/>
      <c r="K21" s="235"/>
      <c r="L21" s="235"/>
      <c r="M21" s="235"/>
      <c r="N21" s="235"/>
      <c r="O21" s="235"/>
      <c r="P21" s="235"/>
      <c r="Q21" s="235"/>
      <c r="R21" s="235"/>
      <c r="S21" s="235"/>
      <c r="T21" s="236"/>
      <c r="U21" s="67">
        <f>SUM(U19:U20)</f>
        <v>10512.066825863014</v>
      </c>
      <c r="V21" s="67">
        <f>SUM(V19:V20)</f>
        <v>876.00556882191779</v>
      </c>
    </row>
    <row r="22" spans="1:22" ht="15.75" thickBot="1" x14ac:dyDescent="0.3"/>
    <row r="23" spans="1:22" ht="15.75" thickBot="1" x14ac:dyDescent="0.3">
      <c r="A23" s="143" t="s">
        <v>180</v>
      </c>
      <c r="B23" s="157">
        <f>B4+B10+B11+B12+B13+B19+B20</f>
        <v>12</v>
      </c>
    </row>
    <row r="24" spans="1:22" x14ac:dyDescent="0.25">
      <c r="U24" s="25" t="s">
        <v>3</v>
      </c>
      <c r="V24" s="68">
        <f>U5+U14+U21</f>
        <v>88349.842571178087</v>
      </c>
    </row>
  </sheetData>
  <mergeCells count="69">
    <mergeCell ref="V17:V18"/>
    <mergeCell ref="A21:T21"/>
    <mergeCell ref="Q17:Q18"/>
    <mergeCell ref="R17:R18"/>
    <mergeCell ref="S17:S18"/>
    <mergeCell ref="T17:T18"/>
    <mergeCell ref="U17:U18"/>
    <mergeCell ref="L17:L18"/>
    <mergeCell ref="M17:M18"/>
    <mergeCell ref="N17:N18"/>
    <mergeCell ref="O17:O18"/>
    <mergeCell ref="P17:P18"/>
    <mergeCell ref="F17:G17"/>
    <mergeCell ref="H17:H18"/>
    <mergeCell ref="I17:I18"/>
    <mergeCell ref="J17:J18"/>
    <mergeCell ref="K17:K18"/>
    <mergeCell ref="A17:A18"/>
    <mergeCell ref="B17:B18"/>
    <mergeCell ref="C17:C18"/>
    <mergeCell ref="D17:D18"/>
    <mergeCell ref="E17:E18"/>
    <mergeCell ref="V8:V9"/>
    <mergeCell ref="A14:T14"/>
    <mergeCell ref="A16:V16"/>
    <mergeCell ref="O8:O9"/>
    <mergeCell ref="P8:P9"/>
    <mergeCell ref="Q8:Q9"/>
    <mergeCell ref="R8:R9"/>
    <mergeCell ref="S8:S9"/>
    <mergeCell ref="A7:V7"/>
    <mergeCell ref="A8:A9"/>
    <mergeCell ref="B8:B9"/>
    <mergeCell ref="C8:C9"/>
    <mergeCell ref="D8:D9"/>
    <mergeCell ref="E8:E9"/>
    <mergeCell ref="F8:G8"/>
    <mergeCell ref="H8:H9"/>
    <mergeCell ref="I8:I9"/>
    <mergeCell ref="J8:J9"/>
    <mergeCell ref="K8:K9"/>
    <mergeCell ref="L8:L9"/>
    <mergeCell ref="M8:M9"/>
    <mergeCell ref="N8:N9"/>
    <mergeCell ref="T8:T9"/>
    <mergeCell ref="U8:U9"/>
    <mergeCell ref="T2:T3"/>
    <mergeCell ref="A5:T5"/>
    <mergeCell ref="K2:K3"/>
    <mergeCell ref="M2:M3"/>
    <mergeCell ref="N2:N3"/>
    <mergeCell ref="O2:O3"/>
    <mergeCell ref="P2:P3"/>
    <mergeCell ref="A1:V1"/>
    <mergeCell ref="F2:G2"/>
    <mergeCell ref="A2:A3"/>
    <mergeCell ref="B2:B3"/>
    <mergeCell ref="C2:C3"/>
    <mergeCell ref="D2:D3"/>
    <mergeCell ref="E2:E3"/>
    <mergeCell ref="L2:L3"/>
    <mergeCell ref="U2:U3"/>
    <mergeCell ref="V2:V3"/>
    <mergeCell ref="H2:H3"/>
    <mergeCell ref="I2:I3"/>
    <mergeCell ref="J2:J3"/>
    <mergeCell ref="Q2:Q3"/>
    <mergeCell ref="R2:R3"/>
    <mergeCell ref="S2:S3"/>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D3" sqref="D3"/>
    </sheetView>
  </sheetViews>
  <sheetFormatPr baseColWidth="10" defaultRowHeight="15" x14ac:dyDescent="0.25"/>
  <cols>
    <col min="1" max="1" width="46.28515625" customWidth="1"/>
  </cols>
  <sheetData>
    <row r="1" spans="1:2" ht="15.75" thickBot="1" x14ac:dyDescent="0.3">
      <c r="A1" s="170" t="s">
        <v>197</v>
      </c>
      <c r="B1" s="176">
        <f>'Cálculos de Sueldos'!C4*12</f>
        <v>252</v>
      </c>
    </row>
    <row r="2" spans="1:2" x14ac:dyDescent="0.25">
      <c r="A2" s="28"/>
      <c r="B2" s="147"/>
    </row>
    <row r="3" spans="1:2" ht="15.75" thickBot="1" x14ac:dyDescent="0.3">
      <c r="A3" s="28"/>
      <c r="B3" s="178"/>
    </row>
    <row r="4" spans="1:2" ht="15.75" thickBot="1" x14ac:dyDescent="0.3">
      <c r="A4" s="270" t="s">
        <v>198</v>
      </c>
      <c r="B4" s="272"/>
    </row>
    <row r="5" spans="1:2" x14ac:dyDescent="0.25">
      <c r="A5" s="91" t="s">
        <v>199</v>
      </c>
      <c r="B5" s="93">
        <f>'Costo Ind. Fabr'!H16</f>
        <v>3559.36</v>
      </c>
    </row>
    <row r="6" spans="1:2" x14ac:dyDescent="0.25">
      <c r="A6" s="92" t="s">
        <v>200</v>
      </c>
      <c r="B6" s="51">
        <f>'Costo Producción'!D4</f>
        <v>31536.200477589042</v>
      </c>
    </row>
    <row r="7" spans="1:2" x14ac:dyDescent="0.25">
      <c r="A7" s="92" t="s">
        <v>201</v>
      </c>
      <c r="B7" s="177">
        <f>'Cálculos de Sueldos'!U21</f>
        <v>10512.066825863014</v>
      </c>
    </row>
    <row r="8" spans="1:2" x14ac:dyDescent="0.25">
      <c r="A8" s="92" t="s">
        <v>202</v>
      </c>
      <c r="B8" s="177">
        <f>'Costo Producción(2)'!E10*5</f>
        <v>22909.450333333334</v>
      </c>
    </row>
    <row r="9" spans="1:2" ht="15.75" thickBot="1" x14ac:dyDescent="0.3">
      <c r="A9" s="186" t="s">
        <v>203</v>
      </c>
      <c r="B9" s="55">
        <f>'Otros Gastos'!D11</f>
        <v>20643.4192</v>
      </c>
    </row>
    <row r="10" spans="1:2" ht="15.75" thickBot="1" x14ac:dyDescent="0.3">
      <c r="A10" s="187" t="s">
        <v>198</v>
      </c>
      <c r="B10" s="188">
        <f>SUM(B5:B9)</f>
        <v>89160.496836785402</v>
      </c>
    </row>
    <row r="11" spans="1:2" x14ac:dyDescent="0.25">
      <c r="A11" s="181"/>
      <c r="B11" s="182"/>
    </row>
    <row r="12" spans="1:2" ht="15.75" thickBot="1" x14ac:dyDescent="0.3">
      <c r="A12" s="183"/>
      <c r="B12" s="184"/>
    </row>
    <row r="13" spans="1:2" ht="15.75" thickBot="1" x14ac:dyDescent="0.3">
      <c r="A13" s="225" t="s">
        <v>204</v>
      </c>
      <c r="B13" s="227"/>
    </row>
    <row r="14" spans="1:2" x14ac:dyDescent="0.25">
      <c r="A14" s="91" t="s">
        <v>205</v>
      </c>
      <c r="B14" s="93">
        <f>'Cálculos de Sueldos'!U14</f>
        <v>46301.575267726024</v>
      </c>
    </row>
    <row r="15" spans="1:2" ht="15.75" thickBot="1" x14ac:dyDescent="0.3">
      <c r="A15" s="186" t="s">
        <v>206</v>
      </c>
      <c r="B15" s="55">
        <v>0</v>
      </c>
    </row>
    <row r="16" spans="1:2" ht="15.75" thickBot="1" x14ac:dyDescent="0.3">
      <c r="A16" s="187" t="s">
        <v>204</v>
      </c>
      <c r="B16" s="188">
        <f>SUM(B14:B15)</f>
        <v>46301.575267726024</v>
      </c>
    </row>
    <row r="17" spans="1:2" ht="15.75" thickBot="1" x14ac:dyDescent="0.3">
      <c r="B17" s="122"/>
    </row>
    <row r="18" spans="1:2" ht="15.75" thickBot="1" x14ac:dyDescent="0.3">
      <c r="A18" s="189" t="s">
        <v>207</v>
      </c>
      <c r="B18" s="190">
        <f>B10+B16</f>
        <v>135462.07210451143</v>
      </c>
    </row>
  </sheetData>
  <mergeCells count="2">
    <mergeCell ref="A4:B4"/>
    <mergeCell ref="A13:B1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workbookViewId="0">
      <selection activeCell="H2" sqref="H2"/>
    </sheetView>
  </sheetViews>
  <sheetFormatPr baseColWidth="10" defaultRowHeight="15" x14ac:dyDescent="0.25"/>
  <cols>
    <col min="1" max="1" width="14" customWidth="1"/>
    <col min="2" max="2" width="13.5703125" customWidth="1"/>
    <col min="3" max="3" width="13.7109375" customWidth="1"/>
    <col min="5" max="5" width="16.5703125" customWidth="1"/>
  </cols>
  <sheetData>
    <row r="1" spans="1:6" ht="15.75" thickBot="1" x14ac:dyDescent="0.3">
      <c r="A1" s="270" t="s">
        <v>113</v>
      </c>
      <c r="B1" s="271"/>
      <c r="C1" s="271"/>
      <c r="D1" s="271"/>
      <c r="E1" s="271"/>
      <c r="F1" s="272"/>
    </row>
    <row r="2" spans="1:6" ht="15.75" thickBot="1" x14ac:dyDescent="0.3">
      <c r="A2" s="341" t="s">
        <v>136</v>
      </c>
      <c r="B2" s="342"/>
      <c r="C2" s="343"/>
      <c r="D2" s="118" t="s">
        <v>32</v>
      </c>
      <c r="E2" s="118" t="s">
        <v>114</v>
      </c>
      <c r="F2" s="119" t="s">
        <v>1</v>
      </c>
    </row>
    <row r="3" spans="1:6" x14ac:dyDescent="0.25">
      <c r="A3" s="344" t="s">
        <v>115</v>
      </c>
      <c r="B3" s="345"/>
      <c r="C3" s="345"/>
      <c r="D3" s="145">
        <v>1</v>
      </c>
      <c r="E3" s="146">
        <v>3580</v>
      </c>
      <c r="F3" s="83">
        <f>D3*E3</f>
        <v>3580</v>
      </c>
    </row>
    <row r="4" spans="1:6" x14ac:dyDescent="0.25">
      <c r="A4" s="293" t="s">
        <v>125</v>
      </c>
      <c r="B4" s="294"/>
      <c r="C4" s="294"/>
      <c r="D4" s="30">
        <v>1</v>
      </c>
      <c r="E4" s="53">
        <v>5250</v>
      </c>
      <c r="F4" s="51">
        <f t="shared" ref="F4:F21" si="0">D4*E4</f>
        <v>5250</v>
      </c>
    </row>
    <row r="5" spans="1:6" x14ac:dyDescent="0.25">
      <c r="A5" s="293" t="s">
        <v>126</v>
      </c>
      <c r="B5" s="294"/>
      <c r="C5" s="294"/>
      <c r="D5" s="30">
        <v>1</v>
      </c>
      <c r="E5" s="53">
        <v>6250</v>
      </c>
      <c r="F5" s="51">
        <f t="shared" si="0"/>
        <v>6250</v>
      </c>
    </row>
    <row r="6" spans="1:6" x14ac:dyDescent="0.25">
      <c r="A6" s="293" t="s">
        <v>116</v>
      </c>
      <c r="B6" s="294"/>
      <c r="C6" s="294"/>
      <c r="D6" s="30">
        <v>2</v>
      </c>
      <c r="E6" s="53">
        <v>850</v>
      </c>
      <c r="F6" s="51">
        <f t="shared" si="0"/>
        <v>1700</v>
      </c>
    </row>
    <row r="7" spans="1:6" x14ac:dyDescent="0.25">
      <c r="A7" s="293" t="s">
        <v>132</v>
      </c>
      <c r="B7" s="294"/>
      <c r="C7" s="294"/>
      <c r="D7" s="30">
        <v>2</v>
      </c>
      <c r="E7" s="53">
        <v>150</v>
      </c>
      <c r="F7" s="51">
        <f t="shared" si="0"/>
        <v>300</v>
      </c>
    </row>
    <row r="8" spans="1:6" x14ac:dyDescent="0.25">
      <c r="A8" s="293" t="s">
        <v>117</v>
      </c>
      <c r="B8" s="294"/>
      <c r="C8" s="294"/>
      <c r="D8" s="30">
        <v>1</v>
      </c>
      <c r="E8" s="53">
        <v>2200</v>
      </c>
      <c r="F8" s="51">
        <f t="shared" si="0"/>
        <v>2200</v>
      </c>
    </row>
    <row r="9" spans="1:6" x14ac:dyDescent="0.25">
      <c r="A9" s="293" t="s">
        <v>118</v>
      </c>
      <c r="B9" s="294"/>
      <c r="C9" s="294"/>
      <c r="D9" s="30">
        <v>2</v>
      </c>
      <c r="E9" s="53">
        <v>60</v>
      </c>
      <c r="F9" s="51">
        <f t="shared" si="0"/>
        <v>120</v>
      </c>
    </row>
    <row r="10" spans="1:6" x14ac:dyDescent="0.25">
      <c r="A10" s="293" t="s">
        <v>119</v>
      </c>
      <c r="B10" s="294"/>
      <c r="C10" s="294"/>
      <c r="D10" s="30">
        <v>2</v>
      </c>
      <c r="E10" s="53">
        <v>1500</v>
      </c>
      <c r="F10" s="51">
        <f t="shared" si="0"/>
        <v>3000</v>
      </c>
    </row>
    <row r="11" spans="1:6" x14ac:dyDescent="0.25">
      <c r="A11" s="293" t="s">
        <v>130</v>
      </c>
      <c r="B11" s="294"/>
      <c r="C11" s="294"/>
      <c r="D11" s="30">
        <v>1</v>
      </c>
      <c r="E11" s="53">
        <v>140</v>
      </c>
      <c r="F11" s="51">
        <f t="shared" si="0"/>
        <v>140</v>
      </c>
    </row>
    <row r="12" spans="1:6" x14ac:dyDescent="0.25">
      <c r="A12" s="293" t="s">
        <v>120</v>
      </c>
      <c r="B12" s="294"/>
      <c r="C12" s="294"/>
      <c r="D12" s="30">
        <v>1</v>
      </c>
      <c r="E12" s="53">
        <v>150</v>
      </c>
      <c r="F12" s="51">
        <f t="shared" si="0"/>
        <v>150</v>
      </c>
    </row>
    <row r="13" spans="1:6" x14ac:dyDescent="0.25">
      <c r="A13" s="293" t="s">
        <v>121</v>
      </c>
      <c r="B13" s="294"/>
      <c r="C13" s="294"/>
      <c r="D13" s="30">
        <v>1</v>
      </c>
      <c r="E13" s="53">
        <v>350</v>
      </c>
      <c r="F13" s="51">
        <f t="shared" si="0"/>
        <v>350</v>
      </c>
    </row>
    <row r="14" spans="1:6" x14ac:dyDescent="0.25">
      <c r="A14" s="293" t="s">
        <v>122</v>
      </c>
      <c r="B14" s="294"/>
      <c r="C14" s="294"/>
      <c r="D14" s="30">
        <v>1</v>
      </c>
      <c r="E14" s="53">
        <v>100</v>
      </c>
      <c r="F14" s="51">
        <f t="shared" si="0"/>
        <v>100</v>
      </c>
    </row>
    <row r="15" spans="1:6" x14ac:dyDescent="0.25">
      <c r="A15" s="293" t="s">
        <v>131</v>
      </c>
      <c r="B15" s="294"/>
      <c r="C15" s="294"/>
      <c r="D15" s="30">
        <v>1</v>
      </c>
      <c r="E15" s="53">
        <v>150</v>
      </c>
      <c r="F15" s="51">
        <f t="shared" si="0"/>
        <v>150</v>
      </c>
    </row>
    <row r="16" spans="1:6" ht="15.75" thickBot="1" x14ac:dyDescent="0.3">
      <c r="A16" s="293" t="s">
        <v>123</v>
      </c>
      <c r="B16" s="294"/>
      <c r="C16" s="294"/>
      <c r="D16" s="30">
        <v>3</v>
      </c>
      <c r="E16" s="53">
        <v>200</v>
      </c>
      <c r="F16" s="51">
        <f t="shared" si="0"/>
        <v>600</v>
      </c>
    </row>
    <row r="17" spans="1:13" x14ac:dyDescent="0.25">
      <c r="A17" s="293" t="s">
        <v>124</v>
      </c>
      <c r="B17" s="294"/>
      <c r="C17" s="294"/>
      <c r="D17" s="30">
        <v>2</v>
      </c>
      <c r="E17" s="53">
        <v>50</v>
      </c>
      <c r="F17" s="51">
        <f t="shared" si="0"/>
        <v>100</v>
      </c>
      <c r="H17" s="256" t="s">
        <v>143</v>
      </c>
      <c r="I17" s="257"/>
      <c r="J17" s="257"/>
      <c r="K17" s="94">
        <f>F22+F28+F39</f>
        <v>58870</v>
      </c>
    </row>
    <row r="18" spans="1:13" ht="15.75" thickBot="1" x14ac:dyDescent="0.3">
      <c r="A18" s="293" t="s">
        <v>127</v>
      </c>
      <c r="B18" s="294"/>
      <c r="C18" s="294"/>
      <c r="D18" s="30">
        <v>2</v>
      </c>
      <c r="E18" s="53">
        <v>60</v>
      </c>
      <c r="F18" s="51">
        <f t="shared" si="0"/>
        <v>120</v>
      </c>
      <c r="H18" s="329" t="s">
        <v>144</v>
      </c>
      <c r="I18" s="330"/>
      <c r="J18" s="330"/>
      <c r="K18" s="52">
        <f>K17*25%</f>
        <v>14717.5</v>
      </c>
    </row>
    <row r="19" spans="1:13" x14ac:dyDescent="0.25">
      <c r="A19" s="293" t="s">
        <v>128</v>
      </c>
      <c r="B19" s="294"/>
      <c r="C19" s="294"/>
      <c r="D19" s="30">
        <v>1</v>
      </c>
      <c r="E19" s="53">
        <v>290</v>
      </c>
      <c r="F19" s="51">
        <f t="shared" si="0"/>
        <v>290</v>
      </c>
      <c r="H19" s="114"/>
      <c r="I19" s="114"/>
      <c r="J19" s="114"/>
    </row>
    <row r="20" spans="1:13" ht="15.75" thickBot="1" x14ac:dyDescent="0.3">
      <c r="A20" s="335" t="s">
        <v>129</v>
      </c>
      <c r="B20" s="336"/>
      <c r="C20" s="336"/>
      <c r="D20" s="33">
        <v>1</v>
      </c>
      <c r="E20" s="54">
        <v>120</v>
      </c>
      <c r="F20" s="55">
        <f t="shared" ref="F20" si="1">D20*E20</f>
        <v>120</v>
      </c>
      <c r="H20" s="114"/>
      <c r="I20" s="114"/>
      <c r="J20" s="114"/>
    </row>
    <row r="21" spans="1:13" ht="15.75" thickBot="1" x14ac:dyDescent="0.3">
      <c r="A21" s="335" t="s">
        <v>243</v>
      </c>
      <c r="B21" s="336"/>
      <c r="C21" s="336"/>
      <c r="D21" s="33">
        <v>10</v>
      </c>
      <c r="E21" s="54">
        <v>15</v>
      </c>
      <c r="F21" s="55">
        <f t="shared" si="0"/>
        <v>150</v>
      </c>
      <c r="H21" s="180" t="s">
        <v>208</v>
      </c>
      <c r="I21" s="83">
        <f>K17</f>
        <v>58870</v>
      </c>
    </row>
    <row r="22" spans="1:13" ht="15.75" thickBot="1" x14ac:dyDescent="0.3">
      <c r="A22" s="301"/>
      <c r="B22" s="302"/>
      <c r="C22" s="302"/>
      <c r="D22" s="302"/>
      <c r="E22" s="302"/>
      <c r="F22" s="50">
        <f>SUM(F3:F21)</f>
        <v>24670</v>
      </c>
      <c r="H22" s="191" t="s">
        <v>209</v>
      </c>
      <c r="I22" s="55">
        <f>'K de Trabajo'!B18</f>
        <v>135462.07210451143</v>
      </c>
    </row>
    <row r="23" spans="1:13" ht="15.75" thickBot="1" x14ac:dyDescent="0.3">
      <c r="H23" s="192"/>
      <c r="I23" s="185">
        <f>SUM(I21:I22)</f>
        <v>194332.07210451143</v>
      </c>
    </row>
    <row r="24" spans="1:13" ht="15.75" thickBot="1" x14ac:dyDescent="0.3">
      <c r="K24" s="198">
        <f>I23*L24</f>
        <v>58299.621631353431</v>
      </c>
      <c r="L24" s="193">
        <v>0.3</v>
      </c>
      <c r="M24" s="179" t="s">
        <v>210</v>
      </c>
    </row>
    <row r="25" spans="1:13" ht="15.75" thickBot="1" x14ac:dyDescent="0.3">
      <c r="A25" s="225" t="s">
        <v>244</v>
      </c>
      <c r="B25" s="226"/>
      <c r="C25" s="226"/>
      <c r="D25" s="226"/>
      <c r="E25" s="226"/>
      <c r="F25" s="227"/>
      <c r="K25" s="199">
        <f>I23*L25</f>
        <v>136032.45047315801</v>
      </c>
      <c r="L25" s="195">
        <v>0.7</v>
      </c>
      <c r="M25" s="196" t="s">
        <v>211</v>
      </c>
    </row>
    <row r="26" spans="1:13" ht="15.75" thickBot="1" x14ac:dyDescent="0.3">
      <c r="A26" s="331" t="s">
        <v>136</v>
      </c>
      <c r="B26" s="332"/>
      <c r="C26" s="332"/>
      <c r="D26" s="142" t="s">
        <v>32</v>
      </c>
      <c r="E26" s="142" t="s">
        <v>114</v>
      </c>
      <c r="F26" s="119" t="s">
        <v>1</v>
      </c>
      <c r="K26" s="200">
        <f>SUM(K24:K25)</f>
        <v>194332.07210451143</v>
      </c>
      <c r="L26" s="197">
        <v>1</v>
      </c>
      <c r="M26" s="171"/>
    </row>
    <row r="27" spans="1:13" ht="15.75" thickBot="1" x14ac:dyDescent="0.3">
      <c r="A27" s="337" t="s">
        <v>244</v>
      </c>
      <c r="B27" s="338"/>
      <c r="C27" s="338"/>
      <c r="D27" s="35">
        <v>1</v>
      </c>
      <c r="E27" s="42">
        <v>30060</v>
      </c>
      <c r="F27" s="43">
        <f>D27*E27</f>
        <v>30060</v>
      </c>
    </row>
    <row r="28" spans="1:13" ht="15.75" thickBot="1" x14ac:dyDescent="0.3">
      <c r="A28" s="339"/>
      <c r="B28" s="340"/>
      <c r="C28" s="340"/>
      <c r="D28" s="340"/>
      <c r="E28" s="340"/>
      <c r="F28" s="50">
        <f>F27</f>
        <v>30060</v>
      </c>
    </row>
    <row r="29" spans="1:13" x14ac:dyDescent="0.25">
      <c r="A29" s="27"/>
      <c r="B29" s="27"/>
      <c r="C29" s="27"/>
      <c r="D29" s="123"/>
      <c r="E29" s="147"/>
      <c r="F29" s="147"/>
    </row>
    <row r="30" spans="1:13" ht="15.75" thickBot="1" x14ac:dyDescent="0.3"/>
    <row r="31" spans="1:13" ht="15.75" thickBot="1" x14ac:dyDescent="0.3">
      <c r="A31" s="225" t="s">
        <v>135</v>
      </c>
      <c r="B31" s="226"/>
      <c r="C31" s="226"/>
      <c r="D31" s="226"/>
      <c r="E31" s="226"/>
      <c r="F31" s="227"/>
    </row>
    <row r="32" spans="1:13" ht="15.75" thickBot="1" x14ac:dyDescent="0.3">
      <c r="A32" s="331" t="s">
        <v>136</v>
      </c>
      <c r="B32" s="332"/>
      <c r="C32" s="332"/>
      <c r="D32" s="118" t="s">
        <v>32</v>
      </c>
      <c r="E32" s="118" t="s">
        <v>114</v>
      </c>
      <c r="F32" s="119" t="s">
        <v>1</v>
      </c>
    </row>
    <row r="33" spans="1:6" x14ac:dyDescent="0.25">
      <c r="A33" s="333" t="s">
        <v>137</v>
      </c>
      <c r="B33" s="334"/>
      <c r="C33" s="334"/>
      <c r="D33" s="116">
        <v>2</v>
      </c>
      <c r="E33" s="117">
        <v>120</v>
      </c>
      <c r="F33" s="93">
        <f>D33*E33</f>
        <v>240</v>
      </c>
    </row>
    <row r="34" spans="1:6" x14ac:dyDescent="0.25">
      <c r="A34" s="324" t="s">
        <v>138</v>
      </c>
      <c r="B34" s="325"/>
      <c r="C34" s="325"/>
      <c r="D34" s="30">
        <v>2</v>
      </c>
      <c r="E34" s="53">
        <v>150</v>
      </c>
      <c r="F34" s="51">
        <f t="shared" ref="F34:F38" si="2">D34*E34</f>
        <v>300</v>
      </c>
    </row>
    <row r="35" spans="1:6" x14ac:dyDescent="0.25">
      <c r="A35" s="324" t="s">
        <v>139</v>
      </c>
      <c r="B35" s="325"/>
      <c r="C35" s="325"/>
      <c r="D35" s="30">
        <v>3</v>
      </c>
      <c r="E35" s="53">
        <v>150</v>
      </c>
      <c r="F35" s="51">
        <f t="shared" si="2"/>
        <v>450</v>
      </c>
    </row>
    <row r="36" spans="1:6" x14ac:dyDescent="0.25">
      <c r="A36" s="324" t="s">
        <v>140</v>
      </c>
      <c r="B36" s="325"/>
      <c r="C36" s="325"/>
      <c r="D36" s="30">
        <v>2</v>
      </c>
      <c r="E36" s="53">
        <v>380</v>
      </c>
      <c r="F36" s="51">
        <f t="shared" si="2"/>
        <v>760</v>
      </c>
    </row>
    <row r="37" spans="1:6" x14ac:dyDescent="0.25">
      <c r="A37" s="324" t="s">
        <v>141</v>
      </c>
      <c r="B37" s="325"/>
      <c r="C37" s="325"/>
      <c r="D37" s="30">
        <v>3</v>
      </c>
      <c r="E37" s="53">
        <v>650</v>
      </c>
      <c r="F37" s="51">
        <f t="shared" si="2"/>
        <v>1950</v>
      </c>
    </row>
    <row r="38" spans="1:6" ht="15.75" thickBot="1" x14ac:dyDescent="0.3">
      <c r="A38" s="326" t="s">
        <v>142</v>
      </c>
      <c r="B38" s="327"/>
      <c r="C38" s="327"/>
      <c r="D38" s="33">
        <v>2</v>
      </c>
      <c r="E38" s="54">
        <v>220</v>
      </c>
      <c r="F38" s="55">
        <f t="shared" si="2"/>
        <v>440</v>
      </c>
    </row>
    <row r="39" spans="1:6" ht="15.75" thickBot="1" x14ac:dyDescent="0.3">
      <c r="A39" s="290"/>
      <c r="B39" s="291"/>
      <c r="C39" s="291"/>
      <c r="D39" s="291"/>
      <c r="E39" s="328"/>
      <c r="F39" s="50">
        <f>SUM(F33:F38)</f>
        <v>4140</v>
      </c>
    </row>
  </sheetData>
  <mergeCells count="37">
    <mergeCell ref="A1:F1"/>
    <mergeCell ref="A2:C2"/>
    <mergeCell ref="A13:C13"/>
    <mergeCell ref="A14:C14"/>
    <mergeCell ref="A15:C15"/>
    <mergeCell ref="A3:C3"/>
    <mergeCell ref="A4:C4"/>
    <mergeCell ref="A5:C5"/>
    <mergeCell ref="A6:C6"/>
    <mergeCell ref="A7:C7"/>
    <mergeCell ref="A16:C16"/>
    <mergeCell ref="A8:C8"/>
    <mergeCell ref="A9:C9"/>
    <mergeCell ref="A10:C10"/>
    <mergeCell ref="A11:C11"/>
    <mergeCell ref="A12:C12"/>
    <mergeCell ref="H18:J18"/>
    <mergeCell ref="H17:J17"/>
    <mergeCell ref="A31:F31"/>
    <mergeCell ref="A32:C32"/>
    <mergeCell ref="A33:C33"/>
    <mergeCell ref="A19:C19"/>
    <mergeCell ref="A21:C21"/>
    <mergeCell ref="A22:E22"/>
    <mergeCell ref="A17:C17"/>
    <mergeCell ref="A18:C18"/>
    <mergeCell ref="A27:C27"/>
    <mergeCell ref="A25:F25"/>
    <mergeCell ref="A26:C26"/>
    <mergeCell ref="A28:E28"/>
    <mergeCell ref="A20:C20"/>
    <mergeCell ref="A37:C37"/>
    <mergeCell ref="A38:C38"/>
    <mergeCell ref="A39:E39"/>
    <mergeCell ref="A34:C34"/>
    <mergeCell ref="A35:C35"/>
    <mergeCell ref="A36:C3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F9" sqref="F9"/>
    </sheetView>
  </sheetViews>
  <sheetFormatPr baseColWidth="10" defaultRowHeight="15" x14ac:dyDescent="0.25"/>
  <cols>
    <col min="1" max="1" width="14.42578125" customWidth="1"/>
    <col min="2" max="2" width="15.42578125" customWidth="1"/>
    <col min="5" max="5" width="14.5703125" customWidth="1"/>
    <col min="7" max="7" width="16.85546875" customWidth="1"/>
    <col min="8" max="8" width="21.28515625" customWidth="1"/>
    <col min="9" max="9" width="26.5703125" customWidth="1"/>
    <col min="10" max="10" width="23.5703125" customWidth="1"/>
  </cols>
  <sheetData>
    <row r="1" spans="1:10" ht="15.75" thickBot="1" x14ac:dyDescent="0.3">
      <c r="A1" s="225" t="s">
        <v>145</v>
      </c>
      <c r="B1" s="226"/>
      <c r="C1" s="110" t="s">
        <v>146</v>
      </c>
      <c r="D1" s="110" t="s">
        <v>147</v>
      </c>
      <c r="E1" s="111" t="s">
        <v>148</v>
      </c>
      <c r="G1" s="158" t="s">
        <v>212</v>
      </c>
      <c r="H1" s="159" t="s">
        <v>213</v>
      </c>
      <c r="I1" s="159" t="s">
        <v>214</v>
      </c>
      <c r="J1" s="160" t="s">
        <v>215</v>
      </c>
    </row>
    <row r="2" spans="1:10" x14ac:dyDescent="0.25">
      <c r="A2" s="349" t="s">
        <v>151</v>
      </c>
      <c r="B2" s="350"/>
      <c r="C2" s="116">
        <v>10</v>
      </c>
      <c r="D2" s="117">
        <f>Inversión!$F$22</f>
        <v>24670</v>
      </c>
      <c r="E2" s="93">
        <f>D2/C2</f>
        <v>2467</v>
      </c>
      <c r="G2" s="219">
        <f t="shared" ref="G2:G4" si="0">100%/C2</f>
        <v>0.1</v>
      </c>
      <c r="H2" s="117">
        <f>D2*G2</f>
        <v>2467</v>
      </c>
      <c r="I2" s="117">
        <f>H2*5</f>
        <v>12335</v>
      </c>
      <c r="J2" s="93">
        <f>D2-I2</f>
        <v>12335</v>
      </c>
    </row>
    <row r="3" spans="1:10" x14ac:dyDescent="0.25">
      <c r="A3" s="273" t="s">
        <v>244</v>
      </c>
      <c r="B3" s="274"/>
      <c r="C3" s="116">
        <v>5</v>
      </c>
      <c r="D3" s="117">
        <f>Inversión!$F$27</f>
        <v>30060</v>
      </c>
      <c r="E3" s="93">
        <f>D3/C3</f>
        <v>6012</v>
      </c>
      <c r="G3" s="219">
        <f t="shared" si="0"/>
        <v>0.2</v>
      </c>
      <c r="H3" s="117">
        <f t="shared" ref="H3:H5" si="1">D3*G3</f>
        <v>6012</v>
      </c>
      <c r="I3" s="53">
        <f t="shared" ref="I3:I4" si="2">H3*5</f>
        <v>30060</v>
      </c>
      <c r="J3" s="51">
        <f t="shared" ref="J3:J5" si="3">D3-I3</f>
        <v>0</v>
      </c>
    </row>
    <row r="4" spans="1:10" x14ac:dyDescent="0.25">
      <c r="A4" s="273" t="s">
        <v>149</v>
      </c>
      <c r="B4" s="274"/>
      <c r="C4" s="30">
        <v>5</v>
      </c>
      <c r="D4" s="53">
        <f>SUM(Inversión!F33:F36)</f>
        <v>1750</v>
      </c>
      <c r="E4" s="51">
        <f t="shared" ref="E4:E5" si="4">D4/C4</f>
        <v>350</v>
      </c>
      <c r="G4" s="219">
        <f t="shared" si="0"/>
        <v>0.2</v>
      </c>
      <c r="H4" s="117">
        <f t="shared" si="1"/>
        <v>350</v>
      </c>
      <c r="I4" s="53">
        <f t="shared" si="2"/>
        <v>1750</v>
      </c>
      <c r="J4" s="51">
        <f t="shared" si="3"/>
        <v>0</v>
      </c>
    </row>
    <row r="5" spans="1:10" x14ac:dyDescent="0.25">
      <c r="A5" s="273" t="s">
        <v>150</v>
      </c>
      <c r="B5" s="274"/>
      <c r="C5" s="30">
        <v>3</v>
      </c>
      <c r="D5" s="53">
        <f>SUM(Inversión!F37:F38)</f>
        <v>2390</v>
      </c>
      <c r="E5" s="51">
        <f t="shared" si="4"/>
        <v>796.66666666666663</v>
      </c>
      <c r="G5" s="219">
        <f>100%/C5</f>
        <v>0.33333333333333331</v>
      </c>
      <c r="H5" s="117">
        <f t="shared" si="1"/>
        <v>796.66666666666663</v>
      </c>
      <c r="I5" s="53">
        <f>H5*3</f>
        <v>2390</v>
      </c>
      <c r="J5" s="51">
        <f t="shared" si="3"/>
        <v>0</v>
      </c>
    </row>
    <row r="6" spans="1:10" ht="15.75" thickBot="1" x14ac:dyDescent="0.3">
      <c r="A6" s="351"/>
      <c r="B6" s="352"/>
      <c r="C6" s="353"/>
      <c r="D6" s="121">
        <f>SUM(D2:D5)</f>
        <v>58870</v>
      </c>
      <c r="E6" s="52">
        <f>SUM(E2:E5)</f>
        <v>9625.6666666666661</v>
      </c>
      <c r="G6" s="346" t="s">
        <v>216</v>
      </c>
      <c r="H6" s="347"/>
      <c r="I6" s="348"/>
      <c r="J6" s="52">
        <f>SUM(J2:J5)</f>
        <v>12335</v>
      </c>
    </row>
    <row r="16" spans="1:10" x14ac:dyDescent="0.25">
      <c r="E16" s="122"/>
    </row>
  </sheetData>
  <mergeCells count="7">
    <mergeCell ref="G6:I6"/>
    <mergeCell ref="A1:B1"/>
    <mergeCell ref="A2:B2"/>
    <mergeCell ref="A4:B4"/>
    <mergeCell ref="A5:B5"/>
    <mergeCell ref="A6:C6"/>
    <mergeCell ref="A3:B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D4" sqref="D4"/>
    </sheetView>
  </sheetViews>
  <sheetFormatPr baseColWidth="10" defaultRowHeight="15" x14ac:dyDescent="0.25"/>
  <cols>
    <col min="1" max="1" width="16" customWidth="1"/>
    <col min="3" max="3" width="13" bestFit="1" customWidth="1"/>
    <col min="4" max="4" width="13" customWidth="1"/>
    <col min="5" max="5" width="12.5703125" customWidth="1"/>
    <col min="6" max="6" width="15.28515625" customWidth="1"/>
  </cols>
  <sheetData>
    <row r="1" spans="1:9" ht="15.75" thickBot="1" x14ac:dyDescent="0.3">
      <c r="A1" s="163" t="s">
        <v>245</v>
      </c>
      <c r="B1" s="203">
        <v>0.08</v>
      </c>
      <c r="C1" s="123"/>
      <c r="D1" s="123"/>
      <c r="E1" s="123"/>
      <c r="F1" s="123"/>
    </row>
    <row r="2" spans="1:9" ht="15.75" thickBot="1" x14ac:dyDescent="0.3">
      <c r="A2" s="124"/>
      <c r="B2" s="123"/>
      <c r="C2" s="141"/>
      <c r="D2" s="141"/>
      <c r="E2" s="141"/>
      <c r="F2" s="141"/>
      <c r="G2" s="141"/>
    </row>
    <row r="3" spans="1:9" x14ac:dyDescent="0.25">
      <c r="A3" s="164" t="s">
        <v>218</v>
      </c>
      <c r="B3" s="83">
        <f>Inversión!K25</f>
        <v>136032.45047315801</v>
      </c>
      <c r="C3" s="184"/>
      <c r="D3" s="184"/>
      <c r="E3" s="184"/>
      <c r="F3" s="184"/>
      <c r="G3" s="184"/>
    </row>
    <row r="4" spans="1:9" x14ac:dyDescent="0.25">
      <c r="A4" s="161" t="s">
        <v>153</v>
      </c>
      <c r="B4" s="172">
        <v>5</v>
      </c>
      <c r="C4" s="182"/>
      <c r="D4" s="182"/>
      <c r="E4" s="182"/>
      <c r="F4" s="182"/>
      <c r="G4" s="182"/>
      <c r="H4" s="122"/>
    </row>
    <row r="5" spans="1:9" ht="15.75" thickBot="1" x14ac:dyDescent="0.3">
      <c r="A5" s="162" t="s">
        <v>217</v>
      </c>
      <c r="B5" s="194">
        <v>2</v>
      </c>
      <c r="C5" s="184"/>
      <c r="D5" s="184"/>
      <c r="E5" s="184"/>
      <c r="F5" s="184"/>
      <c r="G5" s="184"/>
    </row>
    <row r="6" spans="1:9" x14ac:dyDescent="0.25">
      <c r="A6" s="202"/>
      <c r="B6" s="202"/>
      <c r="C6" s="201"/>
      <c r="D6" s="201"/>
      <c r="E6" s="201"/>
      <c r="F6" s="201"/>
      <c r="G6" s="201"/>
    </row>
    <row r="7" spans="1:9" ht="15.75" thickBot="1" x14ac:dyDescent="0.3"/>
    <row r="8" spans="1:9" ht="15.75" thickBot="1" x14ac:dyDescent="0.3">
      <c r="C8" s="165" t="s">
        <v>223</v>
      </c>
      <c r="D8" s="166" t="s">
        <v>219</v>
      </c>
      <c r="E8" s="166" t="s">
        <v>222</v>
      </c>
      <c r="F8" s="166" t="s">
        <v>220</v>
      </c>
      <c r="G8" s="167" t="s">
        <v>221</v>
      </c>
    </row>
    <row r="9" spans="1:9" x14ac:dyDescent="0.25">
      <c r="C9" s="180">
        <v>1</v>
      </c>
      <c r="D9" s="146">
        <f>B3</f>
        <v>136032.45047315801</v>
      </c>
      <c r="E9" s="146">
        <f>D9*$B$1</f>
        <v>10882.596037852642</v>
      </c>
      <c r="F9" s="146">
        <v>0</v>
      </c>
      <c r="G9" s="83">
        <f>SUM(E9:F9)</f>
        <v>10882.596037852642</v>
      </c>
      <c r="I9" s="122"/>
    </row>
    <row r="10" spans="1:9" x14ac:dyDescent="0.25">
      <c r="C10" s="79">
        <v>2</v>
      </c>
      <c r="D10" s="53">
        <f>D9-F9</f>
        <v>136032.45047315801</v>
      </c>
      <c r="E10" s="53">
        <f t="shared" ref="E10:E13" si="0">D10*$B$1</f>
        <v>10882.596037852642</v>
      </c>
      <c r="F10" s="53">
        <v>0</v>
      </c>
      <c r="G10" s="51">
        <f>SUM(E10:F10)</f>
        <v>10882.596037852642</v>
      </c>
    </row>
    <row r="11" spans="1:9" x14ac:dyDescent="0.25">
      <c r="C11" s="79">
        <v>3</v>
      </c>
      <c r="D11" s="53">
        <f t="shared" ref="D11:D13" si="1">D10-F10</f>
        <v>136032.45047315801</v>
      </c>
      <c r="E11" s="53">
        <f t="shared" si="0"/>
        <v>10882.596037852642</v>
      </c>
      <c r="F11" s="53">
        <f>$B$3/3</f>
        <v>45344.150157719334</v>
      </c>
      <c r="G11" s="51">
        <f>SUM(E11:F11)</f>
        <v>56226.746195571977</v>
      </c>
    </row>
    <row r="12" spans="1:9" x14ac:dyDescent="0.25">
      <c r="C12" s="79">
        <v>4</v>
      </c>
      <c r="D12" s="53">
        <f t="shared" si="1"/>
        <v>90688.300315438682</v>
      </c>
      <c r="E12" s="53">
        <f t="shared" si="0"/>
        <v>7255.064025235095</v>
      </c>
      <c r="F12" s="53">
        <f t="shared" ref="F12:F13" si="2">$B$3/3</f>
        <v>45344.150157719334</v>
      </c>
      <c r="G12" s="51">
        <f>SUM(E12:F12)</f>
        <v>52599.214182954427</v>
      </c>
    </row>
    <row r="13" spans="1:9" ht="15.75" thickBot="1" x14ac:dyDescent="0.3">
      <c r="C13" s="120">
        <v>5</v>
      </c>
      <c r="D13" s="136">
        <f t="shared" si="1"/>
        <v>45344.150157719348</v>
      </c>
      <c r="E13" s="136">
        <f t="shared" si="0"/>
        <v>3627.5320126175479</v>
      </c>
      <c r="F13" s="136">
        <f t="shared" si="2"/>
        <v>45344.150157719334</v>
      </c>
      <c r="G13" s="88">
        <f>SUM(E13:F13)</f>
        <v>48971.682170336884</v>
      </c>
    </row>
    <row r="15" spans="1:9" x14ac:dyDescent="0.25">
      <c r="G15" s="122"/>
      <c r="H15" s="122"/>
    </row>
    <row r="16" spans="1:9" x14ac:dyDescent="0.25">
      <c r="H16" s="122"/>
    </row>
    <row r="19" spans="7:7" x14ac:dyDescent="0.25">
      <c r="G19" s="12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0"/>
  <sheetViews>
    <sheetView workbookViewId="0">
      <selection activeCell="I7" sqref="I7"/>
    </sheetView>
  </sheetViews>
  <sheetFormatPr baseColWidth="10" defaultRowHeight="15" x14ac:dyDescent="0.25"/>
  <cols>
    <col min="1" max="1" width="12.5703125" customWidth="1"/>
    <col min="2" max="2" width="13.140625" customWidth="1"/>
    <col min="3" max="7" width="13.140625" bestFit="1" customWidth="1"/>
  </cols>
  <sheetData>
    <row r="1" spans="1:7" ht="15.75" thickBot="1" x14ac:dyDescent="0.3">
      <c r="A1" s="225" t="s">
        <v>160</v>
      </c>
      <c r="B1" s="226"/>
      <c r="C1" s="226"/>
      <c r="D1" s="226"/>
      <c r="E1" s="226"/>
      <c r="F1" s="226"/>
      <c r="G1" s="227"/>
    </row>
    <row r="2" spans="1:7" x14ac:dyDescent="0.25">
      <c r="A2" s="354" t="s">
        <v>152</v>
      </c>
      <c r="B2" s="355"/>
      <c r="C2" s="126">
        <v>1</v>
      </c>
      <c r="D2" s="126">
        <v>2</v>
      </c>
      <c r="E2" s="126">
        <v>3</v>
      </c>
      <c r="F2" s="126">
        <v>4</v>
      </c>
      <c r="G2" s="104">
        <v>5</v>
      </c>
    </row>
    <row r="3" spans="1:7" ht="15.75" thickBot="1" x14ac:dyDescent="0.3">
      <c r="A3" s="295" t="s">
        <v>165</v>
      </c>
      <c r="B3" s="296"/>
      <c r="C3" s="127">
        <f>Utilidad!C8</f>
        <v>1109920.925477952</v>
      </c>
      <c r="D3" s="127">
        <f>(C3*$C$5)+C3</f>
        <v>1155427.683422548</v>
      </c>
      <c r="E3" s="127">
        <f t="shared" ref="E3:G3" si="0">(D3*$C$5)+D3</f>
        <v>1202800.2184428724</v>
      </c>
      <c r="F3" s="127">
        <f t="shared" si="0"/>
        <v>1252115.0273990303</v>
      </c>
      <c r="G3" s="127">
        <f t="shared" si="0"/>
        <v>1303451.7435223905</v>
      </c>
    </row>
    <row r="4" spans="1:7" ht="15.75" thickBot="1" x14ac:dyDescent="0.3">
      <c r="A4" s="114"/>
      <c r="B4" s="114"/>
    </row>
    <row r="5" spans="1:7" ht="15.75" thickBot="1" x14ac:dyDescent="0.3">
      <c r="A5" s="356" t="s">
        <v>161</v>
      </c>
      <c r="B5" s="357"/>
      <c r="C5" s="125">
        <v>4.1000000000000002E-2</v>
      </c>
    </row>
    <row r="6" spans="1:7" ht="15.75" thickBot="1" x14ac:dyDescent="0.3"/>
    <row r="7" spans="1:7" x14ac:dyDescent="0.25">
      <c r="A7" s="358" t="s">
        <v>152</v>
      </c>
      <c r="B7" s="359"/>
      <c r="C7" s="128">
        <v>1</v>
      </c>
      <c r="D7" s="128">
        <v>2</v>
      </c>
      <c r="E7" s="128">
        <v>3</v>
      </c>
      <c r="F7" s="128">
        <v>4</v>
      </c>
      <c r="G7" s="129">
        <v>5</v>
      </c>
    </row>
    <row r="8" spans="1:7" x14ac:dyDescent="0.25">
      <c r="A8" s="293" t="s">
        <v>162</v>
      </c>
      <c r="B8" s="294"/>
      <c r="C8" s="53">
        <f>Utilidad!C15</f>
        <v>1.1200000000000001</v>
      </c>
      <c r="D8" s="53">
        <f>(C8*$C$5)+C8</f>
        <v>1.1659200000000001</v>
      </c>
      <c r="E8" s="53">
        <f t="shared" ref="E8:G8" si="1">(D8*$C$5)+D8</f>
        <v>1.21372272</v>
      </c>
      <c r="F8" s="53">
        <f t="shared" si="1"/>
        <v>1.26348535152</v>
      </c>
      <c r="G8" s="51">
        <f t="shared" si="1"/>
        <v>1.31528825093232</v>
      </c>
    </row>
    <row r="9" spans="1:7" x14ac:dyDescent="0.25">
      <c r="A9" s="293" t="s">
        <v>163</v>
      </c>
      <c r="B9" s="294"/>
      <c r="C9" s="130">
        <f>C3</f>
        <v>1109920.925477952</v>
      </c>
      <c r="D9" s="130">
        <f t="shared" ref="D9:G9" si="2">D3</f>
        <v>1155427.683422548</v>
      </c>
      <c r="E9" s="130">
        <f t="shared" si="2"/>
        <v>1202800.2184428724</v>
      </c>
      <c r="F9" s="130">
        <f t="shared" si="2"/>
        <v>1252115.0273990303</v>
      </c>
      <c r="G9" s="131">
        <f t="shared" si="2"/>
        <v>1303451.7435223905</v>
      </c>
    </row>
    <row r="10" spans="1:7" ht="15.75" thickBot="1" x14ac:dyDescent="0.3">
      <c r="A10" s="329" t="s">
        <v>162</v>
      </c>
      <c r="B10" s="330"/>
      <c r="C10" s="132">
        <f>C8*C9</f>
        <v>1243111.4365353063</v>
      </c>
      <c r="D10" s="132">
        <f t="shared" ref="D10:G10" si="3">D8*D9</f>
        <v>1347136.2446560173</v>
      </c>
      <c r="E10" s="132">
        <f t="shared" si="3"/>
        <v>1459865.9527450772</v>
      </c>
      <c r="F10" s="132">
        <f t="shared" si="3"/>
        <v>1582028.9955367381</v>
      </c>
      <c r="G10" s="133">
        <f t="shared" si="3"/>
        <v>1714414.763912248</v>
      </c>
    </row>
    <row r="12" spans="1:7" ht="15.75" thickBot="1" x14ac:dyDescent="0.3"/>
    <row r="13" spans="1:7" ht="15.75" thickBot="1" x14ac:dyDescent="0.3">
      <c r="A13" s="362" t="s">
        <v>166</v>
      </c>
      <c r="B13" s="363"/>
      <c r="C13" s="363"/>
      <c r="D13" s="363"/>
      <c r="E13" s="363"/>
      <c r="F13" s="363"/>
      <c r="G13" s="364"/>
    </row>
    <row r="14" spans="1:7" x14ac:dyDescent="0.25">
      <c r="A14" s="360" t="s">
        <v>152</v>
      </c>
      <c r="B14" s="361"/>
      <c r="C14" s="128">
        <v>1</v>
      </c>
      <c r="D14" s="128">
        <v>2</v>
      </c>
      <c r="E14" s="128">
        <v>3</v>
      </c>
      <c r="F14" s="128">
        <v>4</v>
      </c>
      <c r="G14" s="129">
        <v>5</v>
      </c>
    </row>
    <row r="15" spans="1:7" ht="15.75" thickBot="1" x14ac:dyDescent="0.3">
      <c r="A15" s="329" t="s">
        <v>167</v>
      </c>
      <c r="B15" s="330"/>
      <c r="C15" s="134">
        <f>'Costo Fijos'!D9+'Costo Fijos'!C17</f>
        <v>64698.042093589043</v>
      </c>
      <c r="D15" s="134">
        <f>(C15*$C$5)+C15</f>
        <v>67350.661819426197</v>
      </c>
      <c r="E15" s="134">
        <f t="shared" ref="E15:G15" si="4">(D15*$C$5)+D15</f>
        <v>70112.038954022675</v>
      </c>
      <c r="F15" s="134">
        <f t="shared" si="4"/>
        <v>72986.632551137605</v>
      </c>
      <c r="G15" s="135">
        <f t="shared" si="4"/>
        <v>75979.084485734245</v>
      </c>
    </row>
    <row r="17" spans="1:7" ht="15.75" thickBot="1" x14ac:dyDescent="0.3"/>
    <row r="18" spans="1:7" ht="15.75" thickBot="1" x14ac:dyDescent="0.3">
      <c r="A18" s="362" t="s">
        <v>168</v>
      </c>
      <c r="B18" s="363"/>
      <c r="C18" s="363"/>
      <c r="D18" s="363"/>
      <c r="E18" s="363"/>
      <c r="F18" s="363"/>
      <c r="G18" s="364"/>
    </row>
    <row r="19" spans="1:7" x14ac:dyDescent="0.25">
      <c r="A19" s="360" t="s">
        <v>152</v>
      </c>
      <c r="B19" s="361"/>
      <c r="C19" s="128">
        <v>1</v>
      </c>
      <c r="D19" s="128">
        <v>2</v>
      </c>
      <c r="E19" s="128">
        <v>3</v>
      </c>
      <c r="F19" s="128">
        <v>4</v>
      </c>
      <c r="G19" s="129">
        <v>5</v>
      </c>
    </row>
    <row r="20" spans="1:7" ht="15.75" thickBot="1" x14ac:dyDescent="0.3">
      <c r="A20" s="329" t="s">
        <v>169</v>
      </c>
      <c r="B20" s="330"/>
      <c r="C20" s="134">
        <f>'Costo Producción'!D4+('Costo Producción(2)'!E10*21*12)+'Costo Ind. Fabr'!H16+'Otros Gastos'!D11</f>
        <v>1210375.2764775893</v>
      </c>
      <c r="D20" s="134">
        <f>(C20*$C$5)+C20</f>
        <v>1260000.6628131703</v>
      </c>
      <c r="E20" s="134">
        <f t="shared" ref="E20:G20" si="5">(D20*$C$5)+D20</f>
        <v>1311660.6899885102</v>
      </c>
      <c r="F20" s="134">
        <f t="shared" si="5"/>
        <v>1365438.7782780391</v>
      </c>
      <c r="G20" s="135">
        <f t="shared" si="5"/>
        <v>1421421.7681874386</v>
      </c>
    </row>
  </sheetData>
  <mergeCells count="14">
    <mergeCell ref="A19:B19"/>
    <mergeCell ref="A20:B20"/>
    <mergeCell ref="A9:B9"/>
    <mergeCell ref="A10:B10"/>
    <mergeCell ref="A13:G13"/>
    <mergeCell ref="A14:B14"/>
    <mergeCell ref="A15:B15"/>
    <mergeCell ref="A18:G18"/>
    <mergeCell ref="A8:B8"/>
    <mergeCell ref="A1:G1"/>
    <mergeCell ref="A2:B2"/>
    <mergeCell ref="A3:B3"/>
    <mergeCell ref="A5:B5"/>
    <mergeCell ref="A7:B7"/>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7" workbookViewId="0">
      <selection activeCell="D23" sqref="D23"/>
    </sheetView>
  </sheetViews>
  <sheetFormatPr baseColWidth="10" defaultRowHeight="15" x14ac:dyDescent="0.25"/>
  <cols>
    <col min="1" max="1" width="26.140625" customWidth="1"/>
    <col min="2" max="2" width="14.42578125" customWidth="1"/>
    <col min="3" max="7" width="13.85546875" bestFit="1" customWidth="1"/>
  </cols>
  <sheetData>
    <row r="1" spans="1:9" ht="15.75" thickBot="1" x14ac:dyDescent="0.3">
      <c r="A1" s="362" t="s">
        <v>171</v>
      </c>
      <c r="B1" s="363"/>
      <c r="C1" s="363"/>
      <c r="D1" s="363"/>
      <c r="E1" s="363"/>
      <c r="F1" s="363"/>
      <c r="G1" s="364"/>
    </row>
    <row r="2" spans="1:9" x14ac:dyDescent="0.25">
      <c r="A2" s="221"/>
      <c r="B2" s="128">
        <v>0</v>
      </c>
      <c r="C2" s="128">
        <v>1</v>
      </c>
      <c r="D2" s="128">
        <v>2</v>
      </c>
      <c r="E2" s="128">
        <v>3</v>
      </c>
      <c r="F2" s="128">
        <v>4</v>
      </c>
      <c r="G2" s="129">
        <v>5</v>
      </c>
    </row>
    <row r="3" spans="1:9" x14ac:dyDescent="0.25">
      <c r="A3" s="168" t="s">
        <v>154</v>
      </c>
      <c r="B3" s="53"/>
      <c r="C3" s="53">
        <f>Proyecciones!C10</f>
        <v>1243111.4365353063</v>
      </c>
      <c r="D3" s="53">
        <f>Proyecciones!D10</f>
        <v>1347136.2446560173</v>
      </c>
      <c r="E3" s="53">
        <f>Proyecciones!E10</f>
        <v>1459865.9527450772</v>
      </c>
      <c r="F3" s="53">
        <f>Proyecciones!F10</f>
        <v>1582028.9955367381</v>
      </c>
      <c r="G3" s="51">
        <f>Proyecciones!G10</f>
        <v>1714414.763912248</v>
      </c>
    </row>
    <row r="4" spans="1:9" x14ac:dyDescent="0.25">
      <c r="A4" s="168" t="s">
        <v>155</v>
      </c>
      <c r="B4" s="53"/>
      <c r="C4" s="53">
        <f>0-Proyecciones!C20</f>
        <v>-1210375.2764775893</v>
      </c>
      <c r="D4" s="53">
        <f>0-Proyecciones!D20</f>
        <v>-1260000.6628131703</v>
      </c>
      <c r="E4" s="53">
        <f>0-Proyecciones!E20</f>
        <v>-1311660.6899885102</v>
      </c>
      <c r="F4" s="53">
        <f>0-Proyecciones!F20</f>
        <v>-1365438.7782780391</v>
      </c>
      <c r="G4" s="51">
        <f>0-Proyecciones!G20</f>
        <v>-1421421.7681874386</v>
      </c>
    </row>
    <row r="5" spans="1:9" x14ac:dyDescent="0.25">
      <c r="A5" s="168" t="s">
        <v>156</v>
      </c>
      <c r="B5" s="53"/>
      <c r="C5" s="53">
        <f>0-Proyecciones!C15</f>
        <v>-64698.042093589043</v>
      </c>
      <c r="D5" s="53">
        <f>0-Proyecciones!D15</f>
        <v>-67350.661819426197</v>
      </c>
      <c r="E5" s="53">
        <f>0-Proyecciones!E15</f>
        <v>-70112.038954022675</v>
      </c>
      <c r="F5" s="53">
        <f>0-Proyecciones!F15</f>
        <v>-72986.632551137605</v>
      </c>
      <c r="G5" s="51">
        <f>0-Proyecciones!G15</f>
        <v>-75979.084485734245</v>
      </c>
    </row>
    <row r="6" spans="1:9" x14ac:dyDescent="0.25">
      <c r="A6" s="168" t="s">
        <v>246</v>
      </c>
      <c r="B6" s="53"/>
      <c r="C6" s="53">
        <f>0-Préstamo!E9</f>
        <v>-10882.596037852642</v>
      </c>
      <c r="D6" s="53">
        <f>0-Préstamo!E10</f>
        <v>-10882.596037852642</v>
      </c>
      <c r="E6" s="53">
        <f>0-Préstamo!E11</f>
        <v>-10882.596037852642</v>
      </c>
      <c r="F6" s="53">
        <f>0-Préstamo!E12</f>
        <v>-7255.064025235095</v>
      </c>
      <c r="G6" s="51">
        <f>0-Préstamo!E13</f>
        <v>-3627.5320126175479</v>
      </c>
    </row>
    <row r="7" spans="1:9" x14ac:dyDescent="0.25">
      <c r="A7" s="168" t="s">
        <v>148</v>
      </c>
      <c r="B7" s="53"/>
      <c r="C7" s="53">
        <f>0-Depreciación!$E$6</f>
        <v>-9625.6666666666661</v>
      </c>
      <c r="D7" s="53">
        <f>0-Depreciación!$E$6</f>
        <v>-9625.6666666666661</v>
      </c>
      <c r="E7" s="53">
        <f>0-Depreciación!$E$6</f>
        <v>-9625.6666666666661</v>
      </c>
      <c r="F7" s="220">
        <f>0-Depreciación!$E$6+Depreciación!E5</f>
        <v>-8829</v>
      </c>
      <c r="G7" s="177">
        <f>0-Depreciación!$E$6+Depreciación!E5</f>
        <v>-8829</v>
      </c>
    </row>
    <row r="8" spans="1:9" x14ac:dyDescent="0.25">
      <c r="A8" s="168" t="s">
        <v>170</v>
      </c>
      <c r="B8" s="53"/>
      <c r="C8" s="53">
        <f>SUM(C3:C7)</f>
        <v>-52470.144740391348</v>
      </c>
      <c r="D8" s="53">
        <f t="shared" ref="D8:G8" si="0">SUM(D3:D7)</f>
        <v>-723.3426810985693</v>
      </c>
      <c r="E8" s="53">
        <f t="shared" si="0"/>
        <v>57584.961098025007</v>
      </c>
      <c r="F8" s="53">
        <f t="shared" si="0"/>
        <v>127519.52068232631</v>
      </c>
      <c r="G8" s="51">
        <f t="shared" si="0"/>
        <v>204557.37922645759</v>
      </c>
    </row>
    <row r="9" spans="1:9" x14ac:dyDescent="0.25">
      <c r="A9" s="168" t="s">
        <v>224</v>
      </c>
      <c r="B9" s="53"/>
      <c r="C9" s="53">
        <f>0-IF(C8&gt;0,C8*0.34,0)</f>
        <v>0</v>
      </c>
      <c r="D9" s="53">
        <f>0-IF(D8&gt;0,D8*0.34,0)</f>
        <v>0</v>
      </c>
      <c r="E9" s="53">
        <f>0-IF(E8&gt;0,E8*0.34,0)</f>
        <v>-19578.886773328504</v>
      </c>
      <c r="F9" s="53">
        <f>0-IF(F8&gt;0,F8*0.34,0)</f>
        <v>-43356.637031990947</v>
      </c>
      <c r="G9" s="51">
        <f>0-IF(G8&gt;0,G8*0.34,0)</f>
        <v>-69549.508936995582</v>
      </c>
      <c r="I9" t="s">
        <v>226</v>
      </c>
    </row>
    <row r="10" spans="1:9" x14ac:dyDescent="0.25">
      <c r="A10" s="168" t="s">
        <v>247</v>
      </c>
      <c r="B10" s="53"/>
      <c r="C10" s="53">
        <f>SUM(C8:C9)</f>
        <v>-52470.144740391348</v>
      </c>
      <c r="D10" s="53">
        <f t="shared" ref="D10:G10" si="1">SUM(D8:D9)</f>
        <v>-723.3426810985693</v>
      </c>
      <c r="E10" s="53">
        <f t="shared" si="1"/>
        <v>38006.074324696499</v>
      </c>
      <c r="F10" s="53">
        <f t="shared" si="1"/>
        <v>84162.883650335367</v>
      </c>
      <c r="G10" s="51">
        <f t="shared" si="1"/>
        <v>135007.87028946201</v>
      </c>
    </row>
    <row r="11" spans="1:9" x14ac:dyDescent="0.25">
      <c r="A11" s="168"/>
      <c r="B11" s="53"/>
      <c r="C11" s="53"/>
      <c r="D11" s="53"/>
      <c r="E11" s="53"/>
      <c r="F11" s="53"/>
      <c r="G11" s="51"/>
    </row>
    <row r="12" spans="1:9" x14ac:dyDescent="0.25">
      <c r="A12" s="168" t="s">
        <v>148</v>
      </c>
      <c r="B12" s="53"/>
      <c r="C12" s="53">
        <f>-C7</f>
        <v>9625.6666666666661</v>
      </c>
      <c r="D12" s="53">
        <f t="shared" ref="D12:G12" si="2">-D7</f>
        <v>9625.6666666666661</v>
      </c>
      <c r="E12" s="53">
        <f t="shared" si="2"/>
        <v>9625.6666666666661</v>
      </c>
      <c r="F12" s="53">
        <f t="shared" si="2"/>
        <v>8829</v>
      </c>
      <c r="G12" s="51">
        <f t="shared" si="2"/>
        <v>8829</v>
      </c>
    </row>
    <row r="13" spans="1:9" x14ac:dyDescent="0.25">
      <c r="A13" s="168" t="s">
        <v>157</v>
      </c>
      <c r="B13" s="53"/>
      <c r="C13" s="53">
        <f>SUM(C10:C12)</f>
        <v>-42844.478073724684</v>
      </c>
      <c r="D13" s="53">
        <f t="shared" ref="D13:G13" si="3">SUM(D10:D12)</f>
        <v>8902.3239855680968</v>
      </c>
      <c r="E13" s="53">
        <f t="shared" si="3"/>
        <v>47631.740991363164</v>
      </c>
      <c r="F13" s="53">
        <f t="shared" si="3"/>
        <v>92991.883650335367</v>
      </c>
      <c r="G13" s="51">
        <f t="shared" si="3"/>
        <v>143836.87028946201</v>
      </c>
    </row>
    <row r="14" spans="1:9" x14ac:dyDescent="0.25">
      <c r="A14" s="168" t="s">
        <v>158</v>
      </c>
      <c r="B14" s="53"/>
      <c r="C14" s="53"/>
      <c r="D14" s="53"/>
      <c r="E14" s="53"/>
      <c r="F14" s="53"/>
      <c r="G14" s="51"/>
    </row>
    <row r="15" spans="1:9" x14ac:dyDescent="0.25">
      <c r="A15" s="168" t="s">
        <v>172</v>
      </c>
      <c r="B15" s="53">
        <v>-5000</v>
      </c>
      <c r="C15" s="53"/>
      <c r="D15" s="53"/>
      <c r="E15" s="53"/>
      <c r="F15" s="53"/>
      <c r="G15" s="51"/>
    </row>
    <row r="16" spans="1:9" x14ac:dyDescent="0.25">
      <c r="A16" s="168" t="s">
        <v>173</v>
      </c>
      <c r="B16" s="53">
        <f>0-Inversión!$K$17</f>
        <v>-58870</v>
      </c>
      <c r="C16" s="53"/>
      <c r="D16" s="53"/>
      <c r="E16" s="53"/>
      <c r="F16" s="53"/>
      <c r="G16" s="51"/>
    </row>
    <row r="17" spans="1:7" x14ac:dyDescent="0.25">
      <c r="A17" s="168" t="s">
        <v>225</v>
      </c>
      <c r="B17" s="53">
        <f>+Préstamo!$B$3</f>
        <v>136032.45047315801</v>
      </c>
      <c r="C17" s="53">
        <f>0-Préstamo!F9</f>
        <v>0</v>
      </c>
      <c r="D17" s="53">
        <f>0-Préstamo!F10</f>
        <v>0</v>
      </c>
      <c r="E17" s="53">
        <f>0-Préstamo!F11</f>
        <v>-45344.150157719334</v>
      </c>
      <c r="F17" s="53">
        <f>0-Préstamo!F12</f>
        <v>-45344.150157719334</v>
      </c>
      <c r="G17" s="51">
        <f>0-Préstamo!F13</f>
        <v>-45344.150157719334</v>
      </c>
    </row>
    <row r="18" spans="1:7" x14ac:dyDescent="0.25">
      <c r="A18" s="168" t="s">
        <v>174</v>
      </c>
      <c r="B18" s="53">
        <f>0-'K de Trabajo'!B18</f>
        <v>-135462.07210451143</v>
      </c>
      <c r="C18" s="53"/>
      <c r="D18" s="53"/>
      <c r="E18" s="53"/>
      <c r="F18" s="53"/>
      <c r="G18" s="51">
        <f>'K de Trabajo'!B18</f>
        <v>135462.07210451143</v>
      </c>
    </row>
    <row r="19" spans="1:7" x14ac:dyDescent="0.25">
      <c r="A19" s="168" t="s">
        <v>175</v>
      </c>
      <c r="B19" s="53"/>
      <c r="C19" s="53"/>
      <c r="D19" s="53"/>
      <c r="E19" s="53"/>
      <c r="F19" s="53"/>
      <c r="G19" s="51">
        <f>Depreciación!J6</f>
        <v>12335</v>
      </c>
    </row>
    <row r="20" spans="1:7" ht="15.75" thickBot="1" x14ac:dyDescent="0.3">
      <c r="A20" s="169" t="s">
        <v>159</v>
      </c>
      <c r="B20" s="136">
        <f>SUM(B15:B19)</f>
        <v>-63299.621631353424</v>
      </c>
      <c r="C20" s="136">
        <f>SUM(C13:C19)</f>
        <v>-42844.478073724684</v>
      </c>
      <c r="D20" s="136">
        <f t="shared" ref="D20:G20" si="4">SUM(D13:D19)</f>
        <v>8902.3239855680968</v>
      </c>
      <c r="E20" s="136">
        <f t="shared" si="4"/>
        <v>2287.5908336438297</v>
      </c>
      <c r="F20" s="136">
        <f t="shared" si="4"/>
        <v>47647.733492616033</v>
      </c>
      <c r="G20" s="88">
        <f t="shared" si="4"/>
        <v>246289.79223625411</v>
      </c>
    </row>
    <row r="23" spans="1:7" ht="15.75" thickBot="1" x14ac:dyDescent="0.3"/>
    <row r="24" spans="1:7" x14ac:dyDescent="0.25">
      <c r="A24" s="137" t="s">
        <v>176</v>
      </c>
      <c r="B24" s="139">
        <f>NPV('Tasa de descuento'!G8,C20:G20)+B20</f>
        <v>54062.617026992826</v>
      </c>
    </row>
    <row r="25" spans="1:7" ht="15.75" thickBot="1" x14ac:dyDescent="0.3">
      <c r="A25" s="138" t="s">
        <v>177</v>
      </c>
      <c r="B25" s="140">
        <f>IRR(B20:G20)</f>
        <v>0.2774632465224105</v>
      </c>
    </row>
  </sheetData>
  <mergeCells count="1">
    <mergeCell ref="A1:G1"/>
  </mergeCells>
  <pageMargins left="0.7" right="0.7" top="0.75" bottom="0.75" header="0.3" footer="0.3"/>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20" sqref="E20"/>
    </sheetView>
  </sheetViews>
  <sheetFormatPr baseColWidth="10" defaultRowHeight="15" x14ac:dyDescent="0.25"/>
  <cols>
    <col min="1" max="1" width="26.140625" customWidth="1"/>
    <col min="2" max="2" width="12.28515625" bestFit="1" customWidth="1"/>
    <col min="3" max="7" width="13.85546875" bestFit="1" customWidth="1"/>
  </cols>
  <sheetData>
    <row r="1" spans="1:7" ht="15.75" thickBot="1" x14ac:dyDescent="0.3">
      <c r="A1" s="362" t="s">
        <v>178</v>
      </c>
      <c r="B1" s="363"/>
      <c r="C1" s="363"/>
      <c r="D1" s="363"/>
      <c r="E1" s="363"/>
      <c r="F1" s="363"/>
      <c r="G1" s="364"/>
    </row>
    <row r="2" spans="1:7" x14ac:dyDescent="0.25">
      <c r="A2" s="221"/>
      <c r="B2" s="128">
        <v>0</v>
      </c>
      <c r="C2" s="128">
        <v>1</v>
      </c>
      <c r="D2" s="128">
        <v>2</v>
      </c>
      <c r="E2" s="128">
        <v>3</v>
      </c>
      <c r="F2" s="128">
        <v>4</v>
      </c>
      <c r="G2" s="129">
        <v>5</v>
      </c>
    </row>
    <row r="3" spans="1:7" x14ac:dyDescent="0.25">
      <c r="A3" s="168" t="s">
        <v>154</v>
      </c>
      <c r="B3" s="53"/>
      <c r="C3" s="53">
        <f>Proyecciones!C10</f>
        <v>1243111.4365353063</v>
      </c>
      <c r="D3" s="53">
        <f>Proyecciones!D10</f>
        <v>1347136.2446560173</v>
      </c>
      <c r="E3" s="53">
        <f>Proyecciones!E10</f>
        <v>1459865.9527450772</v>
      </c>
      <c r="F3" s="53">
        <f>Proyecciones!F10</f>
        <v>1582028.9955367381</v>
      </c>
      <c r="G3" s="51">
        <f>Proyecciones!G10</f>
        <v>1714414.763912248</v>
      </c>
    </row>
    <row r="4" spans="1:7" x14ac:dyDescent="0.25">
      <c r="A4" s="168" t="s">
        <v>155</v>
      </c>
      <c r="B4" s="53"/>
      <c r="C4" s="53">
        <f>0-Proyecciones!C20</f>
        <v>-1210375.2764775893</v>
      </c>
      <c r="D4" s="53">
        <f>0-Proyecciones!D20</f>
        <v>-1260000.6628131703</v>
      </c>
      <c r="E4" s="53">
        <f>0-Proyecciones!E20</f>
        <v>-1311660.6899885102</v>
      </c>
      <c r="F4" s="53">
        <f>0-Proyecciones!F20</f>
        <v>-1365438.7782780391</v>
      </c>
      <c r="G4" s="51">
        <f>0-Proyecciones!G20</f>
        <v>-1421421.7681874386</v>
      </c>
    </row>
    <row r="5" spans="1:7" x14ac:dyDescent="0.25">
      <c r="A5" s="168" t="s">
        <v>156</v>
      </c>
      <c r="B5" s="53"/>
      <c r="C5" s="53">
        <f>0-Proyecciones!C15</f>
        <v>-64698.042093589043</v>
      </c>
      <c r="D5" s="53">
        <f>0-Proyecciones!D15</f>
        <v>-67350.661819426197</v>
      </c>
      <c r="E5" s="53">
        <f>0-Proyecciones!E15</f>
        <v>-70112.038954022675</v>
      </c>
      <c r="F5" s="53">
        <f>0-Proyecciones!F15</f>
        <v>-72986.632551137605</v>
      </c>
      <c r="G5" s="51">
        <f>0-Proyecciones!G15</f>
        <v>-75979.084485734245</v>
      </c>
    </row>
    <row r="6" spans="1:7" x14ac:dyDescent="0.25">
      <c r="A6" s="168" t="s">
        <v>148</v>
      </c>
      <c r="B6" s="53"/>
      <c r="C6" s="53">
        <f>0-Depreciación!$E$6</f>
        <v>-9625.6666666666661</v>
      </c>
      <c r="D6" s="53">
        <f>0-Depreciación!$E$6</f>
        <v>-9625.6666666666661</v>
      </c>
      <c r="E6" s="53">
        <f>0-Depreciación!$E$6</f>
        <v>-9625.6666666666661</v>
      </c>
      <c r="F6" s="220">
        <f>0-Depreciación!$E$6+Depreciación!E5</f>
        <v>-8829</v>
      </c>
      <c r="G6" s="177">
        <f>0-Depreciación!$E$6+Depreciación!E5</f>
        <v>-8829</v>
      </c>
    </row>
    <row r="7" spans="1:7" x14ac:dyDescent="0.25">
      <c r="A7" s="168" t="s">
        <v>170</v>
      </c>
      <c r="B7" s="53"/>
      <c r="C7" s="53">
        <f>SUM(C3:C6)</f>
        <v>-41587.548702538705</v>
      </c>
      <c r="D7" s="53">
        <f>SUM(D3:D6)</f>
        <v>10159.253356754072</v>
      </c>
      <c r="E7" s="53">
        <f>SUM(E3:E6)</f>
        <v>68467.557135877636</v>
      </c>
      <c r="F7" s="53">
        <f>SUM(F3:F6)</f>
        <v>134774.58470756141</v>
      </c>
      <c r="G7" s="51">
        <f>SUM(G3:G6)</f>
        <v>208184.91123907513</v>
      </c>
    </row>
    <row r="8" spans="1:7" x14ac:dyDescent="0.25">
      <c r="A8" s="168" t="s">
        <v>224</v>
      </c>
      <c r="B8" s="53"/>
      <c r="C8" s="53">
        <f>0-IF(C7&gt;0,C7*0.34,0)</f>
        <v>0</v>
      </c>
      <c r="D8" s="53">
        <f>0-IF(D7&gt;0,D7*0.34,0)</f>
        <v>-3454.1461412963849</v>
      </c>
      <c r="E8" s="53">
        <f>0-IF(E7&gt;0,E7*0.34,0)</f>
        <v>-23278.969426198397</v>
      </c>
      <c r="F8" s="53">
        <f>0-IF(F7&gt;0,F7*0.34,0)</f>
        <v>-45823.358800570881</v>
      </c>
      <c r="G8" s="51">
        <f>0-IF(G7&gt;0,G7*0.34,0)</f>
        <v>-70782.869821285552</v>
      </c>
    </row>
    <row r="9" spans="1:7" x14ac:dyDescent="0.25">
      <c r="A9" s="168" t="s">
        <v>247</v>
      </c>
      <c r="B9" s="53"/>
      <c r="C9" s="53">
        <f>SUM(C7:C8)</f>
        <v>-41587.548702538705</v>
      </c>
      <c r="D9" s="53">
        <f t="shared" ref="D9:G9" si="0">SUM(D7:D8)</f>
        <v>6705.1072154576868</v>
      </c>
      <c r="E9" s="53">
        <f t="shared" si="0"/>
        <v>45188.587709679239</v>
      </c>
      <c r="F9" s="53">
        <f t="shared" si="0"/>
        <v>88951.225906990527</v>
      </c>
      <c r="G9" s="51">
        <f t="shared" si="0"/>
        <v>137402.04141778959</v>
      </c>
    </row>
    <row r="10" spans="1:7" x14ac:dyDescent="0.25">
      <c r="A10" s="168"/>
      <c r="B10" s="53"/>
      <c r="C10" s="53"/>
      <c r="D10" s="53"/>
      <c r="E10" s="53"/>
      <c r="F10" s="53"/>
      <c r="G10" s="51"/>
    </row>
    <row r="11" spans="1:7" x14ac:dyDescent="0.25">
      <c r="A11" s="168" t="s">
        <v>148</v>
      </c>
      <c r="B11" s="53"/>
      <c r="C11" s="53">
        <f>-C6</f>
        <v>9625.6666666666661</v>
      </c>
      <c r="D11" s="53">
        <f t="shared" ref="D11:G11" si="1">-D6</f>
        <v>9625.6666666666661</v>
      </c>
      <c r="E11" s="53">
        <f t="shared" si="1"/>
        <v>9625.6666666666661</v>
      </c>
      <c r="F11" s="53">
        <f t="shared" si="1"/>
        <v>8829</v>
      </c>
      <c r="G11" s="51">
        <f t="shared" si="1"/>
        <v>8829</v>
      </c>
    </row>
    <row r="12" spans="1:7" x14ac:dyDescent="0.25">
      <c r="A12" s="168" t="s">
        <v>157</v>
      </c>
      <c r="B12" s="53"/>
      <c r="C12" s="53">
        <f>SUM(C9:C11)</f>
        <v>-31961.88203587204</v>
      </c>
      <c r="D12" s="53">
        <f t="shared" ref="D12:G12" si="2">SUM(D9:D11)</f>
        <v>16330.773882124353</v>
      </c>
      <c r="E12" s="53">
        <f t="shared" si="2"/>
        <v>54814.254376345903</v>
      </c>
      <c r="F12" s="53">
        <f t="shared" si="2"/>
        <v>97780.225906990527</v>
      </c>
      <c r="G12" s="51">
        <f t="shared" si="2"/>
        <v>146231.04141778959</v>
      </c>
    </row>
    <row r="13" spans="1:7" x14ac:dyDescent="0.25">
      <c r="A13" s="168" t="s">
        <v>158</v>
      </c>
      <c r="B13" s="53"/>
      <c r="C13" s="53"/>
      <c r="D13" s="53"/>
      <c r="E13" s="53"/>
      <c r="F13" s="53"/>
      <c r="G13" s="51"/>
    </row>
    <row r="14" spans="1:7" x14ac:dyDescent="0.25">
      <c r="A14" s="168" t="s">
        <v>172</v>
      </c>
      <c r="B14" s="53">
        <v>-5000</v>
      </c>
      <c r="C14" s="53"/>
      <c r="D14" s="53"/>
      <c r="E14" s="53"/>
      <c r="F14" s="53"/>
      <c r="G14" s="51"/>
    </row>
    <row r="15" spans="1:7" x14ac:dyDescent="0.25">
      <c r="A15" s="168" t="s">
        <v>173</v>
      </c>
      <c r="B15" s="53">
        <f>0-Inversión!$K$17</f>
        <v>-58870</v>
      </c>
      <c r="C15" s="53"/>
      <c r="D15" s="53"/>
      <c r="E15" s="53"/>
      <c r="F15" s="53"/>
      <c r="G15" s="51"/>
    </row>
    <row r="16" spans="1:7" x14ac:dyDescent="0.25">
      <c r="A16" s="168" t="s">
        <v>174</v>
      </c>
      <c r="B16" s="53">
        <f>0-'K de Trabajo'!B18</f>
        <v>-135462.07210451143</v>
      </c>
      <c r="C16" s="53"/>
      <c r="D16" s="53"/>
      <c r="E16" s="53"/>
      <c r="F16" s="53"/>
      <c r="G16" s="51">
        <f>'K de Trabajo'!B18</f>
        <v>135462.07210451143</v>
      </c>
    </row>
    <row r="17" spans="1:7" x14ac:dyDescent="0.25">
      <c r="A17" s="168" t="s">
        <v>175</v>
      </c>
      <c r="B17" s="53"/>
      <c r="C17" s="53"/>
      <c r="D17" s="53"/>
      <c r="E17" s="53"/>
      <c r="F17" s="53"/>
      <c r="G17" s="51">
        <f>Depreciación!J6</f>
        <v>12335</v>
      </c>
    </row>
    <row r="18" spans="1:7" ht="15.75" thickBot="1" x14ac:dyDescent="0.3">
      <c r="A18" s="169" t="s">
        <v>159</v>
      </c>
      <c r="B18" s="136">
        <f>SUM(B14:B17)</f>
        <v>-199332.07210451143</v>
      </c>
      <c r="C18" s="136">
        <f>SUM(C12:C17)</f>
        <v>-31961.88203587204</v>
      </c>
      <c r="D18" s="136">
        <f t="shared" ref="D18:G18" si="3">SUM(D12:D17)</f>
        <v>16330.773882124353</v>
      </c>
      <c r="E18" s="136">
        <f t="shared" si="3"/>
        <v>54814.254376345903</v>
      </c>
      <c r="F18" s="136">
        <f t="shared" si="3"/>
        <v>97780.225906990527</v>
      </c>
      <c r="G18" s="88">
        <f t="shared" si="3"/>
        <v>294028.11352230102</v>
      </c>
    </row>
    <row r="21" spans="1:7" ht="15.75" thickBot="1" x14ac:dyDescent="0.3"/>
    <row r="22" spans="1:7" x14ac:dyDescent="0.25">
      <c r="A22" s="137" t="s">
        <v>176</v>
      </c>
      <c r="B22" s="139">
        <f>NPV('Tasa de descuento'!G8,C18:G18)+B18</f>
        <v>18354.625174605055</v>
      </c>
    </row>
    <row r="23" spans="1:7" ht="15.75" thickBot="1" x14ac:dyDescent="0.3">
      <c r="A23" s="138" t="s">
        <v>177</v>
      </c>
      <c r="B23" s="140">
        <f>IRR(B18:G18)</f>
        <v>0.17704591446426821</v>
      </c>
    </row>
  </sheetData>
  <mergeCells count="1">
    <mergeCell ref="A1:G1"/>
  </mergeCells>
  <pageMargins left="0.7" right="0.7" top="0.75" bottom="0.75" header="0.3" footer="0.3"/>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8"/>
  <sheetViews>
    <sheetView workbookViewId="0">
      <selection activeCell="D13" sqref="D13"/>
    </sheetView>
  </sheetViews>
  <sheetFormatPr baseColWidth="10" defaultRowHeight="15" x14ac:dyDescent="0.25"/>
  <cols>
    <col min="4" max="4" width="14.85546875" customWidth="1"/>
    <col min="5" max="5" width="14.42578125" customWidth="1"/>
    <col min="6" max="6" width="15.7109375" customWidth="1"/>
  </cols>
  <sheetData>
    <row r="1" spans="3:7" ht="15.75" thickBot="1" x14ac:dyDescent="0.3"/>
    <row r="2" spans="3:7" ht="15.75" thickBot="1" x14ac:dyDescent="0.3">
      <c r="C2" s="204"/>
      <c r="D2" s="206"/>
      <c r="E2" s="206"/>
      <c r="F2" s="206"/>
      <c r="G2" s="365" t="s">
        <v>196</v>
      </c>
    </row>
    <row r="3" spans="3:7" ht="15.75" thickBot="1" x14ac:dyDescent="0.3">
      <c r="C3" s="204"/>
      <c r="D3" s="207" t="s">
        <v>189</v>
      </c>
      <c r="E3" s="208" t="s">
        <v>190</v>
      </c>
      <c r="F3" s="208" t="s">
        <v>191</v>
      </c>
      <c r="G3" s="366"/>
    </row>
    <row r="4" spans="3:7" ht="15.75" thickBot="1" x14ac:dyDescent="0.3">
      <c r="C4" s="210" t="s">
        <v>192</v>
      </c>
      <c r="D4" s="211">
        <f>Inversión!K25</f>
        <v>136032.45047315801</v>
      </c>
      <c r="E4" s="212">
        <f>Inversión!L25</f>
        <v>0.7</v>
      </c>
      <c r="F4" s="214">
        <v>0.16</v>
      </c>
      <c r="G4" s="213">
        <f>+E4*F4</f>
        <v>0.11199999999999999</v>
      </c>
    </row>
    <row r="5" spans="3:7" ht="15.75" thickBot="1" x14ac:dyDescent="0.3">
      <c r="C5" s="210" t="s">
        <v>193</v>
      </c>
      <c r="D5" s="211">
        <f>Inversión!K24</f>
        <v>58299.621631353431</v>
      </c>
      <c r="E5" s="212">
        <f>Inversión!L24</f>
        <v>0.3</v>
      </c>
      <c r="F5" s="215">
        <v>0.14499999999999999</v>
      </c>
      <c r="G5" s="213">
        <f>+E5*F5</f>
        <v>4.3499999999999997E-2</v>
      </c>
    </row>
    <row r="6" spans="3:7" ht="15.75" thickBot="1" x14ac:dyDescent="0.3">
      <c r="C6" s="209" t="s">
        <v>194</v>
      </c>
      <c r="D6" s="176">
        <f>SUM(D4:D5)</f>
        <v>194332.07210451143</v>
      </c>
      <c r="E6" s="205"/>
      <c r="F6" s="205"/>
      <c r="G6" s="205"/>
    </row>
    <row r="7" spans="3:7" x14ac:dyDescent="0.25">
      <c r="C7" s="204"/>
      <c r="D7" s="204"/>
      <c r="E7" s="204"/>
      <c r="F7" s="204"/>
      <c r="G7" s="204"/>
    </row>
    <row r="8" spans="3:7" x14ac:dyDescent="0.25">
      <c r="C8" s="367" t="s">
        <v>195</v>
      </c>
      <c r="D8" s="367"/>
      <c r="E8" s="367"/>
      <c r="F8" s="368"/>
      <c r="G8" s="216">
        <f>+G4+G5</f>
        <v>0.15549999999999997</v>
      </c>
    </row>
  </sheetData>
  <mergeCells count="2">
    <mergeCell ref="G2:G3"/>
    <mergeCell ref="C8:F8"/>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F2" sqref="F2"/>
    </sheetView>
  </sheetViews>
  <sheetFormatPr baseColWidth="10" defaultRowHeight="15" x14ac:dyDescent="0.25"/>
  <cols>
    <col min="1" max="1" width="12.85546875" customWidth="1"/>
    <col min="2" max="2" width="13.7109375" customWidth="1"/>
    <col min="3" max="3" width="16" customWidth="1"/>
  </cols>
  <sheetData>
    <row r="1" spans="1:4" x14ac:dyDescent="0.25">
      <c r="A1" s="217" t="s">
        <v>158</v>
      </c>
      <c r="B1" s="222">
        <f>F.E.Banco!B20</f>
        <v>-63299.621631353424</v>
      </c>
      <c r="C1" s="222" t="s">
        <v>227</v>
      </c>
      <c r="D1" s="218" t="s">
        <v>228</v>
      </c>
    </row>
    <row r="2" spans="1:4" x14ac:dyDescent="0.25">
      <c r="A2" s="79" t="s">
        <v>229</v>
      </c>
      <c r="B2" s="53">
        <f>F.E.Banco!C20</f>
        <v>-42844.478073724684</v>
      </c>
      <c r="C2" s="53">
        <f>B2</f>
        <v>-42844.478073724684</v>
      </c>
      <c r="D2" s="172">
        <v>1</v>
      </c>
    </row>
    <row r="3" spans="1:4" x14ac:dyDescent="0.25">
      <c r="A3" s="79" t="s">
        <v>230</v>
      </c>
      <c r="B3" s="53">
        <f>F.E.Banco!D20</f>
        <v>8902.3239855680968</v>
      </c>
      <c r="C3" s="53">
        <f>C2+B3</f>
        <v>-33942.154088156589</v>
      </c>
      <c r="D3" s="172">
        <v>2</v>
      </c>
    </row>
    <row r="4" spans="1:4" x14ac:dyDescent="0.25">
      <c r="A4" s="79" t="s">
        <v>231</v>
      </c>
      <c r="B4" s="53">
        <f>F.E.Banco!E20</f>
        <v>2287.5908336438297</v>
      </c>
      <c r="C4" s="53">
        <f t="shared" ref="C4:C6" si="0">C3+B4</f>
        <v>-31654.563254512759</v>
      </c>
      <c r="D4" s="172">
        <v>3</v>
      </c>
    </row>
    <row r="5" spans="1:4" x14ac:dyDescent="0.25">
      <c r="A5" s="79" t="s">
        <v>232</v>
      </c>
      <c r="B5" s="53">
        <f>F.E.Banco!F20</f>
        <v>47647.733492616033</v>
      </c>
      <c r="C5" s="53">
        <f t="shared" si="0"/>
        <v>15993.170238103274</v>
      </c>
      <c r="D5" s="172">
        <v>4</v>
      </c>
    </row>
    <row r="6" spans="1:4" ht="15.75" thickBot="1" x14ac:dyDescent="0.3">
      <c r="A6" s="120" t="s">
        <v>233</v>
      </c>
      <c r="B6" s="136">
        <f>F.E.Banco!G20</f>
        <v>246289.79223625411</v>
      </c>
      <c r="C6" s="224">
        <f t="shared" si="0"/>
        <v>262282.96247435739</v>
      </c>
      <c r="D6" s="223">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workbookViewId="0">
      <selection activeCell="G3" sqref="G3"/>
    </sheetView>
  </sheetViews>
  <sheetFormatPr baseColWidth="10" defaultRowHeight="15" x14ac:dyDescent="0.25"/>
  <cols>
    <col min="1" max="1" width="22.28515625" customWidth="1"/>
    <col min="2" max="4" width="10.140625" customWidth="1"/>
    <col min="5" max="5" width="9.42578125" customWidth="1"/>
    <col min="9" max="9" width="13.85546875" customWidth="1"/>
    <col min="10" max="10" width="13.5703125" customWidth="1"/>
  </cols>
  <sheetData>
    <row r="1" spans="1:11" x14ac:dyDescent="0.25">
      <c r="A1" s="251" t="s">
        <v>37</v>
      </c>
      <c r="B1" s="252"/>
      <c r="C1" s="252"/>
      <c r="D1" s="252"/>
      <c r="E1" s="253"/>
    </row>
    <row r="2" spans="1:11" ht="35.25" customHeight="1" x14ac:dyDescent="0.25">
      <c r="A2" s="36" t="s">
        <v>36</v>
      </c>
      <c r="B2" s="37" t="s">
        <v>38</v>
      </c>
      <c r="C2" s="37" t="s">
        <v>32</v>
      </c>
      <c r="D2" s="37" t="s">
        <v>39</v>
      </c>
      <c r="E2" s="38" t="s">
        <v>40</v>
      </c>
    </row>
    <row r="3" spans="1:11" x14ac:dyDescent="0.25">
      <c r="A3" s="31" t="s">
        <v>41</v>
      </c>
      <c r="B3" s="30" t="s">
        <v>48</v>
      </c>
      <c r="C3" s="30">
        <v>2270</v>
      </c>
      <c r="D3" s="53">
        <f>0.9*2.2046</f>
        <v>1.9841400000000002</v>
      </c>
      <c r="E3" s="51">
        <f>C3*D3</f>
        <v>4503.9978000000001</v>
      </c>
    </row>
    <row r="4" spans="1:11" ht="15.75" thickBot="1" x14ac:dyDescent="0.3">
      <c r="A4" s="31" t="s">
        <v>42</v>
      </c>
      <c r="B4" s="30" t="s">
        <v>48</v>
      </c>
      <c r="C4" s="30">
        <v>1500</v>
      </c>
      <c r="D4" s="53">
        <v>2.5000000000000001E-2</v>
      </c>
      <c r="E4" s="51">
        <f t="shared" ref="E4:E9" si="0">C4*D4</f>
        <v>37.5</v>
      </c>
    </row>
    <row r="5" spans="1:11" ht="15.75" thickBot="1" x14ac:dyDescent="0.3">
      <c r="A5" s="31" t="s">
        <v>43</v>
      </c>
      <c r="B5" s="30" t="s">
        <v>48</v>
      </c>
      <c r="C5" s="30">
        <v>0.15</v>
      </c>
      <c r="D5" s="53">
        <v>0.5</v>
      </c>
      <c r="E5" s="51">
        <f t="shared" si="0"/>
        <v>7.4999999999999997E-2</v>
      </c>
      <c r="H5" s="80"/>
      <c r="I5" s="81" t="s">
        <v>32</v>
      </c>
      <c r="J5" s="81" t="s">
        <v>84</v>
      </c>
      <c r="K5" s="82" t="s">
        <v>1</v>
      </c>
    </row>
    <row r="6" spans="1:11" ht="15.75" thickBot="1" x14ac:dyDescent="0.3">
      <c r="A6" s="31" t="s">
        <v>44</v>
      </c>
      <c r="B6" s="30" t="s">
        <v>49</v>
      </c>
      <c r="C6" s="78">
        <v>4</v>
      </c>
      <c r="D6" s="53">
        <f>$J$6</f>
        <v>1.0793166666666667</v>
      </c>
      <c r="E6" s="51">
        <f t="shared" si="0"/>
        <v>4.3172666666666668</v>
      </c>
      <c r="H6" s="86" t="s">
        <v>83</v>
      </c>
      <c r="I6" s="90">
        <f>C6*21</f>
        <v>84</v>
      </c>
      <c r="J6" s="89">
        <f>K20/I6</f>
        <v>1.0793166666666667</v>
      </c>
      <c r="K6" s="99">
        <f>I6*J6</f>
        <v>90.662599999999998</v>
      </c>
    </row>
    <row r="7" spans="1:11" x14ac:dyDescent="0.25">
      <c r="A7" s="31" t="s">
        <v>45</v>
      </c>
      <c r="B7" s="30" t="s">
        <v>72</v>
      </c>
      <c r="C7" s="30">
        <v>1000</v>
      </c>
      <c r="D7" s="53">
        <v>0.02</v>
      </c>
      <c r="E7" s="51">
        <f t="shared" si="0"/>
        <v>20</v>
      </c>
    </row>
    <row r="8" spans="1:11" x14ac:dyDescent="0.25">
      <c r="A8" s="31" t="s">
        <v>46</v>
      </c>
      <c r="B8" s="30" t="s">
        <v>72</v>
      </c>
      <c r="C8" s="30">
        <v>1000</v>
      </c>
      <c r="D8" s="53">
        <v>0.01</v>
      </c>
      <c r="E8" s="51">
        <f t="shared" si="0"/>
        <v>10</v>
      </c>
    </row>
    <row r="9" spans="1:11" ht="15.75" thickBot="1" x14ac:dyDescent="0.3">
      <c r="A9" s="32" t="s">
        <v>47</v>
      </c>
      <c r="B9" s="30" t="s">
        <v>72</v>
      </c>
      <c r="C9" s="33">
        <v>3000</v>
      </c>
      <c r="D9" s="144">
        <v>2E-3</v>
      </c>
      <c r="E9" s="55">
        <f t="shared" si="0"/>
        <v>6</v>
      </c>
    </row>
    <row r="10" spans="1:11" ht="15.75" thickBot="1" x14ac:dyDescent="0.3">
      <c r="A10" s="254" t="s">
        <v>1</v>
      </c>
      <c r="B10" s="255"/>
      <c r="C10" s="255"/>
      <c r="D10" s="255"/>
      <c r="E10" s="56">
        <f>SUM(E3:E9)</f>
        <v>4581.8900666666668</v>
      </c>
      <c r="H10" s="258" t="s">
        <v>184</v>
      </c>
      <c r="I10" s="260" t="s">
        <v>188</v>
      </c>
      <c r="J10" s="261"/>
      <c r="K10" s="262"/>
    </row>
    <row r="11" spans="1:11" ht="15.75" thickBot="1" x14ac:dyDescent="0.3">
      <c r="A11" s="254" t="s">
        <v>50</v>
      </c>
      <c r="B11" s="255"/>
      <c r="C11" s="255"/>
      <c r="D11" s="255"/>
      <c r="E11" s="56">
        <f>E10/C3</f>
        <v>2.0184537738619679</v>
      </c>
      <c r="H11" s="259"/>
      <c r="I11" s="263"/>
      <c r="J11" s="264"/>
      <c r="K11" s="265"/>
    </row>
    <row r="12" spans="1:11" x14ac:dyDescent="0.25">
      <c r="A12" s="256" t="s">
        <v>51</v>
      </c>
      <c r="B12" s="257"/>
      <c r="C12" s="257"/>
      <c r="D12" s="257"/>
      <c r="E12" s="94">
        <f>(1*E11)/2.2046</f>
        <v>0.91556462571984387</v>
      </c>
      <c r="H12" s="154" t="s">
        <v>183</v>
      </c>
      <c r="I12" s="152">
        <v>15</v>
      </c>
      <c r="J12" s="151">
        <v>0.29899999999999999</v>
      </c>
      <c r="K12" s="93">
        <f>I12*J12</f>
        <v>4.4849999999999994</v>
      </c>
    </row>
    <row r="13" spans="1:11" x14ac:dyDescent="0.25">
      <c r="H13" s="155" t="s">
        <v>185</v>
      </c>
      <c r="I13" s="153">
        <v>15</v>
      </c>
      <c r="J13" s="84">
        <v>0.442</v>
      </c>
      <c r="K13" s="51">
        <f t="shared" ref="K13" si="1">I13*J13</f>
        <v>6.63</v>
      </c>
    </row>
    <row r="14" spans="1:11" x14ac:dyDescent="0.25">
      <c r="H14" s="155" t="s">
        <v>186</v>
      </c>
      <c r="I14" s="153">
        <v>30</v>
      </c>
      <c r="J14" s="84">
        <v>0.626</v>
      </c>
      <c r="K14" s="51">
        <f>I14*J14</f>
        <v>18.78</v>
      </c>
    </row>
    <row r="15" spans="1:11" ht="15.75" thickBot="1" x14ac:dyDescent="0.3">
      <c r="H15" s="156" t="s">
        <v>187</v>
      </c>
      <c r="I15" s="153">
        <f>I6-(I12+I13+I14)</f>
        <v>24</v>
      </c>
      <c r="J15" s="84">
        <v>0.76300000000000001</v>
      </c>
      <c r="K15" s="51">
        <f>I15*J15</f>
        <v>18.312000000000001</v>
      </c>
    </row>
    <row r="16" spans="1:11" ht="15.75" thickBot="1" x14ac:dyDescent="0.3">
      <c r="I16" s="95">
        <f>SUM(I12:I15)</f>
        <v>84</v>
      </c>
      <c r="J16" s="85"/>
      <c r="K16" s="96">
        <f>SUM(K12:K15)</f>
        <v>48.207000000000001</v>
      </c>
    </row>
    <row r="17" spans="9:11" x14ac:dyDescent="0.25">
      <c r="I17" s="243" t="s">
        <v>85</v>
      </c>
      <c r="J17" s="244"/>
      <c r="K17" s="97">
        <f>K16*(80/100)</f>
        <v>38.565600000000003</v>
      </c>
    </row>
    <row r="18" spans="9:11" x14ac:dyDescent="0.25">
      <c r="I18" s="245" t="s">
        <v>87</v>
      </c>
      <c r="J18" s="246"/>
      <c r="K18" s="47">
        <v>1.28</v>
      </c>
    </row>
    <row r="19" spans="9:11" ht="15.75" thickBot="1" x14ac:dyDescent="0.3">
      <c r="I19" s="247" t="s">
        <v>86</v>
      </c>
      <c r="J19" s="248"/>
      <c r="K19" s="98">
        <v>2.61</v>
      </c>
    </row>
    <row r="20" spans="9:11" ht="15.75" thickBot="1" x14ac:dyDescent="0.3">
      <c r="I20" s="249" t="s">
        <v>88</v>
      </c>
      <c r="J20" s="250"/>
      <c r="K20" s="100">
        <f>K16+K17+K18+K19</f>
        <v>90.662600000000012</v>
      </c>
    </row>
  </sheetData>
  <mergeCells count="10">
    <mergeCell ref="I17:J17"/>
    <mergeCell ref="I18:J18"/>
    <mergeCell ref="I19:J19"/>
    <mergeCell ref="I20:J20"/>
    <mergeCell ref="A1:E1"/>
    <mergeCell ref="A10:D10"/>
    <mergeCell ref="A11:D11"/>
    <mergeCell ref="A12:D12"/>
    <mergeCell ref="H10:H11"/>
    <mergeCell ref="I10:K11"/>
  </mergeCells>
  <pageMargins left="0.7" right="0.7" top="0.75" bottom="0.75" header="0.3" footer="0.3"/>
  <pageSetup paperSize="0" orientation="portrait" horizontalDpi="0" verticalDpi="0" copie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4"/>
  <sheetViews>
    <sheetView workbookViewId="0">
      <selection activeCell="F3" sqref="F3"/>
    </sheetView>
  </sheetViews>
  <sheetFormatPr baseColWidth="10" defaultRowHeight="15" x14ac:dyDescent="0.25"/>
  <cols>
    <col min="1" max="1" width="24.140625" customWidth="1"/>
    <col min="2" max="2" width="10.28515625" customWidth="1"/>
    <col min="3" max="3" width="14.85546875" customWidth="1"/>
    <col min="4" max="4" width="13.7109375" customWidth="1"/>
  </cols>
  <sheetData>
    <row r="1" spans="1:4" ht="15.75" thickBot="1" x14ac:dyDescent="0.3">
      <c r="A1" s="225" t="s">
        <v>30</v>
      </c>
      <c r="B1" s="226"/>
      <c r="C1" s="226"/>
      <c r="D1" s="227"/>
    </row>
    <row r="2" spans="1:4" ht="15.75" thickBot="1" x14ac:dyDescent="0.3">
      <c r="A2" s="1" t="s">
        <v>31</v>
      </c>
      <c r="B2" s="2" t="s">
        <v>32</v>
      </c>
      <c r="C2" s="2" t="s">
        <v>33</v>
      </c>
      <c r="D2" s="3" t="s">
        <v>3</v>
      </c>
    </row>
    <row r="3" spans="1:4" x14ac:dyDescent="0.25">
      <c r="A3" s="7" t="s">
        <v>25</v>
      </c>
      <c r="B3" s="22">
        <f>'Cálculos de Sueldos'!$B$10</f>
        <v>1</v>
      </c>
      <c r="C3" s="44">
        <f>'Cálculos de Sueldos'!$U$10/B3</f>
        <v>16057.546684931507</v>
      </c>
      <c r="D3" s="45">
        <f>C3*B3</f>
        <v>16057.546684931507</v>
      </c>
    </row>
    <row r="4" spans="1:4" x14ac:dyDescent="0.25">
      <c r="A4" s="16" t="s">
        <v>234</v>
      </c>
      <c r="B4" s="23">
        <f>'Cálculos de Sueldos'!$B$11</f>
        <v>1</v>
      </c>
      <c r="C4" s="46">
        <f>'Cálculos de Sueldos'!$U$11/B4</f>
        <v>12889.947484931507</v>
      </c>
      <c r="D4" s="47">
        <f t="shared" ref="D4:D8" si="0">C4*B4</f>
        <v>12889.947484931507</v>
      </c>
    </row>
    <row r="5" spans="1:4" x14ac:dyDescent="0.25">
      <c r="A5" s="16" t="s">
        <v>26</v>
      </c>
      <c r="B5" s="23">
        <f>'Cálculos de Sueldos'!$B$12</f>
        <v>1</v>
      </c>
      <c r="C5" s="46">
        <f>'Cálculos de Sueldos'!$U$12/B5</f>
        <v>12098.047684931506</v>
      </c>
      <c r="D5" s="47">
        <f t="shared" si="0"/>
        <v>12098.047684931506</v>
      </c>
    </row>
    <row r="6" spans="1:4" x14ac:dyDescent="0.25">
      <c r="A6" s="16" t="s">
        <v>27</v>
      </c>
      <c r="B6" s="23">
        <f>'Cálculos de Sueldos'!$B$13</f>
        <v>1</v>
      </c>
      <c r="C6" s="46">
        <f>'Cálculos de Sueldos'!$U$13/B6</f>
        <v>5256.033412931507</v>
      </c>
      <c r="D6" s="47">
        <f t="shared" si="0"/>
        <v>5256.033412931507</v>
      </c>
    </row>
    <row r="7" spans="1:4" x14ac:dyDescent="0.25">
      <c r="A7" s="16" t="s">
        <v>29</v>
      </c>
      <c r="B7" s="23">
        <f>'Cálculos de Sueldos'!$B$19</f>
        <v>1</v>
      </c>
      <c r="C7" s="46">
        <f>'Cálculos de Sueldos'!$U$19/B7</f>
        <v>5256.033412931507</v>
      </c>
      <c r="D7" s="47">
        <f t="shared" si="0"/>
        <v>5256.033412931507</v>
      </c>
    </row>
    <row r="8" spans="1:4" ht="15.75" thickBot="1" x14ac:dyDescent="0.3">
      <c r="A8" s="21" t="s">
        <v>179</v>
      </c>
      <c r="B8" s="24">
        <f>'Cálculos de Sueldos'!$B$20</f>
        <v>1</v>
      </c>
      <c r="C8" s="48">
        <f>'Cálculos de Sueldos'!$U$20/B8</f>
        <v>5256.033412931507</v>
      </c>
      <c r="D8" s="49">
        <f t="shared" si="0"/>
        <v>5256.033412931507</v>
      </c>
    </row>
    <row r="9" spans="1:4" ht="15.75" thickBot="1" x14ac:dyDescent="0.3">
      <c r="A9" s="268" t="s">
        <v>1</v>
      </c>
      <c r="B9" s="269"/>
      <c r="C9" s="269"/>
      <c r="D9" s="50">
        <f>SUM(D3:D8)</f>
        <v>56813.642093589042</v>
      </c>
    </row>
    <row r="11" spans="1:4" ht="15.75" thickBot="1" x14ac:dyDescent="0.3"/>
    <row r="12" spans="1:4" ht="15.75" thickBot="1" x14ac:dyDescent="0.3">
      <c r="A12" s="270" t="s">
        <v>2</v>
      </c>
      <c r="B12" s="271"/>
      <c r="C12" s="272"/>
    </row>
    <row r="13" spans="1:4" x14ac:dyDescent="0.25">
      <c r="A13" s="275" t="s">
        <v>92</v>
      </c>
      <c r="B13" s="276"/>
      <c r="C13" s="104" t="s">
        <v>3</v>
      </c>
    </row>
    <row r="14" spans="1:4" x14ac:dyDescent="0.25">
      <c r="A14" s="273" t="s">
        <v>235</v>
      </c>
      <c r="B14" s="274"/>
      <c r="C14" s="51">
        <v>750</v>
      </c>
    </row>
    <row r="15" spans="1:4" x14ac:dyDescent="0.25">
      <c r="A15" s="273" t="s">
        <v>236</v>
      </c>
      <c r="B15" s="274"/>
      <c r="C15" s="51">
        <v>134.4</v>
      </c>
    </row>
    <row r="16" spans="1:4" x14ac:dyDescent="0.25">
      <c r="A16" s="273" t="s">
        <v>94</v>
      </c>
      <c r="B16" s="274"/>
      <c r="C16" s="51">
        <v>7000</v>
      </c>
    </row>
    <row r="17" spans="1:17" ht="15.75" thickBot="1" x14ac:dyDescent="0.3">
      <c r="A17" s="266" t="s">
        <v>3</v>
      </c>
      <c r="B17" s="267"/>
      <c r="C17" s="52">
        <f>SUM(C14:C16)</f>
        <v>7884.4</v>
      </c>
    </row>
    <row r="20" spans="1:17" x14ac:dyDescent="0.25">
      <c r="A20" s="29"/>
      <c r="B20" s="29"/>
      <c r="C20" s="29"/>
      <c r="D20" s="29"/>
      <c r="E20" s="29"/>
      <c r="F20" s="29"/>
      <c r="G20" s="29"/>
      <c r="H20" s="29"/>
      <c r="I20" s="29"/>
      <c r="J20" s="29"/>
      <c r="K20" s="29"/>
      <c r="L20" s="29"/>
      <c r="M20" s="29"/>
      <c r="N20" s="29"/>
      <c r="O20" s="29"/>
      <c r="P20" s="29"/>
      <c r="Q20" s="29"/>
    </row>
    <row r="21" spans="1:17" x14ac:dyDescent="0.25">
      <c r="A21" s="29"/>
      <c r="B21" s="29"/>
      <c r="C21" s="29"/>
      <c r="D21" s="29"/>
      <c r="E21" s="29"/>
      <c r="F21" s="29"/>
      <c r="G21" s="29"/>
      <c r="H21" s="29"/>
      <c r="I21" s="4"/>
      <c r="J21" s="4"/>
      <c r="K21" s="4"/>
      <c r="L21" s="4"/>
      <c r="M21" s="4"/>
      <c r="N21" s="4"/>
      <c r="O21" s="4"/>
      <c r="P21" s="4"/>
      <c r="Q21" s="4"/>
    </row>
    <row r="22" spans="1:17" x14ac:dyDescent="0.25">
      <c r="A22" s="26"/>
      <c r="B22" s="26"/>
      <c r="C22" s="26"/>
      <c r="D22" s="26"/>
      <c r="E22" s="26"/>
      <c r="F22" s="26"/>
      <c r="G22" s="26"/>
      <c r="H22" s="26"/>
      <c r="I22" s="27"/>
      <c r="J22" s="27"/>
      <c r="K22" s="27"/>
      <c r="L22" s="27"/>
      <c r="M22" s="27"/>
      <c r="N22" s="27"/>
      <c r="O22" s="27"/>
      <c r="P22" s="27"/>
      <c r="Q22" s="28"/>
    </row>
    <row r="23" spans="1:17" x14ac:dyDescent="0.25">
      <c r="A23" s="26"/>
      <c r="B23" s="26"/>
      <c r="C23" s="26"/>
      <c r="D23" s="26"/>
      <c r="E23" s="26"/>
      <c r="F23" s="26"/>
      <c r="G23" s="26"/>
      <c r="H23" s="26"/>
      <c r="I23" s="27"/>
      <c r="J23" s="27"/>
      <c r="K23" s="27"/>
      <c r="L23" s="27"/>
      <c r="M23" s="27"/>
      <c r="N23" s="27"/>
      <c r="O23" s="27"/>
      <c r="P23" s="27"/>
      <c r="Q23" s="28"/>
    </row>
    <row r="24" spans="1:17" x14ac:dyDescent="0.25">
      <c r="A24" s="29"/>
      <c r="B24" s="29"/>
      <c r="C24" s="29"/>
      <c r="D24" s="29"/>
      <c r="E24" s="29"/>
      <c r="F24" s="29"/>
      <c r="G24" s="29"/>
      <c r="H24" s="29"/>
      <c r="I24" s="4"/>
      <c r="J24" s="4"/>
      <c r="K24" s="4"/>
      <c r="L24" s="4"/>
      <c r="M24" s="4"/>
      <c r="N24" s="4"/>
      <c r="O24" s="4"/>
      <c r="P24" s="4"/>
      <c r="Q24" s="4"/>
    </row>
  </sheetData>
  <mergeCells count="8">
    <mergeCell ref="A17:B17"/>
    <mergeCell ref="A1:D1"/>
    <mergeCell ref="A9:C9"/>
    <mergeCell ref="A12:C12"/>
    <mergeCell ref="A16:B16"/>
    <mergeCell ref="A13:B13"/>
    <mergeCell ref="A14:B14"/>
    <mergeCell ref="A15:B1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
  <sheetViews>
    <sheetView workbookViewId="0">
      <selection activeCell="F4" sqref="F4"/>
    </sheetView>
  </sheetViews>
  <sheetFormatPr baseColWidth="10" defaultRowHeight="15" x14ac:dyDescent="0.25"/>
  <cols>
    <col min="3" max="3" width="10.7109375" customWidth="1"/>
    <col min="4" max="4" width="11.28515625" customWidth="1"/>
  </cols>
  <sheetData>
    <row r="1" spans="1:4" ht="15.75" thickBot="1" x14ac:dyDescent="0.3">
      <c r="A1" s="277" t="s">
        <v>52</v>
      </c>
      <c r="B1" s="278"/>
      <c r="C1" s="278"/>
      <c r="D1" s="279"/>
    </row>
    <row r="2" spans="1:4" ht="33" customHeight="1" thickBot="1" x14ac:dyDescent="0.3">
      <c r="A2" s="39" t="s">
        <v>31</v>
      </c>
      <c r="B2" s="40" t="s">
        <v>32</v>
      </c>
      <c r="C2" s="40" t="s">
        <v>53</v>
      </c>
      <c r="D2" s="41" t="s">
        <v>54</v>
      </c>
    </row>
    <row r="3" spans="1:4" ht="15.75" thickBot="1" x14ac:dyDescent="0.3">
      <c r="A3" s="34" t="s">
        <v>20</v>
      </c>
      <c r="B3" s="35">
        <f>'Cálculos de Sueldos'!$B$4</f>
        <v>6</v>
      </c>
      <c r="C3" s="42">
        <f>D3/B3</f>
        <v>5256.033412931507</v>
      </c>
      <c r="D3" s="43">
        <f>'Cálculos de Sueldos'!$U$4</f>
        <v>31536.200477589042</v>
      </c>
    </row>
    <row r="4" spans="1:4" ht="15.75" thickBot="1" x14ac:dyDescent="0.3">
      <c r="A4" s="148" t="s">
        <v>1</v>
      </c>
      <c r="B4" s="150"/>
      <c r="C4" s="150"/>
      <c r="D4" s="50">
        <f>SUM(D1:D3)</f>
        <v>31536.200477589042</v>
      </c>
    </row>
  </sheetData>
  <mergeCells count="1">
    <mergeCell ref="A1:D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workbookViewId="0">
      <selection activeCell="J3" sqref="J3"/>
    </sheetView>
  </sheetViews>
  <sheetFormatPr baseColWidth="10" defaultRowHeight="15" x14ac:dyDescent="0.25"/>
  <cols>
    <col min="1" max="1" width="14.28515625" customWidth="1"/>
    <col min="2" max="2" width="21.85546875" customWidth="1"/>
    <col min="3" max="3" width="9.28515625" customWidth="1"/>
    <col min="4" max="4" width="10.140625" customWidth="1"/>
    <col min="5" max="6" width="16.28515625" customWidth="1"/>
  </cols>
  <sheetData>
    <row r="1" spans="1:8" ht="15.75" thickBot="1" x14ac:dyDescent="0.3">
      <c r="A1" s="225" t="s">
        <v>66</v>
      </c>
      <c r="B1" s="226"/>
      <c r="C1" s="226"/>
      <c r="D1" s="226"/>
      <c r="E1" s="226"/>
      <c r="F1" s="226"/>
      <c r="G1" s="226"/>
      <c r="H1" s="227"/>
    </row>
    <row r="2" spans="1:8" ht="30.75" customHeight="1" thickBot="1" x14ac:dyDescent="0.3">
      <c r="A2" s="39" t="s">
        <v>69</v>
      </c>
      <c r="B2" s="40" t="s">
        <v>238</v>
      </c>
      <c r="C2" s="40" t="s">
        <v>38</v>
      </c>
      <c r="D2" s="40" t="s">
        <v>32</v>
      </c>
      <c r="E2" s="40" t="s">
        <v>39</v>
      </c>
      <c r="F2" s="40" t="s">
        <v>65</v>
      </c>
      <c r="G2" s="40" t="s">
        <v>68</v>
      </c>
      <c r="H2" s="41" t="s">
        <v>1</v>
      </c>
    </row>
    <row r="3" spans="1:8" ht="35.25" customHeight="1" x14ac:dyDescent="0.25">
      <c r="A3" s="75" t="s">
        <v>55</v>
      </c>
      <c r="B3" s="70" t="s">
        <v>237</v>
      </c>
      <c r="C3" s="71" t="s">
        <v>67</v>
      </c>
      <c r="D3" s="71">
        <v>72</v>
      </c>
      <c r="E3" s="72">
        <v>8</v>
      </c>
      <c r="F3" s="72">
        <f>(E3*(12/100))</f>
        <v>0.96</v>
      </c>
      <c r="G3" s="72">
        <f>E3+F3</f>
        <v>8.9600000000000009</v>
      </c>
      <c r="H3" s="72">
        <f>G3*D3</f>
        <v>645.12000000000012</v>
      </c>
    </row>
    <row r="4" spans="1:8" ht="33.75" x14ac:dyDescent="0.25">
      <c r="A4" s="76" t="s">
        <v>56</v>
      </c>
      <c r="B4" s="69" t="s">
        <v>70</v>
      </c>
      <c r="C4" s="73" t="s">
        <v>67</v>
      </c>
      <c r="D4" s="73">
        <f>1*12</f>
        <v>12</v>
      </c>
      <c r="E4" s="74">
        <v>5</v>
      </c>
      <c r="F4" s="74">
        <f t="shared" ref="F4:F15" si="0">(E4*(12/100))</f>
        <v>0.6</v>
      </c>
      <c r="G4" s="74">
        <f t="shared" ref="G4:G15" si="1">E4+F4</f>
        <v>5.6</v>
      </c>
      <c r="H4" s="74">
        <f t="shared" ref="H4:H15" si="2">G4*D4</f>
        <v>67.199999999999989</v>
      </c>
    </row>
    <row r="5" spans="1:8" ht="22.5" x14ac:dyDescent="0.25">
      <c r="A5" s="76" t="s">
        <v>57</v>
      </c>
      <c r="B5" s="69" t="s">
        <v>60</v>
      </c>
      <c r="C5" s="73" t="s">
        <v>67</v>
      </c>
      <c r="D5" s="73">
        <f>5*12</f>
        <v>60</v>
      </c>
      <c r="E5" s="74">
        <v>8.6</v>
      </c>
      <c r="F5" s="74">
        <f t="shared" si="0"/>
        <v>1.032</v>
      </c>
      <c r="G5" s="74">
        <f t="shared" si="1"/>
        <v>9.6319999999999997</v>
      </c>
      <c r="H5" s="74">
        <f t="shared" si="2"/>
        <v>577.91999999999996</v>
      </c>
    </row>
    <row r="6" spans="1:8" ht="33.75" x14ac:dyDescent="0.25">
      <c r="A6" s="76" t="s">
        <v>58</v>
      </c>
      <c r="B6" s="69" t="s">
        <v>239</v>
      </c>
      <c r="C6" s="73" t="s">
        <v>67</v>
      </c>
      <c r="D6" s="73">
        <f>2*12</f>
        <v>24</v>
      </c>
      <c r="E6" s="74">
        <v>4</v>
      </c>
      <c r="F6" s="74">
        <f t="shared" si="0"/>
        <v>0.48</v>
      </c>
      <c r="G6" s="74">
        <f t="shared" si="1"/>
        <v>4.4800000000000004</v>
      </c>
      <c r="H6" s="74">
        <f t="shared" si="2"/>
        <v>107.52000000000001</v>
      </c>
    </row>
    <row r="7" spans="1:8" ht="22.5" x14ac:dyDescent="0.25">
      <c r="A7" s="76" t="s">
        <v>59</v>
      </c>
      <c r="B7" s="69" t="s">
        <v>240</v>
      </c>
      <c r="C7" s="73" t="s">
        <v>67</v>
      </c>
      <c r="D7" s="73">
        <f>10*12</f>
        <v>120</v>
      </c>
      <c r="E7" s="74">
        <v>7.5</v>
      </c>
      <c r="F7" s="74">
        <f t="shared" si="0"/>
        <v>0.89999999999999991</v>
      </c>
      <c r="G7" s="74">
        <f t="shared" si="1"/>
        <v>8.4</v>
      </c>
      <c r="H7" s="74">
        <f t="shared" si="2"/>
        <v>1008</v>
      </c>
    </row>
    <row r="8" spans="1:8" x14ac:dyDescent="0.25">
      <c r="A8" s="283" t="s">
        <v>61</v>
      </c>
      <c r="B8" s="274"/>
      <c r="C8" s="30" t="s">
        <v>71</v>
      </c>
      <c r="D8" s="30">
        <v>6</v>
      </c>
      <c r="E8" s="53">
        <v>1.1000000000000001</v>
      </c>
      <c r="F8" s="53">
        <f t="shared" si="0"/>
        <v>0.13200000000000001</v>
      </c>
      <c r="G8" s="53">
        <f t="shared" si="1"/>
        <v>1.2320000000000002</v>
      </c>
      <c r="H8" s="53">
        <f t="shared" si="2"/>
        <v>7.3920000000000012</v>
      </c>
    </row>
    <row r="9" spans="1:8" x14ac:dyDescent="0.25">
      <c r="A9" s="283" t="s">
        <v>62</v>
      </c>
      <c r="B9" s="274"/>
      <c r="C9" s="30" t="s">
        <v>71</v>
      </c>
      <c r="D9" s="30">
        <v>12</v>
      </c>
      <c r="E9" s="53">
        <v>7.9</v>
      </c>
      <c r="F9" s="53">
        <f t="shared" si="0"/>
        <v>0.94799999999999995</v>
      </c>
      <c r="G9" s="53">
        <f t="shared" si="1"/>
        <v>8.8480000000000008</v>
      </c>
      <c r="H9" s="53">
        <f t="shared" si="2"/>
        <v>106.17600000000002</v>
      </c>
    </row>
    <row r="10" spans="1:8" x14ac:dyDescent="0.25">
      <c r="A10" s="283" t="s">
        <v>63</v>
      </c>
      <c r="B10" s="274"/>
      <c r="C10" s="30" t="s">
        <v>71</v>
      </c>
      <c r="D10" s="30">
        <v>12</v>
      </c>
      <c r="E10" s="53">
        <v>4.8</v>
      </c>
      <c r="F10" s="53">
        <f t="shared" si="0"/>
        <v>0.57599999999999996</v>
      </c>
      <c r="G10" s="53">
        <f t="shared" si="1"/>
        <v>5.3759999999999994</v>
      </c>
      <c r="H10" s="53">
        <f t="shared" si="2"/>
        <v>64.512</v>
      </c>
    </row>
    <row r="11" spans="1:8" x14ac:dyDescent="0.25">
      <c r="A11" s="283" t="s">
        <v>64</v>
      </c>
      <c r="B11" s="274"/>
      <c r="C11" s="30" t="s">
        <v>71</v>
      </c>
      <c r="D11" s="30">
        <v>400</v>
      </c>
      <c r="E11" s="53">
        <v>0.25</v>
      </c>
      <c r="F11" s="53">
        <f t="shared" si="0"/>
        <v>0.03</v>
      </c>
      <c r="G11" s="53">
        <f t="shared" si="1"/>
        <v>0.28000000000000003</v>
      </c>
      <c r="H11" s="53">
        <f t="shared" si="2"/>
        <v>112.00000000000001</v>
      </c>
    </row>
    <row r="12" spans="1:8" x14ac:dyDescent="0.25">
      <c r="A12" s="283" t="s">
        <v>181</v>
      </c>
      <c r="B12" s="274"/>
      <c r="C12" s="30" t="s">
        <v>71</v>
      </c>
      <c r="D12" s="30">
        <v>150</v>
      </c>
      <c r="E12" s="53">
        <v>1.75</v>
      </c>
      <c r="F12" s="53">
        <f t="shared" si="0"/>
        <v>0.21</v>
      </c>
      <c r="G12" s="53">
        <f t="shared" si="1"/>
        <v>1.96</v>
      </c>
      <c r="H12" s="53">
        <f t="shared" si="2"/>
        <v>294</v>
      </c>
    </row>
    <row r="13" spans="1:8" x14ac:dyDescent="0.25">
      <c r="A13" s="283" t="s">
        <v>91</v>
      </c>
      <c r="B13" s="274"/>
      <c r="C13" s="30" t="s">
        <v>71</v>
      </c>
      <c r="D13" s="30">
        <v>150</v>
      </c>
      <c r="E13" s="53">
        <v>0.99</v>
      </c>
      <c r="F13" s="53">
        <f t="shared" si="0"/>
        <v>0.11879999999999999</v>
      </c>
      <c r="G13" s="53">
        <f t="shared" si="1"/>
        <v>1.1088</v>
      </c>
      <c r="H13" s="53">
        <f t="shared" si="2"/>
        <v>166.32</v>
      </c>
    </row>
    <row r="14" spans="1:8" x14ac:dyDescent="0.25">
      <c r="A14" s="283" t="s">
        <v>182</v>
      </c>
      <c r="B14" s="274"/>
      <c r="C14" s="30" t="s">
        <v>71</v>
      </c>
      <c r="D14" s="30">
        <v>15</v>
      </c>
      <c r="E14" s="53">
        <v>15</v>
      </c>
      <c r="F14" s="53">
        <f t="shared" si="0"/>
        <v>1.7999999999999998</v>
      </c>
      <c r="G14" s="53">
        <f t="shared" si="1"/>
        <v>16.8</v>
      </c>
      <c r="H14" s="53">
        <f t="shared" si="2"/>
        <v>252</v>
      </c>
    </row>
    <row r="15" spans="1:8" ht="15.75" thickBot="1" x14ac:dyDescent="0.3">
      <c r="A15" s="284" t="s">
        <v>241</v>
      </c>
      <c r="B15" s="285"/>
      <c r="C15" s="33" t="s">
        <v>71</v>
      </c>
      <c r="D15" s="33">
        <v>15</v>
      </c>
      <c r="E15" s="54">
        <v>9</v>
      </c>
      <c r="F15" s="54">
        <f t="shared" si="0"/>
        <v>1.08</v>
      </c>
      <c r="G15" s="54">
        <f t="shared" si="1"/>
        <v>10.08</v>
      </c>
      <c r="H15" s="54">
        <f t="shared" si="2"/>
        <v>151.19999999999999</v>
      </c>
    </row>
    <row r="16" spans="1:8" ht="15.75" thickBot="1" x14ac:dyDescent="0.3">
      <c r="A16" s="280" t="s">
        <v>1</v>
      </c>
      <c r="B16" s="281"/>
      <c r="C16" s="281"/>
      <c r="D16" s="281"/>
      <c r="E16" s="281"/>
      <c r="F16" s="281"/>
      <c r="G16" s="282"/>
      <c r="H16" s="50">
        <f>SUM(H3:H15)</f>
        <v>3559.36</v>
      </c>
    </row>
  </sheetData>
  <mergeCells count="10">
    <mergeCell ref="A1:H1"/>
    <mergeCell ref="A16:G16"/>
    <mergeCell ref="A8:B8"/>
    <mergeCell ref="A9:B9"/>
    <mergeCell ref="A10:B10"/>
    <mergeCell ref="A11:B11"/>
    <mergeCell ref="A12:B12"/>
    <mergeCell ref="A13:B13"/>
    <mergeCell ref="A14:B14"/>
    <mergeCell ref="A15:B15"/>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
  <sheetViews>
    <sheetView workbookViewId="0">
      <selection activeCell="F3" sqref="F3"/>
    </sheetView>
  </sheetViews>
  <sheetFormatPr baseColWidth="10" defaultRowHeight="15" x14ac:dyDescent="0.25"/>
  <sheetData>
    <row r="1" spans="1:9" ht="15.75" thickBot="1" x14ac:dyDescent="0.3">
      <c r="A1" s="225" t="s">
        <v>107</v>
      </c>
      <c r="B1" s="226"/>
      <c r="C1" s="226"/>
      <c r="D1" s="227"/>
      <c r="H1" s="288" t="s">
        <v>75</v>
      </c>
      <c r="I1" s="289"/>
    </row>
    <row r="2" spans="1:9" x14ac:dyDescent="0.25">
      <c r="A2" s="286" t="s">
        <v>73</v>
      </c>
      <c r="B2" s="287"/>
      <c r="C2" s="287"/>
      <c r="D2" s="77" t="s">
        <v>74</v>
      </c>
      <c r="H2" s="91" t="s">
        <v>89</v>
      </c>
      <c r="I2" s="93">
        <f>'Costo Producción(2)'!$K$20*12</f>
        <v>1087.9512000000002</v>
      </c>
    </row>
    <row r="3" spans="1:9" x14ac:dyDescent="0.25">
      <c r="A3" s="293" t="s">
        <v>75</v>
      </c>
      <c r="B3" s="294"/>
      <c r="C3" s="294"/>
      <c r="D3" s="51">
        <f>$I$4</f>
        <v>1395.9192000000003</v>
      </c>
      <c r="H3" s="92" t="s">
        <v>90</v>
      </c>
      <c r="I3" s="51">
        <f>((300*0.062)+1.414+0.41+0.86+4.38)*12</f>
        <v>307.96800000000002</v>
      </c>
    </row>
    <row r="4" spans="1:9" ht="15.75" thickBot="1" x14ac:dyDescent="0.3">
      <c r="A4" s="293" t="s">
        <v>76</v>
      </c>
      <c r="B4" s="294"/>
      <c r="C4" s="294"/>
      <c r="D4" s="51">
        <v>700</v>
      </c>
      <c r="H4" s="106" t="s">
        <v>1</v>
      </c>
      <c r="I4" s="87">
        <f>SUM(I2:I3)</f>
        <v>1395.9192000000003</v>
      </c>
    </row>
    <row r="5" spans="1:9" x14ac:dyDescent="0.25">
      <c r="A5" s="293" t="s">
        <v>77</v>
      </c>
      <c r="B5" s="294"/>
      <c r="C5" s="294"/>
      <c r="D5" s="51">
        <v>1000</v>
      </c>
      <c r="H5" s="28" t="s">
        <v>93</v>
      </c>
      <c r="I5" s="105" t="s">
        <v>93</v>
      </c>
    </row>
    <row r="6" spans="1:9" x14ac:dyDescent="0.25">
      <c r="A6" s="293" t="s">
        <v>78</v>
      </c>
      <c r="B6" s="294"/>
      <c r="C6" s="294"/>
      <c r="D6" s="51">
        <v>960</v>
      </c>
    </row>
    <row r="7" spans="1:9" x14ac:dyDescent="0.25">
      <c r="A7" s="293" t="s">
        <v>79</v>
      </c>
      <c r="B7" s="294"/>
      <c r="C7" s="294"/>
      <c r="D7" s="51">
        <v>350</v>
      </c>
    </row>
    <row r="8" spans="1:9" x14ac:dyDescent="0.25">
      <c r="A8" s="293" t="s">
        <v>80</v>
      </c>
      <c r="B8" s="294"/>
      <c r="C8" s="294"/>
      <c r="D8" s="51">
        <f>Inversión!$K$18</f>
        <v>14717.5</v>
      </c>
    </row>
    <row r="9" spans="1:9" x14ac:dyDescent="0.25">
      <c r="A9" s="293" t="s">
        <v>81</v>
      </c>
      <c r="B9" s="294"/>
      <c r="C9" s="294"/>
      <c r="D9" s="51">
        <v>500</v>
      </c>
    </row>
    <row r="10" spans="1:9" ht="15.75" thickBot="1" x14ac:dyDescent="0.3">
      <c r="A10" s="295" t="s">
        <v>82</v>
      </c>
      <c r="B10" s="296"/>
      <c r="C10" s="296"/>
      <c r="D10" s="88">
        <v>1020</v>
      </c>
    </row>
    <row r="11" spans="1:9" ht="15.75" thickBot="1" x14ac:dyDescent="0.3">
      <c r="A11" s="290"/>
      <c r="B11" s="291"/>
      <c r="C11" s="292"/>
      <c r="D11" s="101">
        <f>SUM(D3:D10)</f>
        <v>20643.4192</v>
      </c>
    </row>
  </sheetData>
  <mergeCells count="12">
    <mergeCell ref="A1:D1"/>
    <mergeCell ref="A2:C2"/>
    <mergeCell ref="H1:I1"/>
    <mergeCell ref="A11:C11"/>
    <mergeCell ref="A3:C3"/>
    <mergeCell ref="A4:C4"/>
    <mergeCell ref="A5:C5"/>
    <mergeCell ref="A6:C6"/>
    <mergeCell ref="A7:C7"/>
    <mergeCell ref="A8:C8"/>
    <mergeCell ref="A9:C9"/>
    <mergeCell ref="A10:C10"/>
  </mergeCells>
  <pageMargins left="0.7" right="0.7" top="0.75" bottom="0.75" header="0.3" footer="0.3"/>
  <pageSetup paperSize="0" orientation="portrait" horizontalDpi="0" verticalDpi="0" copie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4"/>
  <sheetViews>
    <sheetView workbookViewId="0">
      <selection activeCell="F2" sqref="F2"/>
    </sheetView>
  </sheetViews>
  <sheetFormatPr baseColWidth="10" defaultRowHeight="15" x14ac:dyDescent="0.25"/>
  <cols>
    <col min="2" max="2" width="17.7109375" customWidth="1"/>
    <col min="3" max="3" width="13.140625" bestFit="1" customWidth="1"/>
  </cols>
  <sheetData>
    <row r="1" spans="1:7" x14ac:dyDescent="0.25">
      <c r="A1" s="297" t="s">
        <v>96</v>
      </c>
      <c r="B1" s="298"/>
      <c r="C1" s="83">
        <f>'Costo Producción(2)'!$E$12</f>
        <v>0.91556462571984387</v>
      </c>
    </row>
    <row r="2" spans="1:7" ht="15.75" thickBot="1" x14ac:dyDescent="0.3">
      <c r="A2" s="299" t="s">
        <v>97</v>
      </c>
      <c r="B2" s="300"/>
      <c r="C2" s="55">
        <f>(('Costo Producción'!$D$4/('Costo Producción(2)'!C3*2.2046*21*12)))</f>
        <v>2.5006514750065122E-2</v>
      </c>
    </row>
    <row r="3" spans="1:7" ht="15.75" thickBot="1" x14ac:dyDescent="0.3">
      <c r="A3" s="301" t="s">
        <v>95</v>
      </c>
      <c r="B3" s="302"/>
      <c r="C3" s="50">
        <f>SUM(C1:C2)</f>
        <v>0.94057114046990897</v>
      </c>
    </row>
    <row r="6" spans="1:7" ht="15.75" thickBot="1" x14ac:dyDescent="0.3">
      <c r="G6" s="147"/>
    </row>
    <row r="7" spans="1:7" x14ac:dyDescent="0.25">
      <c r="A7" s="305" t="s">
        <v>100</v>
      </c>
      <c r="B7" s="306"/>
      <c r="C7" s="83">
        <f>'Costo Fijos'!D9+'Costo Fijos'!C17</f>
        <v>64698.042093589043</v>
      </c>
      <c r="G7" s="147"/>
    </row>
    <row r="8" spans="1:7" ht="15.75" thickBot="1" x14ac:dyDescent="0.3">
      <c r="A8" s="303" t="s">
        <v>164</v>
      </c>
      <c r="B8" s="304"/>
      <c r="C8" s="149">
        <f>(('Costo Producción(2)'!C3-272.15544)*2.2046)*21*12</f>
        <v>1109920.925477952</v>
      </c>
      <c r="G8" s="147"/>
    </row>
    <row r="9" spans="1:7" ht="15.75" thickBot="1" x14ac:dyDescent="0.3">
      <c r="A9" s="280" t="s">
        <v>98</v>
      </c>
      <c r="B9" s="282"/>
      <c r="C9" s="50">
        <f>C7/C8</f>
        <v>5.8290676937844829E-2</v>
      </c>
      <c r="G9" s="147"/>
    </row>
    <row r="11" spans="1:7" ht="15.75" thickBot="1" x14ac:dyDescent="0.3"/>
    <row r="12" spans="1:7" ht="15.75" thickBot="1" x14ac:dyDescent="0.3">
      <c r="A12" s="280" t="s">
        <v>99</v>
      </c>
      <c r="B12" s="282"/>
      <c r="C12" s="50">
        <f>C3+C9</f>
        <v>0.99886181740775382</v>
      </c>
    </row>
    <row r="14" spans="1:7" ht="15.75" thickBot="1" x14ac:dyDescent="0.3"/>
    <row r="15" spans="1:7" x14ac:dyDescent="0.25">
      <c r="A15" s="312" t="s">
        <v>102</v>
      </c>
      <c r="B15" s="313"/>
      <c r="C15" s="94">
        <v>1.1200000000000001</v>
      </c>
    </row>
    <row r="16" spans="1:7" ht="15.75" thickBot="1" x14ac:dyDescent="0.3">
      <c r="A16" s="314" t="s">
        <v>101</v>
      </c>
      <c r="B16" s="315"/>
      <c r="C16" s="52">
        <f>C15-C3</f>
        <v>0.17942885953009113</v>
      </c>
    </row>
    <row r="17" spans="1:3" x14ac:dyDescent="0.25">
      <c r="A17" s="107"/>
      <c r="B17" s="107"/>
      <c r="C17" s="108"/>
    </row>
    <row r="18" spans="1:3" ht="15.75" thickBot="1" x14ac:dyDescent="0.3">
      <c r="A18" s="107"/>
      <c r="B18" s="107"/>
      <c r="C18" s="108"/>
    </row>
    <row r="19" spans="1:3" x14ac:dyDescent="0.25">
      <c r="A19" s="316" t="s">
        <v>103</v>
      </c>
      <c r="B19" s="317"/>
      <c r="C19" s="109">
        <f>C16-C9</f>
        <v>0.1211381825922463</v>
      </c>
    </row>
    <row r="20" spans="1:3" x14ac:dyDescent="0.25">
      <c r="A20" s="307" t="s">
        <v>104</v>
      </c>
      <c r="B20" s="308"/>
      <c r="C20" s="51">
        <f>C19*C8</f>
        <v>134453.80373350315</v>
      </c>
    </row>
    <row r="21" spans="1:3" x14ac:dyDescent="0.25">
      <c r="A21" s="309" t="s">
        <v>105</v>
      </c>
      <c r="B21" s="310"/>
      <c r="C21" s="311"/>
    </row>
    <row r="22" spans="1:3" x14ac:dyDescent="0.25">
      <c r="A22" s="307" t="s">
        <v>242</v>
      </c>
      <c r="B22" s="308"/>
      <c r="C22" s="51">
        <f>'Costo Ind. Fabr'!$H$16</f>
        <v>3559.36</v>
      </c>
    </row>
    <row r="23" spans="1:3" ht="15.75" thickBot="1" x14ac:dyDescent="0.3">
      <c r="A23" s="299" t="s">
        <v>106</v>
      </c>
      <c r="B23" s="300"/>
      <c r="C23" s="55">
        <f>'Otros Gastos'!$D$11</f>
        <v>20643.4192</v>
      </c>
    </row>
    <row r="24" spans="1:3" ht="15.75" thickBot="1" x14ac:dyDescent="0.3">
      <c r="A24" s="301" t="s">
        <v>108</v>
      </c>
      <c r="B24" s="302"/>
      <c r="C24" s="50">
        <f>C20-C22-C23</f>
        <v>110251.02453350315</v>
      </c>
    </row>
  </sheetData>
  <mergeCells count="15">
    <mergeCell ref="A22:B22"/>
    <mergeCell ref="A23:B23"/>
    <mergeCell ref="A24:B24"/>
    <mergeCell ref="A21:C21"/>
    <mergeCell ref="A12:B12"/>
    <mergeCell ref="A15:B15"/>
    <mergeCell ref="A16:B16"/>
    <mergeCell ref="A19:B19"/>
    <mergeCell ref="A20:B20"/>
    <mergeCell ref="A1:B1"/>
    <mergeCell ref="A2:B2"/>
    <mergeCell ref="A3:B3"/>
    <mergeCell ref="A9:B9"/>
    <mergeCell ref="A8:B8"/>
    <mergeCell ref="A7:B7"/>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1"/>
  <sheetViews>
    <sheetView workbookViewId="0">
      <selection activeCell="C6" sqref="C6"/>
    </sheetView>
  </sheetViews>
  <sheetFormatPr baseColWidth="10" defaultRowHeight="15" x14ac:dyDescent="0.25"/>
  <cols>
    <col min="2" max="2" width="16.5703125" customWidth="1"/>
  </cols>
  <sheetData>
    <row r="1" spans="1:11" x14ac:dyDescent="0.25">
      <c r="A1" s="316" t="s">
        <v>100</v>
      </c>
      <c r="B1" s="317"/>
      <c r="C1" s="112">
        <f>Utilidad!$C$7</f>
        <v>64698.042093589043</v>
      </c>
    </row>
    <row r="2" spans="1:11" ht="15.75" thickBot="1" x14ac:dyDescent="0.3">
      <c r="A2" s="320" t="s">
        <v>101</v>
      </c>
      <c r="B2" s="321"/>
      <c r="C2" s="173">
        <f>Utilidad!$C$16</f>
        <v>0.17942885953009113</v>
      </c>
    </row>
    <row r="3" spans="1:11" ht="15.75" thickBot="1" x14ac:dyDescent="0.3">
      <c r="A3" s="280" t="s">
        <v>110</v>
      </c>
      <c r="B3" s="282"/>
      <c r="C3" s="175">
        <f>C1/C2</f>
        <v>360577.68111009395</v>
      </c>
    </row>
    <row r="4" spans="1:11" ht="15.75" thickBot="1" x14ac:dyDescent="0.3">
      <c r="A4" s="322" t="s">
        <v>109</v>
      </c>
      <c r="B4" s="323"/>
      <c r="C4" s="174">
        <f>C3*Utilidad!C15</f>
        <v>403847.00284330524</v>
      </c>
    </row>
    <row r="7" spans="1:11" ht="15.75" thickBot="1" x14ac:dyDescent="0.3"/>
    <row r="8" spans="1:11" ht="31.5" customHeight="1" thickBot="1" x14ac:dyDescent="0.3">
      <c r="A8" s="318" t="s">
        <v>111</v>
      </c>
      <c r="B8" s="319"/>
      <c r="C8" s="113">
        <f>(C3/(21*12))/5.0045</f>
        <v>285.91543889078713</v>
      </c>
    </row>
    <row r="9" spans="1:11" ht="34.5" customHeight="1" thickBot="1" x14ac:dyDescent="0.3">
      <c r="A9" s="318" t="s">
        <v>112</v>
      </c>
      <c r="B9" s="319"/>
      <c r="C9" s="113">
        <f>C8*21*12</f>
        <v>72050.690600478352</v>
      </c>
    </row>
    <row r="16" spans="1:11" x14ac:dyDescent="0.25">
      <c r="D16" t="s">
        <v>93</v>
      </c>
      <c r="E16" t="s">
        <v>93</v>
      </c>
      <c r="F16" t="s">
        <v>93</v>
      </c>
      <c r="K16" s="115">
        <f>C1/((1-(Utilidad!C3/Utilidad!C15)))</f>
        <v>403847.00284330518</v>
      </c>
    </row>
    <row r="19" spans="7:8" x14ac:dyDescent="0.25">
      <c r="H19" t="s">
        <v>133</v>
      </c>
    </row>
    <row r="21" spans="7:8" x14ac:dyDescent="0.25">
      <c r="G21" t="s">
        <v>134</v>
      </c>
    </row>
  </sheetData>
  <mergeCells count="6">
    <mergeCell ref="A9:B9"/>
    <mergeCell ref="A1:B1"/>
    <mergeCell ref="A2:B2"/>
    <mergeCell ref="A3:B3"/>
    <mergeCell ref="A4:B4"/>
    <mergeCell ref="A8:B8"/>
  </mergeCells>
  <pageMargins left="0.7" right="0.7" top="0.75" bottom="0.75" header="0.3" footer="0.3"/>
  <pageSetup paperSize="0" orientation="portrait" horizontalDpi="0" verticalDpi="0" copies="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 sqref="J2"/>
    </sheetView>
  </sheetViews>
  <sheetFormatPr baseColWidth="10"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Cálculos de Sueldos</vt:lpstr>
      <vt:lpstr>Costo Producción(2)</vt:lpstr>
      <vt:lpstr>Costo Fijos</vt:lpstr>
      <vt:lpstr>Costo Producción</vt:lpstr>
      <vt:lpstr>Costo Ind. Fabr</vt:lpstr>
      <vt:lpstr>Otros Gastos</vt:lpstr>
      <vt:lpstr>Utilidad</vt:lpstr>
      <vt:lpstr>P. Equilib</vt:lpstr>
      <vt:lpstr>Definiciones</vt:lpstr>
      <vt:lpstr>K de Trabajo</vt:lpstr>
      <vt:lpstr>Inversión</vt:lpstr>
      <vt:lpstr>Depreciación</vt:lpstr>
      <vt:lpstr>Préstamo</vt:lpstr>
      <vt:lpstr>Proyecciones</vt:lpstr>
      <vt:lpstr>F.E.Banco</vt:lpstr>
      <vt:lpstr>F.E.Cap. Propio</vt:lpstr>
      <vt:lpstr>Tasa de descuento</vt:lpstr>
      <vt:lpstr>Periodo de Recuperación</vt:lpstr>
    </vt:vector>
  </TitlesOfParts>
  <Company>MIO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DICK</dc:creator>
  <cp:lastModifiedBy>Fuad Dick</cp:lastModifiedBy>
  <dcterms:created xsi:type="dcterms:W3CDTF">2012-09-16T23:12:46Z</dcterms:created>
  <dcterms:modified xsi:type="dcterms:W3CDTF">2013-08-29T00:46:45Z</dcterms:modified>
</cp:coreProperties>
</file>