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tabla_amort1" sheetId="1" r:id="rId1"/>
    <sheet name="Hoja2" sheetId="2" r:id="rId2"/>
    <sheet name="factura" sheetId="3" r:id="rId3"/>
    <sheet name="rol_pagos" sheetId="4" r:id="rId4"/>
  </sheets>
  <calcPr calcId="145621"/>
</workbook>
</file>

<file path=xl/calcChain.xml><?xml version="1.0" encoding="utf-8"?>
<calcChain xmlns="http://schemas.openxmlformats.org/spreadsheetml/2006/main">
  <c r="T9" i="4" l="1"/>
  <c r="O9" i="4"/>
  <c r="N9" i="4"/>
  <c r="M9" i="4"/>
  <c r="L9" i="4"/>
  <c r="I9" i="4"/>
  <c r="K9" i="4" s="1"/>
  <c r="H9" i="4"/>
  <c r="E9" i="4"/>
  <c r="Q9" i="4" s="1"/>
  <c r="P9" i="4" l="1"/>
  <c r="R9" i="4" s="1"/>
  <c r="S9" i="4" s="1"/>
  <c r="U9" i="4" s="1"/>
  <c r="V9" i="4" s="1"/>
  <c r="H25" i="3" l="1"/>
  <c r="H24" i="3"/>
  <c r="H27" i="3" s="1"/>
  <c r="H23" i="3"/>
  <c r="E10" i="2"/>
  <c r="F10" i="2"/>
  <c r="H10" i="2"/>
  <c r="G10" i="2" s="1"/>
  <c r="I10" i="2" s="1"/>
  <c r="H11" i="2"/>
  <c r="H12" i="2"/>
  <c r="H13" i="2"/>
  <c r="H14" i="2"/>
  <c r="H15" i="2"/>
  <c r="H16" i="2"/>
  <c r="H17" i="2"/>
  <c r="H18" i="2"/>
  <c r="H19" i="2"/>
  <c r="I9" i="2"/>
  <c r="G9" i="2"/>
  <c r="F9" i="2"/>
  <c r="E9" i="2"/>
  <c r="I8" i="2"/>
  <c r="G8" i="2"/>
  <c r="F8" i="2"/>
  <c r="H9" i="2"/>
  <c r="H8" i="2"/>
  <c r="I7" i="2"/>
  <c r="E8" i="2"/>
  <c r="H28" i="3" l="1"/>
  <c r="E11" i="2"/>
  <c r="F11" i="2"/>
  <c r="G11" i="2" s="1"/>
  <c r="H18" i="1"/>
  <c r="H21" i="1"/>
  <c r="I11" i="2" l="1"/>
  <c r="I19" i="1"/>
  <c r="I20" i="1"/>
  <c r="I21" i="1"/>
  <c r="I22" i="1"/>
  <c r="I23" i="1"/>
  <c r="I24" i="1"/>
  <c r="I25" i="1"/>
  <c r="I26" i="1"/>
  <c r="I27" i="1"/>
  <c r="I28" i="1"/>
  <c r="I29" i="1"/>
  <c r="I18" i="1"/>
  <c r="G18" i="1"/>
  <c r="F18" i="1"/>
  <c r="E12" i="2" l="1"/>
  <c r="F12" i="2"/>
  <c r="G12" i="2" s="1"/>
  <c r="J18" i="1"/>
  <c r="I12" i="2" l="1"/>
  <c r="F19" i="1"/>
  <c r="G19" i="1"/>
  <c r="H19" i="1" s="1"/>
  <c r="F13" i="2" l="1"/>
  <c r="G13" i="2" s="1"/>
  <c r="E13" i="2"/>
  <c r="J19" i="1"/>
  <c r="I13" i="2" l="1"/>
  <c r="F20" i="1"/>
  <c r="G20" i="1"/>
  <c r="H20" i="1" s="1"/>
  <c r="E14" i="2" l="1"/>
  <c r="F14" i="2"/>
  <c r="G14" i="2" s="1"/>
  <c r="J20" i="1"/>
  <c r="I14" i="2" l="1"/>
  <c r="F21" i="1"/>
  <c r="G21" i="1"/>
  <c r="E15" i="2" l="1"/>
  <c r="F15" i="2"/>
  <c r="G15" i="2" s="1"/>
  <c r="J21" i="1"/>
  <c r="I15" i="2" l="1"/>
  <c r="G22" i="1"/>
  <c r="H22" i="1" s="1"/>
  <c r="F22" i="1"/>
  <c r="E16" i="2" l="1"/>
  <c r="F16" i="2"/>
  <c r="G16" i="2" s="1"/>
  <c r="J22" i="1"/>
  <c r="I16" i="2" l="1"/>
  <c r="G23" i="1"/>
  <c r="H23" i="1" s="1"/>
  <c r="F23" i="1"/>
  <c r="F17" i="2" l="1"/>
  <c r="G17" i="2" s="1"/>
  <c r="E17" i="2"/>
  <c r="J23" i="1"/>
  <c r="I17" i="2" l="1"/>
  <c r="F24" i="1"/>
  <c r="G24" i="1"/>
  <c r="H24" i="1" s="1"/>
  <c r="E18" i="2" l="1"/>
  <c r="F18" i="2"/>
  <c r="G18" i="2" s="1"/>
  <c r="J24" i="1"/>
  <c r="I18" i="2" l="1"/>
  <c r="F25" i="1"/>
  <c r="G25" i="1"/>
  <c r="H25" i="1" s="1"/>
  <c r="E19" i="2" l="1"/>
  <c r="F19" i="2"/>
  <c r="G19" i="2" s="1"/>
  <c r="J25" i="1"/>
  <c r="I19" i="2" l="1"/>
  <c r="F26" i="1"/>
  <c r="G26" i="1"/>
  <c r="H26" i="1" s="1"/>
  <c r="J26" i="1" l="1"/>
  <c r="G27" i="1"/>
  <c r="H27" i="1" s="1"/>
  <c r="F27" i="1"/>
  <c r="J27" i="1" l="1"/>
  <c r="F28" i="1" l="1"/>
  <c r="G28" i="1"/>
  <c r="H28" i="1" s="1"/>
  <c r="J28" i="1" l="1"/>
  <c r="F29" i="1" l="1"/>
  <c r="G29" i="1"/>
  <c r="H29" i="1" s="1"/>
  <c r="J29" i="1" l="1"/>
</calcChain>
</file>

<file path=xl/comments1.xml><?xml version="1.0" encoding="utf-8"?>
<comments xmlns="http://schemas.openxmlformats.org/spreadsheetml/2006/main">
  <authors>
    <author>Autor</author>
  </authors>
  <commentList>
    <comment ref="K7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Comisión ganada por los vendedores, según política de cada empresa</t>
        </r>
      </text>
    </comment>
    <comment ref="M7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Bono Navideño
es igual al sueldo que percibe mensualmente el empleado o operario
se paga maximo el 24 de diciembre</t>
        </r>
      </text>
    </comment>
    <comment ref="N7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Bono Escolar
= (dias al año trabajados (incluidos feriados y de descanso) x salario basico unificado (sin importar el cargo que ocupe en la empresa) ) / 365 dias al año
Fecha de Pago:
Trabajadores de la Costa y Galapagos:
El 15 de marzo
Trabajadores de la Sierra y Oriente:
El 15 de agosto</t>
        </r>
      </text>
    </comment>
    <comment ref="O7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Sueldo / 2 porque son 15 días de vacaciones
Se les da a todos los trabajadores que han cumplido un año de trabajo...</t>
        </r>
      </text>
    </comment>
    <comment ref="P7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8.33% mensual
Se paga despues del primer año de trabajo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Después de jornada normal. Lunes a Viernes hasta las 12 de la noche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De 12 de la noche hasta 6 de la mañana. Fin de semana y Feriados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252 dias laborales al año… 252/12=21dias laborales al mes..</t>
        </r>
      </text>
    </comment>
  </commentList>
</comments>
</file>

<file path=xl/sharedStrings.xml><?xml version="1.0" encoding="utf-8"?>
<sst xmlns="http://schemas.openxmlformats.org/spreadsheetml/2006/main" count="77" uniqueCount="68">
  <si>
    <t xml:space="preserve">monto </t>
  </si>
  <si>
    <t>Utilizar funcion Pago</t>
  </si>
  <si>
    <t>interes</t>
  </si>
  <si>
    <t>PAGO(i,N,-monto)</t>
  </si>
  <si>
    <t>N</t>
  </si>
  <si>
    <t>monto_final* interes</t>
  </si>
  <si>
    <t>Cuota - interes</t>
  </si>
  <si>
    <t>Incial - Amort</t>
  </si>
  <si>
    <t>Periodos</t>
  </si>
  <si>
    <t>Inicial</t>
  </si>
  <si>
    <t>Interés</t>
  </si>
  <si>
    <t>Amort</t>
  </si>
  <si>
    <t>Cuota</t>
  </si>
  <si>
    <t>Final</t>
  </si>
  <si>
    <t>tasa interes</t>
  </si>
  <si>
    <t>Monto</t>
  </si>
  <si>
    <t>JAX S.A</t>
  </si>
  <si>
    <t>Direccion:</t>
  </si>
  <si>
    <t>Contribuyente Especial:</t>
  </si>
  <si>
    <t>Obligado llevar Contabilidad:</t>
  </si>
  <si>
    <t>Si</t>
  </si>
  <si>
    <t>No</t>
  </si>
  <si>
    <t>RUC</t>
  </si>
  <si>
    <t>Fecha Autorizacion:</t>
  </si>
  <si>
    <t>Ambiente:</t>
  </si>
  <si>
    <t>Emision:</t>
  </si>
  <si>
    <t>Normal</t>
  </si>
  <si>
    <t>Produccion</t>
  </si>
  <si>
    <t>Clave Acceso:</t>
  </si>
  <si>
    <t>Descripcion</t>
  </si>
  <si>
    <t>Cant</t>
  </si>
  <si>
    <t>P Unit</t>
  </si>
  <si>
    <t>Descto</t>
  </si>
  <si>
    <t>P Total</t>
  </si>
  <si>
    <t>Codigo</t>
  </si>
  <si>
    <t>Subtotal</t>
  </si>
  <si>
    <t>Base 12%</t>
  </si>
  <si>
    <t>Base 0%</t>
  </si>
  <si>
    <t>IVA 12%</t>
  </si>
  <si>
    <t>Valor Total</t>
  </si>
  <si>
    <t>cliente</t>
  </si>
  <si>
    <t>Identificacion</t>
  </si>
  <si>
    <t>Sueldo Nominal</t>
  </si>
  <si>
    <t>Rol de Pagos</t>
  </si>
  <si>
    <t>Mes de:        Mayo</t>
  </si>
  <si>
    <t>Logo</t>
  </si>
  <si>
    <t>Cargos</t>
  </si>
  <si>
    <t>N° Empleados</t>
  </si>
  <si>
    <t>Días Trabajados</t>
  </si>
  <si>
    <t>Sueldo Ganado</t>
  </si>
  <si>
    <t>Horas Exras</t>
  </si>
  <si>
    <t>$ por Hora</t>
  </si>
  <si>
    <t>Valor de Hrs. Extras</t>
  </si>
  <si>
    <t>Comisión</t>
  </si>
  <si>
    <t>Total Ingresos</t>
  </si>
  <si>
    <t>Décimo Tercer Sueldo</t>
  </si>
  <si>
    <t>Décimo Cuarto</t>
  </si>
  <si>
    <t>Vacaciones</t>
  </si>
  <si>
    <t>Fondo de Reserva</t>
  </si>
  <si>
    <t>Aporte Patronal 11.15%</t>
  </si>
  <si>
    <t>Aporte Personal 9.35%</t>
  </si>
  <si>
    <t>Gasto Anual B.Emp x Op</t>
  </si>
  <si>
    <t>Gasto Anual Emp/T Oper</t>
  </si>
  <si>
    <t>Gasto Total Sueldo Anual</t>
  </si>
  <si>
    <t>Total Sueldos y Beneficio Anual</t>
  </si>
  <si>
    <t>Gasto Mensual</t>
  </si>
  <si>
    <t>Razon Social</t>
  </si>
  <si>
    <t>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</si>
</sst>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_ ;[Red]\-[$$-540A]#,##0.00\ "/>
    <numFmt numFmtId="165" formatCode="[$$-300A]\ #,##0.00"/>
    <numFmt numFmtId="166" formatCode="&quot;$&quot;\ 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1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2" fillId="0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1" fillId="0" borderId="5" xfId="1" applyBorder="1" applyAlignment="1">
      <alignment horizontal="center"/>
    </xf>
    <xf numFmtId="164" fontId="0" fillId="0" borderId="6" xfId="0" applyNumberFormat="1" applyBorder="1"/>
    <xf numFmtId="0" fontId="1" fillId="0" borderId="7" xfId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65" fontId="0" fillId="0" borderId="1" xfId="0" applyNumberFormat="1" applyBorder="1"/>
    <xf numFmtId="165" fontId="0" fillId="0" borderId="6" xfId="0" applyNumberFormat="1" applyBorder="1"/>
    <xf numFmtId="0" fontId="0" fillId="0" borderId="0" xfId="0" applyBorder="1"/>
    <xf numFmtId="0" fontId="3" fillId="0" borderId="0" xfId="0" applyFont="1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1" xfId="0" applyFill="1" applyBorder="1"/>
    <xf numFmtId="0" fontId="0" fillId="0" borderId="11" xfId="0" applyBorder="1"/>
    <xf numFmtId="0" fontId="0" fillId="0" borderId="12" xfId="0" applyBorder="1"/>
    <xf numFmtId="0" fontId="0" fillId="0" borderId="0" xfId="0" quotePrefix="1" applyBorder="1"/>
    <xf numFmtId="0" fontId="0" fillId="0" borderId="13" xfId="0" applyBorder="1"/>
    <xf numFmtId="0" fontId="0" fillId="0" borderId="15" xfId="0" applyBorder="1"/>
    <xf numFmtId="0" fontId="3" fillId="0" borderId="13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9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0" fillId="0" borderId="0" xfId="0" applyAlignment="1"/>
    <xf numFmtId="0" fontId="3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9" fontId="7" fillId="0" borderId="8" xfId="0" applyNumberFormat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/>
    </xf>
    <xf numFmtId="166" fontId="8" fillId="0" borderId="18" xfId="0" applyNumberFormat="1" applyFont="1" applyBorder="1" applyAlignment="1">
      <alignment horizontal="center"/>
    </xf>
    <xf numFmtId="166" fontId="8" fillId="0" borderId="19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J29"/>
  <sheetViews>
    <sheetView topLeftCell="C10" zoomScale="110" zoomScaleNormal="110" workbookViewId="0">
      <selection activeCell="F18" sqref="F18"/>
    </sheetView>
  </sheetViews>
  <sheetFormatPr baseColWidth="10" defaultColWidth="9.140625" defaultRowHeight="15" x14ac:dyDescent="0.25"/>
  <cols>
    <col min="5" max="5" width="10" bestFit="1" customWidth="1"/>
    <col min="6" max="6" width="11.28515625" customWidth="1"/>
    <col min="7" max="7" width="19.7109375" bestFit="1" customWidth="1"/>
    <col min="8" max="8" width="15" customWidth="1"/>
    <col min="9" max="9" width="15.28515625" customWidth="1"/>
    <col min="10" max="10" width="17.7109375" customWidth="1"/>
  </cols>
  <sheetData>
    <row r="10" spans="5:10" x14ac:dyDescent="0.25">
      <c r="E10" t="s">
        <v>0</v>
      </c>
      <c r="F10">
        <v>10000</v>
      </c>
      <c r="I10" t="s">
        <v>1</v>
      </c>
    </row>
    <row r="11" spans="5:10" x14ac:dyDescent="0.25">
      <c r="E11" t="s">
        <v>2</v>
      </c>
      <c r="F11" s="1">
        <v>1.95E-2</v>
      </c>
      <c r="I11" t="s">
        <v>3</v>
      </c>
    </row>
    <row r="12" spans="5:10" x14ac:dyDescent="0.25">
      <c r="E12" t="s">
        <v>4</v>
      </c>
      <c r="F12">
        <v>12</v>
      </c>
    </row>
    <row r="14" spans="5:10" x14ac:dyDescent="0.25">
      <c r="G14" t="s">
        <v>5</v>
      </c>
      <c r="H14" t="s">
        <v>6</v>
      </c>
      <c r="J14" t="s">
        <v>7</v>
      </c>
    </row>
    <row r="15" spans="5:10" ht="15.75" thickBot="1" x14ac:dyDescent="0.3"/>
    <row r="16" spans="5:10" x14ac:dyDescent="0.25">
      <c r="E16" s="4" t="s">
        <v>8</v>
      </c>
      <c r="F16" s="5" t="s">
        <v>9</v>
      </c>
      <c r="G16" s="5" t="s">
        <v>10</v>
      </c>
      <c r="H16" s="5" t="s">
        <v>11</v>
      </c>
      <c r="I16" s="5" t="s">
        <v>12</v>
      </c>
      <c r="J16" s="6" t="s">
        <v>13</v>
      </c>
    </row>
    <row r="17" spans="5:10" x14ac:dyDescent="0.25">
      <c r="E17" s="7">
        <v>0</v>
      </c>
      <c r="F17" s="2"/>
      <c r="G17" s="2"/>
      <c r="H17" s="2"/>
      <c r="I17" s="2"/>
      <c r="J17" s="8">
        <v>10000</v>
      </c>
    </row>
    <row r="18" spans="5:10" x14ac:dyDescent="0.25">
      <c r="E18" s="7">
        <v>1</v>
      </c>
      <c r="F18" s="3">
        <f>J17</f>
        <v>10000</v>
      </c>
      <c r="G18" s="3">
        <f>J17*$F$11</f>
        <v>195</v>
      </c>
      <c r="H18" s="3">
        <f>I18-G18</f>
        <v>747.69471544294061</v>
      </c>
      <c r="I18" s="3">
        <f>PMT($F$11,$F$12,-$J$17)</f>
        <v>942.69471544294061</v>
      </c>
      <c r="J18" s="8">
        <f>F18-H18</f>
        <v>9252.3052845570601</v>
      </c>
    </row>
    <row r="19" spans="5:10" x14ac:dyDescent="0.25">
      <c r="E19" s="7">
        <v>2</v>
      </c>
      <c r="F19" s="3">
        <f t="shared" ref="F19:F29" si="0">J18</f>
        <v>9252.3052845570601</v>
      </c>
      <c r="G19" s="3">
        <f t="shared" ref="G19:G29" si="1">J18*$F$11</f>
        <v>180.41995304886268</v>
      </c>
      <c r="H19" s="3">
        <f t="shared" ref="H19:H29" si="2">I19-G19</f>
        <v>762.27476239407792</v>
      </c>
      <c r="I19" s="3">
        <f t="shared" ref="I19:I29" si="3">PMT($F$11,$F$12,-$J$17)</f>
        <v>942.69471544294061</v>
      </c>
      <c r="J19" s="8">
        <f t="shared" ref="J19:J29" si="4">F19-H19</f>
        <v>8490.0305221629824</v>
      </c>
    </row>
    <row r="20" spans="5:10" x14ac:dyDescent="0.25">
      <c r="E20" s="7">
        <v>3</v>
      </c>
      <c r="F20" s="3">
        <f t="shared" si="0"/>
        <v>8490.0305221629824</v>
      </c>
      <c r="G20" s="3">
        <f t="shared" si="1"/>
        <v>165.55559518217817</v>
      </c>
      <c r="H20" s="3">
        <f t="shared" si="2"/>
        <v>777.13912026076241</v>
      </c>
      <c r="I20" s="3">
        <f t="shared" si="3"/>
        <v>942.69471544294061</v>
      </c>
      <c r="J20" s="8">
        <f t="shared" si="4"/>
        <v>7712.8914019022195</v>
      </c>
    </row>
    <row r="21" spans="5:10" x14ac:dyDescent="0.25">
      <c r="E21" s="7">
        <v>4</v>
      </c>
      <c r="F21" s="3">
        <f t="shared" si="0"/>
        <v>7712.8914019022195</v>
      </c>
      <c r="G21" s="3">
        <f t="shared" si="1"/>
        <v>150.40138233709328</v>
      </c>
      <c r="H21" s="3">
        <f>I21-G21</f>
        <v>792.2933331058473</v>
      </c>
      <c r="I21" s="3">
        <f t="shared" si="3"/>
        <v>942.69471544294061</v>
      </c>
      <c r="J21" s="8">
        <f t="shared" si="4"/>
        <v>6920.598068796372</v>
      </c>
    </row>
    <row r="22" spans="5:10" x14ac:dyDescent="0.25">
      <c r="E22" s="7">
        <v>5</v>
      </c>
      <c r="F22" s="3">
        <f t="shared" si="0"/>
        <v>6920.598068796372</v>
      </c>
      <c r="G22" s="3">
        <f t="shared" si="1"/>
        <v>134.95166234152924</v>
      </c>
      <c r="H22" s="3">
        <f t="shared" si="2"/>
        <v>807.74305310141131</v>
      </c>
      <c r="I22" s="3">
        <f t="shared" si="3"/>
        <v>942.69471544294061</v>
      </c>
      <c r="J22" s="8">
        <f t="shared" si="4"/>
        <v>6112.8550156949605</v>
      </c>
    </row>
    <row r="23" spans="5:10" x14ac:dyDescent="0.25">
      <c r="E23" s="7">
        <v>6</v>
      </c>
      <c r="F23" s="3">
        <f t="shared" si="0"/>
        <v>6112.8550156949605</v>
      </c>
      <c r="G23" s="3">
        <f t="shared" si="1"/>
        <v>119.20067280605173</v>
      </c>
      <c r="H23" s="3">
        <f t="shared" si="2"/>
        <v>823.49404263688893</v>
      </c>
      <c r="I23" s="3">
        <f t="shared" si="3"/>
        <v>942.69471544294061</v>
      </c>
      <c r="J23" s="8">
        <f t="shared" si="4"/>
        <v>5289.360973058072</v>
      </c>
    </row>
    <row r="24" spans="5:10" x14ac:dyDescent="0.25">
      <c r="E24" s="7">
        <v>7</v>
      </c>
      <c r="F24" s="3">
        <f t="shared" si="0"/>
        <v>5289.360973058072</v>
      </c>
      <c r="G24" s="3">
        <f t="shared" si="1"/>
        <v>103.1425389746324</v>
      </c>
      <c r="H24" s="3">
        <f t="shared" si="2"/>
        <v>839.55217646830818</v>
      </c>
      <c r="I24" s="3">
        <f t="shared" si="3"/>
        <v>942.69471544294061</v>
      </c>
      <c r="J24" s="8">
        <f t="shared" si="4"/>
        <v>4449.8087965897639</v>
      </c>
    </row>
    <row r="25" spans="5:10" x14ac:dyDescent="0.25">
      <c r="E25" s="7">
        <v>8</v>
      </c>
      <c r="F25" s="3">
        <f t="shared" si="0"/>
        <v>4449.8087965897639</v>
      </c>
      <c r="G25" s="3">
        <f t="shared" si="1"/>
        <v>86.771271533500396</v>
      </c>
      <c r="H25" s="3">
        <f t="shared" si="2"/>
        <v>855.92344390944027</v>
      </c>
      <c r="I25" s="3">
        <f t="shared" si="3"/>
        <v>942.69471544294061</v>
      </c>
      <c r="J25" s="8">
        <f t="shared" si="4"/>
        <v>3593.8853526803236</v>
      </c>
    </row>
    <row r="26" spans="5:10" x14ac:dyDescent="0.25">
      <c r="E26" s="7">
        <v>9</v>
      </c>
      <c r="F26" s="3">
        <f t="shared" si="0"/>
        <v>3593.8853526803236</v>
      </c>
      <c r="G26" s="3">
        <f t="shared" si="1"/>
        <v>70.080764377266306</v>
      </c>
      <c r="H26" s="3">
        <f t="shared" si="2"/>
        <v>872.61395106567431</v>
      </c>
      <c r="I26" s="3">
        <f t="shared" si="3"/>
        <v>942.69471544294061</v>
      </c>
      <c r="J26" s="8">
        <f t="shared" si="4"/>
        <v>2721.2714016146492</v>
      </c>
    </row>
    <row r="27" spans="5:10" x14ac:dyDescent="0.25">
      <c r="E27" s="7">
        <v>10</v>
      </c>
      <c r="F27" s="3">
        <f t="shared" si="0"/>
        <v>2721.2714016146492</v>
      </c>
      <c r="G27" s="3">
        <f t="shared" si="1"/>
        <v>53.064792331485663</v>
      </c>
      <c r="H27" s="3">
        <f t="shared" si="2"/>
        <v>889.6299231114549</v>
      </c>
      <c r="I27" s="3">
        <f t="shared" si="3"/>
        <v>942.69471544294061</v>
      </c>
      <c r="J27" s="8">
        <f t="shared" si="4"/>
        <v>1831.6414785031943</v>
      </c>
    </row>
    <row r="28" spans="5:10" x14ac:dyDescent="0.25">
      <c r="E28" s="7">
        <v>11</v>
      </c>
      <c r="F28" s="3">
        <f t="shared" si="0"/>
        <v>1831.6414785031943</v>
      </c>
      <c r="G28" s="3">
        <f t="shared" si="1"/>
        <v>35.71700883081229</v>
      </c>
      <c r="H28" s="3">
        <f t="shared" si="2"/>
        <v>906.97770661212826</v>
      </c>
      <c r="I28" s="3">
        <f t="shared" si="3"/>
        <v>942.69471544294061</v>
      </c>
      <c r="J28" s="8">
        <f t="shared" si="4"/>
        <v>924.66377189106606</v>
      </c>
    </row>
    <row r="29" spans="5:10" ht="15.75" thickBot="1" x14ac:dyDescent="0.3">
      <c r="E29" s="9">
        <v>12</v>
      </c>
      <c r="F29" s="10">
        <f t="shared" si="0"/>
        <v>924.66377189106606</v>
      </c>
      <c r="G29" s="10">
        <f t="shared" si="1"/>
        <v>18.030943551875787</v>
      </c>
      <c r="H29" s="10">
        <f t="shared" si="2"/>
        <v>924.66377189106481</v>
      </c>
      <c r="I29" s="10">
        <f t="shared" si="3"/>
        <v>942.69471544294061</v>
      </c>
      <c r="J29" s="11">
        <f t="shared" si="4"/>
        <v>1.2505552149377763E-12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19"/>
  <sheetViews>
    <sheetView topLeftCell="C1" zoomScale="130" zoomScaleNormal="130" workbookViewId="0">
      <selection activeCell="F5" sqref="F5"/>
    </sheetView>
  </sheetViews>
  <sheetFormatPr baseColWidth="10" defaultColWidth="9.140625" defaultRowHeight="15" x14ac:dyDescent="0.25"/>
  <cols>
    <col min="4" max="4" width="11.28515625" bestFit="1" customWidth="1"/>
    <col min="5" max="5" width="14.85546875" customWidth="1"/>
    <col min="6" max="6" width="16.42578125" customWidth="1"/>
    <col min="7" max="7" width="12.7109375" customWidth="1"/>
    <col min="8" max="8" width="13" customWidth="1"/>
    <col min="9" max="9" width="15.28515625" customWidth="1"/>
  </cols>
  <sheetData>
    <row r="2" spans="4:9" x14ac:dyDescent="0.25">
      <c r="D2" t="s">
        <v>15</v>
      </c>
      <c r="E2">
        <v>10000</v>
      </c>
    </row>
    <row r="3" spans="4:9" x14ac:dyDescent="0.25">
      <c r="D3" t="s">
        <v>14</v>
      </c>
      <c r="E3" s="1">
        <v>1.95E-2</v>
      </c>
    </row>
    <row r="4" spans="4:9" x14ac:dyDescent="0.25">
      <c r="D4" t="s">
        <v>4</v>
      </c>
      <c r="E4">
        <v>12</v>
      </c>
    </row>
    <row r="5" spans="4:9" ht="15.75" thickBot="1" x14ac:dyDescent="0.3"/>
    <row r="6" spans="4:9" x14ac:dyDescent="0.25">
      <c r="D6" s="4" t="s">
        <v>8</v>
      </c>
      <c r="E6" s="5" t="s">
        <v>9</v>
      </c>
      <c r="F6" s="5" t="s">
        <v>10</v>
      </c>
      <c r="G6" s="5" t="s">
        <v>11</v>
      </c>
      <c r="H6" s="5" t="s">
        <v>12</v>
      </c>
      <c r="I6" s="6" t="s">
        <v>13</v>
      </c>
    </row>
    <row r="7" spans="4:9" x14ac:dyDescent="0.25">
      <c r="D7" s="7">
        <v>0</v>
      </c>
      <c r="E7" s="12"/>
      <c r="F7" s="12"/>
      <c r="G7" s="12"/>
      <c r="H7" s="12"/>
      <c r="I7" s="13">
        <f>E2</f>
        <v>10000</v>
      </c>
    </row>
    <row r="8" spans="4:9" x14ac:dyDescent="0.25">
      <c r="D8" s="7">
        <v>1</v>
      </c>
      <c r="E8" s="12">
        <f>I7</f>
        <v>10000</v>
      </c>
      <c r="F8" s="12">
        <f>I7*$E$3</f>
        <v>195</v>
      </c>
      <c r="G8" s="12">
        <f>H8-F8</f>
        <v>747.69471544294061</v>
      </c>
      <c r="H8" s="12">
        <f>PMT($E$3,$E$4,-$E$2)</f>
        <v>942.69471544294061</v>
      </c>
      <c r="I8" s="13">
        <f>E8-G8</f>
        <v>9252.3052845570601</v>
      </c>
    </row>
    <row r="9" spans="4:9" x14ac:dyDescent="0.25">
      <c r="D9" s="7">
        <v>2</v>
      </c>
      <c r="E9" s="12">
        <f>I8</f>
        <v>9252.3052845570601</v>
      </c>
      <c r="F9" s="12">
        <f>I8*$E$3</f>
        <v>180.41995304886268</v>
      </c>
      <c r="G9" s="12">
        <f>H9-F9</f>
        <v>762.27476239407792</v>
      </c>
      <c r="H9" s="12">
        <f t="shared" ref="H9:H19" si="0">PMT($E$3,$E$4,-$E$2)</f>
        <v>942.69471544294061</v>
      </c>
      <c r="I9" s="13">
        <f>E9-G9</f>
        <v>8490.0305221629824</v>
      </c>
    </row>
    <row r="10" spans="4:9" x14ac:dyDescent="0.25">
      <c r="D10" s="7">
        <v>3</v>
      </c>
      <c r="E10" s="12">
        <f t="shared" ref="E10:E19" si="1">I9</f>
        <v>8490.0305221629824</v>
      </c>
      <c r="F10" s="12">
        <f t="shared" ref="F10:F19" si="2">I9*$E$3</f>
        <v>165.55559518217817</v>
      </c>
      <c r="G10" s="12">
        <f t="shared" ref="G10:G19" si="3">H10-F10</f>
        <v>777.13912026076241</v>
      </c>
      <c r="H10" s="12">
        <f t="shared" si="0"/>
        <v>942.69471544294061</v>
      </c>
      <c r="I10" s="13">
        <f t="shared" ref="I10:I19" si="4">E10-G10</f>
        <v>7712.8914019022195</v>
      </c>
    </row>
    <row r="11" spans="4:9" x14ac:dyDescent="0.25">
      <c r="D11" s="7">
        <v>4</v>
      </c>
      <c r="E11" s="12">
        <f t="shared" si="1"/>
        <v>7712.8914019022195</v>
      </c>
      <c r="F11" s="12">
        <f t="shared" si="2"/>
        <v>150.40138233709328</v>
      </c>
      <c r="G11" s="12">
        <f t="shared" si="3"/>
        <v>792.2933331058473</v>
      </c>
      <c r="H11" s="12">
        <f t="shared" si="0"/>
        <v>942.69471544294061</v>
      </c>
      <c r="I11" s="13">
        <f t="shared" si="4"/>
        <v>6920.598068796372</v>
      </c>
    </row>
    <row r="12" spans="4:9" x14ac:dyDescent="0.25">
      <c r="D12" s="7">
        <v>5</v>
      </c>
      <c r="E12" s="12">
        <f t="shared" si="1"/>
        <v>6920.598068796372</v>
      </c>
      <c r="F12" s="12">
        <f t="shared" si="2"/>
        <v>134.95166234152924</v>
      </c>
      <c r="G12" s="12">
        <f t="shared" si="3"/>
        <v>807.74305310141131</v>
      </c>
      <c r="H12" s="12">
        <f t="shared" si="0"/>
        <v>942.69471544294061</v>
      </c>
      <c r="I12" s="13">
        <f t="shared" si="4"/>
        <v>6112.8550156949605</v>
      </c>
    </row>
    <row r="13" spans="4:9" x14ac:dyDescent="0.25">
      <c r="D13" s="7">
        <v>6</v>
      </c>
      <c r="E13" s="12">
        <f t="shared" si="1"/>
        <v>6112.8550156949605</v>
      </c>
      <c r="F13" s="12">
        <f t="shared" si="2"/>
        <v>119.20067280605173</v>
      </c>
      <c r="G13" s="12">
        <f t="shared" si="3"/>
        <v>823.49404263688893</v>
      </c>
      <c r="H13" s="12">
        <f t="shared" si="0"/>
        <v>942.69471544294061</v>
      </c>
      <c r="I13" s="13">
        <f t="shared" si="4"/>
        <v>5289.360973058072</v>
      </c>
    </row>
    <row r="14" spans="4:9" x14ac:dyDescent="0.25">
      <c r="D14" s="7">
        <v>7</v>
      </c>
      <c r="E14" s="12">
        <f t="shared" si="1"/>
        <v>5289.360973058072</v>
      </c>
      <c r="F14" s="12">
        <f t="shared" si="2"/>
        <v>103.1425389746324</v>
      </c>
      <c r="G14" s="12">
        <f t="shared" si="3"/>
        <v>839.55217646830818</v>
      </c>
      <c r="H14" s="12">
        <f t="shared" si="0"/>
        <v>942.69471544294061</v>
      </c>
      <c r="I14" s="13">
        <f t="shared" si="4"/>
        <v>4449.8087965897639</v>
      </c>
    </row>
    <row r="15" spans="4:9" x14ac:dyDescent="0.25">
      <c r="D15" s="7">
        <v>8</v>
      </c>
      <c r="E15" s="12">
        <f t="shared" si="1"/>
        <v>4449.8087965897639</v>
      </c>
      <c r="F15" s="12">
        <f t="shared" si="2"/>
        <v>86.771271533500396</v>
      </c>
      <c r="G15" s="12">
        <f t="shared" si="3"/>
        <v>855.92344390944027</v>
      </c>
      <c r="H15" s="12">
        <f t="shared" si="0"/>
        <v>942.69471544294061</v>
      </c>
      <c r="I15" s="13">
        <f t="shared" si="4"/>
        <v>3593.8853526803236</v>
      </c>
    </row>
    <row r="16" spans="4:9" x14ac:dyDescent="0.25">
      <c r="D16" s="7">
        <v>9</v>
      </c>
      <c r="E16" s="12">
        <f t="shared" si="1"/>
        <v>3593.8853526803236</v>
      </c>
      <c r="F16" s="12">
        <f t="shared" si="2"/>
        <v>70.080764377266306</v>
      </c>
      <c r="G16" s="12">
        <f t="shared" si="3"/>
        <v>872.61395106567431</v>
      </c>
      <c r="H16" s="12">
        <f t="shared" si="0"/>
        <v>942.69471544294061</v>
      </c>
      <c r="I16" s="13">
        <f t="shared" si="4"/>
        <v>2721.2714016146492</v>
      </c>
    </row>
    <row r="17" spans="4:9" x14ac:dyDescent="0.25">
      <c r="D17" s="7">
        <v>10</v>
      </c>
      <c r="E17" s="12">
        <f t="shared" si="1"/>
        <v>2721.2714016146492</v>
      </c>
      <c r="F17" s="12">
        <f t="shared" si="2"/>
        <v>53.064792331485663</v>
      </c>
      <c r="G17" s="12">
        <f t="shared" si="3"/>
        <v>889.6299231114549</v>
      </c>
      <c r="H17" s="12">
        <f t="shared" si="0"/>
        <v>942.69471544294061</v>
      </c>
      <c r="I17" s="13">
        <f t="shared" si="4"/>
        <v>1831.6414785031943</v>
      </c>
    </row>
    <row r="18" spans="4:9" x14ac:dyDescent="0.25">
      <c r="D18" s="7">
        <v>11</v>
      </c>
      <c r="E18" s="12">
        <f t="shared" si="1"/>
        <v>1831.6414785031943</v>
      </c>
      <c r="F18" s="12">
        <f t="shared" si="2"/>
        <v>35.71700883081229</v>
      </c>
      <c r="G18" s="12">
        <f t="shared" si="3"/>
        <v>906.97770661212826</v>
      </c>
      <c r="H18" s="12">
        <f t="shared" si="0"/>
        <v>942.69471544294061</v>
      </c>
      <c r="I18" s="13">
        <f t="shared" si="4"/>
        <v>924.66377189106606</v>
      </c>
    </row>
    <row r="19" spans="4:9" ht="15.75" thickBot="1" x14ac:dyDescent="0.3">
      <c r="D19" s="9">
        <v>12</v>
      </c>
      <c r="E19" s="12">
        <f t="shared" si="1"/>
        <v>924.66377189106606</v>
      </c>
      <c r="F19" s="12">
        <f t="shared" si="2"/>
        <v>18.030943551875787</v>
      </c>
      <c r="G19" s="12">
        <f t="shared" si="3"/>
        <v>924.66377189106481</v>
      </c>
      <c r="H19" s="12">
        <f t="shared" si="0"/>
        <v>942.69471544294061</v>
      </c>
      <c r="I19" s="13">
        <f t="shared" si="4"/>
        <v>1.2505552149377763E-12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8"/>
  <sheetViews>
    <sheetView zoomScale="90" zoomScaleNormal="90" workbookViewId="0">
      <selection activeCell="F9" sqref="F9"/>
    </sheetView>
  </sheetViews>
  <sheetFormatPr baseColWidth="10" defaultColWidth="9.140625" defaultRowHeight="15" x14ac:dyDescent="0.25"/>
  <cols>
    <col min="4" max="4" width="19.28515625" customWidth="1"/>
    <col min="5" max="5" width="14.5703125" bestFit="1" customWidth="1"/>
    <col min="7" max="7" width="11.28515625" customWidth="1"/>
    <col min="8" max="8" width="13.42578125" customWidth="1"/>
    <col min="10" max="10" width="15.85546875" bestFit="1" customWidth="1"/>
  </cols>
  <sheetData>
    <row r="2" spans="3:11" x14ac:dyDescent="0.25">
      <c r="C2" s="37" t="s">
        <v>45</v>
      </c>
      <c r="D2" s="37"/>
      <c r="E2" s="37"/>
    </row>
    <row r="3" spans="3:11" x14ac:dyDescent="0.25">
      <c r="C3" s="37"/>
      <c r="D3" s="37"/>
      <c r="E3" s="37"/>
      <c r="F3" s="44" t="s">
        <v>22</v>
      </c>
      <c r="G3" s="44"/>
      <c r="J3" s="32"/>
      <c r="K3" s="32"/>
    </row>
    <row r="4" spans="3:11" ht="15.75" thickBot="1" x14ac:dyDescent="0.3">
      <c r="C4" s="38"/>
      <c r="D4" s="38"/>
      <c r="E4" s="38"/>
      <c r="F4" s="44" t="s">
        <v>21</v>
      </c>
      <c r="G4" s="44"/>
      <c r="J4" s="33"/>
      <c r="K4" s="33"/>
    </row>
    <row r="5" spans="3:11" x14ac:dyDescent="0.25">
      <c r="C5" s="29" t="s">
        <v>66</v>
      </c>
      <c r="D5" s="30"/>
      <c r="E5" s="31"/>
      <c r="F5" s="39" t="s">
        <v>23</v>
      </c>
      <c r="G5" s="44"/>
      <c r="H5" s="43"/>
      <c r="J5" s="19"/>
      <c r="K5" s="20"/>
    </row>
    <row r="6" spans="3:11" x14ac:dyDescent="0.25">
      <c r="C6" s="39" t="s">
        <v>17</v>
      </c>
      <c r="D6" s="40"/>
      <c r="E6" s="16"/>
      <c r="F6" s="39" t="s">
        <v>24</v>
      </c>
      <c r="G6" s="44"/>
      <c r="H6" s="20" t="s">
        <v>27</v>
      </c>
      <c r="K6" s="20"/>
    </row>
    <row r="7" spans="3:11" x14ac:dyDescent="0.25">
      <c r="C7" s="39" t="s">
        <v>18</v>
      </c>
      <c r="D7" s="40"/>
      <c r="E7" s="16" t="s">
        <v>21</v>
      </c>
      <c r="F7" s="39" t="s">
        <v>25</v>
      </c>
      <c r="G7" s="44"/>
      <c r="H7" s="20" t="s">
        <v>26</v>
      </c>
      <c r="K7" s="20"/>
    </row>
    <row r="8" spans="3:11" ht="15.75" thickBot="1" x14ac:dyDescent="0.3">
      <c r="C8" s="41" t="s">
        <v>19</v>
      </c>
      <c r="D8" s="42"/>
      <c r="E8" s="18" t="s">
        <v>20</v>
      </c>
      <c r="F8" s="39" t="s">
        <v>28</v>
      </c>
      <c r="G8" s="44"/>
    </row>
    <row r="9" spans="3:11" x14ac:dyDescent="0.25">
      <c r="C9" s="15"/>
      <c r="D9" s="14"/>
      <c r="E9" s="14"/>
    </row>
    <row r="10" spans="3:11" x14ac:dyDescent="0.25">
      <c r="C10" s="15"/>
      <c r="D10" s="14"/>
      <c r="E10" s="14"/>
    </row>
    <row r="11" spans="3:11" ht="15.75" thickBot="1" x14ac:dyDescent="0.3">
      <c r="C11" s="15"/>
      <c r="D11" s="14"/>
      <c r="E11" s="14"/>
    </row>
    <row r="12" spans="3:11" x14ac:dyDescent="0.25">
      <c r="C12" s="34" t="s">
        <v>40</v>
      </c>
      <c r="D12" s="35"/>
      <c r="E12" s="21"/>
      <c r="F12" s="22"/>
      <c r="G12" s="22"/>
      <c r="H12" s="22"/>
      <c r="I12" s="23"/>
    </row>
    <row r="13" spans="3:11" x14ac:dyDescent="0.25">
      <c r="C13" s="27" t="s">
        <v>41</v>
      </c>
      <c r="D13" s="28"/>
      <c r="E13" s="24"/>
      <c r="F13" s="14"/>
      <c r="G13" s="14"/>
      <c r="H13" s="14"/>
      <c r="I13" s="16"/>
    </row>
    <row r="14" spans="3:11" x14ac:dyDescent="0.25">
      <c r="C14" s="25"/>
      <c r="D14" s="14"/>
      <c r="E14" s="14"/>
      <c r="F14" s="14"/>
      <c r="G14" s="14"/>
      <c r="H14" s="14"/>
      <c r="I14" s="16"/>
    </row>
    <row r="15" spans="3:11" ht="15.75" thickBot="1" x14ac:dyDescent="0.3">
      <c r="C15" s="26"/>
      <c r="D15" s="17"/>
      <c r="E15" s="17"/>
      <c r="F15" s="17"/>
      <c r="G15" s="17"/>
      <c r="H15" s="17"/>
      <c r="I15" s="18"/>
    </row>
    <row r="17" spans="3:8" x14ac:dyDescent="0.25">
      <c r="C17" t="s">
        <v>34</v>
      </c>
      <c r="D17" t="s">
        <v>29</v>
      </c>
      <c r="E17" t="s">
        <v>30</v>
      </c>
      <c r="F17" t="s">
        <v>31</v>
      </c>
      <c r="G17" t="s">
        <v>32</v>
      </c>
      <c r="H17" t="s">
        <v>33</v>
      </c>
    </row>
    <row r="23" spans="3:8" x14ac:dyDescent="0.25">
      <c r="G23" t="s">
        <v>35</v>
      </c>
      <c r="H23">
        <f>SUM(H18:H21)</f>
        <v>0</v>
      </c>
    </row>
    <row r="24" spans="3:8" x14ac:dyDescent="0.25">
      <c r="G24" t="s">
        <v>36</v>
      </c>
      <c r="H24">
        <f>H18</f>
        <v>0</v>
      </c>
    </row>
    <row r="25" spans="3:8" x14ac:dyDescent="0.25">
      <c r="G25" t="s">
        <v>37</v>
      </c>
      <c r="H25">
        <f>H19</f>
        <v>0</v>
      </c>
    </row>
    <row r="26" spans="3:8" x14ac:dyDescent="0.25">
      <c r="G26" t="s">
        <v>32</v>
      </c>
      <c r="H26">
        <v>0</v>
      </c>
    </row>
    <row r="27" spans="3:8" x14ac:dyDescent="0.25">
      <c r="G27" t="s">
        <v>38</v>
      </c>
      <c r="H27">
        <f>H24*0.12</f>
        <v>0</v>
      </c>
    </row>
    <row r="28" spans="3:8" x14ac:dyDescent="0.25">
      <c r="G28" t="s">
        <v>39</v>
      </c>
      <c r="H28">
        <f>H23+H27</f>
        <v>0</v>
      </c>
    </row>
  </sheetData>
  <mergeCells count="15">
    <mergeCell ref="C13:D13"/>
    <mergeCell ref="C5:E5"/>
    <mergeCell ref="J3:K3"/>
    <mergeCell ref="J4:K4"/>
    <mergeCell ref="C12:D12"/>
    <mergeCell ref="C2:E4"/>
    <mergeCell ref="C6:D6"/>
    <mergeCell ref="C7:D7"/>
    <mergeCell ref="C8:D8"/>
    <mergeCell ref="F3:G3"/>
    <mergeCell ref="F4:G4"/>
    <mergeCell ref="F5:G5"/>
    <mergeCell ref="F6:G6"/>
    <mergeCell ref="F7:G7"/>
    <mergeCell ref="F8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9"/>
  <sheetViews>
    <sheetView tabSelected="1" workbookViewId="0">
      <selection activeCell="C9" sqref="C9"/>
    </sheetView>
  </sheetViews>
  <sheetFormatPr baseColWidth="10" defaultRowHeight="15" x14ac:dyDescent="0.25"/>
  <cols>
    <col min="3" max="3" width="23.42578125" customWidth="1"/>
    <col min="6" max="6" width="17.42578125" customWidth="1"/>
    <col min="15" max="15" width="13.7109375" customWidth="1"/>
  </cols>
  <sheetData>
    <row r="2" spans="1:23" x14ac:dyDescent="0.25">
      <c r="A2" s="36" t="s">
        <v>16</v>
      </c>
      <c r="B2" s="36"/>
    </row>
    <row r="3" spans="1:23" x14ac:dyDescent="0.25">
      <c r="A3" s="36" t="s">
        <v>43</v>
      </c>
      <c r="B3" s="36"/>
    </row>
    <row r="4" spans="1:23" x14ac:dyDescent="0.25">
      <c r="A4" s="36" t="s">
        <v>44</v>
      </c>
      <c r="B4" s="36"/>
    </row>
    <row r="6" spans="1:23" ht="15.75" thickBot="1" x14ac:dyDescent="0.3"/>
    <row r="7" spans="1:23" x14ac:dyDescent="0.25">
      <c r="B7" s="45" t="s">
        <v>46</v>
      </c>
      <c r="C7" s="46" t="s">
        <v>47</v>
      </c>
      <c r="D7" s="46" t="s">
        <v>48</v>
      </c>
      <c r="E7" s="46" t="s">
        <v>42</v>
      </c>
      <c r="F7" s="46" t="s">
        <v>49</v>
      </c>
      <c r="G7" s="46" t="s">
        <v>50</v>
      </c>
      <c r="H7" s="46"/>
      <c r="I7" s="46" t="s">
        <v>51</v>
      </c>
      <c r="J7" s="46" t="s">
        <v>52</v>
      </c>
      <c r="K7" s="46" t="s">
        <v>53</v>
      </c>
      <c r="L7" s="46" t="s">
        <v>54</v>
      </c>
      <c r="M7" s="46" t="s">
        <v>55</v>
      </c>
      <c r="N7" s="46" t="s">
        <v>56</v>
      </c>
      <c r="O7" s="46" t="s">
        <v>57</v>
      </c>
      <c r="P7" s="46" t="s">
        <v>58</v>
      </c>
      <c r="Q7" s="46" t="s">
        <v>59</v>
      </c>
      <c r="R7" s="46" t="s">
        <v>60</v>
      </c>
      <c r="S7" s="46" t="s">
        <v>61</v>
      </c>
      <c r="T7" s="46" t="s">
        <v>62</v>
      </c>
      <c r="U7" s="46" t="s">
        <v>63</v>
      </c>
      <c r="V7" s="46" t="s">
        <v>64</v>
      </c>
      <c r="W7" s="47" t="s">
        <v>65</v>
      </c>
    </row>
    <row r="8" spans="1:23" ht="15.75" thickBot="1" x14ac:dyDescent="0.3">
      <c r="B8" s="48"/>
      <c r="C8" s="49"/>
      <c r="D8" s="49"/>
      <c r="E8" s="49"/>
      <c r="F8" s="49"/>
      <c r="G8" s="50">
        <v>0.5</v>
      </c>
      <c r="H8" s="50">
        <v>1</v>
      </c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51"/>
    </row>
    <row r="9" spans="1:23" x14ac:dyDescent="0.25">
      <c r="B9" s="52" t="s">
        <v>67</v>
      </c>
      <c r="C9" s="52">
        <v>21</v>
      </c>
      <c r="D9" s="53">
        <v>318</v>
      </c>
      <c r="E9" s="53">
        <f>(D9*C9)/21</f>
        <v>318</v>
      </c>
      <c r="F9" s="52">
        <v>0</v>
      </c>
      <c r="G9" s="52">
        <v>0</v>
      </c>
      <c r="H9" s="53">
        <f>(D9/240)*2</f>
        <v>2.65</v>
      </c>
      <c r="I9" s="53">
        <f>(((H9*50%)+H9)*F9)+(((H9*100%)+H9)*G9)</f>
        <v>0</v>
      </c>
      <c r="J9" s="53">
        <v>0</v>
      </c>
      <c r="K9" s="53">
        <f>E9+I9+J9</f>
        <v>318</v>
      </c>
      <c r="L9" s="53">
        <f>D9</f>
        <v>318</v>
      </c>
      <c r="M9" s="53">
        <f>((C9*12)*D9)/365</f>
        <v>219.55068493150685</v>
      </c>
      <c r="N9" s="53">
        <f>D9/2</f>
        <v>159</v>
      </c>
      <c r="O9" s="53">
        <f>(D9*8.3333%)*12</f>
        <v>317.99872799999997</v>
      </c>
      <c r="P9" s="53">
        <f>(E9*11.15%)*12</f>
        <v>425.48400000000004</v>
      </c>
      <c r="Q9" s="53">
        <f>(E9*9.35%)*12</f>
        <v>356.79599999999999</v>
      </c>
      <c r="R9" s="53">
        <f>L9+M9+N9+O9+P9</f>
        <v>1440.033412931507</v>
      </c>
      <c r="S9" s="53" t="e">
        <f>R9*B9</f>
        <v>#VALUE!</v>
      </c>
      <c r="T9" s="53" t="e">
        <f>D9*B9*12</f>
        <v>#VALUE!</v>
      </c>
      <c r="U9" s="53" t="e">
        <f>S9+T9</f>
        <v>#VALUE!</v>
      </c>
      <c r="V9" s="54" t="e">
        <f>U9/12</f>
        <v>#VALUE!</v>
      </c>
    </row>
  </sheetData>
  <mergeCells count="24">
    <mergeCell ref="R7:R8"/>
    <mergeCell ref="S7:S8"/>
    <mergeCell ref="T7:T8"/>
    <mergeCell ref="U7:U8"/>
    <mergeCell ref="V7:V8"/>
    <mergeCell ref="W7:W8"/>
    <mergeCell ref="L7:L8"/>
    <mergeCell ref="M7:M8"/>
    <mergeCell ref="N7:N8"/>
    <mergeCell ref="O7:O8"/>
    <mergeCell ref="P7:P8"/>
    <mergeCell ref="Q7:Q8"/>
    <mergeCell ref="E7:E8"/>
    <mergeCell ref="F7:F8"/>
    <mergeCell ref="G7:H7"/>
    <mergeCell ref="I7:I8"/>
    <mergeCell ref="J7:J8"/>
    <mergeCell ref="K7:K8"/>
    <mergeCell ref="A2:B2"/>
    <mergeCell ref="A3:B3"/>
    <mergeCell ref="A4:B4"/>
    <mergeCell ref="B7:B8"/>
    <mergeCell ref="C7:C8"/>
    <mergeCell ref="D7:D8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tabla_amort1</vt:lpstr>
      <vt:lpstr>Hoja2</vt:lpstr>
      <vt:lpstr>factura</vt:lpstr>
      <vt:lpstr>rol_pagos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2015-05-20T22:41:18Z</dcterms:modified>
</cp:coreProperties>
</file>