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2" firstSheet="0" activeTab="1"/>
  </bookViews>
  <sheets>
    <sheet name="clase" sheetId="1" state="visible" r:id="rId2"/>
    <sheet name="practica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<sst xmlns="http://schemas.openxmlformats.org/spreadsheetml/2006/main" count="211" uniqueCount="158">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</sst>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[$$-300A]#,##0.00;[RED][$$-300A]\-#,##0.00"/>
    <numFmt numFmtId="167" formatCode="[$$-540A]#,##0.00_ ;[RED]\-[$$-540A]#,##0.00\ "/>
    <numFmt numFmtId="168" formatCode="YYYY\-MM\-DD"/>
    <numFmt numFmtId="169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6"/>
      <color rgb="FF000000"/>
      <name val="Colibri"/>
      <family val="0"/>
      <charset val="1"/>
    </font>
    <font>
      <b val="true"/>
      <sz val="11"/>
      <name val="Arial"/>
      <family val="2"/>
      <charset val="1"/>
    </font>
    <font>
      <u val="single"/>
      <sz val="1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hair"/>
      <top style="medium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430920</xdr:colOff>
      <xdr:row>27</xdr:row>
      <xdr:rowOff>1536480</xdr:rowOff>
    </xdr:from>
    <xdr:to>
      <xdr:col>8</xdr:col>
      <xdr:colOff>610920</xdr:colOff>
      <xdr:row>27</xdr:row>
      <xdr:rowOff>1546200</xdr:rowOff>
    </xdr:to>
    <xdr:sp>
      <xdr:nvSpPr>
        <xdr:cNvPr id="0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27</xdr:row>
      <xdr:rowOff>1428840</xdr:rowOff>
    </xdr:from>
    <xdr:to>
      <xdr:col>4</xdr:col>
      <xdr:colOff>519120</xdr:colOff>
      <xdr:row>27</xdr:row>
      <xdr:rowOff>1612800</xdr:rowOff>
    </xdr:to>
    <xdr:sp>
      <xdr:nvSpPr>
        <xdr:cNvPr id="1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792720</xdr:colOff>
      <xdr:row>27</xdr:row>
      <xdr:rowOff>1551600</xdr:rowOff>
    </xdr:from>
    <xdr:to>
      <xdr:col>3</xdr:col>
      <xdr:colOff>174960</xdr:colOff>
      <xdr:row>28</xdr:row>
      <xdr:rowOff>64080</xdr:rowOff>
    </xdr:to>
    <xdr:sp>
      <xdr:nvSpPr>
        <xdr:cNvPr id="2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27</xdr:row>
      <xdr:rowOff>1537560</xdr:rowOff>
    </xdr:from>
    <xdr:to>
      <xdr:col>6</xdr:col>
      <xdr:colOff>311400</xdr:colOff>
      <xdr:row>28</xdr:row>
      <xdr:rowOff>50040</xdr:rowOff>
    </xdr:to>
    <xdr:sp>
      <xdr:nvSpPr>
        <xdr:cNvPr id="3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27</xdr:row>
      <xdr:rowOff>1457640</xdr:rowOff>
    </xdr:from>
    <xdr:to>
      <xdr:col>2</xdr:col>
      <xdr:colOff>437400</xdr:colOff>
      <xdr:row>27</xdr:row>
      <xdr:rowOff>1699920</xdr:rowOff>
    </xdr:to>
    <xdr:sp>
      <xdr:nvSpPr>
        <xdr:cNvPr id="4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27</xdr:row>
      <xdr:rowOff>1428840</xdr:rowOff>
    </xdr:from>
    <xdr:to>
      <xdr:col>8</xdr:col>
      <xdr:colOff>597600</xdr:colOff>
      <xdr:row>27</xdr:row>
      <xdr:rowOff>1612800</xdr:rowOff>
    </xdr:to>
    <xdr:sp>
      <xdr:nvSpPr>
        <xdr:cNvPr id="5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203760</xdr:colOff>
      <xdr:row>23</xdr:row>
      <xdr:rowOff>133920</xdr:rowOff>
    </xdr:from>
    <xdr:to>
      <xdr:col>23</xdr:col>
      <xdr:colOff>261000</xdr:colOff>
      <xdr:row>27</xdr:row>
      <xdr:rowOff>565200</xdr:rowOff>
    </xdr:to>
    <xdr:sp>
      <xdr:nvSpPr>
        <xdr:cNvPr id="6" name="CustomShape 1"/>
        <xdr:cNvSpPr/>
      </xdr:nvSpPr>
      <xdr:spPr>
        <a:xfrm>
          <a:off x="21849480" y="5011200"/>
          <a:ext cx="57240" cy="113220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572040</xdr:colOff>
      <xdr:row>21</xdr:row>
      <xdr:rowOff>119880</xdr:rowOff>
    </xdr:from>
    <xdr:to>
      <xdr:col>24</xdr:col>
      <xdr:colOff>273600</xdr:colOff>
      <xdr:row>23</xdr:row>
      <xdr:rowOff>105480</xdr:rowOff>
    </xdr:to>
    <xdr:sp>
      <xdr:nvSpPr>
        <xdr:cNvPr id="7" name="CustomShape 1"/>
        <xdr:cNvSpPr/>
      </xdr:nvSpPr>
      <xdr:spPr>
        <a:xfrm>
          <a:off x="21458880" y="46465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23</xdr:col>
      <xdr:colOff>260280</xdr:colOff>
      <xdr:row>26</xdr:row>
      <xdr:rowOff>40320</xdr:rowOff>
    </xdr:from>
    <xdr:to>
      <xdr:col>31</xdr:col>
      <xdr:colOff>215280</xdr:colOff>
      <xdr:row>27</xdr:row>
      <xdr:rowOff>76320</xdr:rowOff>
    </xdr:to>
    <xdr:sp>
      <xdr:nvSpPr>
        <xdr:cNvPr id="8" name="CustomShape 1"/>
        <xdr:cNvSpPr/>
      </xdr:nvSpPr>
      <xdr:spPr>
        <a:xfrm>
          <a:off x="21906000" y="5443200"/>
          <a:ext cx="7002720" cy="21132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833040</xdr:colOff>
      <xdr:row>24</xdr:row>
      <xdr:rowOff>65520</xdr:rowOff>
    </xdr:from>
    <xdr:to>
      <xdr:col>24</xdr:col>
      <xdr:colOff>896040</xdr:colOff>
      <xdr:row>27</xdr:row>
      <xdr:rowOff>516960</xdr:rowOff>
    </xdr:to>
    <xdr:sp>
      <xdr:nvSpPr>
        <xdr:cNvPr id="9" name="CustomShape 1"/>
        <xdr:cNvSpPr/>
      </xdr:nvSpPr>
      <xdr:spPr>
        <a:xfrm>
          <a:off x="23237640" y="51181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390600</xdr:colOff>
      <xdr:row>22</xdr:row>
      <xdr:rowOff>27360</xdr:rowOff>
    </xdr:from>
    <xdr:to>
      <xdr:col>25</xdr:col>
      <xdr:colOff>391320</xdr:colOff>
      <xdr:row>24</xdr:row>
      <xdr:rowOff>12960</xdr:rowOff>
    </xdr:to>
    <xdr:sp>
      <xdr:nvSpPr>
        <xdr:cNvPr id="10" name="CustomShape 1"/>
        <xdr:cNvSpPr/>
      </xdr:nvSpPr>
      <xdr:spPr>
        <a:xfrm>
          <a:off x="22795200" y="47293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26</xdr:col>
      <xdr:colOff>681480</xdr:colOff>
      <xdr:row>24</xdr:row>
      <xdr:rowOff>78120</xdr:rowOff>
    </xdr:from>
    <xdr:to>
      <xdr:col>26</xdr:col>
      <xdr:colOff>744480</xdr:colOff>
      <xdr:row>27</xdr:row>
      <xdr:rowOff>529560</xdr:rowOff>
    </xdr:to>
    <xdr:sp>
      <xdr:nvSpPr>
        <xdr:cNvPr id="11" name="CustomShape 1"/>
        <xdr:cNvSpPr/>
      </xdr:nvSpPr>
      <xdr:spPr>
        <a:xfrm>
          <a:off x="25063560" y="51307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26</xdr:col>
      <xdr:colOff>38160</xdr:colOff>
      <xdr:row>21</xdr:row>
      <xdr:rowOff>135000</xdr:rowOff>
    </xdr:from>
    <xdr:to>
      <xdr:col>27</xdr:col>
      <xdr:colOff>698400</xdr:colOff>
      <xdr:row>23</xdr:row>
      <xdr:rowOff>120600</xdr:rowOff>
    </xdr:to>
    <xdr:sp>
      <xdr:nvSpPr>
        <xdr:cNvPr id="12" name="CustomShape 1"/>
        <xdr:cNvSpPr/>
      </xdr:nvSpPr>
      <xdr:spPr>
        <a:xfrm>
          <a:off x="24420240" y="466164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</a:t>
          </a:r>
          <a:r>
            <a:rPr lang="es-EC" sz="1200">
              <a:latin typeface="Times New Roman"/>
            </a:rPr>
            <a:t>2013-07-01</a:t>
          </a:r>
          <a:endParaRPr/>
        </a:p>
      </xdr:txBody>
    </xdr:sp>
    <xdr:clientData/>
  </xdr:twoCellAnchor>
  <xdr:twoCellAnchor editAs="absolute">
    <xdr:from>
      <xdr:col>29</xdr:col>
      <xdr:colOff>395280</xdr:colOff>
      <xdr:row>24</xdr:row>
      <xdr:rowOff>29520</xdr:rowOff>
    </xdr:from>
    <xdr:to>
      <xdr:col>29</xdr:col>
      <xdr:colOff>458280</xdr:colOff>
      <xdr:row>27</xdr:row>
      <xdr:rowOff>480960</xdr:rowOff>
    </xdr:to>
    <xdr:sp>
      <xdr:nvSpPr>
        <xdr:cNvPr id="13" name="CustomShape 1"/>
        <xdr:cNvSpPr/>
      </xdr:nvSpPr>
      <xdr:spPr>
        <a:xfrm>
          <a:off x="27571320" y="50821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439920</xdr:colOff>
      <xdr:row>21</xdr:row>
      <xdr:rowOff>111240</xdr:rowOff>
    </xdr:from>
    <xdr:to>
      <xdr:col>30</xdr:col>
      <xdr:colOff>624240</xdr:colOff>
      <xdr:row>23</xdr:row>
      <xdr:rowOff>96840</xdr:rowOff>
    </xdr:to>
    <xdr:sp>
      <xdr:nvSpPr>
        <xdr:cNvPr id="14" name="CustomShape 1"/>
        <xdr:cNvSpPr/>
      </xdr:nvSpPr>
      <xdr:spPr>
        <a:xfrm>
          <a:off x="26857080" y="463788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</a:t>
          </a:r>
          <a:r>
            <a:rPr lang="es-EC" sz="1200">
              <a:latin typeface="Times New Roman"/>
            </a:rPr>
            <a:t>2014-01-01</a:t>
          </a:r>
          <a:endParaRPr/>
        </a:p>
      </xdr:txBody>
    </xdr:sp>
    <xdr:clientData/>
  </xdr:twoCellAnchor>
  <xdr:twoCellAnchor editAs="absolute">
    <xdr:from>
      <xdr:col>23</xdr:col>
      <xdr:colOff>302400</xdr:colOff>
      <xdr:row>27</xdr:row>
      <xdr:rowOff>727920</xdr:rowOff>
    </xdr:from>
    <xdr:to>
      <xdr:col>24</xdr:col>
      <xdr:colOff>851400</xdr:colOff>
      <xdr:row>27</xdr:row>
      <xdr:rowOff>842400</xdr:rowOff>
    </xdr:to>
    <xdr:sp>
      <xdr:nvSpPr>
        <xdr:cNvPr id="15" name="CustomShape 1"/>
        <xdr:cNvSpPr/>
      </xdr:nvSpPr>
      <xdr:spPr>
        <a:xfrm>
          <a:off x="21948120" y="6306120"/>
          <a:ext cx="130788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302400</xdr:colOff>
      <xdr:row>27</xdr:row>
      <xdr:rowOff>967680</xdr:rowOff>
    </xdr:from>
    <xdr:to>
      <xdr:col>24</xdr:col>
      <xdr:colOff>762840</xdr:colOff>
      <xdr:row>27</xdr:row>
      <xdr:rowOff>1149840</xdr:rowOff>
    </xdr:to>
    <xdr:sp>
      <xdr:nvSpPr>
        <xdr:cNvPr id="16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lang="es-EC" sz="1200">
              <a:latin typeface="Times New Roman"/>
            </a:rPr>
            <a:t>          </a:t>
          </a:r>
          <a:r>
            <a:rPr lang="es-EC" sz="1200">
              <a:latin typeface="Times New Roman"/>
            </a:rPr>
            <a:t>Int Acum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L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3.8"/>
  <cols>
    <col collapsed="false" hidden="false" max="1" min="1" style="0" width="8.53441295546559"/>
    <col collapsed="false" hidden="false" max="2" min="2" style="0" width="15.7975708502024"/>
    <col collapsed="false" hidden="false" max="3" min="3" style="0" width="11.17004048583"/>
    <col collapsed="false" hidden="false" max="4" min="4" style="0" width="12.3481781376518"/>
    <col collapsed="false" hidden="false" max="5" min="5" style="0" width="10.2834008097166"/>
    <col collapsed="false" hidden="false" max="6" min="6" style="0" width="7.52631578947368"/>
    <col collapsed="false" hidden="false" max="7" min="7" style="0" width="11.4615384615385"/>
    <col collapsed="false" hidden="false" max="8" min="8" style="0" width="8.53441295546559"/>
    <col collapsed="false" hidden="false" max="9" min="9" style="0" width="11.497975708502"/>
    <col collapsed="false" hidden="false" max="10" min="10" style="0" width="15.7975708502024"/>
    <col collapsed="false" hidden="false" max="11" min="11" style="0" width="11.17004048583"/>
    <col collapsed="false" hidden="false" max="14" min="12" style="0" width="8.53441295546559"/>
    <col collapsed="false" hidden="false" max="15" min="15" style="0" width="16.1336032388664"/>
    <col collapsed="false" hidden="false" max="20" min="16" style="0" width="8.53441295546559"/>
    <col collapsed="false" hidden="false" max="21" min="21" style="0" width="12.2672064777328"/>
    <col collapsed="false" hidden="false" max="22" min="22" style="0" width="14.1093117408907"/>
    <col collapsed="false" hidden="false" max="24" min="23" style="0" width="8.53441295546559"/>
    <col collapsed="false" hidden="false" max="25" min="25" style="0" width="13.7044534412955"/>
    <col collapsed="false" hidden="false" max="26" min="26" style="0" width="8.53441295546559"/>
    <col collapsed="false" hidden="false" max="27" min="27" style="0" width="11.7206477732794"/>
    <col collapsed="false" hidden="false" max="28" min="28" style="0" width="11.17004048583"/>
    <col collapsed="false" hidden="false" max="33" min="29" style="0" width="8.53441295546559"/>
    <col collapsed="false" hidden="false" max="34" min="34" style="0" width="14.582995951417"/>
    <col collapsed="false" hidden="false" max="35" min="35" style="0" width="13.9271255060729"/>
    <col collapsed="false" hidden="false" max="36" min="36" style="0" width="28.2591093117409"/>
    <col collapsed="false" hidden="false" max="37" min="37" style="0" width="16.9028340080972"/>
    <col collapsed="false" hidden="false" max="38" min="38" style="0" width="10.3603238866397"/>
    <col collapsed="false" hidden="false" max="39" min="39" style="0" width="12.2672064777328"/>
    <col collapsed="false" hidden="false" max="40" min="40" style="0" width="17.7813765182186"/>
    <col collapsed="false" hidden="false" max="41" min="41" style="0" width="12.1619433198381"/>
    <col collapsed="false" hidden="false" max="42" min="42" style="0" width="12.2672064777328"/>
    <col collapsed="false" hidden="false" max="43" min="43" style="0" width="11.5748987854251"/>
    <col collapsed="false" hidden="false" max="44" min="44" style="0" width="12.3481781376518"/>
    <col collapsed="false" hidden="false" max="45" min="45" style="0" width="14.7692307692308"/>
    <col collapsed="false" hidden="false" max="46" min="46" style="0" width="14.1457489878543"/>
    <col collapsed="false" hidden="false" max="47" min="47" style="0" width="13.9959514170041"/>
    <col collapsed="false" hidden="false" max="48" min="48" style="0" width="8.53441295546559"/>
    <col collapsed="false" hidden="false" max="49" min="49" style="0" width="10.9109311740891"/>
    <col collapsed="false" hidden="false" max="53" min="50" style="0" width="8.53441295546559"/>
    <col collapsed="false" hidden="false" max="54" min="54" style="0" width="14.919028340081"/>
    <col collapsed="false" hidden="false" max="55" min="55" style="0" width="10.6194331983806"/>
    <col collapsed="false" hidden="false" max="58" min="56" style="0" width="8.53441295546559"/>
    <col collapsed="false" hidden="false" max="59" min="59" style="0" width="15.3603238866397"/>
    <col collapsed="false" hidden="false" max="60" min="60" style="0" width="10.0607287449393"/>
    <col collapsed="false" hidden="false" max="62" min="61" style="0" width="8.53441295546559"/>
    <col collapsed="false" hidden="false" max="63" min="63" style="0" width="15.3603238866397"/>
    <col collapsed="false" hidden="false" max="64" min="64" style="0" width="10.0607287449393"/>
    <col collapsed="false" hidden="false" max="1025" min="65" style="0" width="8.53441295546559"/>
  </cols>
  <sheetData>
    <row r="1" customFormat="false" ht="13.8" hidden="false" customHeight="false" outlineLevel="0" collapsed="false">
      <c r="AT1" s="1" t="s">
        <v>0</v>
      </c>
      <c r="AU1" s="1"/>
      <c r="AV1" s="1"/>
      <c r="AW1" s="1"/>
      <c r="AX1" s="1"/>
    </row>
    <row r="2" customFormat="false" ht="13.8" hidden="false" customHeight="false" outlineLevel="0" collapsed="false">
      <c r="AT2" s="2"/>
      <c r="AW2" s="3"/>
      <c r="AX2" s="4"/>
    </row>
    <row r="3" customFormat="false" ht="13.8" hidden="false" customHeight="false" outlineLevel="0" collapsed="false">
      <c r="AH3" s="5" t="s">
        <v>1</v>
      </c>
      <c r="AI3" s="5"/>
      <c r="AJ3" s="5"/>
      <c r="AK3" s="5"/>
      <c r="AL3" s="5"/>
      <c r="AM3" s="5"/>
      <c r="AN3" s="5"/>
      <c r="AO3" s="5"/>
      <c r="AT3" s="2" t="s">
        <v>2</v>
      </c>
      <c r="AU3" s="0" t="n">
        <v>15000</v>
      </c>
      <c r="AW3" s="3"/>
      <c r="AX3" s="4"/>
      <c r="BA3" s="6" t="s">
        <v>3</v>
      </c>
      <c r="BB3" s="6"/>
      <c r="BC3" s="6"/>
      <c r="BF3" s="6" t="s">
        <v>4</v>
      </c>
      <c r="BG3" s="6"/>
      <c r="BH3" s="6"/>
      <c r="BJ3" s="6" t="s">
        <v>5</v>
      </c>
      <c r="BK3" s="6"/>
      <c r="BL3" s="6"/>
    </row>
    <row r="4" customFormat="false" ht="13.8" hidden="false" customHeight="false" outlineLevel="0" collapsed="false">
      <c r="AH4" s="7" t="s">
        <v>6</v>
      </c>
      <c r="AI4" s="8" t="n">
        <v>0.01</v>
      </c>
      <c r="AJ4" s="0" t="s">
        <v>7</v>
      </c>
      <c r="AO4" s="4"/>
      <c r="AT4" s="2" t="s">
        <v>8</v>
      </c>
      <c r="AU4" s="0" t="n">
        <v>8</v>
      </c>
      <c r="AV4" s="0" t="s">
        <v>9</v>
      </c>
      <c r="AW4" s="3"/>
      <c r="AX4" s="4"/>
      <c r="BA4" s="2"/>
      <c r="BC4" s="4"/>
      <c r="BF4" s="2" t="s">
        <v>10</v>
      </c>
      <c r="BH4" s="4" t="n">
        <v>1000</v>
      </c>
      <c r="BJ4" s="0" t="s">
        <v>10</v>
      </c>
      <c r="BL4" s="4" t="n">
        <v>1000</v>
      </c>
    </row>
    <row r="5" customFormat="false" ht="19.7" hidden="false" customHeight="false" outlineLevel="0" collapsed="false">
      <c r="B5" s="9" t="s">
        <v>11</v>
      </c>
      <c r="C5" s="9"/>
      <c r="D5" s="9"/>
      <c r="E5" s="9"/>
      <c r="F5" s="9"/>
      <c r="G5" s="9"/>
      <c r="H5" s="9"/>
      <c r="J5" s="9" t="s">
        <v>12</v>
      </c>
      <c r="K5" s="9"/>
      <c r="L5" s="9"/>
      <c r="M5" s="9"/>
      <c r="N5" s="9"/>
      <c r="O5" s="9"/>
      <c r="P5" s="9"/>
      <c r="Q5" s="9"/>
      <c r="R5" s="9"/>
      <c r="U5" s="9" t="s">
        <v>13</v>
      </c>
      <c r="V5" s="9"/>
      <c r="W5" s="9"/>
      <c r="X5" s="9"/>
      <c r="Y5" s="9"/>
      <c r="Z5" s="9"/>
      <c r="AA5" s="9"/>
      <c r="AB5" s="9"/>
      <c r="AH5" s="7" t="s">
        <v>14</v>
      </c>
      <c r="AI5" s="0" t="n">
        <v>100</v>
      </c>
      <c r="AJ5" s="0" t="s">
        <v>15</v>
      </c>
      <c r="AO5" s="4"/>
      <c r="AT5" s="2" t="s">
        <v>16</v>
      </c>
      <c r="AU5" s="8" t="n">
        <v>0.1</v>
      </c>
      <c r="AW5" s="3"/>
      <c r="AX5" s="4"/>
      <c r="BA5" s="2"/>
      <c r="BC5" s="4"/>
      <c r="BF5" s="2"/>
      <c r="BH5" s="4"/>
      <c r="BJ5" s="2"/>
      <c r="BL5" s="4"/>
    </row>
    <row r="6" customFormat="false" ht="13.8" hidden="false" customHeight="false" outlineLevel="0" collapsed="false">
      <c r="B6" s="2"/>
      <c r="H6" s="4"/>
      <c r="J6" s="2"/>
      <c r="P6" s="3"/>
      <c r="R6" s="4"/>
      <c r="U6" s="2"/>
      <c r="AA6" s="3"/>
      <c r="AB6" s="4"/>
      <c r="AH6" s="7" t="s">
        <v>17</v>
      </c>
      <c r="AI6" s="0" t="n">
        <v>-2000</v>
      </c>
      <c r="AJ6" s="10" t="s">
        <v>18</v>
      </c>
      <c r="AK6" s="10"/>
      <c r="AL6" s="10"/>
      <c r="AM6" s="10"/>
      <c r="AN6" s="10"/>
      <c r="AO6" s="4"/>
      <c r="AT6" s="2"/>
      <c r="AW6" s="3"/>
      <c r="AX6" s="4"/>
      <c r="BA6" s="11" t="s">
        <v>19</v>
      </c>
      <c r="BB6" s="11" t="s">
        <v>20</v>
      </c>
      <c r="BC6" s="4"/>
      <c r="BF6" s="11" t="s">
        <v>19</v>
      </c>
      <c r="BG6" s="11" t="s">
        <v>20</v>
      </c>
      <c r="BH6" s="4"/>
      <c r="BJ6" s="11" t="s">
        <v>19</v>
      </c>
      <c r="BK6" s="11" t="s">
        <v>20</v>
      </c>
      <c r="BL6" s="4"/>
    </row>
    <row r="7" customFormat="false" ht="13.8" hidden="false" customHeight="true" outlineLevel="0" collapsed="false">
      <c r="B7" s="2"/>
      <c r="F7" s="0" t="s">
        <v>21</v>
      </c>
      <c r="G7" s="0" t="s">
        <v>22</v>
      </c>
      <c r="H7" s="4" t="s">
        <v>23</v>
      </c>
      <c r="J7" s="2"/>
      <c r="M7" s="3" t="s">
        <v>23</v>
      </c>
      <c r="N7" s="0" t="s">
        <v>21</v>
      </c>
      <c r="O7" s="0" t="s">
        <v>22</v>
      </c>
      <c r="R7" s="4"/>
      <c r="U7" s="2" t="s">
        <v>24</v>
      </c>
      <c r="V7" s="0" t="n">
        <v>15000</v>
      </c>
      <c r="Z7" s="0" t="s">
        <v>21</v>
      </c>
      <c r="AA7" s="3" t="s">
        <v>25</v>
      </c>
      <c r="AB7" s="4" t="s">
        <v>26</v>
      </c>
      <c r="AH7" s="7" t="s">
        <v>27</v>
      </c>
      <c r="AI7" s="0" t="n">
        <v>100</v>
      </c>
      <c r="AJ7" s="12" t="s">
        <v>28</v>
      </c>
      <c r="AK7" s="12"/>
      <c r="AL7" s="12"/>
      <c r="AM7" s="12"/>
      <c r="AN7" s="12"/>
      <c r="AO7" s="12"/>
      <c r="AT7" s="13" t="s">
        <v>29</v>
      </c>
      <c r="AU7" s="13"/>
      <c r="AV7" s="13"/>
      <c r="AW7" s="13"/>
      <c r="AX7" s="4"/>
      <c r="BA7" s="11" t="n">
        <v>1</v>
      </c>
      <c r="BB7" s="11" t="n">
        <v>1000</v>
      </c>
      <c r="BC7" s="4"/>
      <c r="BF7" s="11" t="n">
        <v>1</v>
      </c>
      <c r="BG7" s="11" t="n">
        <v>-1000</v>
      </c>
      <c r="BH7" s="4"/>
      <c r="BJ7" s="11" t="n">
        <v>1</v>
      </c>
      <c r="BK7" s="14" t="n">
        <v>0.0115</v>
      </c>
      <c r="BL7" s="4"/>
    </row>
    <row r="8" customFormat="false" ht="13.8" hidden="false" customHeight="false" outlineLevel="0" collapsed="false">
      <c r="B8" s="2"/>
      <c r="F8" s="0" t="n">
        <v>1</v>
      </c>
      <c r="G8" s="0" t="n">
        <f aca="false">AMORLINC($C$9,$C$10,$C$11,$C$12,F8,$C$14,$C$15)</f>
        <v>250</v>
      </c>
      <c r="H8" s="4" t="n">
        <v>2010</v>
      </c>
      <c r="J8" s="2"/>
      <c r="M8" s="3" t="n">
        <v>2010</v>
      </c>
      <c r="N8" s="0" t="n">
        <v>0</v>
      </c>
      <c r="O8" s="0" t="n">
        <f aca="false">AMORDEGRC($K$9,$K$10,$K$11,$K$12,N8,$K$14,$K$15)</f>
        <v>229</v>
      </c>
      <c r="R8" s="4"/>
      <c r="U8" s="2" t="s">
        <v>30</v>
      </c>
      <c r="V8" s="0" t="n">
        <v>1500</v>
      </c>
      <c r="Z8" s="0" t="n">
        <v>1</v>
      </c>
      <c r="AA8" s="15" t="n">
        <f aca="false">DB($V$7,$V$8,$V$9,Z8,$V$11)</f>
        <v>4785</v>
      </c>
      <c r="AB8" s="16" t="n">
        <f aca="false">$V$7-AA8</f>
        <v>10215</v>
      </c>
      <c r="AH8" s="2"/>
      <c r="AJ8" s="12"/>
      <c r="AK8" s="12"/>
      <c r="AL8" s="12"/>
      <c r="AM8" s="12"/>
      <c r="AN8" s="12"/>
      <c r="AO8" s="12"/>
      <c r="AT8" s="17" t="s">
        <v>31</v>
      </c>
      <c r="AU8" s="0" t="s">
        <v>21</v>
      </c>
      <c r="AV8" s="0" t="s">
        <v>32</v>
      </c>
      <c r="AW8" s="3" t="n">
        <f aca="false">-AU3</f>
        <v>-15000</v>
      </c>
      <c r="AX8" s="4"/>
      <c r="BA8" s="11" t="n">
        <v>2</v>
      </c>
      <c r="BB8" s="11" t="n">
        <v>1000</v>
      </c>
      <c r="BC8" s="4"/>
      <c r="BF8" s="11" t="n">
        <v>2</v>
      </c>
      <c r="BG8" s="11" t="n">
        <v>-1000</v>
      </c>
      <c r="BH8" s="4"/>
      <c r="BJ8" s="11" t="n">
        <v>2</v>
      </c>
      <c r="BK8" s="14" t="n">
        <v>0.0118</v>
      </c>
      <c r="BL8" s="4"/>
    </row>
    <row r="9" customFormat="false" ht="13.8" hidden="false" customHeight="false" outlineLevel="0" collapsed="false">
      <c r="B9" s="2" t="s">
        <v>33</v>
      </c>
      <c r="C9" s="0" t="n">
        <v>2500</v>
      </c>
      <c r="F9" s="0" t="n">
        <v>2</v>
      </c>
      <c r="G9" s="0" t="n">
        <f aca="false">AMORLINC($C$9,$C$10,$C$11,$C$12,F9,$C$14,$C$15)</f>
        <v>250</v>
      </c>
      <c r="H9" s="4" t="n">
        <v>2011</v>
      </c>
      <c r="J9" s="2" t="s">
        <v>33</v>
      </c>
      <c r="K9" s="0" t="n">
        <v>2500</v>
      </c>
      <c r="M9" s="3" t="n">
        <v>2011</v>
      </c>
      <c r="N9" s="0" t="n">
        <v>1</v>
      </c>
      <c r="O9" s="0" t="n">
        <f aca="false">AMORDEGRC($K$9,$K$10,$K$11,$K$12,N9,$K$14,$K$15)</f>
        <v>568</v>
      </c>
      <c r="R9" s="4"/>
      <c r="U9" s="2" t="s">
        <v>34</v>
      </c>
      <c r="V9" s="0" t="n">
        <v>6</v>
      </c>
      <c r="Z9" s="0" t="n">
        <v>2</v>
      </c>
      <c r="AA9" s="15" t="n">
        <f aca="false">DB($V$7,$V$8,$V$9,Z9,$V$11)</f>
        <v>3258.585</v>
      </c>
      <c r="AB9" s="16" t="n">
        <f aca="false">AB8-AA9</f>
        <v>6956.415</v>
      </c>
      <c r="AH9" s="7" t="s">
        <v>35</v>
      </c>
      <c r="AI9" s="0" t="n">
        <v>0</v>
      </c>
      <c r="AJ9" s="0" t="s">
        <v>36</v>
      </c>
      <c r="AO9" s="4"/>
      <c r="AT9" s="2" t="n">
        <v>2011</v>
      </c>
      <c r="AU9" s="0" t="n">
        <v>1</v>
      </c>
      <c r="AV9" s="0" t="n">
        <v>14000</v>
      </c>
      <c r="AW9" s="3" t="n">
        <f aca="false">AV9</f>
        <v>14000</v>
      </c>
      <c r="AX9" s="4"/>
      <c r="BA9" s="11" t="n">
        <v>3</v>
      </c>
      <c r="BB9" s="11" t="n">
        <v>1000</v>
      </c>
      <c r="BC9" s="4"/>
      <c r="BF9" s="11" t="n">
        <v>3</v>
      </c>
      <c r="BG9" s="11" t="n">
        <v>-1000</v>
      </c>
      <c r="BH9" s="4"/>
      <c r="BJ9" s="11" t="n">
        <v>3</v>
      </c>
      <c r="BK9" s="14" t="n">
        <v>0.015</v>
      </c>
      <c r="BL9" s="4"/>
    </row>
    <row r="10" customFormat="false" ht="13.8" hidden="false" customHeight="false" outlineLevel="0" collapsed="false">
      <c r="B10" s="2" t="s">
        <v>37</v>
      </c>
      <c r="C10" s="18" t="n">
        <v>40409</v>
      </c>
      <c r="F10" s="0" t="n">
        <v>3</v>
      </c>
      <c r="G10" s="0" t="n">
        <f aca="false">AMORLINC($C$9,$C$10,$C$11,$C$12,F10,$C$14,$C$15)</f>
        <v>250</v>
      </c>
      <c r="H10" s="4" t="n">
        <v>2012</v>
      </c>
      <c r="J10" s="2" t="s">
        <v>37</v>
      </c>
      <c r="K10" s="18" t="n">
        <v>40409</v>
      </c>
      <c r="M10" s="3" t="n">
        <v>2012</v>
      </c>
      <c r="N10" s="0" t="n">
        <v>2</v>
      </c>
      <c r="O10" s="0" t="n">
        <f aca="false">AMORDEGRC($K$9,$K$10,$K$11,$K$12,N10,$K$14,$K$15)</f>
        <v>426</v>
      </c>
      <c r="R10" s="4"/>
      <c r="U10" s="2" t="s">
        <v>21</v>
      </c>
      <c r="V10" s="0" t="n">
        <v>1</v>
      </c>
      <c r="Z10" s="0" t="n">
        <v>3</v>
      </c>
      <c r="AA10" s="15" t="n">
        <f aca="false">DB($V$7,$V$8,$V$9,Z10,$V$11)</f>
        <v>2219.096385</v>
      </c>
      <c r="AB10" s="16" t="n">
        <f aca="false">AB9-AA10</f>
        <v>4737.318615</v>
      </c>
      <c r="AH10" s="2"/>
      <c r="AO10" s="4"/>
      <c r="AT10" s="2" t="n">
        <v>2012</v>
      </c>
      <c r="AU10" s="0" t="n">
        <v>2</v>
      </c>
      <c r="AV10" s="0" t="n">
        <v>13880</v>
      </c>
      <c r="AW10" s="3" t="n">
        <f aca="false">AV10</f>
        <v>13880</v>
      </c>
      <c r="AX10" s="4"/>
      <c r="BA10" s="11" t="n">
        <v>4</v>
      </c>
      <c r="BB10" s="11" t="n">
        <v>1000</v>
      </c>
      <c r="BC10" s="4" t="n">
        <f aca="false">SUM(BB7:BB10)</f>
        <v>4000</v>
      </c>
      <c r="BF10" s="11" t="n">
        <v>4</v>
      </c>
      <c r="BG10" s="11" t="n">
        <v>-1000</v>
      </c>
      <c r="BH10" s="4" t="n">
        <f aca="false">SUM(BG7:BG10)</f>
        <v>-4000</v>
      </c>
      <c r="BJ10" s="11" t="n">
        <v>4</v>
      </c>
      <c r="BK10" s="14" t="n">
        <v>0.02</v>
      </c>
      <c r="BL10" s="4"/>
    </row>
    <row r="11" customFormat="false" ht="13.8" hidden="false" customHeight="false" outlineLevel="0" collapsed="false">
      <c r="B11" s="2" t="s">
        <v>38</v>
      </c>
      <c r="C11" s="18" t="n">
        <v>40543</v>
      </c>
      <c r="F11" s="0" t="n">
        <v>4</v>
      </c>
      <c r="G11" s="0" t="n">
        <f aca="false">AMORLINC($C$9,$C$10,$C$11,$C$12,F11,$C$14,$C$15)</f>
        <v>250</v>
      </c>
      <c r="H11" s="4" t="n">
        <v>2013</v>
      </c>
      <c r="J11" s="2" t="s">
        <v>38</v>
      </c>
      <c r="K11" s="18" t="n">
        <v>40543</v>
      </c>
      <c r="M11" s="3" t="n">
        <v>2013</v>
      </c>
      <c r="N11" s="0" t="n">
        <v>3</v>
      </c>
      <c r="O11" s="0" t="n">
        <f aca="false">AMORDEGRC($K$9,$K$10,$K$11,$K$12,N11,$K$14,$K$15)</f>
        <v>319</v>
      </c>
      <c r="R11" s="4"/>
      <c r="U11" s="2" t="s">
        <v>39</v>
      </c>
      <c r="V11" s="0" t="n">
        <v>12</v>
      </c>
      <c r="Z11" s="0" t="n">
        <v>4</v>
      </c>
      <c r="AA11" s="15" t="n">
        <f aca="false">DB($V$7,$V$8,$V$9,Z11,$V$11)</f>
        <v>1511.204638185</v>
      </c>
      <c r="AB11" s="16" t="n">
        <f aca="false">AB10-AA11</f>
        <v>3226.113976815</v>
      </c>
      <c r="AH11" s="19" t="s">
        <v>1</v>
      </c>
      <c r="AI11" s="20" t="n">
        <f aca="false">NPER(AI4,AI5,AI6,,$AI$9)</f>
        <v>22.4257418780364</v>
      </c>
      <c r="AJ11" s="21"/>
      <c r="AK11" s="21"/>
      <c r="AL11" s="21"/>
      <c r="AM11" s="21"/>
      <c r="AN11" s="21"/>
      <c r="AO11" s="22"/>
      <c r="AT11" s="2" t="n">
        <v>2013</v>
      </c>
      <c r="AU11" s="0" t="n">
        <v>3</v>
      </c>
      <c r="AV11" s="0" t="n">
        <v>14202</v>
      </c>
      <c r="AW11" s="3" t="n">
        <f aca="false">AV11</f>
        <v>14202</v>
      </c>
      <c r="AX11" s="4"/>
      <c r="BA11" s="2"/>
      <c r="BC11" s="4"/>
      <c r="BF11" s="2"/>
      <c r="BH11" s="4"/>
      <c r="BJ11" s="2"/>
      <c r="BL11" s="4"/>
    </row>
    <row r="12" customFormat="false" ht="13.8" hidden="false" customHeight="false" outlineLevel="0" collapsed="false">
      <c r="B12" s="2" t="s">
        <v>40</v>
      </c>
      <c r="C12" s="0" t="n">
        <v>300</v>
      </c>
      <c r="F12" s="0" t="n">
        <v>5</v>
      </c>
      <c r="G12" s="0" t="n">
        <f aca="false">AMORLINC($C$9,$C$10,$C$11,$C$12,F12,$C$14,$C$15)</f>
        <v>250</v>
      </c>
      <c r="H12" s="4" t="n">
        <v>2014</v>
      </c>
      <c r="J12" s="2" t="s">
        <v>40</v>
      </c>
      <c r="K12" s="0" t="n">
        <v>300</v>
      </c>
      <c r="M12" s="3" t="n">
        <v>2014</v>
      </c>
      <c r="N12" s="0" t="n">
        <v>4</v>
      </c>
      <c r="O12" s="0" t="n">
        <f aca="false">AMORDEGRC($K$9,$K$10,$K$11,$K$12,N12,$K$14,$K$15)</f>
        <v>240</v>
      </c>
      <c r="R12" s="4"/>
      <c r="U12" s="2"/>
      <c r="V12" s="8"/>
      <c r="Z12" s="0" t="n">
        <v>5</v>
      </c>
      <c r="AA12" s="15" t="n">
        <f aca="false">DB($V$7,$V$8,$V$9,Z12,$V$11)</f>
        <v>1029.13035860399</v>
      </c>
      <c r="AB12" s="16" t="n">
        <f aca="false">AB11-AA12</f>
        <v>2196.98361821101</v>
      </c>
      <c r="AT12" s="2" t="n">
        <v>2014</v>
      </c>
      <c r="AU12" s="0" t="n">
        <v>4</v>
      </c>
      <c r="AV12" s="0" t="n">
        <v>14120</v>
      </c>
      <c r="AW12" s="3" t="n">
        <f aca="false">AV12</f>
        <v>14120</v>
      </c>
      <c r="AX12" s="4"/>
      <c r="BA12" s="2"/>
      <c r="BC12" s="4"/>
      <c r="BF12" s="2"/>
      <c r="BH12" s="4"/>
      <c r="BJ12" s="2"/>
      <c r="BL12" s="4"/>
    </row>
    <row r="13" customFormat="false" ht="13.8" hidden="false" customHeight="false" outlineLevel="0" collapsed="false">
      <c r="B13" s="2" t="s">
        <v>21</v>
      </c>
      <c r="C13" s="0" t="n">
        <v>1</v>
      </c>
      <c r="F13" s="0" t="n">
        <v>6</v>
      </c>
      <c r="G13" s="0" t="n">
        <f aca="false">AMORLINC($C$9,$C$10,$C$11,$C$12,F13,$C$14,$C$15)</f>
        <v>250</v>
      </c>
      <c r="H13" s="4" t="n">
        <v>2015</v>
      </c>
      <c r="J13" s="2" t="s">
        <v>21</v>
      </c>
      <c r="K13" s="0" t="n">
        <v>1</v>
      </c>
      <c r="M13" s="3" t="n">
        <v>2015</v>
      </c>
      <c r="N13" s="0" t="n">
        <v>5</v>
      </c>
      <c r="O13" s="0" t="n">
        <f aca="false">AMORDEGRC($K$9,$K$10,$K$11,$K$12,N13,$K$14,$K$15)</f>
        <v>180</v>
      </c>
      <c r="R13" s="4"/>
      <c r="U13" s="2" t="s">
        <v>6</v>
      </c>
      <c r="V13" s="10" t="s">
        <v>41</v>
      </c>
      <c r="W13" s="10"/>
      <c r="X13" s="10"/>
      <c r="Z13" s="0" t="n">
        <v>6</v>
      </c>
      <c r="AA13" s="15" t="n">
        <f aca="false">DB($V$7,$V$8,$V$9,Z13,$V$11)</f>
        <v>700.837774209314</v>
      </c>
      <c r="AB13" s="16" t="n">
        <f aca="false">AB12-AA13</f>
        <v>1496.1458440017</v>
      </c>
      <c r="AT13" s="2" t="n">
        <v>2015</v>
      </c>
      <c r="AU13" s="0" t="n">
        <v>5</v>
      </c>
      <c r="AV13" s="0" t="n">
        <v>15000</v>
      </c>
      <c r="AW13" s="3" t="n">
        <f aca="false">AV13</f>
        <v>15000</v>
      </c>
      <c r="AX13" s="4"/>
      <c r="BA13" s="2"/>
      <c r="BB13" s="0" t="s">
        <v>42</v>
      </c>
      <c r="BC13" s="23" t="n">
        <v>0.03</v>
      </c>
      <c r="BF13" s="2"/>
      <c r="BG13" s="0" t="s">
        <v>42</v>
      </c>
      <c r="BH13" s="23" t="n">
        <v>0.025</v>
      </c>
      <c r="BJ13" s="2"/>
      <c r="BL13" s="23"/>
    </row>
    <row r="14" customFormat="false" ht="13.8" hidden="false" customHeight="false" outlineLevel="0" collapsed="false">
      <c r="B14" s="2" t="s">
        <v>43</v>
      </c>
      <c r="C14" s="8" t="n">
        <v>0.1</v>
      </c>
      <c r="F14" s="0" t="n">
        <v>7</v>
      </c>
      <c r="G14" s="0" t="n">
        <f aca="false">AMORLINC($C$9,$C$10,$C$11,$C$12,F14,$C$14,$C$15)</f>
        <v>250</v>
      </c>
      <c r="H14" s="4" t="n">
        <v>2016</v>
      </c>
      <c r="J14" s="2" t="s">
        <v>43</v>
      </c>
      <c r="K14" s="8" t="n">
        <v>0.1</v>
      </c>
      <c r="M14" s="3" t="n">
        <v>2016</v>
      </c>
      <c r="N14" s="0" t="n">
        <v>6</v>
      </c>
      <c r="O14" s="0" t="n">
        <f aca="false">AMORDEGRC($K$9,$K$10,$K$11,$K$12,N14,$K$14,$K$15)</f>
        <v>135</v>
      </c>
      <c r="R14" s="4"/>
      <c r="U14" s="19" t="s">
        <v>6</v>
      </c>
      <c r="V14" s="24" t="n">
        <f aca="false">1-(V8/V7)^(1/V9)</f>
        <v>0.318707930942039</v>
      </c>
      <c r="W14" s="21"/>
      <c r="X14" s="21"/>
      <c r="Y14" s="21"/>
      <c r="Z14" s="21" t="n">
        <v>7</v>
      </c>
      <c r="AA14" s="25" t="n">
        <f aca="false">DB($V$7,$V$8,$V$9,Z14,$V$11)</f>
        <v>0</v>
      </c>
      <c r="AB14" s="26" t="n">
        <f aca="false">AB13-AA14</f>
        <v>1496.1458440017</v>
      </c>
      <c r="AT14" s="2" t="n">
        <v>2016</v>
      </c>
      <c r="AU14" s="0" t="n">
        <v>6</v>
      </c>
      <c r="AV14" s="0" t="n">
        <v>12500</v>
      </c>
      <c r="AW14" s="3" t="n">
        <f aca="false">AV14</f>
        <v>12500</v>
      </c>
      <c r="AX14" s="4"/>
      <c r="BA14" s="2"/>
      <c r="BB14" s="0" t="s">
        <v>44</v>
      </c>
      <c r="BC14" s="4" t="n">
        <v>4</v>
      </c>
      <c r="BF14" s="2"/>
      <c r="BG14" s="0" t="s">
        <v>44</v>
      </c>
      <c r="BH14" s="4" t="n">
        <v>4</v>
      </c>
      <c r="BJ14" s="2"/>
      <c r="BL14" s="4"/>
    </row>
    <row r="15" customFormat="false" ht="13.8" hidden="false" customHeight="false" outlineLevel="0" collapsed="false">
      <c r="B15" s="2" t="s">
        <v>45</v>
      </c>
      <c r="C15" s="0" t="n">
        <v>1</v>
      </c>
      <c r="F15" s="0" t="n">
        <v>8</v>
      </c>
      <c r="G15" s="0" t="n">
        <f aca="false">AMORLINC($C$9,$C$10,$C$11,$C$12,F15,$C$14,$C$15)</f>
        <v>250</v>
      </c>
      <c r="H15" s="4" t="n">
        <v>2017</v>
      </c>
      <c r="J15" s="2" t="s">
        <v>45</v>
      </c>
      <c r="K15" s="0" t="n">
        <v>1</v>
      </c>
      <c r="M15" s="3" t="n">
        <v>2017</v>
      </c>
      <c r="N15" s="0" t="n">
        <v>7</v>
      </c>
      <c r="O15" s="0" t="n">
        <f aca="false">AMORDEGRC($K$9,$K$10,$K$11,$K$12,N15,$K$14,$K$15)</f>
        <v>101</v>
      </c>
      <c r="R15" s="4"/>
      <c r="AT15" s="2" t="n">
        <v>2017</v>
      </c>
      <c r="AU15" s="0" t="n">
        <v>7</v>
      </c>
      <c r="AV15" s="0" t="n">
        <v>15100</v>
      </c>
      <c r="AW15" s="3" t="n">
        <f aca="false">AV15</f>
        <v>15100</v>
      </c>
      <c r="AX15" s="4"/>
      <c r="BA15" s="2"/>
      <c r="BB15" s="0" t="s">
        <v>46</v>
      </c>
      <c r="BC15" s="4" t="n">
        <v>1000</v>
      </c>
      <c r="BF15" s="2"/>
      <c r="BG15" s="0" t="s">
        <v>46</v>
      </c>
      <c r="BH15" s="4" t="n">
        <v>1000</v>
      </c>
      <c r="BJ15" s="2"/>
      <c r="BL15" s="4"/>
    </row>
    <row r="16" customFormat="false" ht="13.8" hidden="false" customHeight="false" outlineLevel="0" collapsed="false">
      <c r="B16" s="10" t="s">
        <v>47</v>
      </c>
      <c r="C16" s="10"/>
      <c r="D16" s="10"/>
      <c r="E16" s="10"/>
      <c r="F16" s="10" t="n">
        <v>9</v>
      </c>
      <c r="G16" s="0" t="n">
        <f aca="false">AMORLINC($C$9,$C$10,$C$11,$C$12,F16,$C$14,$C$15)</f>
        <v>108.219178082192</v>
      </c>
      <c r="H16" s="4" t="n">
        <v>2018</v>
      </c>
      <c r="J16" s="2"/>
      <c r="M16" s="3" t="n">
        <v>2018</v>
      </c>
      <c r="N16" s="0" t="n">
        <v>8</v>
      </c>
      <c r="O16" s="0" t="n">
        <f aca="false">AMORDEGRC($K$9,$K$10,$K$11,$K$12,N16,$K$14,$K$15)</f>
        <v>151</v>
      </c>
      <c r="R16" s="4"/>
      <c r="AN16" s="27" t="s">
        <v>48</v>
      </c>
      <c r="AO16" s="27"/>
      <c r="AP16" s="27"/>
      <c r="AQ16" s="27"/>
      <c r="AT16" s="2" t="n">
        <v>2018</v>
      </c>
      <c r="AU16" s="0" t="n">
        <v>8</v>
      </c>
      <c r="AV16" s="0" t="n">
        <v>16200</v>
      </c>
      <c r="AW16" s="3" t="n">
        <f aca="false">AV16</f>
        <v>16200</v>
      </c>
      <c r="AX16" s="4"/>
      <c r="BA16" s="2"/>
      <c r="BC16" s="4"/>
      <c r="BF16" s="2"/>
      <c r="BH16" s="4"/>
      <c r="BJ16" s="2"/>
      <c r="BL16" s="4"/>
    </row>
    <row r="17" customFormat="false" ht="13.8" hidden="false" customHeight="false" outlineLevel="0" collapsed="false">
      <c r="B17" s="19"/>
      <c r="C17" s="21"/>
      <c r="D17" s="21"/>
      <c r="E17" s="21"/>
      <c r="F17" s="21" t="n">
        <v>10</v>
      </c>
      <c r="G17" s="21" t="n">
        <f aca="false">AMORLINC($C$9,$C$10,$C$11,$C$12,F17,$C$14,$C$15)</f>
        <v>0</v>
      </c>
      <c r="H17" s="22" t="n">
        <v>2019</v>
      </c>
      <c r="J17" s="2"/>
      <c r="K17" s="3"/>
      <c r="L17" s="3"/>
      <c r="M17" s="3" t="n">
        <v>2019</v>
      </c>
      <c r="N17" s="0" t="n">
        <v>9</v>
      </c>
      <c r="O17" s="0" t="n">
        <f aca="false">AMORDEGRC($K$9,$K$10,$K$11,$K$12,N17,$K$14,$K$15)</f>
        <v>0</v>
      </c>
      <c r="P17" s="3"/>
      <c r="R17" s="4"/>
      <c r="AH17" s="1" t="s">
        <v>49</v>
      </c>
      <c r="AI17" s="1"/>
      <c r="AJ17" s="1"/>
      <c r="AK17" s="1"/>
      <c r="AN17" s="28"/>
      <c r="AO17" s="29"/>
      <c r="AP17" s="29"/>
      <c r="AQ17" s="30"/>
      <c r="AT17" s="2"/>
      <c r="AW17" s="3"/>
      <c r="AX17" s="4"/>
      <c r="BA17" s="31"/>
      <c r="BB17" s="32" t="s">
        <v>3</v>
      </c>
      <c r="BC17" s="26" t="n">
        <f aca="false">PV(BC13,BC14,-BC15)</f>
        <v>3717.09840281037</v>
      </c>
      <c r="BF17" s="31"/>
      <c r="BG17" s="32" t="s">
        <v>4</v>
      </c>
      <c r="BH17" s="26" t="n">
        <f aca="false">FV(BH13,BH14,-BH15)</f>
        <v>4152.51562499998</v>
      </c>
      <c r="BJ17" s="31"/>
      <c r="BK17" s="32" t="s">
        <v>4</v>
      </c>
      <c r="BL17" s="26" t="n">
        <f aca="false">FVSCHEDULE(BL4,BK7:BK10)</f>
        <v>1059.56298021</v>
      </c>
    </row>
    <row r="18" customFormat="false" ht="68.65" hidden="false" customHeight="false" outlineLevel="0" collapsed="false">
      <c r="J18" s="2"/>
      <c r="R18" s="4"/>
      <c r="AH18" s="33" t="s">
        <v>32</v>
      </c>
      <c r="AI18" s="33" t="s">
        <v>50</v>
      </c>
      <c r="AJ18" s="33" t="s">
        <v>51</v>
      </c>
      <c r="AK18" s="33" t="s">
        <v>52</v>
      </c>
      <c r="AN18" s="28" t="s">
        <v>53</v>
      </c>
      <c r="AO18" s="34" t="n">
        <v>0.024</v>
      </c>
      <c r="AP18" s="29"/>
      <c r="AQ18" s="30"/>
      <c r="AT18" s="35" t="s">
        <v>54</v>
      </c>
      <c r="AU18" s="36" t="s">
        <v>55</v>
      </c>
      <c r="AW18" s="3"/>
      <c r="AX18" s="4"/>
      <c r="BA18" s="36" t="s">
        <v>56</v>
      </c>
      <c r="BF18" s="36" t="s">
        <v>57</v>
      </c>
      <c r="BJ18" s="36" t="s">
        <v>58</v>
      </c>
    </row>
    <row r="19" customFormat="false" ht="13.8" hidden="false" customHeight="false" outlineLevel="0" collapsed="false">
      <c r="J19" s="11" t="s">
        <v>59</v>
      </c>
      <c r="K19" s="11" t="n">
        <f aca="false">1/K14</f>
        <v>10</v>
      </c>
      <c r="R19" s="4"/>
      <c r="AH19" s="37" t="n">
        <v>100</v>
      </c>
      <c r="AI19" s="38" t="s">
        <v>60</v>
      </c>
      <c r="AJ19" s="38" t="s">
        <v>61</v>
      </c>
      <c r="AK19" s="37" t="n">
        <f aca="false">CONVERT(AH19,"m","yd")</f>
        <v>109.361329833771</v>
      </c>
      <c r="AL19" s="39"/>
      <c r="AM19" s="39"/>
      <c r="AN19" s="28" t="s">
        <v>62</v>
      </c>
      <c r="AO19" s="3" t="n">
        <v>200</v>
      </c>
      <c r="AP19" s="29"/>
      <c r="AQ19" s="30"/>
      <c r="AT19" s="2"/>
      <c r="AW19" s="3"/>
      <c r="AX19" s="4"/>
    </row>
    <row r="20" customFormat="false" ht="13.8" hidden="false" customHeight="false" outlineLevel="0" collapsed="false">
      <c r="J20" s="11" t="s">
        <v>63</v>
      </c>
      <c r="K20" s="11" t="n">
        <v>1.5</v>
      </c>
      <c r="R20" s="4"/>
      <c r="AH20" s="40" t="n">
        <v>200</v>
      </c>
      <c r="AI20" s="11" t="s">
        <v>64</v>
      </c>
      <c r="AJ20" s="11" t="s">
        <v>60</v>
      </c>
      <c r="AK20" s="11" t="n">
        <f aca="false">CONVERT(AH20,"mi","m")</f>
        <v>321868.8</v>
      </c>
      <c r="AN20" s="28"/>
      <c r="AO20" s="29"/>
      <c r="AP20" s="29"/>
      <c r="AQ20" s="30"/>
      <c r="AT20" s="2" t="s">
        <v>65</v>
      </c>
      <c r="AU20" s="41" t="n">
        <f aca="false">NPV($AU$5,AV9:AV16)-$AU$3</f>
        <v>61188.5210158379</v>
      </c>
      <c r="AW20" s="3"/>
      <c r="AX20" s="4"/>
    </row>
    <row r="21" customFormat="false" ht="19.7" hidden="false" customHeight="false" outlineLevel="0" collapsed="false">
      <c r="J21" s="11" t="s">
        <v>66</v>
      </c>
      <c r="K21" s="11" t="n">
        <v>2</v>
      </c>
      <c r="L21" s="42" t="s">
        <v>67</v>
      </c>
      <c r="M21" s="42"/>
      <c r="N21" s="42"/>
      <c r="O21" s="42"/>
      <c r="P21" s="42"/>
      <c r="Q21" s="42"/>
      <c r="R21" s="42"/>
      <c r="U21" s="43"/>
      <c r="V21" s="44"/>
      <c r="W21" s="44"/>
      <c r="X21" s="44"/>
      <c r="Y21" s="45" t="s">
        <v>68</v>
      </c>
      <c r="Z21" s="44"/>
      <c r="AA21" s="44"/>
      <c r="AB21" s="44"/>
      <c r="AC21" s="44"/>
      <c r="AD21" s="44"/>
      <c r="AE21" s="44"/>
      <c r="AF21" s="46"/>
      <c r="AH21" s="40" t="n">
        <v>300</v>
      </c>
      <c r="AI21" s="11" t="s">
        <v>69</v>
      </c>
      <c r="AJ21" s="11" t="s">
        <v>60</v>
      </c>
      <c r="AK21" s="11" t="n">
        <f aca="false">CONVERT(AH21,"km","m")</f>
        <v>300000</v>
      </c>
      <c r="AN21" s="28" t="s">
        <v>70</v>
      </c>
      <c r="AO21" s="29"/>
      <c r="AP21" s="29"/>
      <c r="AQ21" s="30"/>
      <c r="AT21" s="2"/>
      <c r="AW21" s="3"/>
      <c r="AX21" s="4"/>
    </row>
    <row r="22" customFormat="false" ht="13.8" hidden="false" customHeight="false" outlineLevel="0" collapsed="false">
      <c r="J22" s="11" t="s">
        <v>71</v>
      </c>
      <c r="K22" s="11" t="n">
        <v>2.5</v>
      </c>
      <c r="L22" s="47" t="s">
        <v>72</v>
      </c>
      <c r="M22" s="47"/>
      <c r="N22" s="47"/>
      <c r="O22" s="47"/>
      <c r="P22" s="47"/>
      <c r="Q22" s="47"/>
      <c r="R22" s="22"/>
      <c r="U22" s="2"/>
      <c r="AF22" s="4"/>
      <c r="AH22" s="3"/>
      <c r="AI22" s="8"/>
      <c r="AN22" s="28"/>
      <c r="AO22" s="29"/>
      <c r="AP22" s="29"/>
      <c r="AQ22" s="30"/>
      <c r="AT22" s="2"/>
      <c r="AX22" s="4"/>
    </row>
    <row r="23" customFormat="false" ht="13.8" hidden="false" customHeight="false" outlineLevel="0" collapsed="false">
      <c r="U23" s="2" t="s">
        <v>73</v>
      </c>
      <c r="V23" s="18" t="n">
        <v>41275</v>
      </c>
      <c r="AF23" s="4"/>
      <c r="AH23" s="3"/>
      <c r="AN23" s="28" t="s">
        <v>74</v>
      </c>
      <c r="AO23" s="34" t="n">
        <f aca="false">NOMINAL($AO$18,$AO$19)</f>
        <v>0.0237179328570036</v>
      </c>
      <c r="AP23" s="29"/>
      <c r="AQ23" s="30"/>
      <c r="AT23" s="2"/>
      <c r="AX23" s="4"/>
    </row>
    <row r="24" customFormat="false" ht="13.8" hidden="false" customHeight="false" outlineLevel="0" collapsed="false">
      <c r="U24" s="2" t="s">
        <v>75</v>
      </c>
      <c r="V24" s="18" t="n">
        <v>41456</v>
      </c>
      <c r="AF24" s="4"/>
      <c r="AH24" s="3"/>
      <c r="AN24" s="31"/>
      <c r="AO24" s="21"/>
      <c r="AP24" s="21"/>
      <c r="AQ24" s="22"/>
      <c r="AT24" s="2"/>
      <c r="AX24" s="4"/>
    </row>
    <row r="25" customFormat="false" ht="13.8" hidden="false" customHeight="false" outlineLevel="0" collapsed="false">
      <c r="U25" s="2" t="s">
        <v>76</v>
      </c>
      <c r="V25" s="18" t="n">
        <v>41365</v>
      </c>
      <c r="AF25" s="4"/>
      <c r="AH25" s="3"/>
      <c r="AN25" s="3"/>
      <c r="AT25" s="2"/>
      <c r="AX25" s="4"/>
    </row>
    <row r="26" customFormat="false" ht="13.8" hidden="false" customHeight="false" outlineLevel="0" collapsed="false">
      <c r="B26" s="1" t="s">
        <v>77</v>
      </c>
      <c r="C26" s="1"/>
      <c r="D26" s="1"/>
      <c r="E26" s="1"/>
      <c r="F26" s="1"/>
      <c r="G26" s="1"/>
      <c r="H26" s="1"/>
      <c r="I26" s="1"/>
      <c r="U26" s="2" t="s">
        <v>6</v>
      </c>
      <c r="V26" s="8" t="n">
        <v>0.1</v>
      </c>
      <c r="AF26" s="4"/>
      <c r="AH26" s="3"/>
      <c r="AN26" s="3"/>
      <c r="AT26" s="2" t="s">
        <v>54</v>
      </c>
      <c r="AU26" s="34" t="n">
        <f aca="false">IRR(AW8:AW16)</f>
        <v>0.930684361373268</v>
      </c>
      <c r="AV26" s="3"/>
      <c r="AW26" s="3"/>
      <c r="AX26" s="4"/>
    </row>
    <row r="27" customFormat="false" ht="13.8" hidden="false" customHeight="false" outlineLevel="0" collapsed="false">
      <c r="B27" s="2" t="s">
        <v>78</v>
      </c>
      <c r="C27" s="48" t="s">
        <v>79</v>
      </c>
      <c r="D27" s="48"/>
      <c r="E27" s="48"/>
      <c r="F27" s="48"/>
      <c r="I27" s="4"/>
      <c r="U27" s="2" t="s">
        <v>80</v>
      </c>
      <c r="V27" s="0" t="n">
        <v>5000</v>
      </c>
      <c r="AF27" s="4"/>
      <c r="AH27" s="49" t="s">
        <v>81</v>
      </c>
      <c r="AI27" s="49"/>
      <c r="AJ27" s="49"/>
      <c r="AK27" s="49"/>
      <c r="AL27" s="50"/>
      <c r="AM27" s="50"/>
      <c r="AT27" s="2"/>
      <c r="AX27" s="4"/>
    </row>
    <row r="28" customFormat="false" ht="149.25" hidden="false" customHeight="false" outlineLevel="0" collapsed="false">
      <c r="B28" s="2" t="s">
        <v>82</v>
      </c>
      <c r="C28" s="18" t="n">
        <v>42050</v>
      </c>
      <c r="D28" s="48" t="s">
        <v>83</v>
      </c>
      <c r="E28" s="48"/>
      <c r="F28" s="48"/>
      <c r="G28" s="48"/>
      <c r="I28" s="4"/>
      <c r="U28" s="2" t="s">
        <v>84</v>
      </c>
      <c r="V28" s="0" t="n">
        <v>2</v>
      </c>
      <c r="AF28" s="4"/>
      <c r="AH28" s="11" t="s">
        <v>85</v>
      </c>
      <c r="AI28" s="11" t="s">
        <v>86</v>
      </c>
      <c r="AJ28" s="11" t="s">
        <v>87</v>
      </c>
      <c r="AK28" s="11" t="s">
        <v>88</v>
      </c>
      <c r="AL28" s="3"/>
      <c r="AM28" s="29"/>
      <c r="AT28" s="51" t="s">
        <v>89</v>
      </c>
      <c r="AU28" s="51"/>
      <c r="AV28" s="36" t="s">
        <v>90</v>
      </c>
      <c r="AX28" s="4"/>
    </row>
    <row r="29" customFormat="false" ht="13.8" hidden="false" customHeight="false" outlineLevel="0" collapsed="false">
      <c r="B29" s="2" t="s">
        <v>91</v>
      </c>
      <c r="C29" s="18" t="n">
        <v>42155</v>
      </c>
      <c r="D29" s="48" t="s">
        <v>92</v>
      </c>
      <c r="E29" s="48"/>
      <c r="F29" s="48"/>
      <c r="G29" s="48"/>
      <c r="I29" s="4"/>
      <c r="U29" s="2" t="s">
        <v>45</v>
      </c>
      <c r="V29" s="0" t="n">
        <v>1</v>
      </c>
      <c r="AF29" s="4"/>
      <c r="AH29" s="52" t="n">
        <v>20000</v>
      </c>
      <c r="AI29" s="52" t="n">
        <v>4</v>
      </c>
      <c r="AJ29" s="52" t="n">
        <v>200</v>
      </c>
      <c r="AK29" s="53" t="n">
        <f aca="false">SLN(AH29,AJ29,AI29)</f>
        <v>4950</v>
      </c>
      <c r="AL29" s="29"/>
      <c r="AT29" s="51" t="s">
        <v>93</v>
      </c>
      <c r="AU29" s="51"/>
      <c r="AV29" s="8" t="n">
        <v>0.117</v>
      </c>
      <c r="AX29" s="4"/>
    </row>
    <row r="30" customFormat="false" ht="13.8" hidden="false" customHeight="false" outlineLevel="1" collapsed="false">
      <c r="B30" s="2" t="s">
        <v>84</v>
      </c>
      <c r="C30" s="0" t="n">
        <v>2</v>
      </c>
      <c r="D30" s="0" t="s">
        <v>94</v>
      </c>
      <c r="I30" s="4"/>
      <c r="U30" s="2" t="s">
        <v>95</v>
      </c>
      <c r="V30" s="0" t="n">
        <v>1</v>
      </c>
      <c r="AF30" s="4"/>
      <c r="AH30" s="3"/>
      <c r="AI30" s="3"/>
      <c r="AJ30" s="3"/>
      <c r="AK30" s="3"/>
      <c r="AL30" s="29"/>
      <c r="AM30" s="29"/>
      <c r="AT30" s="51" t="s">
        <v>89</v>
      </c>
      <c r="AU30" s="51"/>
      <c r="AV30" s="8" t="n">
        <v>0.95</v>
      </c>
      <c r="AX30" s="4"/>
    </row>
    <row r="31" customFormat="false" ht="13.8" hidden="false" customHeight="false" outlineLevel="0" collapsed="false">
      <c r="B31" s="2" t="s">
        <v>45</v>
      </c>
      <c r="C31" s="0" t="n">
        <v>2</v>
      </c>
      <c r="D31" s="10" t="s">
        <v>47</v>
      </c>
      <c r="E31" s="10"/>
      <c r="F31" s="10"/>
      <c r="G31" s="10"/>
      <c r="H31" s="10"/>
      <c r="I31" s="4"/>
      <c r="U31" s="2" t="s">
        <v>96</v>
      </c>
      <c r="V31" s="0" t="e">
        <f aca="false">ACCRINT(V23,V25,V26,V27,V29)</f>
        <v>#VALUE!</v>
      </c>
      <c r="AF31" s="4"/>
      <c r="AH31" s="3"/>
      <c r="AI31" s="3"/>
      <c r="AJ31" s="3"/>
      <c r="AK31" s="3"/>
      <c r="AL31" s="29"/>
      <c r="AM31" s="29"/>
      <c r="AT31" s="2"/>
      <c r="AX31" s="4"/>
    </row>
    <row r="32" customFormat="false" ht="13.8" hidden="false" customHeight="false" outlineLevel="0" collapsed="false">
      <c r="B32" s="2" t="s">
        <v>97</v>
      </c>
      <c r="C32" s="0" t="s">
        <v>98</v>
      </c>
      <c r="I32" s="4"/>
      <c r="U32" s="2"/>
      <c r="AF32" s="4"/>
      <c r="AH32" s="3"/>
      <c r="AI32" s="3"/>
      <c r="AJ32" s="3"/>
      <c r="AK32" s="3"/>
      <c r="AL32" s="29"/>
      <c r="AM32" s="29"/>
      <c r="AT32" s="2"/>
      <c r="AX32" s="4"/>
    </row>
    <row r="33" customFormat="false" ht="13.8" hidden="false" customHeight="false" outlineLevel="0" collapsed="false">
      <c r="B33" s="2" t="s">
        <v>99</v>
      </c>
      <c r="C33" s="0" t="s">
        <v>100</v>
      </c>
      <c r="I33" s="4"/>
      <c r="U33" s="2"/>
      <c r="AF33" s="4"/>
      <c r="AH33" s="54"/>
      <c r="AI33" s="50"/>
      <c r="AJ33" s="50"/>
      <c r="AK33" s="50"/>
      <c r="AL33" s="29"/>
      <c r="AM33" s="29"/>
      <c r="AT33" s="2"/>
      <c r="AX33" s="4"/>
    </row>
    <row r="34" customFormat="false" ht="13.8" hidden="false" customHeight="false" outlineLevel="0" collapsed="false">
      <c r="B34" s="55" t="s">
        <v>101</v>
      </c>
      <c r="C34" s="55"/>
      <c r="D34" s="55"/>
      <c r="E34" s="55"/>
      <c r="F34" s="55"/>
      <c r="G34" s="55"/>
      <c r="H34" s="55"/>
      <c r="I34" s="55"/>
      <c r="U34" s="2"/>
      <c r="AF34" s="4"/>
      <c r="AH34" s="3"/>
      <c r="AI34" s="3"/>
      <c r="AJ34" s="3"/>
      <c r="AK34" s="3"/>
      <c r="AL34" s="29"/>
      <c r="AM34" s="29"/>
      <c r="AT34" s="31" t="s">
        <v>102</v>
      </c>
      <c r="AU34" s="21" t="e">
        <f aca="false">tirm(AW8:AW16,AV29,AV30)</f>
        <v>#NAME?</v>
      </c>
      <c r="AV34" s="21"/>
      <c r="AW34" s="21"/>
      <c r="AX34" s="22"/>
    </row>
    <row r="35" customFormat="false" ht="13.8" hidden="false" customHeight="false" outlineLevel="0" collapsed="false">
      <c r="B35" s="55" t="s">
        <v>103</v>
      </c>
      <c r="C35" s="55"/>
      <c r="D35" s="55"/>
      <c r="E35" s="55"/>
      <c r="F35" s="55"/>
      <c r="G35" s="55"/>
      <c r="H35" s="55"/>
      <c r="I35" s="55"/>
      <c r="U35" s="2"/>
      <c r="AF35" s="4"/>
      <c r="AH35" s="3"/>
      <c r="AI35" s="3"/>
      <c r="AJ35" s="3"/>
      <c r="AK35" s="15"/>
      <c r="AL35" s="29"/>
      <c r="AM35" s="29"/>
    </row>
    <row r="36" customFormat="false" ht="13.8" hidden="false" customHeight="false" outlineLevel="0" collapsed="false">
      <c r="B36" s="56"/>
      <c r="I36" s="4"/>
      <c r="U36" s="2"/>
      <c r="AF36" s="4"/>
      <c r="AH36" s="57"/>
      <c r="AI36" s="29"/>
      <c r="AJ36" s="29"/>
      <c r="AK36" s="29"/>
      <c r="AL36" s="29"/>
      <c r="AM36" s="29"/>
    </row>
    <row r="37" customFormat="false" ht="13.8" hidden="false" customHeight="false" outlineLevel="0" collapsed="false">
      <c r="B37" s="56" t="s">
        <v>104</v>
      </c>
      <c r="C37" s="0" t="n">
        <f aca="false">COUPDAYS(C28,C29,C30,C31)</f>
        <v>180</v>
      </c>
      <c r="I37" s="4"/>
      <c r="U37" s="2"/>
      <c r="AF37" s="4"/>
      <c r="AH37" s="57"/>
      <c r="AI37" s="29"/>
      <c r="AJ37" s="29"/>
      <c r="AK37" s="29"/>
      <c r="AL37" s="29"/>
      <c r="AM37" s="29"/>
    </row>
    <row r="38" customFormat="false" ht="13.8" hidden="false" customHeight="false" outlineLevel="0" collapsed="false">
      <c r="B38" s="56"/>
      <c r="I38" s="4"/>
      <c r="U38" s="19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2"/>
      <c r="AH38" s="57"/>
      <c r="AI38" s="29"/>
      <c r="AJ38" s="29"/>
      <c r="AK38" s="29"/>
      <c r="AL38" s="29"/>
      <c r="AM38" s="29"/>
    </row>
    <row r="39" customFormat="false" ht="41.75" hidden="false" customHeight="false" outlineLevel="0" collapsed="false">
      <c r="B39" s="2"/>
      <c r="C39" s="0" t="s">
        <v>78</v>
      </c>
      <c r="E39" s="0" t="s">
        <v>105</v>
      </c>
      <c r="I39" s="4" t="s">
        <v>91</v>
      </c>
      <c r="AH39" s="57"/>
      <c r="AI39" s="29"/>
      <c r="AJ39" s="29"/>
      <c r="AK39" s="29"/>
      <c r="AL39" s="29"/>
      <c r="AM39" s="29"/>
      <c r="AT39" s="6" t="s">
        <v>106</v>
      </c>
      <c r="AU39" s="6"/>
      <c r="AV39" s="6"/>
      <c r="AW39" s="6"/>
      <c r="AX39" s="6"/>
    </row>
    <row r="40" customFormat="false" ht="13.8" hidden="false" customHeight="false" outlineLevel="0" collapsed="false">
      <c r="B40" s="2"/>
      <c r="I40" s="4"/>
      <c r="AH40" s="57"/>
      <c r="AI40" s="29"/>
      <c r="AJ40" s="29"/>
      <c r="AK40" s="29"/>
      <c r="AL40" s="29"/>
      <c r="AM40" s="29"/>
      <c r="AT40" s="2"/>
      <c r="AX40" s="4"/>
    </row>
    <row r="41" customFormat="false" ht="13.8" hidden="false" customHeight="false" outlineLevel="0" collapsed="false">
      <c r="B41" s="2"/>
      <c r="E41" s="18" t="n">
        <v>42050</v>
      </c>
      <c r="I41" s="58" t="n">
        <v>42155</v>
      </c>
      <c r="AT41" s="2" t="s">
        <v>2</v>
      </c>
      <c r="AU41" s="0" t="n">
        <v>15000</v>
      </c>
      <c r="AX41" s="4"/>
    </row>
    <row r="42" customFormat="false" ht="13.8" hidden="false" customHeight="false" outlineLevel="0" collapsed="false">
      <c r="B42" s="2"/>
      <c r="I42" s="4"/>
      <c r="AT42" s="2" t="s">
        <v>16</v>
      </c>
      <c r="AU42" s="8" t="n">
        <v>0.1</v>
      </c>
      <c r="AX42" s="4"/>
    </row>
    <row r="43" customFormat="false" ht="13.8" hidden="false" customHeight="false" outlineLevel="0" collapsed="false">
      <c r="B43" s="19"/>
      <c r="C43" s="21"/>
      <c r="D43" s="59" t="s">
        <v>107</v>
      </c>
      <c r="E43" s="59"/>
      <c r="F43" s="59"/>
      <c r="G43" s="21"/>
      <c r="H43" s="21"/>
      <c r="I43" s="22"/>
      <c r="AT43" s="2"/>
      <c r="AX43" s="4"/>
    </row>
    <row r="44" customFormat="false" ht="13.8" hidden="false" customHeight="false" outlineLevel="0" collapsed="false">
      <c r="U44" s="5" t="s">
        <v>108</v>
      </c>
      <c r="V44" s="5"/>
      <c r="W44" s="5"/>
      <c r="X44" s="5"/>
      <c r="Y44" s="5"/>
      <c r="Z44" s="5"/>
      <c r="AA44" s="5"/>
      <c r="AB44" s="5"/>
      <c r="AC44" s="5"/>
      <c r="AD44" s="5"/>
      <c r="AT44" s="2"/>
      <c r="AX44" s="4"/>
    </row>
    <row r="45" customFormat="false" ht="13.8" hidden="false" customHeight="false" outlineLevel="0" collapsed="false">
      <c r="U45" s="2"/>
      <c r="AD45" s="4"/>
      <c r="AH45" s="1" t="s">
        <v>109</v>
      </c>
      <c r="AI45" s="1"/>
      <c r="AJ45" s="1"/>
      <c r="AK45" s="1"/>
      <c r="AL45" s="1"/>
      <c r="AM45" s="1"/>
      <c r="AN45" s="1"/>
      <c r="AT45" s="2"/>
      <c r="AX45" s="4"/>
    </row>
    <row r="46" customFormat="false" ht="13.8" hidden="false" customHeight="false" outlineLevel="0" collapsed="false">
      <c r="U46" s="60" t="s">
        <v>110</v>
      </c>
      <c r="V46" s="60"/>
      <c r="W46" s="8" t="n">
        <v>0.052</v>
      </c>
      <c r="AD46" s="4"/>
      <c r="AH46" s="2"/>
      <c r="AN46" s="4"/>
      <c r="AO46" s="1" t="s">
        <v>111</v>
      </c>
      <c r="AP46" s="1"/>
      <c r="AQ46" s="1"/>
      <c r="AR46" s="1"/>
      <c r="AT46" s="61" t="s">
        <v>112</v>
      </c>
      <c r="AU46" s="61"/>
      <c r="AV46" s="61"/>
      <c r="AW46" s="61"/>
      <c r="AX46" s="4"/>
    </row>
    <row r="47" customFormat="false" ht="13.8" hidden="false" customHeight="false" outlineLevel="0" collapsed="false">
      <c r="U47" s="60" t="s">
        <v>113</v>
      </c>
      <c r="V47" s="60"/>
      <c r="W47" s="0" t="n">
        <v>2</v>
      </c>
      <c r="X47" s="42" t="s">
        <v>114</v>
      </c>
      <c r="Y47" s="42"/>
      <c r="Z47" s="42"/>
      <c r="AA47" s="42"/>
      <c r="AB47" s="42"/>
      <c r="AC47" s="42"/>
      <c r="AD47" s="42"/>
      <c r="AH47" s="2" t="s">
        <v>115</v>
      </c>
      <c r="AI47" s="0" t="n">
        <v>30000</v>
      </c>
      <c r="AL47" s="0" t="s">
        <v>116</v>
      </c>
      <c r="AN47" s="4"/>
      <c r="AO47" s="2" t="s">
        <v>117</v>
      </c>
      <c r="AP47" s="0" t="n">
        <v>30000</v>
      </c>
      <c r="AR47" s="4"/>
      <c r="AT47" s="62" t="s">
        <v>118</v>
      </c>
      <c r="AU47" s="11" t="s">
        <v>32</v>
      </c>
      <c r="AV47" s="11"/>
      <c r="AW47" s="11"/>
      <c r="AX47" s="4"/>
    </row>
    <row r="48" customFormat="false" ht="13.8" hidden="false" customHeight="false" outlineLevel="0" collapsed="false">
      <c r="U48" s="2"/>
      <c r="AD48" s="4"/>
      <c r="AH48" s="2" t="s">
        <v>119</v>
      </c>
      <c r="AI48" s="8" t="n">
        <v>0.0195</v>
      </c>
      <c r="AL48" s="0" t="s">
        <v>120</v>
      </c>
      <c r="AN48" s="4"/>
      <c r="AO48" s="2" t="s">
        <v>121</v>
      </c>
      <c r="AP48" s="0" t="n">
        <v>3000</v>
      </c>
      <c r="AR48" s="4"/>
      <c r="AT48" s="11" t="s">
        <v>122</v>
      </c>
      <c r="AU48" s="11" t="n">
        <f aca="false">-AU41</f>
        <v>-15000</v>
      </c>
      <c r="AV48" s="63" t="s">
        <v>123</v>
      </c>
      <c r="AW48" s="63"/>
      <c r="AX48" s="4"/>
    </row>
    <row r="49" customFormat="false" ht="13.8" hidden="false" customHeight="false" outlineLevel="0" collapsed="false">
      <c r="U49" s="2"/>
      <c r="AD49" s="4"/>
      <c r="AH49" s="2" t="s">
        <v>124</v>
      </c>
      <c r="AI49" s="0" t="n">
        <v>24</v>
      </c>
      <c r="AN49" s="4"/>
      <c r="AO49" s="2" t="s">
        <v>34</v>
      </c>
      <c r="AP49" s="0" t="n">
        <v>10</v>
      </c>
      <c r="AR49" s="4"/>
      <c r="AT49" s="11" t="s">
        <v>125</v>
      </c>
      <c r="AU49" s="11" t="n">
        <v>14000</v>
      </c>
      <c r="AV49" s="11"/>
      <c r="AW49" s="11"/>
      <c r="AX49" s="4"/>
    </row>
    <row r="50" customFormat="false" ht="13.8" hidden="false" customHeight="false" outlineLevel="0" collapsed="false">
      <c r="U50" s="2"/>
      <c r="AD50" s="4"/>
      <c r="AH50" s="2" t="s">
        <v>126</v>
      </c>
      <c r="AI50" s="0" t="n">
        <f aca="false">AI48/12</f>
        <v>0.001625</v>
      </c>
      <c r="AN50" s="4"/>
      <c r="AO50" s="2" t="s">
        <v>127</v>
      </c>
      <c r="AR50" s="4"/>
      <c r="AT50" s="11" t="s">
        <v>128</v>
      </c>
      <c r="AU50" s="11" t="n">
        <v>13880</v>
      </c>
      <c r="AV50" s="11"/>
      <c r="AW50" s="11"/>
      <c r="AX50" s="4"/>
    </row>
    <row r="51" customFormat="false" ht="13.8" hidden="false" customHeight="false" outlineLevel="0" collapsed="false">
      <c r="U51" s="64" t="s">
        <v>129</v>
      </c>
      <c r="V51" s="64"/>
      <c r="W51" s="24" t="n">
        <f aca="false">EFFECTIVE(W46,W47)</f>
        <v>0.0526759999999999</v>
      </c>
      <c r="X51" s="21"/>
      <c r="Y51" s="21"/>
      <c r="Z51" s="21"/>
      <c r="AA51" s="21"/>
      <c r="AB51" s="21"/>
      <c r="AC51" s="21"/>
      <c r="AD51" s="22"/>
      <c r="AH51" s="2"/>
      <c r="AJ51" s="0" t="s">
        <v>130</v>
      </c>
      <c r="AK51" s="0" t="s">
        <v>131</v>
      </c>
      <c r="AM51" s="4" t="s">
        <v>132</v>
      </c>
      <c r="AO51" s="2"/>
      <c r="AR51" s="4"/>
      <c r="AT51" s="11" t="s">
        <v>133</v>
      </c>
      <c r="AU51" s="11" t="n">
        <v>14202</v>
      </c>
      <c r="AV51" s="11"/>
      <c r="AW51" s="11"/>
      <c r="AX51" s="4"/>
    </row>
    <row r="52" customFormat="false" ht="13.8" hidden="false" customHeight="false" outlineLevel="0" collapsed="false">
      <c r="AH52" s="2"/>
      <c r="AM52" s="4"/>
      <c r="AO52" s="2" t="n">
        <v>-1</v>
      </c>
      <c r="AQ52" s="65"/>
      <c r="AR52" s="4"/>
      <c r="AT52" s="11" t="s">
        <v>134</v>
      </c>
      <c r="AU52" s="11" t="n">
        <v>14120</v>
      </c>
      <c r="AV52" s="11"/>
      <c r="AW52" s="11"/>
      <c r="AX52" s="4"/>
    </row>
    <row r="53" customFormat="false" ht="13.8" hidden="false" customHeight="false" outlineLevel="0" collapsed="false">
      <c r="AH53" s="66" t="s">
        <v>135</v>
      </c>
      <c r="AI53" s="67" t="s">
        <v>136</v>
      </c>
      <c r="AJ53" s="67" t="s">
        <v>137</v>
      </c>
      <c r="AK53" s="67" t="s">
        <v>138</v>
      </c>
      <c r="AL53" s="67" t="s">
        <v>139</v>
      </c>
      <c r="AM53" s="68" t="s">
        <v>140</v>
      </c>
      <c r="AO53" s="66" t="s">
        <v>135</v>
      </c>
      <c r="AP53" s="67" t="s">
        <v>136</v>
      </c>
      <c r="AQ53" s="67" t="s">
        <v>138</v>
      </c>
      <c r="AR53" s="68"/>
      <c r="AT53" s="11" t="s">
        <v>141</v>
      </c>
      <c r="AU53" s="11" t="n">
        <v>15000</v>
      </c>
      <c r="AV53" s="11"/>
      <c r="AW53" s="11"/>
      <c r="AX53" s="4"/>
    </row>
    <row r="54" customFormat="false" ht="13.8" hidden="false" customHeight="false" outlineLevel="0" collapsed="false">
      <c r="AH54" s="69" t="n">
        <v>0</v>
      </c>
      <c r="AI54" s="70"/>
      <c r="AJ54" s="70"/>
      <c r="AK54" s="70"/>
      <c r="AL54" s="70"/>
      <c r="AM54" s="71" t="n">
        <f aca="false">AI47</f>
        <v>30000</v>
      </c>
      <c r="AO54" s="69" t="n">
        <v>0</v>
      </c>
      <c r="AP54" s="72" t="n">
        <v>30000</v>
      </c>
      <c r="AQ54" s="65"/>
      <c r="AR54" s="71"/>
      <c r="AT54" s="11" t="s">
        <v>142</v>
      </c>
      <c r="AU54" s="11" t="n">
        <v>12500</v>
      </c>
      <c r="AV54" s="11"/>
      <c r="AW54" s="11"/>
      <c r="AX54" s="4"/>
    </row>
    <row r="55" customFormat="false" ht="13.8" hidden="false" customHeight="false" outlineLevel="0" collapsed="false">
      <c r="AH55" s="69" t="n">
        <v>1</v>
      </c>
      <c r="AI55" s="65" t="n">
        <f aca="false">AM54</f>
        <v>30000</v>
      </c>
      <c r="AJ55" s="65" t="n">
        <f aca="false">IPMT($AI$50,AH55,$AI$49,-$AM$54)</f>
        <v>48.75</v>
      </c>
      <c r="AK55" s="65" t="n">
        <f aca="false">PPMT($AI$50,AH55,$AI$49,-$AM$54)</f>
        <v>1226.7986550605</v>
      </c>
      <c r="AL55" s="65" t="n">
        <f aca="false">PMT($AI$50,$AI$49,-$AI$47)</f>
        <v>1275.5486550605</v>
      </c>
      <c r="AM55" s="71" t="n">
        <f aca="false">AI55-AK55</f>
        <v>28773.2013449395</v>
      </c>
      <c r="AO55" s="69" t="n">
        <v>1</v>
      </c>
      <c r="AP55" s="72"/>
      <c r="AQ55" s="65" t="n">
        <f aca="false">SYD($AP$47,$AP$48,$AP$49,AO55)</f>
        <v>4909.09090909091</v>
      </c>
      <c r="AR55" s="71"/>
      <c r="AT55" s="11" t="s">
        <v>143</v>
      </c>
      <c r="AU55" s="11" t="n">
        <v>15100</v>
      </c>
      <c r="AV55" s="11"/>
      <c r="AW55" s="11"/>
      <c r="AX55" s="4"/>
    </row>
    <row r="56" customFormat="false" ht="13.8" hidden="false" customHeight="false" outlineLevel="0" collapsed="false">
      <c r="U56" s="1" t="s">
        <v>144</v>
      </c>
      <c r="V56" s="1"/>
      <c r="W56" s="1"/>
      <c r="X56" s="1"/>
      <c r="Y56" s="1"/>
      <c r="Z56" s="1"/>
      <c r="AH56" s="69" t="n">
        <v>2</v>
      </c>
      <c r="AI56" s="65" t="n">
        <f aca="false">AM55</f>
        <v>28773.2013449395</v>
      </c>
      <c r="AJ56" s="65" t="n">
        <f aca="false">IPMT($AI$50,AH56,$AI$49,-$AM$54)</f>
        <v>46.7564521855267</v>
      </c>
      <c r="AK56" s="65" t="n">
        <f aca="false">PPMT($AI$50,AH56,$AI$49,-$AM$54)</f>
        <v>1228.79220287498</v>
      </c>
      <c r="AL56" s="65" t="n">
        <f aca="false">PMT($AI$50,$AI$49,-$AI$47)</f>
        <v>1275.5486550605</v>
      </c>
      <c r="AM56" s="71" t="n">
        <f aca="false">AI56-AK56</f>
        <v>27544.4091420645</v>
      </c>
      <c r="AO56" s="69" t="n">
        <v>2</v>
      </c>
      <c r="AP56" s="72"/>
      <c r="AQ56" s="65" t="n">
        <f aca="false">SYD($AP$47,$AP$48,$AP$49,AO56)</f>
        <v>4418.18181818182</v>
      </c>
      <c r="AR56" s="71"/>
      <c r="AT56" s="11" t="s">
        <v>145</v>
      </c>
      <c r="AU56" s="11" t="n">
        <v>16200</v>
      </c>
      <c r="AV56" s="11"/>
      <c r="AW56" s="11"/>
      <c r="AX56" s="4"/>
    </row>
    <row r="57" customFormat="false" ht="13.8" hidden="false" customHeight="false" outlineLevel="0" collapsed="false">
      <c r="U57" s="60" t="s">
        <v>6</v>
      </c>
      <c r="V57" s="60"/>
      <c r="W57" s="8" t="n">
        <v>0.06</v>
      </c>
      <c r="Z57" s="4"/>
      <c r="AH57" s="69" t="n">
        <v>3</v>
      </c>
      <c r="AI57" s="65" t="n">
        <f aca="false">AM56</f>
        <v>27544.4091420645</v>
      </c>
      <c r="AJ57" s="65" t="n">
        <f aca="false">IPMT($AI$50,AH57,$AI$49,-$AM$54)</f>
        <v>44.7596648558549</v>
      </c>
      <c r="AK57" s="65" t="n">
        <f aca="false">PPMT($AI$50,AH57,$AI$49,-$AM$54)</f>
        <v>1230.78899020465</v>
      </c>
      <c r="AL57" s="65" t="n">
        <f aca="false">PMT($AI$50,$AI$49,-$AI$47)</f>
        <v>1275.5486550605</v>
      </c>
      <c r="AM57" s="71" t="n">
        <f aca="false">AI57-AK57</f>
        <v>26313.6201518599</v>
      </c>
      <c r="AO57" s="69" t="n">
        <v>3</v>
      </c>
      <c r="AP57" s="72"/>
      <c r="AQ57" s="65" t="n">
        <f aca="false">SYD($AP$47,$AP$48,$AP$49,AO57)</f>
        <v>3927.27272727273</v>
      </c>
      <c r="AR57" s="71"/>
      <c r="AT57" s="2"/>
      <c r="AX57" s="4"/>
    </row>
    <row r="58" customFormat="false" ht="13.8" hidden="false" customHeight="false" outlineLevel="0" collapsed="false">
      <c r="U58" s="60" t="s">
        <v>146</v>
      </c>
      <c r="V58" s="60"/>
      <c r="W58" s="0" t="n">
        <v>4</v>
      </c>
      <c r="X58" s="0" t="s">
        <v>147</v>
      </c>
      <c r="Z58" s="4"/>
      <c r="AH58" s="69" t="n">
        <v>4</v>
      </c>
      <c r="AI58" s="65" t="n">
        <f aca="false">AM57</f>
        <v>26313.6201518599</v>
      </c>
      <c r="AJ58" s="65" t="n">
        <f aca="false">IPMT($AI$50,AH58,$AI$49,-$AM$54)</f>
        <v>42.7596327467725</v>
      </c>
      <c r="AK58" s="65" t="n">
        <f aca="false">PPMT($AI$50,AH58,$AI$49,-$AM$54)</f>
        <v>1232.78902231373</v>
      </c>
      <c r="AL58" s="65" t="n">
        <f aca="false">PMT($AI$50,$AI$49,-$AI$47)</f>
        <v>1275.5486550605</v>
      </c>
      <c r="AM58" s="71" t="n">
        <f aca="false">AI58-AK58</f>
        <v>25080.8311295461</v>
      </c>
      <c r="AO58" s="69" t="n">
        <v>4</v>
      </c>
      <c r="AP58" s="72"/>
      <c r="AQ58" s="65" t="n">
        <f aca="false">SYD($AP$47,$AP$48,$AP$49,AO58)</f>
        <v>3436.36363636364</v>
      </c>
      <c r="AR58" s="71"/>
      <c r="AT58" s="2"/>
      <c r="AX58" s="4"/>
    </row>
    <row r="59" customFormat="false" ht="13.8" hidden="false" customHeight="false" outlineLevel="0" collapsed="false">
      <c r="U59" s="60" t="s">
        <v>148</v>
      </c>
      <c r="V59" s="60"/>
      <c r="W59" s="0" t="n">
        <v>5000</v>
      </c>
      <c r="X59" s="0" t="s">
        <v>149</v>
      </c>
      <c r="Z59" s="4"/>
      <c r="AH59" s="69" t="n">
        <v>5</v>
      </c>
      <c r="AI59" s="65" t="n">
        <f aca="false">AM58</f>
        <v>25080.8311295461</v>
      </c>
      <c r="AJ59" s="65" t="n">
        <f aca="false">IPMT($AI$50,AH59,$AI$49,-$AM$54)</f>
        <v>40.7563505855125</v>
      </c>
      <c r="AK59" s="65" t="n">
        <f aca="false">PPMT($AI$50,AH59,$AI$49,-$AM$54)</f>
        <v>1234.79230447499</v>
      </c>
      <c r="AL59" s="65" t="n">
        <f aca="false">PMT($AI$50,$AI$49,-$AI$47)</f>
        <v>1275.5486550605</v>
      </c>
      <c r="AM59" s="71" t="n">
        <f aca="false">AI59-AK59</f>
        <v>23846.0388250712</v>
      </c>
      <c r="AO59" s="69" t="n">
        <v>5</v>
      </c>
      <c r="AP59" s="72"/>
      <c r="AQ59" s="65" t="n">
        <f aca="false">SYD($AP$47,$AP$48,$AP$49,AO59)</f>
        <v>2945.45454545455</v>
      </c>
      <c r="AR59" s="71"/>
      <c r="AT59" s="2" t="s">
        <v>150</v>
      </c>
      <c r="AU59" s="41" t="n">
        <f aca="false">XNPV(AU42,AU48:AU56,AT48:AT56)</f>
        <v>100002</v>
      </c>
      <c r="AX59" s="4"/>
    </row>
    <row r="60" customFormat="false" ht="13.8" hidden="false" customHeight="false" outlineLevel="0" collapsed="false">
      <c r="U60" s="7"/>
      <c r="Z60" s="4"/>
      <c r="AH60" s="69" t="n">
        <v>6</v>
      </c>
      <c r="AI60" s="65" t="n">
        <f aca="false">AM59</f>
        <v>23846.0388250712</v>
      </c>
      <c r="AJ60" s="65" t="n">
        <f aca="false">IPMT($AI$50,AH60,$AI$49,-$AM$54)</f>
        <v>38.7498130907406</v>
      </c>
      <c r="AK60" s="65" t="n">
        <f aca="false">PPMT($AI$50,AH60,$AI$49,-$AM$54)</f>
        <v>1236.79884196976</v>
      </c>
      <c r="AL60" s="65" t="n">
        <f aca="false">PMT($AI$50,$AI$49,-$AI$47)</f>
        <v>1275.5486550605</v>
      </c>
      <c r="AM60" s="71" t="n">
        <f aca="false">AI60-AK60</f>
        <v>22609.2399831014</v>
      </c>
      <c r="AO60" s="69" t="n">
        <v>6</v>
      </c>
      <c r="AP60" s="72"/>
      <c r="AQ60" s="65" t="n">
        <f aca="false">SYD($AP$47,$AP$48,$AP$49,AO60)</f>
        <v>2454.54545454545</v>
      </c>
      <c r="AR60" s="71"/>
      <c r="AT60" s="2"/>
      <c r="AX60" s="4"/>
    </row>
    <row r="61" customFormat="false" ht="13.8" hidden="false" customHeight="false" outlineLevel="0" collapsed="false">
      <c r="U61" s="7"/>
      <c r="X61" s="11" t="s">
        <v>21</v>
      </c>
      <c r="Y61" s="11" t="s">
        <v>151</v>
      </c>
      <c r="Z61" s="4"/>
      <c r="AH61" s="69" t="n">
        <v>7</v>
      </c>
      <c r="AI61" s="65" t="n">
        <f aca="false">AM60</f>
        <v>22609.2399831014</v>
      </c>
      <c r="AJ61" s="65" t="n">
        <f aca="false">IPMT($AI$50,AH61,$AI$49,-$AM$54)</f>
        <v>36.7400149725399</v>
      </c>
      <c r="AK61" s="65" t="n">
        <f aca="false">PPMT($AI$50,AH61,$AI$49,-$AM$54)</f>
        <v>1238.80864008796</v>
      </c>
      <c r="AL61" s="65" t="n">
        <f aca="false">PMT($AI$50,$AI$49,-$AI$47)</f>
        <v>1275.5486550605</v>
      </c>
      <c r="AM61" s="71" t="n">
        <f aca="false">AI61-AK61</f>
        <v>21370.4313430134</v>
      </c>
      <c r="AO61" s="69" t="n">
        <v>7</v>
      </c>
      <c r="AP61" s="72"/>
      <c r="AQ61" s="65" t="n">
        <f aca="false">SYD($AP$47,$AP$48,$AP$49,AO61)</f>
        <v>1963.63636363636</v>
      </c>
      <c r="AR61" s="71"/>
      <c r="AT61" s="31" t="s">
        <v>152</v>
      </c>
      <c r="AU61" s="21" t="e">
        <f aca="false">XIRR(AU48:AU56,AT48:AT56)</f>
        <v>#VALUE!</v>
      </c>
      <c r="AV61" s="21"/>
      <c r="AW61" s="21"/>
      <c r="AX61" s="22"/>
    </row>
    <row r="62" customFormat="false" ht="13.8" hidden="false" customHeight="false" outlineLevel="0" collapsed="false">
      <c r="U62" s="7"/>
      <c r="X62" s="11" t="n">
        <v>1</v>
      </c>
      <c r="Y62" s="11" t="n">
        <f aca="false">ISPMT($W$57,X62,$W$58,$W$59)</f>
        <v>-225</v>
      </c>
      <c r="Z62" s="73" t="s">
        <v>153</v>
      </c>
      <c r="AA62" s="73"/>
      <c r="AB62" s="73"/>
      <c r="AC62" s="73"/>
      <c r="AH62" s="69" t="n">
        <v>8</v>
      </c>
      <c r="AI62" s="65" t="n">
        <f aca="false">AM61</f>
        <v>21370.4313430134</v>
      </c>
      <c r="AJ62" s="65" t="n">
        <f aca="false">IPMT($AI$50,AH62,$AI$49,-$AM$54)</f>
        <v>34.7269509323969</v>
      </c>
      <c r="AK62" s="65" t="n">
        <f aca="false">PPMT($AI$50,AH62,$AI$49,-$AM$54)</f>
        <v>1240.8217041281</v>
      </c>
      <c r="AL62" s="65" t="n">
        <f aca="false">PMT($AI$50,$AI$49,-$AI$47)</f>
        <v>1275.5486550605</v>
      </c>
      <c r="AM62" s="71" t="n">
        <f aca="false">AI62-AK62</f>
        <v>20129.6096388853</v>
      </c>
      <c r="AO62" s="69" t="n">
        <v>8</v>
      </c>
      <c r="AP62" s="72"/>
      <c r="AQ62" s="65" t="n">
        <f aca="false">SYD($AP$47,$AP$48,$AP$49,AO62)</f>
        <v>1472.72727272727</v>
      </c>
      <c r="AR62" s="71"/>
    </row>
    <row r="63" customFormat="false" ht="13.8" hidden="false" customHeight="false" outlineLevel="0" collapsed="false">
      <c r="U63" s="7"/>
      <c r="X63" s="11" t="n">
        <v>2</v>
      </c>
      <c r="Y63" s="11" t="n">
        <f aca="false">ISPMT($W$57,X63,$W$58,$W$59)</f>
        <v>-150</v>
      </c>
      <c r="Z63" s="4"/>
      <c r="AH63" s="69" t="n">
        <v>9</v>
      </c>
      <c r="AI63" s="65" t="n">
        <f aca="false">AM62</f>
        <v>20129.6096388853</v>
      </c>
      <c r="AJ63" s="65" t="n">
        <f aca="false">IPMT($AI$50,AH63,$AI$49,-$AM$54)</f>
        <v>32.7106156631888</v>
      </c>
      <c r="AK63" s="65" t="n">
        <f aca="false">PPMT($AI$50,AH63,$AI$49,-$AM$54)</f>
        <v>1242.83803939731</v>
      </c>
      <c r="AL63" s="65" t="n">
        <f aca="false">PMT($AI$50,$AI$49,-$AI$47)</f>
        <v>1275.5486550605</v>
      </c>
      <c r="AM63" s="71" t="n">
        <f aca="false">AI63-AK63</f>
        <v>18886.771599488</v>
      </c>
      <c r="AO63" s="69" t="n">
        <v>9</v>
      </c>
      <c r="AP63" s="72"/>
      <c r="AQ63" s="65" t="n">
        <f aca="false">SYD($AP$47,$AP$48,$AP$49,AO63)</f>
        <v>981.818181818182</v>
      </c>
      <c r="AR63" s="71"/>
    </row>
    <row r="64" customFormat="false" ht="13.8" hidden="false" customHeight="false" outlineLevel="0" collapsed="false">
      <c r="U64" s="7"/>
      <c r="X64" s="11" t="n">
        <v>3</v>
      </c>
      <c r="Y64" s="11" t="n">
        <f aca="false">ISPMT($W$57,X64,$W$58,$W$59)</f>
        <v>-75</v>
      </c>
      <c r="Z64" s="4"/>
      <c r="AH64" s="69" t="n">
        <v>10</v>
      </c>
      <c r="AI64" s="65" t="n">
        <f aca="false">AM63</f>
        <v>18886.771599488</v>
      </c>
      <c r="AJ64" s="65" t="n">
        <f aca="false">IPMT($AI$50,AH64,$AI$49,-$AM$54)</f>
        <v>30.6910038491681</v>
      </c>
      <c r="AK64" s="65" t="n">
        <f aca="false">PPMT($AI$50,AH64,$AI$49,-$AM$54)</f>
        <v>1244.85765121133</v>
      </c>
      <c r="AL64" s="65" t="n">
        <f aca="false">PMT($AI$50,$AI$49,-$AI$47)</f>
        <v>1275.5486550605</v>
      </c>
      <c r="AM64" s="71" t="n">
        <f aca="false">AI64-AK64</f>
        <v>17641.9139482767</v>
      </c>
      <c r="AO64" s="69" t="n">
        <v>10</v>
      </c>
      <c r="AP64" s="72"/>
      <c r="AQ64" s="65" t="n">
        <f aca="false">SYD($AP$47,$AP$48,$AP$49,AO64)</f>
        <v>490.909090909091</v>
      </c>
      <c r="AR64" s="71"/>
    </row>
    <row r="65" customFormat="false" ht="13.8" hidden="false" customHeight="false" outlineLevel="0" collapsed="false">
      <c r="U65" s="7"/>
      <c r="X65" s="11" t="n">
        <v>4</v>
      </c>
      <c r="Y65" s="11" t="n">
        <f aca="false">ISPMT($W$57,X65,$W$58,$W$59)</f>
        <v>0</v>
      </c>
      <c r="Z65" s="4"/>
      <c r="AH65" s="69" t="n">
        <v>11</v>
      </c>
      <c r="AI65" s="65" t="n">
        <f aca="false">AM64</f>
        <v>17641.9139482767</v>
      </c>
      <c r="AJ65" s="65" t="n">
        <f aca="false">IPMT($AI$50,AH65,$AI$49,-$AM$54)</f>
        <v>28.6681101659499</v>
      </c>
      <c r="AK65" s="65" t="n">
        <f aca="false">PPMT($AI$50,AH65,$AI$49,-$AM$54)</f>
        <v>1246.88054489455</v>
      </c>
      <c r="AL65" s="65" t="n">
        <f aca="false">PMT($AI$50,$AI$49,-$AI$47)</f>
        <v>1275.5486550605</v>
      </c>
      <c r="AM65" s="71" t="n">
        <f aca="false">AI65-AK65</f>
        <v>16395.0334033821</v>
      </c>
      <c r="AO65" s="74" t="n">
        <v>11</v>
      </c>
      <c r="AP65" s="72"/>
      <c r="AQ65" s="75" t="n">
        <f aca="false">SYD($AP$47,$AP$48,$AP$49,AO65)</f>
        <v>0</v>
      </c>
      <c r="AR65" s="71"/>
    </row>
    <row r="66" customFormat="false" ht="13.8" hidden="false" customHeight="false" outlineLevel="0" collapsed="false">
      <c r="U66" s="19"/>
      <c r="V66" s="21"/>
      <c r="W66" s="21"/>
      <c r="X66" s="21"/>
      <c r="Y66" s="21"/>
      <c r="Z66" s="22"/>
      <c r="AH66" s="74" t="n">
        <v>12</v>
      </c>
      <c r="AI66" s="65" t="n">
        <f aca="false">AM65</f>
        <v>16395.0334033821</v>
      </c>
      <c r="AJ66" s="65" t="n">
        <f aca="false">IPMT($AI$50,AH66,$AI$49,-$AM$54)</f>
        <v>26.641929280496</v>
      </c>
      <c r="AK66" s="65" t="n">
        <f aca="false">PPMT($AI$50,AH66,$AI$49,-$AM$54)</f>
        <v>1248.90672578001</v>
      </c>
      <c r="AL66" s="65" t="n">
        <f aca="false">PMT($AI$50,$AI$49,-$AI$47)</f>
        <v>1275.5486550605</v>
      </c>
      <c r="AM66" s="71" t="n">
        <f aca="false">AI66-AK66</f>
        <v>15146.1266776021</v>
      </c>
      <c r="AO66" s="57"/>
      <c r="AP66" s="29"/>
      <c r="AQ66" s="29"/>
      <c r="AR66" s="29"/>
    </row>
    <row r="67" customFormat="false" ht="13.8" hidden="false" customHeight="false" outlineLevel="0" collapsed="false">
      <c r="AH67" s="69" t="n">
        <v>13</v>
      </c>
      <c r="AI67" s="65" t="n">
        <f aca="false">AM66</f>
        <v>15146.1266776021</v>
      </c>
      <c r="AJ67" s="65" t="n">
        <f aca="false">IPMT($AI$50,AH67,$AI$49,-$AM$54)</f>
        <v>24.6124558511035</v>
      </c>
      <c r="AK67" s="65" t="n">
        <f aca="false">PPMT($AI$50,AH67,$AI$49,-$AM$54)</f>
        <v>1250.9361992094</v>
      </c>
      <c r="AL67" s="65" t="n">
        <f aca="false">PMT($AI$50,$AI$49,-$AI$47)</f>
        <v>1275.5486550605</v>
      </c>
      <c r="AM67" s="71" t="n">
        <f aca="false">AI67-AK67</f>
        <v>13895.1904783927</v>
      </c>
      <c r="AO67" s="57"/>
      <c r="AP67" s="29"/>
      <c r="AQ67" s="29"/>
      <c r="AR67" s="29"/>
    </row>
    <row r="68" customFormat="false" ht="13.8" hidden="false" customHeight="false" outlineLevel="0" collapsed="false">
      <c r="AH68" s="69" t="n">
        <v>14</v>
      </c>
      <c r="AI68" s="65" t="n">
        <f aca="false">AM67</f>
        <v>13895.1904783927</v>
      </c>
      <c r="AJ68" s="65" t="n">
        <f aca="false">IPMT($AI$50,AH68,$AI$49,-$AM$54)</f>
        <v>22.5796845273885</v>
      </c>
      <c r="AK68" s="65" t="n">
        <f aca="false">PPMT($AI$50,AH68,$AI$49,-$AM$54)</f>
        <v>1252.96897053311</v>
      </c>
      <c r="AL68" s="65" t="n">
        <f aca="false">PMT($AI$50,$AI$49,-$AI$47)</f>
        <v>1275.5486550605</v>
      </c>
      <c r="AM68" s="71" t="n">
        <f aca="false">AI68-AK68</f>
        <v>12642.2215078596</v>
      </c>
      <c r="AO68" s="57"/>
      <c r="AP68" s="29"/>
      <c r="AQ68" s="29"/>
      <c r="AR68" s="29"/>
    </row>
    <row r="69" customFormat="false" ht="13.8" hidden="false" customHeight="false" outlineLevel="0" collapsed="false">
      <c r="AH69" s="69" t="n">
        <v>15</v>
      </c>
      <c r="AI69" s="65" t="n">
        <f aca="false">AM68</f>
        <v>12642.2215078596</v>
      </c>
      <c r="AJ69" s="65" t="n">
        <f aca="false">IPMT($AI$50,AH69,$AI$49,-$AM$54)</f>
        <v>20.5436099502722</v>
      </c>
      <c r="AK69" s="65" t="n">
        <f aca="false">PPMT($AI$50,AH69,$AI$49,-$AM$54)</f>
        <v>1255.00504511023</v>
      </c>
      <c r="AL69" s="65" t="n">
        <f aca="false">PMT($AI$50,$AI$49,-$AI$47)</f>
        <v>1275.5486550605</v>
      </c>
      <c r="AM69" s="71" t="n">
        <f aca="false">AI69-AK69</f>
        <v>11387.2164627494</v>
      </c>
      <c r="AO69" s="57"/>
      <c r="AP69" s="29"/>
      <c r="AQ69" s="29"/>
      <c r="AR69" s="29"/>
    </row>
    <row r="70" customFormat="false" ht="13.8" hidden="false" customHeight="false" outlineLevel="0" collapsed="false">
      <c r="AH70" s="69" t="n">
        <v>16</v>
      </c>
      <c r="AI70" s="65" t="n">
        <f aca="false">AM69</f>
        <v>11387.2164627494</v>
      </c>
      <c r="AJ70" s="65" t="n">
        <f aca="false">IPMT($AI$50,AH70,$AI$49,-$AM$54)</f>
        <v>18.504226751968</v>
      </c>
      <c r="AK70" s="65" t="n">
        <f aca="false">PPMT($AI$50,AH70,$AI$49,-$AM$54)</f>
        <v>1257.04442830853</v>
      </c>
      <c r="AL70" s="65" t="n">
        <f aca="false">PMT($AI$50,$AI$49,-$AI$47)</f>
        <v>1275.5486550605</v>
      </c>
      <c r="AM70" s="71" t="n">
        <f aca="false">AI70-AK70</f>
        <v>10130.1720344409</v>
      </c>
      <c r="AO70" s="57"/>
      <c r="AP70" s="29"/>
      <c r="AQ70" s="29"/>
      <c r="AR70" s="29"/>
    </row>
    <row r="71" customFormat="false" ht="13.8" hidden="false" customHeight="false" outlineLevel="0" collapsed="false">
      <c r="AH71" s="69" t="n">
        <v>17</v>
      </c>
      <c r="AI71" s="65" t="n">
        <f aca="false">AM70</f>
        <v>10130.1720344409</v>
      </c>
      <c r="AJ71" s="65" t="n">
        <f aca="false">IPMT($AI$50,AH71,$AI$49,-$AM$54)</f>
        <v>16.4615295559667</v>
      </c>
      <c r="AK71" s="65" t="n">
        <f aca="false">PPMT($AI$50,AH71,$AI$49,-$AM$54)</f>
        <v>1259.08712550453</v>
      </c>
      <c r="AL71" s="65" t="n">
        <f aca="false">PMT($AI$50,$AI$49,-$AI$47)</f>
        <v>1275.5486550605</v>
      </c>
      <c r="AM71" s="71" t="n">
        <f aca="false">AI71-AK71</f>
        <v>8871.08490893632</v>
      </c>
      <c r="AO71" s="27" t="s">
        <v>154</v>
      </c>
      <c r="AP71" s="27"/>
      <c r="AQ71" s="27"/>
      <c r="AR71" s="27"/>
    </row>
    <row r="72" customFormat="false" ht="13.8" hidden="false" customHeight="false" outlineLevel="0" collapsed="false">
      <c r="AH72" s="69" t="n">
        <v>18</v>
      </c>
      <c r="AI72" s="65" t="n">
        <f aca="false">AM71</f>
        <v>8871.08490893632</v>
      </c>
      <c r="AJ72" s="65" t="n">
        <f aca="false">IPMT($AI$50,AH72,$AI$49,-$AM$54)</f>
        <v>14.4155129770218</v>
      </c>
      <c r="AK72" s="65" t="n">
        <f aca="false">PPMT($AI$50,AH72,$AI$49,-$AM$54)</f>
        <v>1261.13314208348</v>
      </c>
      <c r="AL72" s="65" t="n">
        <f aca="false">PMT($AI$50,$AI$49,-$AI$47)</f>
        <v>1275.5486550605</v>
      </c>
      <c r="AM72" s="71" t="n">
        <f aca="false">AI72-AK72</f>
        <v>7609.95176685284</v>
      </c>
      <c r="AO72" s="76"/>
      <c r="AP72" s="77"/>
      <c r="AQ72" s="77"/>
      <c r="AR72" s="78"/>
    </row>
    <row r="73" customFormat="false" ht="13.8" hidden="false" customHeight="false" outlineLevel="0" collapsed="false">
      <c r="AH73" s="69" t="n">
        <v>19</v>
      </c>
      <c r="AI73" s="65" t="n">
        <f aca="false">AM72</f>
        <v>7609.95176685284</v>
      </c>
      <c r="AJ73" s="65" t="n">
        <f aca="false">IPMT($AI$50,AH73,$AI$49,-$AM$54)</f>
        <v>12.3661716211362</v>
      </c>
      <c r="AK73" s="65" t="n">
        <f aca="false">PPMT($AI$50,AH73,$AI$49,-$AM$54)</f>
        <v>1263.18248343937</v>
      </c>
      <c r="AL73" s="65" t="n">
        <f aca="false">PMT($AI$50,$AI$49,-$AI$47)</f>
        <v>1275.5486550605</v>
      </c>
      <c r="AM73" s="71" t="n">
        <f aca="false">AI73-AK73</f>
        <v>6346.76928341347</v>
      </c>
      <c r="AO73" s="79" t="s">
        <v>146</v>
      </c>
      <c r="AP73" s="80" t="n">
        <v>24</v>
      </c>
      <c r="AQ73" s="81"/>
      <c r="AR73" s="82"/>
    </row>
    <row r="74" customFormat="false" ht="13.8" hidden="false" customHeight="false" outlineLevel="0" collapsed="false">
      <c r="AH74" s="69" t="n">
        <v>20</v>
      </c>
      <c r="AI74" s="65" t="n">
        <f aca="false">AM73</f>
        <v>6346.76928341347</v>
      </c>
      <c r="AJ74" s="65" t="n">
        <f aca="false">IPMT($AI$50,AH74,$AI$49,-$AM$54)</f>
        <v>10.3135000855472</v>
      </c>
      <c r="AK74" s="65" t="n">
        <f aca="false">PPMT($AI$50,AH74,$AI$49,-$AM$54)</f>
        <v>1265.23515497495</v>
      </c>
      <c r="AL74" s="65" t="n">
        <f aca="false">PMT($AI$50,$AI$49,-$AI$47)</f>
        <v>1275.5486550605</v>
      </c>
      <c r="AM74" s="71" t="n">
        <f aca="false">AI74-AK74</f>
        <v>5081.53412843852</v>
      </c>
      <c r="AO74" s="79" t="s">
        <v>14</v>
      </c>
      <c r="AP74" s="81" t="n">
        <v>200</v>
      </c>
      <c r="AQ74" s="81"/>
      <c r="AR74" s="82"/>
    </row>
    <row r="75" customFormat="false" ht="13.8" hidden="false" customHeight="false" outlineLevel="0" collapsed="false">
      <c r="AH75" s="69" t="n">
        <v>21</v>
      </c>
      <c r="AI75" s="65" t="n">
        <f aca="false">AM74</f>
        <v>5081.53412843852</v>
      </c>
      <c r="AJ75" s="65" t="n">
        <f aca="false">IPMT($AI$50,AH75,$AI$49,-$AM$54)</f>
        <v>8.25749295871302</v>
      </c>
      <c r="AK75" s="65" t="n">
        <f aca="false">PPMT($AI$50,AH75,$AI$49,-$AM$54)</f>
        <v>1267.29116210179</v>
      </c>
      <c r="AL75" s="65" t="n">
        <f aca="false">PMT($AI$50,$AI$49,-$AI$47)</f>
        <v>1275.5486550605</v>
      </c>
      <c r="AM75" s="71" t="n">
        <f aca="false">AI75-AK75</f>
        <v>3814.24296633673</v>
      </c>
      <c r="AO75" s="79" t="s">
        <v>155</v>
      </c>
      <c r="AP75" s="81" t="n">
        <v>20000</v>
      </c>
      <c r="AQ75" s="81"/>
      <c r="AR75" s="82"/>
    </row>
    <row r="76" customFormat="false" ht="13.8" hidden="false" customHeight="false" outlineLevel="0" collapsed="false">
      <c r="AH76" s="69" t="n">
        <v>22</v>
      </c>
      <c r="AI76" s="65" t="n">
        <f aca="false">AM75</f>
        <v>3814.24296633673</v>
      </c>
      <c r="AJ76" s="65" t="n">
        <f aca="false">IPMT($AI$50,AH76,$AI$49,-$AM$54)</f>
        <v>6.19814482029746</v>
      </c>
      <c r="AK76" s="65" t="n">
        <f aca="false">PPMT($AI$50,AH76,$AI$49,-$AM$54)</f>
        <v>1269.3505102402</v>
      </c>
      <c r="AL76" s="65" t="n">
        <f aca="false">PMT($AI$50,$AI$49,-$AI$47)</f>
        <v>1275.5486550605</v>
      </c>
      <c r="AM76" s="71" t="n">
        <f aca="false">AI76-AK76</f>
        <v>2544.89245609652</v>
      </c>
      <c r="AO76" s="79"/>
      <c r="AP76" s="81"/>
      <c r="AQ76" s="81"/>
      <c r="AR76" s="82"/>
    </row>
    <row r="77" customFormat="false" ht="13.8" hidden="false" customHeight="false" outlineLevel="0" collapsed="false">
      <c r="AH77" s="69" t="n">
        <v>23</v>
      </c>
      <c r="AI77" s="65" t="n">
        <f aca="false">AM76</f>
        <v>2544.89245609652</v>
      </c>
      <c r="AJ77" s="65" t="n">
        <f aca="false">IPMT($AI$50,AH77,$AI$49,-$AM$54)</f>
        <v>4.13545024115711</v>
      </c>
      <c r="AK77" s="65" t="n">
        <f aca="false">PPMT($AI$50,AH77,$AI$49,-$AM$54)</f>
        <v>1271.41320481934</v>
      </c>
      <c r="AL77" s="65" t="n">
        <f aca="false">PMT($AI$50,$AI$49,-$AI$47)</f>
        <v>1275.5486550605</v>
      </c>
      <c r="AM77" s="71" t="n">
        <f aca="false">AI77-AK77</f>
        <v>1273.47925127718</v>
      </c>
      <c r="AO77" s="79"/>
      <c r="AP77" s="81"/>
      <c r="AQ77" s="81"/>
      <c r="AR77" s="82"/>
    </row>
    <row r="78" customFormat="false" ht="13.8" hidden="false" customHeight="false" outlineLevel="0" collapsed="false">
      <c r="AH78" s="69" t="n">
        <v>24</v>
      </c>
      <c r="AI78" s="65" t="n">
        <f aca="false">AM77</f>
        <v>1273.47925127718</v>
      </c>
      <c r="AJ78" s="65" t="n">
        <f aca="false">IPMT($AI$50,AH78,$AI$49,-$AM$54)</f>
        <v>2.06940378332585</v>
      </c>
      <c r="AK78" s="65" t="n">
        <f aca="false">PPMT($AI$50,AH78,$AI$49,-$AM$54)</f>
        <v>1273.47925127718</v>
      </c>
      <c r="AL78" s="65" t="n">
        <f aca="false">PMT($AI$50,$AI$49,-$AI$47)</f>
        <v>1275.5486550605</v>
      </c>
      <c r="AM78" s="71" t="n">
        <f aca="false">AI78-AK78</f>
        <v>0</v>
      </c>
      <c r="AO78" s="79" t="s">
        <v>6</v>
      </c>
      <c r="AP78" s="81" t="e">
        <f aca="false">RATE(AP73,AP74,AP75)</f>
        <v>#N/A</v>
      </c>
      <c r="AQ78" s="81" t="s">
        <v>156</v>
      </c>
      <c r="AR78" s="82"/>
    </row>
    <row r="79" customFormat="false" ht="13.8" hidden="false" customHeight="false" outlineLevel="0" collapsed="false">
      <c r="AO79" s="19"/>
      <c r="AP79" s="32" t="e">
        <f aca="false">AP78*12</f>
        <v>#N/A</v>
      </c>
      <c r="AQ79" s="32" t="s">
        <v>157</v>
      </c>
      <c r="AR79" s="83"/>
    </row>
    <row r="86" customFormat="false" ht="13.8" hidden="false" customHeight="false" outlineLevel="0" collapsed="false">
      <c r="AJ86" s="0" t="s">
        <v>81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AO71:AR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2006-09-16T00:00:00Z</dcterms:modified>
  <cp:revision>0</cp:revision>
</cp:coreProperties>
</file>