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755" firstSheet="2" activeTab="2"/>
  </bookViews>
  <sheets>
    <sheet name="proyecto" sheetId="1" r:id="rId1"/>
    <sheet name="van" sheetId="4" r:id="rId2"/>
    <sheet name="flujo de caja" sheetId="2" r:id="rId3"/>
    <sheet name="tir" sheetId="3" r:id="rId4"/>
  </sheets>
  <externalReferences>
    <externalReference r:id="rId5"/>
  </externalReference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4" l="1"/>
  <c r="C15" i="3"/>
  <c r="D8" i="2"/>
  <c r="D9" i="2"/>
  <c r="D10" i="2"/>
  <c r="D11" i="2"/>
  <c r="H36" i="1"/>
  <c r="F4" i="1"/>
  <c r="F5" i="1"/>
  <c r="F6" i="1"/>
  <c r="F7" i="1"/>
  <c r="E4" i="1"/>
  <c r="E5" i="1"/>
  <c r="E6" i="1"/>
  <c r="E7" i="1"/>
  <c r="E8" i="1"/>
  <c r="E9" i="1"/>
  <c r="E10" i="1"/>
  <c r="E11" i="1"/>
  <c r="E12" i="1"/>
  <c r="O72" i="1"/>
  <c r="N75" i="1"/>
  <c r="G20" i="1"/>
  <c r="G21" i="1"/>
  <c r="G22" i="1"/>
  <c r="G23" i="1"/>
  <c r="G24" i="1"/>
  <c r="E20" i="1"/>
  <c r="D20" i="1"/>
  <c r="G25" i="1"/>
  <c r="G26" i="1"/>
  <c r="G27" i="1"/>
  <c r="G28" i="1"/>
  <c r="G29" i="1"/>
  <c r="D4" i="1"/>
  <c r="E8" i="2"/>
  <c r="E9" i="2"/>
  <c r="F8" i="2"/>
  <c r="F9" i="2"/>
  <c r="G8" i="2"/>
  <c r="G9" i="2"/>
  <c r="H8" i="2"/>
  <c r="H9" i="2"/>
  <c r="I8" i="2"/>
  <c r="I9" i="2"/>
  <c r="J8" i="2"/>
  <c r="J9" i="2"/>
  <c r="K8" i="2"/>
  <c r="K9" i="2"/>
  <c r="L8" i="2"/>
  <c r="L9" i="2"/>
  <c r="M8" i="2"/>
  <c r="M9" i="2"/>
  <c r="N179" i="1"/>
  <c r="N188" i="1"/>
  <c r="N194" i="1"/>
  <c r="N197" i="1"/>
  <c r="N200" i="1"/>
  <c r="N209" i="1"/>
  <c r="P222" i="1"/>
  <c r="M179" i="1"/>
  <c r="M188" i="1"/>
  <c r="M194" i="1"/>
  <c r="M197" i="1"/>
  <c r="M200" i="1"/>
  <c r="M209" i="1"/>
  <c r="O222" i="1"/>
  <c r="L179" i="1"/>
  <c r="L188" i="1"/>
  <c r="L194" i="1"/>
  <c r="L197" i="1"/>
  <c r="L200" i="1"/>
  <c r="L209" i="1"/>
  <c r="N222" i="1"/>
  <c r="K179" i="1"/>
  <c r="K188" i="1"/>
  <c r="K194" i="1"/>
  <c r="K197" i="1"/>
  <c r="K200" i="1"/>
  <c r="K209" i="1"/>
  <c r="M222" i="1"/>
  <c r="J179" i="1"/>
  <c r="J188" i="1"/>
  <c r="J194" i="1"/>
  <c r="J197" i="1"/>
  <c r="J200" i="1"/>
  <c r="J209" i="1"/>
  <c r="L222" i="1"/>
  <c r="I179" i="1"/>
  <c r="I188" i="1"/>
  <c r="I194" i="1"/>
  <c r="I197" i="1"/>
  <c r="I200" i="1"/>
  <c r="I209" i="1"/>
  <c r="K222" i="1"/>
  <c r="H179" i="1"/>
  <c r="H188" i="1"/>
  <c r="H194" i="1"/>
  <c r="H197" i="1"/>
  <c r="H200" i="1"/>
  <c r="H209" i="1"/>
  <c r="J222" i="1"/>
  <c r="E197" i="1"/>
  <c r="E199" i="1"/>
  <c r="F197" i="1"/>
  <c r="F199" i="1"/>
  <c r="G197" i="1"/>
  <c r="G199" i="1"/>
  <c r="H199" i="1"/>
  <c r="I199" i="1"/>
  <c r="J199" i="1"/>
  <c r="K199" i="1"/>
  <c r="L199" i="1"/>
  <c r="M199" i="1"/>
  <c r="N199" i="1"/>
  <c r="G176" i="1"/>
  <c r="G182" i="1"/>
  <c r="G185" i="1"/>
  <c r="G191" i="1"/>
  <c r="E203" i="1"/>
  <c r="E205" i="1"/>
  <c r="F203" i="1"/>
  <c r="F205" i="1"/>
  <c r="G203" i="1"/>
  <c r="G205" i="1"/>
  <c r="G212" i="1"/>
  <c r="G215" i="1"/>
  <c r="I222" i="1"/>
  <c r="F176" i="1"/>
  <c r="F182" i="1"/>
  <c r="F185" i="1"/>
  <c r="F191" i="1"/>
  <c r="F206" i="1"/>
  <c r="F212" i="1"/>
  <c r="F215" i="1"/>
  <c r="H222" i="1"/>
  <c r="E176" i="1"/>
  <c r="E182" i="1"/>
  <c r="E185" i="1"/>
  <c r="E191" i="1"/>
  <c r="E206" i="1"/>
  <c r="E212" i="1"/>
  <c r="E215" i="1"/>
  <c r="G222" i="1"/>
  <c r="L80" i="1"/>
  <c r="L73" i="1"/>
  <c r="K73" i="1"/>
  <c r="M73" i="1"/>
  <c r="O73" i="1"/>
  <c r="K74" i="1"/>
  <c r="L74" i="1"/>
  <c r="M74" i="1"/>
  <c r="N74" i="1"/>
  <c r="O74" i="1"/>
  <c r="K75" i="1"/>
  <c r="M75" i="1"/>
  <c r="O75" i="1"/>
  <c r="K76" i="1"/>
  <c r="M76" i="1"/>
  <c r="O76" i="1"/>
  <c r="K77" i="1"/>
  <c r="M77" i="1"/>
  <c r="O77" i="1"/>
  <c r="K78" i="1"/>
  <c r="M78" i="1"/>
  <c r="O78" i="1"/>
  <c r="K79" i="1"/>
  <c r="M79" i="1"/>
  <c r="O79" i="1"/>
  <c r="K80" i="1"/>
  <c r="M80" i="1"/>
  <c r="O80" i="1"/>
  <c r="L75" i="1"/>
  <c r="L76" i="1"/>
  <c r="N76" i="1"/>
  <c r="L77" i="1"/>
  <c r="N77" i="1"/>
  <c r="L78" i="1"/>
  <c r="N78" i="1"/>
  <c r="L79" i="1"/>
  <c r="N79" i="1"/>
  <c r="N80" i="1"/>
  <c r="N73" i="1"/>
  <c r="L10" i="2"/>
  <c r="L11" i="2"/>
  <c r="J10" i="2"/>
  <c r="J11" i="2"/>
  <c r="H10" i="2"/>
  <c r="H11" i="2"/>
  <c r="F10" i="2"/>
  <c r="F11" i="2"/>
  <c r="M10" i="2"/>
  <c r="M11" i="2"/>
  <c r="K10" i="2"/>
  <c r="K11" i="2"/>
  <c r="I10" i="2"/>
  <c r="I11" i="2"/>
  <c r="G10" i="2"/>
  <c r="G11" i="2"/>
  <c r="E10" i="2"/>
  <c r="E11" i="2"/>
  <c r="E12" i="2"/>
  <c r="G12" i="2"/>
  <c r="G13" i="2"/>
  <c r="G15" i="2"/>
  <c r="G20" i="2"/>
  <c r="K12" i="2"/>
  <c r="K13" i="2"/>
  <c r="K15" i="2"/>
  <c r="K20" i="2"/>
  <c r="D12" i="2"/>
  <c r="D13" i="2"/>
  <c r="D15" i="2"/>
  <c r="D20" i="2"/>
  <c r="E13" i="2"/>
  <c r="E15" i="2"/>
  <c r="E20" i="2"/>
  <c r="I12" i="2"/>
  <c r="I13" i="2"/>
  <c r="I15" i="2"/>
  <c r="I20" i="2"/>
  <c r="M12" i="2"/>
  <c r="M13" i="2"/>
  <c r="M15" i="2"/>
  <c r="M20" i="2"/>
  <c r="F12" i="2"/>
  <c r="F13" i="2"/>
  <c r="F15" i="2"/>
  <c r="F20" i="2"/>
  <c r="H12" i="2"/>
  <c r="H13" i="2"/>
  <c r="H15" i="2"/>
  <c r="H20" i="2"/>
  <c r="J12" i="2"/>
  <c r="J13" i="2"/>
  <c r="J15" i="2"/>
  <c r="J20" i="2"/>
  <c r="L12" i="2"/>
  <c r="L13" i="2"/>
  <c r="L15" i="2"/>
  <c r="L20" i="2"/>
  <c r="B43" i="1"/>
  <c r="C43" i="1"/>
  <c r="D43" i="1"/>
  <c r="E37" i="1"/>
  <c r="E38" i="1"/>
  <c r="E39" i="1"/>
  <c r="E40" i="1"/>
  <c r="E41" i="1"/>
  <c r="E42" i="1"/>
  <c r="E43" i="1"/>
  <c r="H43" i="1"/>
  <c r="B57" i="1"/>
  <c r="C57" i="1"/>
  <c r="D57" i="1"/>
  <c r="E52" i="1"/>
  <c r="E53" i="1"/>
  <c r="E54" i="1"/>
  <c r="E55" i="1"/>
  <c r="E56" i="1"/>
  <c r="E57" i="1"/>
  <c r="F57" i="1"/>
  <c r="K57" i="1"/>
  <c r="L57" i="1"/>
  <c r="B44" i="1"/>
  <c r="C44" i="1"/>
  <c r="D44" i="1"/>
  <c r="E44" i="1"/>
  <c r="H44" i="1"/>
  <c r="B58" i="1"/>
  <c r="C58" i="1"/>
  <c r="D58" i="1"/>
  <c r="E58" i="1"/>
  <c r="F58" i="1"/>
  <c r="K58" i="1"/>
  <c r="L58" i="1"/>
  <c r="K50" i="1"/>
  <c r="L50" i="1"/>
  <c r="B37" i="1"/>
  <c r="C37" i="1"/>
  <c r="D37" i="1"/>
  <c r="H37" i="1"/>
  <c r="K51" i="1"/>
  <c r="L51" i="1"/>
  <c r="B38" i="1"/>
  <c r="C38" i="1"/>
  <c r="D38" i="1"/>
  <c r="H38" i="1"/>
  <c r="B52" i="1"/>
  <c r="C52" i="1"/>
  <c r="D52" i="1"/>
  <c r="F52" i="1"/>
  <c r="K52" i="1"/>
  <c r="L52" i="1"/>
  <c r="B39" i="1"/>
  <c r="C39" i="1"/>
  <c r="D39" i="1"/>
  <c r="H39" i="1"/>
  <c r="B53" i="1"/>
  <c r="C53" i="1"/>
  <c r="D53" i="1"/>
  <c r="F53" i="1"/>
  <c r="K53" i="1"/>
  <c r="L53" i="1"/>
  <c r="B40" i="1"/>
  <c r="C40" i="1"/>
  <c r="D40" i="1"/>
  <c r="H40" i="1"/>
  <c r="B54" i="1"/>
  <c r="C54" i="1"/>
  <c r="D54" i="1"/>
  <c r="F54" i="1"/>
  <c r="K54" i="1"/>
  <c r="L54" i="1"/>
  <c r="B41" i="1"/>
  <c r="C41" i="1"/>
  <c r="D41" i="1"/>
  <c r="H41" i="1"/>
  <c r="B55" i="1"/>
  <c r="C55" i="1"/>
  <c r="D55" i="1"/>
  <c r="F55" i="1"/>
  <c r="K55" i="1"/>
  <c r="L55" i="1"/>
  <c r="B42" i="1"/>
  <c r="C42" i="1"/>
  <c r="D42" i="1"/>
  <c r="H42" i="1"/>
  <c r="B56" i="1"/>
  <c r="C56" i="1"/>
  <c r="D56" i="1"/>
  <c r="F56" i="1"/>
  <c r="K56" i="1"/>
  <c r="L56" i="1"/>
  <c r="H35" i="1"/>
  <c r="K49" i="1"/>
  <c r="L49" i="1"/>
  <c r="B21" i="1"/>
  <c r="C21" i="1"/>
  <c r="D21" i="1"/>
  <c r="E21" i="1"/>
  <c r="H21" i="1"/>
  <c r="B20" i="1"/>
  <c r="C20" i="1"/>
  <c r="H20" i="1"/>
  <c r="B5" i="1"/>
  <c r="C5" i="1"/>
  <c r="D5" i="1"/>
  <c r="G5" i="1"/>
  <c r="H5" i="1"/>
  <c r="B4" i="1"/>
  <c r="C4" i="1"/>
  <c r="G4" i="1"/>
  <c r="H4" i="1"/>
  <c r="E178" i="1"/>
  <c r="E188" i="1"/>
  <c r="E190" i="1"/>
  <c r="F188" i="1"/>
  <c r="G188" i="1"/>
  <c r="F178" i="1"/>
  <c r="G178" i="1"/>
  <c r="F190" i="1"/>
  <c r="G190" i="1"/>
  <c r="H190" i="1"/>
  <c r="I190" i="1"/>
  <c r="J190" i="1"/>
  <c r="K190" i="1"/>
  <c r="L190" i="1"/>
  <c r="M190" i="1"/>
  <c r="N190" i="1"/>
  <c r="E217" i="1"/>
  <c r="F217" i="1"/>
  <c r="E214" i="1"/>
  <c r="F214" i="1"/>
  <c r="F209" i="1"/>
  <c r="G209" i="1"/>
  <c r="E209" i="1"/>
  <c r="E211" i="1"/>
  <c r="F211" i="1"/>
  <c r="G206" i="1"/>
  <c r="E208" i="1"/>
  <c r="F208" i="1"/>
  <c r="F200" i="1"/>
  <c r="G200" i="1"/>
  <c r="E200" i="1"/>
  <c r="E202" i="1"/>
  <c r="F194" i="1"/>
  <c r="G194" i="1"/>
  <c r="E194" i="1"/>
  <c r="E196" i="1"/>
  <c r="E193" i="1"/>
  <c r="F193" i="1"/>
  <c r="E187" i="1"/>
  <c r="F187" i="1"/>
  <c r="E184" i="1"/>
  <c r="F184" i="1"/>
  <c r="G179" i="1"/>
  <c r="F179" i="1"/>
  <c r="E179" i="1"/>
  <c r="E181" i="1"/>
  <c r="E65" i="1"/>
  <c r="E66" i="1"/>
  <c r="D72" i="1"/>
  <c r="B22" i="1"/>
  <c r="C22" i="1"/>
  <c r="D22" i="1"/>
  <c r="E22" i="1"/>
  <c r="H22" i="1"/>
  <c r="B23" i="1"/>
  <c r="C23" i="1"/>
  <c r="D23" i="1"/>
  <c r="D24" i="1"/>
  <c r="E23" i="1"/>
  <c r="B24" i="1"/>
  <c r="C24" i="1"/>
  <c r="E24" i="1"/>
  <c r="B25" i="1"/>
  <c r="B26" i="1"/>
  <c r="B6" i="1"/>
  <c r="C6" i="1"/>
  <c r="D6" i="1"/>
  <c r="G6" i="1"/>
  <c r="H6" i="1"/>
  <c r="B7" i="1"/>
  <c r="C7" i="1"/>
  <c r="D7" i="1"/>
  <c r="G7" i="1"/>
  <c r="H7" i="1"/>
  <c r="B8" i="1"/>
  <c r="C8" i="1"/>
  <c r="F8" i="1"/>
  <c r="G8" i="1"/>
  <c r="B9" i="1"/>
  <c r="C9" i="1"/>
  <c r="F9" i="1"/>
  <c r="G9" i="1"/>
  <c r="B10" i="1"/>
  <c r="C10" i="1"/>
  <c r="F10" i="1"/>
  <c r="G10" i="1"/>
  <c r="B11" i="1"/>
  <c r="C11" i="1"/>
  <c r="F11" i="1"/>
  <c r="G11" i="1"/>
  <c r="B12" i="1"/>
  <c r="C12" i="1"/>
  <c r="C13" i="1"/>
  <c r="F12" i="1"/>
  <c r="F13" i="1"/>
  <c r="G12" i="1"/>
  <c r="B13" i="1"/>
  <c r="E13" i="1"/>
  <c r="D8" i="1"/>
  <c r="H8" i="1"/>
  <c r="G187" i="1"/>
  <c r="F196" i="1"/>
  <c r="G196" i="1"/>
  <c r="H196" i="1"/>
  <c r="I196" i="1"/>
  <c r="J196" i="1"/>
  <c r="K196" i="1"/>
  <c r="L196" i="1"/>
  <c r="M196" i="1"/>
  <c r="N196" i="1"/>
  <c r="F202" i="1"/>
  <c r="G202" i="1"/>
  <c r="H202" i="1"/>
  <c r="I202" i="1"/>
  <c r="J202" i="1"/>
  <c r="K202" i="1"/>
  <c r="L202" i="1"/>
  <c r="M202" i="1"/>
  <c r="N202" i="1"/>
  <c r="G211" i="1"/>
  <c r="H211" i="1"/>
  <c r="I211" i="1"/>
  <c r="J211" i="1"/>
  <c r="K211" i="1"/>
  <c r="L211" i="1"/>
  <c r="M211" i="1"/>
  <c r="N211" i="1"/>
  <c r="G214" i="1"/>
  <c r="F181" i="1"/>
  <c r="G181" i="1"/>
  <c r="H181" i="1"/>
  <c r="I181" i="1"/>
  <c r="J181" i="1"/>
  <c r="K181" i="1"/>
  <c r="L181" i="1"/>
  <c r="M181" i="1"/>
  <c r="N181" i="1"/>
  <c r="G184" i="1"/>
  <c r="G193" i="1"/>
  <c r="G208" i="1"/>
  <c r="G217" i="1"/>
  <c r="D25" i="1"/>
  <c r="D26" i="1"/>
  <c r="E25" i="1"/>
  <c r="E26" i="1"/>
  <c r="C25" i="1"/>
  <c r="C26" i="1"/>
  <c r="B27" i="1"/>
  <c r="B28" i="1"/>
  <c r="B29" i="1"/>
  <c r="D27" i="1"/>
  <c r="G13" i="1"/>
  <c r="G84" i="1"/>
  <c r="G100" i="1"/>
  <c r="G144" i="1"/>
  <c r="G160" i="1"/>
  <c r="G127" i="1"/>
  <c r="G152" i="1"/>
  <c r="G136" i="1"/>
  <c r="G111" i="1"/>
  <c r="G164" i="1"/>
  <c r="G156" i="1"/>
  <c r="G148" i="1"/>
  <c r="G140" i="1"/>
  <c r="G132" i="1"/>
  <c r="G119" i="1"/>
  <c r="G72" i="1"/>
  <c r="H72" i="1"/>
  <c r="D73" i="1"/>
  <c r="G166" i="1"/>
  <c r="G162" i="1"/>
  <c r="G158" i="1"/>
  <c r="G154" i="1"/>
  <c r="G150" i="1"/>
  <c r="G146" i="1"/>
  <c r="G142" i="1"/>
  <c r="G138" i="1"/>
  <c r="G134" i="1"/>
  <c r="G130" i="1"/>
  <c r="G123" i="1"/>
  <c r="G115" i="1"/>
  <c r="G107" i="1"/>
  <c r="G92" i="1"/>
  <c r="G76" i="1"/>
  <c r="G167" i="1"/>
  <c r="G165" i="1"/>
  <c r="G163" i="1"/>
  <c r="G161" i="1"/>
  <c r="G159" i="1"/>
  <c r="G157" i="1"/>
  <c r="G155" i="1"/>
  <c r="G153" i="1"/>
  <c r="G151" i="1"/>
  <c r="G149" i="1"/>
  <c r="G147" i="1"/>
  <c r="G145" i="1"/>
  <c r="G143" i="1"/>
  <c r="G141" i="1"/>
  <c r="G139" i="1"/>
  <c r="G137" i="1"/>
  <c r="G135" i="1"/>
  <c r="G133" i="1"/>
  <c r="G131" i="1"/>
  <c r="G129" i="1"/>
  <c r="G125" i="1"/>
  <c r="G121" i="1"/>
  <c r="G117" i="1"/>
  <c r="G113" i="1"/>
  <c r="G109" i="1"/>
  <c r="G104" i="1"/>
  <c r="G96" i="1"/>
  <c r="G88" i="1"/>
  <c r="G80" i="1"/>
  <c r="E68" i="1"/>
  <c r="G73" i="1"/>
  <c r="H73" i="1"/>
  <c r="D74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28" i="1"/>
  <c r="G126" i="1"/>
  <c r="G124" i="1"/>
  <c r="G122" i="1"/>
  <c r="G120" i="1"/>
  <c r="G118" i="1"/>
  <c r="G116" i="1"/>
  <c r="G114" i="1"/>
  <c r="G112" i="1"/>
  <c r="G110" i="1"/>
  <c r="G108" i="1"/>
  <c r="G106" i="1"/>
  <c r="G102" i="1"/>
  <c r="G98" i="1"/>
  <c r="G94" i="1"/>
  <c r="G90" i="1"/>
  <c r="G86" i="1"/>
  <c r="G82" i="1"/>
  <c r="G78" i="1"/>
  <c r="G74" i="1"/>
  <c r="D9" i="1"/>
  <c r="H9" i="1"/>
  <c r="H23" i="1"/>
  <c r="C27" i="1"/>
  <c r="C28" i="1"/>
  <c r="D28" i="1"/>
  <c r="D29" i="1"/>
  <c r="E27" i="1"/>
  <c r="F73" i="1"/>
  <c r="E73" i="1"/>
  <c r="F74" i="1"/>
  <c r="E74" i="1"/>
  <c r="H74" i="1"/>
  <c r="D75" i="1"/>
  <c r="F72" i="1"/>
  <c r="E69" i="1"/>
  <c r="D10" i="1"/>
  <c r="H24" i="1"/>
  <c r="E72" i="1"/>
  <c r="C29" i="1"/>
  <c r="E28" i="1"/>
  <c r="E29" i="1"/>
  <c r="F75" i="1"/>
  <c r="E75" i="1"/>
  <c r="H75" i="1"/>
  <c r="D76" i="1"/>
  <c r="H10" i="1"/>
  <c r="D11" i="1"/>
  <c r="H11" i="1"/>
  <c r="H25" i="1"/>
  <c r="F76" i="1"/>
  <c r="E76" i="1"/>
  <c r="H76" i="1"/>
  <c r="D77" i="1"/>
  <c r="D12" i="1"/>
  <c r="H28" i="1"/>
  <c r="H27" i="1"/>
  <c r="H26" i="1"/>
  <c r="H77" i="1"/>
  <c r="D78" i="1"/>
  <c r="F77" i="1"/>
  <c r="D13" i="1"/>
  <c r="H13" i="1"/>
  <c r="H12" i="1"/>
  <c r="H29" i="1"/>
  <c r="E77" i="1"/>
  <c r="F78" i="1"/>
  <c r="E78" i="1"/>
  <c r="H78" i="1"/>
  <c r="D79" i="1"/>
  <c r="F79" i="1"/>
  <c r="E79" i="1"/>
  <c r="H79" i="1"/>
  <c r="D80" i="1"/>
  <c r="F80" i="1"/>
  <c r="H80" i="1"/>
  <c r="D81" i="1"/>
  <c r="E80" i="1"/>
  <c r="H81" i="1"/>
  <c r="D82" i="1"/>
  <c r="F81" i="1"/>
  <c r="E81" i="1"/>
  <c r="F82" i="1"/>
  <c r="E82" i="1"/>
  <c r="H82" i="1"/>
  <c r="D83" i="1"/>
  <c r="F83" i="1"/>
  <c r="E83" i="1"/>
  <c r="H83" i="1"/>
  <c r="D84" i="1"/>
  <c r="F84" i="1"/>
  <c r="E84" i="1"/>
  <c r="H84" i="1"/>
  <c r="D85" i="1"/>
  <c r="H85" i="1"/>
  <c r="D86" i="1"/>
  <c r="F85" i="1"/>
  <c r="E85" i="1"/>
  <c r="F86" i="1"/>
  <c r="E86" i="1"/>
  <c r="H86" i="1"/>
  <c r="D87" i="1"/>
  <c r="F87" i="1"/>
  <c r="E87" i="1"/>
  <c r="H87" i="1"/>
  <c r="D88" i="1"/>
  <c r="F88" i="1"/>
  <c r="E88" i="1"/>
  <c r="H88" i="1"/>
  <c r="D89" i="1"/>
  <c r="H89" i="1"/>
  <c r="D90" i="1"/>
  <c r="F89" i="1"/>
  <c r="E89" i="1"/>
  <c r="F90" i="1"/>
  <c r="E90" i="1"/>
  <c r="H90" i="1"/>
  <c r="D91" i="1"/>
  <c r="F91" i="1"/>
  <c r="E91" i="1"/>
  <c r="H91" i="1"/>
  <c r="D92" i="1"/>
  <c r="F92" i="1"/>
  <c r="E92" i="1"/>
  <c r="H92" i="1"/>
  <c r="D93" i="1"/>
  <c r="H93" i="1"/>
  <c r="D94" i="1"/>
  <c r="F93" i="1"/>
  <c r="E93" i="1"/>
  <c r="F94" i="1"/>
  <c r="E94" i="1"/>
  <c r="H94" i="1"/>
  <c r="D95" i="1"/>
  <c r="F95" i="1"/>
  <c r="E95" i="1"/>
  <c r="H95" i="1"/>
  <c r="D96" i="1"/>
  <c r="F96" i="1"/>
  <c r="E96" i="1"/>
  <c r="H96" i="1"/>
  <c r="D97" i="1"/>
  <c r="H97" i="1"/>
  <c r="D98" i="1"/>
  <c r="F97" i="1"/>
  <c r="E97" i="1"/>
  <c r="F98" i="1"/>
  <c r="E98" i="1"/>
  <c r="H98" i="1"/>
  <c r="D99" i="1"/>
  <c r="F99" i="1"/>
  <c r="E99" i="1"/>
  <c r="H99" i="1"/>
  <c r="D100" i="1"/>
  <c r="F100" i="1"/>
  <c r="E100" i="1"/>
  <c r="H100" i="1"/>
  <c r="D101" i="1"/>
  <c r="H101" i="1"/>
  <c r="D102" i="1"/>
  <c r="F101" i="1"/>
  <c r="E101" i="1"/>
  <c r="F102" i="1"/>
  <c r="E102" i="1"/>
  <c r="H102" i="1"/>
  <c r="D103" i="1"/>
  <c r="F103" i="1"/>
  <c r="E103" i="1"/>
  <c r="H103" i="1"/>
  <c r="D104" i="1"/>
  <c r="F104" i="1"/>
  <c r="E104" i="1"/>
  <c r="H104" i="1"/>
  <c r="D105" i="1"/>
  <c r="H105" i="1"/>
  <c r="D106" i="1"/>
  <c r="F105" i="1"/>
  <c r="E105" i="1"/>
  <c r="F106" i="1"/>
  <c r="E106" i="1"/>
  <c r="H106" i="1"/>
  <c r="D107" i="1"/>
  <c r="F107" i="1"/>
  <c r="E107" i="1"/>
  <c r="H107" i="1"/>
  <c r="D108" i="1"/>
  <c r="F108" i="1"/>
  <c r="E108" i="1"/>
  <c r="H108" i="1"/>
  <c r="D109" i="1"/>
  <c r="F109" i="1"/>
  <c r="E109" i="1"/>
  <c r="H109" i="1"/>
  <c r="D110" i="1"/>
  <c r="F110" i="1"/>
  <c r="E110" i="1"/>
  <c r="H110" i="1"/>
  <c r="D111" i="1"/>
  <c r="F111" i="1"/>
  <c r="E111" i="1"/>
  <c r="H111" i="1"/>
  <c r="D112" i="1"/>
  <c r="F112" i="1"/>
  <c r="E112" i="1"/>
  <c r="H112" i="1"/>
  <c r="D113" i="1"/>
  <c r="F113" i="1"/>
  <c r="E113" i="1"/>
  <c r="H113" i="1"/>
  <c r="D114" i="1"/>
  <c r="F114" i="1"/>
  <c r="E114" i="1"/>
  <c r="H114" i="1"/>
  <c r="D115" i="1"/>
  <c r="F115" i="1"/>
  <c r="E115" i="1"/>
  <c r="H115" i="1"/>
  <c r="D116" i="1"/>
  <c r="F116" i="1"/>
  <c r="E116" i="1"/>
  <c r="H116" i="1"/>
  <c r="D117" i="1"/>
  <c r="F117" i="1"/>
  <c r="E117" i="1"/>
  <c r="H117" i="1"/>
  <c r="D118" i="1"/>
  <c r="F118" i="1"/>
  <c r="E118" i="1"/>
  <c r="H118" i="1"/>
  <c r="D119" i="1"/>
  <c r="F119" i="1"/>
  <c r="E119" i="1"/>
  <c r="H119" i="1"/>
  <c r="D120" i="1"/>
  <c r="F120" i="1"/>
  <c r="E120" i="1"/>
  <c r="H120" i="1"/>
  <c r="D121" i="1"/>
  <c r="F121" i="1"/>
  <c r="E121" i="1"/>
  <c r="H121" i="1"/>
  <c r="D122" i="1"/>
  <c r="H122" i="1"/>
  <c r="D123" i="1"/>
  <c r="F122" i="1"/>
  <c r="E122" i="1"/>
  <c r="F123" i="1"/>
  <c r="E123" i="1"/>
  <c r="H123" i="1"/>
  <c r="D124" i="1"/>
  <c r="F124" i="1"/>
  <c r="E124" i="1"/>
  <c r="H124" i="1"/>
  <c r="D125" i="1"/>
  <c r="F125" i="1"/>
  <c r="E125" i="1"/>
  <c r="H125" i="1"/>
  <c r="D126" i="1"/>
  <c r="H126" i="1"/>
  <c r="D127" i="1"/>
  <c r="F126" i="1"/>
  <c r="E126" i="1"/>
  <c r="F127" i="1"/>
  <c r="E127" i="1"/>
  <c r="H127" i="1"/>
  <c r="D128" i="1"/>
  <c r="F128" i="1"/>
  <c r="E128" i="1"/>
  <c r="H128" i="1"/>
  <c r="D129" i="1"/>
  <c r="F129" i="1"/>
  <c r="E129" i="1"/>
  <c r="H129" i="1"/>
  <c r="D130" i="1"/>
  <c r="F130" i="1"/>
  <c r="E130" i="1"/>
  <c r="H130" i="1"/>
  <c r="D131" i="1"/>
  <c r="F131" i="1"/>
  <c r="E131" i="1"/>
  <c r="H131" i="1"/>
  <c r="D132" i="1"/>
  <c r="F132" i="1"/>
  <c r="E132" i="1"/>
  <c r="H132" i="1"/>
  <c r="D133" i="1"/>
  <c r="F133" i="1"/>
  <c r="E133" i="1"/>
  <c r="H133" i="1"/>
  <c r="D134" i="1"/>
  <c r="F134" i="1"/>
  <c r="E134" i="1"/>
  <c r="H134" i="1"/>
  <c r="D135" i="1"/>
  <c r="F135" i="1"/>
  <c r="E135" i="1"/>
  <c r="H135" i="1"/>
  <c r="D136" i="1"/>
  <c r="F136" i="1"/>
  <c r="E136" i="1"/>
  <c r="H136" i="1"/>
  <c r="D137" i="1"/>
  <c r="F137" i="1"/>
  <c r="E137" i="1"/>
  <c r="H137" i="1"/>
  <c r="D138" i="1"/>
  <c r="F138" i="1"/>
  <c r="E138" i="1"/>
  <c r="H138" i="1"/>
  <c r="D139" i="1"/>
  <c r="F139" i="1"/>
  <c r="E139" i="1"/>
  <c r="H139" i="1"/>
  <c r="D140" i="1"/>
  <c r="F140" i="1"/>
  <c r="E140" i="1"/>
  <c r="H140" i="1"/>
  <c r="D141" i="1"/>
  <c r="F141" i="1"/>
  <c r="E141" i="1"/>
  <c r="H141" i="1"/>
  <c r="D142" i="1"/>
  <c r="F142" i="1"/>
  <c r="E142" i="1"/>
  <c r="H142" i="1"/>
  <c r="D143" i="1"/>
  <c r="F143" i="1"/>
  <c r="E143" i="1"/>
  <c r="H143" i="1"/>
  <c r="D144" i="1"/>
  <c r="F144" i="1"/>
  <c r="E144" i="1"/>
  <c r="H144" i="1"/>
  <c r="D145" i="1"/>
  <c r="F145" i="1"/>
  <c r="E145" i="1"/>
  <c r="H145" i="1"/>
  <c r="D146" i="1"/>
  <c r="F146" i="1"/>
  <c r="E146" i="1"/>
  <c r="H146" i="1"/>
  <c r="D147" i="1"/>
  <c r="F147" i="1"/>
  <c r="E147" i="1"/>
  <c r="H147" i="1"/>
  <c r="D148" i="1"/>
  <c r="F148" i="1"/>
  <c r="E148" i="1"/>
  <c r="H148" i="1"/>
  <c r="D149" i="1"/>
  <c r="F149" i="1"/>
  <c r="E149" i="1"/>
  <c r="H149" i="1"/>
  <c r="D150" i="1"/>
  <c r="F150" i="1"/>
  <c r="E150" i="1"/>
  <c r="H150" i="1"/>
  <c r="D151" i="1"/>
  <c r="F151" i="1"/>
  <c r="E151" i="1"/>
  <c r="H151" i="1"/>
  <c r="D152" i="1"/>
  <c r="F152" i="1"/>
  <c r="E152" i="1"/>
  <c r="H152" i="1"/>
  <c r="D153" i="1"/>
  <c r="F153" i="1"/>
  <c r="E153" i="1"/>
  <c r="H153" i="1"/>
  <c r="D154" i="1"/>
  <c r="F154" i="1"/>
  <c r="E154" i="1"/>
  <c r="H154" i="1"/>
  <c r="D155" i="1"/>
  <c r="F155" i="1"/>
  <c r="E155" i="1"/>
  <c r="H155" i="1"/>
  <c r="D156" i="1"/>
  <c r="F156" i="1"/>
  <c r="E156" i="1"/>
  <c r="H156" i="1"/>
  <c r="D157" i="1"/>
  <c r="F157" i="1"/>
  <c r="E157" i="1"/>
  <c r="H157" i="1"/>
  <c r="D158" i="1"/>
  <c r="F158" i="1"/>
  <c r="E158" i="1"/>
  <c r="H158" i="1"/>
  <c r="D159" i="1"/>
  <c r="F159" i="1"/>
  <c r="E159" i="1"/>
  <c r="H159" i="1"/>
  <c r="D160" i="1"/>
  <c r="F160" i="1"/>
  <c r="E160" i="1"/>
  <c r="H160" i="1"/>
  <c r="D161" i="1"/>
  <c r="F161" i="1"/>
  <c r="E161" i="1"/>
  <c r="H161" i="1"/>
  <c r="D162" i="1"/>
  <c r="F162" i="1"/>
  <c r="E162" i="1"/>
  <c r="H162" i="1"/>
  <c r="D163" i="1"/>
  <c r="F163" i="1"/>
  <c r="E163" i="1"/>
  <c r="H163" i="1"/>
  <c r="D164" i="1"/>
  <c r="F164" i="1"/>
  <c r="E164" i="1"/>
  <c r="H164" i="1"/>
  <c r="D165" i="1"/>
  <c r="F165" i="1"/>
  <c r="E165" i="1"/>
  <c r="H165" i="1"/>
  <c r="D166" i="1"/>
  <c r="F166" i="1"/>
  <c r="E166" i="1"/>
  <c r="H166" i="1"/>
  <c r="D167" i="1"/>
  <c r="F167" i="1"/>
  <c r="H167" i="1"/>
  <c r="E167" i="1"/>
</calcChain>
</file>

<file path=xl/sharedStrings.xml><?xml version="1.0" encoding="utf-8"?>
<sst xmlns="http://schemas.openxmlformats.org/spreadsheetml/2006/main" count="123" uniqueCount="96">
  <si>
    <t>TABLA DE INGRESOS TOTALES</t>
  </si>
  <si>
    <t>AÑOS</t>
  </si>
  <si>
    <t>Plan personal</t>
  </si>
  <si>
    <t>Plan Empresarial -Economico</t>
  </si>
  <si>
    <t>Plan Empresarial -Estandar</t>
  </si>
  <si>
    <t xml:space="preserve">Plan Empresarial - Ropa y Tecnología </t>
  </si>
  <si>
    <t>Plan Empresarial - Premium</t>
  </si>
  <si>
    <t xml:space="preserve">Plan a la Medida </t>
  </si>
  <si>
    <t>TOTAL</t>
  </si>
  <si>
    <t>TABLA DE COSTOS TOTALES</t>
  </si>
  <si>
    <t>TABLA DE GASTOS TOTALES</t>
  </si>
  <si>
    <t>LUZ ELECTRICA</t>
  </si>
  <si>
    <t>AGUA</t>
  </si>
  <si>
    <t>TELEFONO</t>
  </si>
  <si>
    <t>INTERNET</t>
  </si>
  <si>
    <t>ARRIENDO</t>
  </si>
  <si>
    <t>PUBLICIDAD</t>
  </si>
  <si>
    <t xml:space="preserve">SUELDO ANUAL </t>
  </si>
  <si>
    <t>Desarrollador Web
Junior</t>
  </si>
  <si>
    <t>Desarrollador Web
Sénior y supervisor</t>
  </si>
  <si>
    <t>Diseñador Web
Junior</t>
  </si>
  <si>
    <t>Diseñador Grafico</t>
  </si>
  <si>
    <t>TECNICO EN COMPUTADORAS Y REDES</t>
  </si>
  <si>
    <t>SECRETARIA</t>
  </si>
  <si>
    <t>PERSONAL CALL CENTER</t>
  </si>
  <si>
    <t>CONTADORA</t>
  </si>
  <si>
    <t>CONSULTOR WEB</t>
  </si>
  <si>
    <t>TOTAL DE COSTOS BASICOS Y OPERACIONALES</t>
  </si>
  <si>
    <t>VARIABLES DE AMORTIZACIÓN</t>
  </si>
  <si>
    <t>Banco:</t>
  </si>
  <si>
    <t>Ba nco</t>
  </si>
  <si>
    <t>Pa cifico</t>
  </si>
  <si>
    <t>Préstamo</t>
  </si>
  <si>
    <t>ANUAL</t>
  </si>
  <si>
    <t>INTERES ANUAL(%):</t>
  </si>
  <si>
    <t>PLAZO (Años):</t>
  </si>
  <si>
    <t>K</t>
  </si>
  <si>
    <t>IP</t>
  </si>
  <si>
    <t>PAGO</t>
  </si>
  <si>
    <t>TABLA DE COSTOS FINANCIEROS</t>
  </si>
  <si>
    <t>N</t>
  </si>
  <si>
    <t>SALDO INICIAL</t>
  </si>
  <si>
    <t>CUOTA</t>
  </si>
  <si>
    <t>INTERESES</t>
  </si>
  <si>
    <t>AMORTIZACION</t>
  </si>
  <si>
    <t>SALDO FINAL</t>
  </si>
  <si>
    <t>Periodos</t>
  </si>
  <si>
    <t>Inicial</t>
  </si>
  <si>
    <t>Intereses</t>
  </si>
  <si>
    <t>Amort</t>
  </si>
  <si>
    <t>Cuota</t>
  </si>
  <si>
    <t>Final</t>
  </si>
  <si>
    <t>TABLA DE DEPRECIACION</t>
  </si>
  <si>
    <t>EQUIPO</t>
  </si>
  <si>
    <t>COSTO</t>
  </si>
  <si>
    <t>V. RESIDUAL</t>
  </si>
  <si>
    <t>TIEMPO UTIL</t>
  </si>
  <si>
    <t>PERÍODOS</t>
  </si>
  <si>
    <t>Computador desktop</t>
  </si>
  <si>
    <t>VALOR ACTIVO</t>
  </si>
  <si>
    <t>Mesa por computador</t>
  </si>
  <si>
    <t>UPS Regulador</t>
  </si>
  <si>
    <t>Impresora wifi</t>
  </si>
  <si>
    <t>Mesa de reuniones</t>
  </si>
  <si>
    <t>Telefono Ip</t>
  </si>
  <si>
    <t>Silla de oficina</t>
  </si>
  <si>
    <t>Aire Split</t>
  </si>
  <si>
    <t>Muebles</t>
  </si>
  <si>
    <t>Proyector</t>
  </si>
  <si>
    <t>Camaras IP</t>
  </si>
  <si>
    <t>Adornos de oficina</t>
  </si>
  <si>
    <t>Router wifi</t>
  </si>
  <si>
    <t>Servidor</t>
  </si>
  <si>
    <t>DEPRECIACION ANUAL</t>
  </si>
  <si>
    <t>VALORES</t>
  </si>
  <si>
    <t>VAN</t>
  </si>
  <si>
    <t>Ingresos</t>
  </si>
  <si>
    <t>Ventas</t>
  </si>
  <si>
    <t>Egresos</t>
  </si>
  <si>
    <t>Costos insumos</t>
  </si>
  <si>
    <t>Costos operacionales y basicos</t>
  </si>
  <si>
    <t>Costos financieros (Intereses)</t>
  </si>
  <si>
    <t>Depreciacion anual</t>
  </si>
  <si>
    <t>Total Egresos</t>
  </si>
  <si>
    <t>UTILIDAD ANTES DE IMPUESTOS</t>
  </si>
  <si>
    <t>Participación de Trabajadores 15%</t>
  </si>
  <si>
    <t>Utilidad despues trabajadores</t>
  </si>
  <si>
    <t>IMPUESTO A LA RENTA 25%</t>
  </si>
  <si>
    <t>Utilidad despues de la renta</t>
  </si>
  <si>
    <t>Utilidad Neta</t>
  </si>
  <si>
    <t>(+) Depreciacion (de activos fijos)</t>
  </si>
  <si>
    <t>(-) Inversion</t>
  </si>
  <si>
    <t>(+) Prestamo</t>
  </si>
  <si>
    <t>(-) Amortización Capital del Préstamo</t>
  </si>
  <si>
    <t>(=) Flujo Caja del Inversionista</t>
  </si>
  <si>
    <t>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</si>
</sst>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\ #,##0.00_);[Red]\(&quot;$&quot;\ #,##0.00\)"/>
    <numFmt numFmtId="165" formatCode="_(&quot;$&quot;\ * #,##0.00_);_(&quot;$&quot;\ * \(#,##0.00\);_(&quot;$&quot;\ * &quot;-&quot;??_);_(@_)"/>
    <numFmt numFmtId="166" formatCode="&quot;$&quot;\ 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2"/>
      <color theme="1"/>
      <name val="Calibri"/>
      <family val="2"/>
      <scheme val="minor"/>
    </font>
    <font>
      <b/>
      <sz val="8"/>
      <color theme="1"/>
      <name val="Century Gothic"/>
      <family val="2"/>
    </font>
    <font>
      <b/>
      <sz val="8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name val="Century Gothic"/>
      <family val="2"/>
    </font>
    <font>
      <b/>
      <sz val="11"/>
      <color theme="1"/>
      <name val="Century Gothic"/>
      <family val="2"/>
    </font>
    <font>
      <b/>
      <sz val="9"/>
      <color theme="1"/>
      <name val="Century Gothic"/>
      <family val="2"/>
    </font>
    <font>
      <sz val="10"/>
      <color theme="1"/>
      <name val="Century Gothic"/>
      <family val="2"/>
    </font>
    <font>
      <sz val="9"/>
      <color theme="1"/>
      <name val="Century Gothic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  <charset val="1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</cellStyleXfs>
  <cellXfs count="114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164" fontId="0" fillId="0" borderId="0" xfId="0" applyNumberFormat="1"/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1" applyFont="1" applyBorder="1" applyAlignment="1">
      <alignment horizontal="center" vertical="center" wrapText="1"/>
    </xf>
    <xf numFmtId="9" fontId="4" fillId="0" borderId="3" xfId="2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0" fontId="8" fillId="0" borderId="3" xfId="2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5" fontId="8" fillId="0" borderId="1" xfId="0" applyNumberFormat="1" applyFont="1" applyBorder="1"/>
    <xf numFmtId="164" fontId="8" fillId="0" borderId="1" xfId="0" applyNumberFormat="1" applyFont="1" applyBorder="1"/>
    <xf numFmtId="0" fontId="14" fillId="0" borderId="1" xfId="0" applyNumberFormat="1" applyFont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164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8" xfId="0" applyBorder="1"/>
    <xf numFmtId="164" fontId="0" fillId="0" borderId="8" xfId="0" applyNumberFormat="1" applyBorder="1"/>
    <xf numFmtId="164" fontId="0" fillId="0" borderId="8" xfId="0" applyNumberFormat="1" applyBorder="1" applyAlignment="1">
      <alignment horizontal="center" vertical="center"/>
    </xf>
    <xf numFmtId="165" fontId="0" fillId="0" borderId="0" xfId="0" applyNumberFormat="1"/>
    <xf numFmtId="0" fontId="5" fillId="0" borderId="1" xfId="0" applyFont="1" applyFill="1" applyBorder="1" applyAlignment="1">
      <alignment horizontal="center" vertical="center" wrapText="1"/>
    </xf>
    <xf numFmtId="165" fontId="4" fillId="0" borderId="1" xfId="1" applyFont="1" applyBorder="1" applyAlignment="1">
      <alignment horizontal="center" vertical="center"/>
    </xf>
    <xf numFmtId="165" fontId="0" fillId="0" borderId="0" xfId="1" applyFont="1"/>
    <xf numFmtId="0" fontId="6" fillId="0" borderId="1" xfId="0" applyFont="1" applyFill="1" applyBorder="1" applyAlignment="1">
      <alignment horizontal="center" vertical="center" wrapText="1"/>
    </xf>
    <xf numFmtId="165" fontId="0" fillId="0" borderId="1" xfId="1" applyFont="1" applyBorder="1"/>
    <xf numFmtId="165" fontId="0" fillId="0" borderId="1" xfId="1" applyFont="1" applyBorder="1" applyAlignment="1">
      <alignment horizontal="center" vertical="center"/>
    </xf>
    <xf numFmtId="165" fontId="2" fillId="0" borderId="1" xfId="1" applyFont="1" applyBorder="1" applyAlignment="1">
      <alignment horizontal="center" vertical="center"/>
    </xf>
    <xf numFmtId="165" fontId="15" fillId="0" borderId="1" xfId="1" applyFont="1" applyFill="1" applyBorder="1" applyAlignment="1">
      <alignment horizontal="center" vertical="top" wrapText="1"/>
    </xf>
    <xf numFmtId="165" fontId="14" fillId="0" borderId="1" xfId="1" applyFont="1" applyFill="1" applyBorder="1" applyAlignment="1">
      <alignment horizontal="center" vertical="top" wrapText="1"/>
    </xf>
    <xf numFmtId="165" fontId="0" fillId="0" borderId="1" xfId="0" applyNumberFormat="1" applyBorder="1"/>
    <xf numFmtId="0" fontId="10" fillId="0" borderId="1" xfId="0" applyFont="1" applyFill="1" applyBorder="1" applyAlignment="1">
      <alignment horizontal="center" vertical="center"/>
    </xf>
    <xf numFmtId="2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/>
    <xf numFmtId="164" fontId="0" fillId="0" borderId="1" xfId="1" applyNumberFormat="1" applyFont="1" applyBorder="1"/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9" fontId="20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15" fillId="0" borderId="1" xfId="1" applyFont="1" applyBorder="1" applyAlignment="1">
      <alignment horizontal="right" vertical="center"/>
    </xf>
    <xf numFmtId="166" fontId="15" fillId="0" borderId="1" xfId="1" applyNumberFormat="1" applyFont="1" applyBorder="1" applyAlignment="1">
      <alignment horizontal="right" vertical="center"/>
    </xf>
    <xf numFmtId="164" fontId="20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165" fontId="4" fillId="0" borderId="0" xfId="1" applyFont="1"/>
    <xf numFmtId="165" fontId="5" fillId="0" borderId="1" xfId="1" applyFont="1" applyBorder="1" applyAlignment="1">
      <alignment horizontal="center" vertical="center"/>
    </xf>
    <xf numFmtId="165" fontId="6" fillId="0" borderId="1" xfId="1" applyFont="1" applyBorder="1" applyAlignment="1">
      <alignment horizontal="center" vertical="center" wrapText="1"/>
    </xf>
    <xf numFmtId="165" fontId="7" fillId="0" borderId="1" xfId="1" applyFont="1" applyBorder="1" applyAlignment="1">
      <alignment horizontal="center" vertical="center" wrapText="1"/>
    </xf>
    <xf numFmtId="165" fontId="6" fillId="0" borderId="1" xfId="1" applyFont="1" applyFill="1" applyBorder="1" applyAlignment="1">
      <alignment horizontal="center" vertical="center" wrapText="1"/>
    </xf>
    <xf numFmtId="0" fontId="3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0" fillId="0" borderId="1" xfId="1" applyNumberFormat="1" applyFont="1" applyBorder="1"/>
    <xf numFmtId="2" fontId="2" fillId="0" borderId="1" xfId="1" applyNumberFormat="1" applyFont="1" applyBorder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165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9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4">
    <cellStyle name="Moneda" xfId="1" builtinId="4"/>
    <cellStyle name="Normal" xfId="0" builtinId="0"/>
    <cellStyle name="Porcentaje" xfId="2" builtinId="5"/>
    <cellStyle name="TableStyleLigh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mpu-proyec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4">
          <cell r="F4">
            <v>787.68060000000003</v>
          </cell>
          <cell r="G4">
            <v>776.04</v>
          </cell>
        </row>
        <row r="5">
          <cell r="F5">
            <v>4516.7093999999997</v>
          </cell>
          <cell r="G5">
            <v>4449.96</v>
          </cell>
        </row>
        <row r="6">
          <cell r="F6">
            <v>4517.8056000000006</v>
          </cell>
          <cell r="G6">
            <v>4451.04</v>
          </cell>
        </row>
        <row r="7">
          <cell r="F7">
            <v>5910.8322000000007</v>
          </cell>
          <cell r="G7">
            <v>5823.4800000000005</v>
          </cell>
        </row>
        <row r="8">
          <cell r="F8">
            <v>14239.881600000001</v>
          </cell>
        </row>
        <row r="9">
          <cell r="F9">
            <v>5160.4224000000004</v>
          </cell>
          <cell r="G9">
            <v>5084.16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1"/>
  <sheetViews>
    <sheetView zoomScale="84" zoomScaleNormal="84" workbookViewId="0">
      <selection activeCell="H19" sqref="H19"/>
    </sheetView>
  </sheetViews>
  <sheetFormatPr defaultColWidth="11.42578125" defaultRowHeight="15"/>
  <cols>
    <col min="1" max="1" width="15" customWidth="1"/>
    <col min="2" max="2" width="20.28515625" customWidth="1"/>
    <col min="3" max="4" width="17.7109375" customWidth="1"/>
    <col min="5" max="5" width="15.28515625" customWidth="1"/>
    <col min="6" max="6" width="21.42578125" customWidth="1"/>
    <col min="7" max="7" width="17" customWidth="1"/>
    <col min="8" max="8" width="25.42578125" customWidth="1"/>
    <col min="9" max="9" width="14.42578125" customWidth="1"/>
    <col min="10" max="10" width="20.7109375" customWidth="1"/>
    <col min="11" max="11" width="16.5703125" customWidth="1"/>
    <col min="12" max="12" width="19.28515625" customWidth="1"/>
    <col min="13" max="13" width="11.5703125" bestFit="1" customWidth="1"/>
    <col min="14" max="14" width="12.28515625" bestFit="1" customWidth="1"/>
    <col min="15" max="15" width="12.42578125" bestFit="1" customWidth="1"/>
  </cols>
  <sheetData>
    <row r="1" spans="1:8" ht="15.75">
      <c r="A1" s="79" t="s">
        <v>0</v>
      </c>
      <c r="B1" s="79"/>
      <c r="C1" s="79"/>
      <c r="D1" s="79"/>
      <c r="E1" s="79"/>
      <c r="F1" s="79"/>
      <c r="G1" s="79"/>
      <c r="H1" s="79"/>
    </row>
    <row r="3" spans="1:8" ht="50.25" customHeight="1">
      <c r="A3" s="2" t="s">
        <v>1</v>
      </c>
      <c r="B3" s="3" t="s">
        <v>2</v>
      </c>
      <c r="C3" s="3" t="s">
        <v>3</v>
      </c>
      <c r="D3" s="4" t="s">
        <v>4</v>
      </c>
      <c r="E3" s="3" t="s">
        <v>5</v>
      </c>
      <c r="F3" s="3" t="s">
        <v>6</v>
      </c>
      <c r="G3" s="3" t="s">
        <v>7</v>
      </c>
      <c r="H3" s="41" t="s">
        <v>8</v>
      </c>
    </row>
    <row r="4" spans="1:8" ht="17.25">
      <c r="A4" s="5">
        <v>2014</v>
      </c>
      <c r="B4" s="39">
        <f>[1]Hoja1!$F$4*10%*0*4</f>
        <v>0</v>
      </c>
      <c r="C4" s="39">
        <f>[1]Hoja1!F5*20%*1*4</f>
        <v>3613.3675199999998</v>
      </c>
      <c r="D4" s="39">
        <f>[1]Hoja1!F6*10%*0*4</f>
        <v>0</v>
      </c>
      <c r="E4" s="39">
        <f>[1]Hoja1!F7*40%*2*4</f>
        <v>18914.663040000003</v>
      </c>
      <c r="F4" s="39">
        <f>[1]Hoja1!F8*5%*0*4</f>
        <v>0</v>
      </c>
      <c r="G4" s="39">
        <f>[1]Hoja1!F9*15%*1*4</f>
        <v>3096.25344</v>
      </c>
      <c r="H4" s="42">
        <f>SUM(B4:G4)</f>
        <v>25624.284000000003</v>
      </c>
    </row>
    <row r="5" spans="1:8" ht="17.25">
      <c r="A5" s="5">
        <v>2015</v>
      </c>
      <c r="B5" s="39">
        <f>[1]Hoja1!F4*10%*1*7</f>
        <v>551.37642000000005</v>
      </c>
      <c r="C5" s="39">
        <f>[1]Hoja1!F5*20%*1*7</f>
        <v>6323.3931599999996</v>
      </c>
      <c r="D5" s="39">
        <f>[1]Hoja1!F6*10%*1*7</f>
        <v>3162.4639200000006</v>
      </c>
      <c r="E5" s="39">
        <f>[1]Hoja1!F7*40%*3*7</f>
        <v>49650.990480000008</v>
      </c>
      <c r="F5" s="39">
        <f>[1]Hoja1!F8*5%*0*7</f>
        <v>0</v>
      </c>
      <c r="G5" s="39">
        <f>[1]Hoja1!F9*15%*1*7</f>
        <v>5418.4435199999998</v>
      </c>
      <c r="H5" s="42">
        <f t="shared" ref="H5:H10" si="0">SUM(B5:G5)</f>
        <v>65106.66750000001</v>
      </c>
    </row>
    <row r="6" spans="1:8" ht="17.25">
      <c r="A6" s="5">
        <v>2016</v>
      </c>
      <c r="B6" s="39">
        <f>TREND(B4:B5,A4:A5,A6)</f>
        <v>1102.7528399999719</v>
      </c>
      <c r="C6" s="39">
        <f>TREND(C4:C5,A4:A5,A6)</f>
        <v>9033.41879999917</v>
      </c>
      <c r="D6" s="39">
        <f>TREND(D4:D5,A4:A5,A6)</f>
        <v>6324.9278399990872</v>
      </c>
      <c r="E6" s="39">
        <f>TREND(E4:E5,A4:A5,A6)</f>
        <v>80387.317920006812</v>
      </c>
      <c r="F6" s="39">
        <f>TREND(F4:F5,A4:A5,A6)</f>
        <v>0</v>
      </c>
      <c r="G6" s="39">
        <f>TREND(G4:G5,A4:A5,A6)</f>
        <v>7740.6336000002921</v>
      </c>
      <c r="H6" s="42">
        <f t="shared" si="0"/>
        <v>104589.05100000533</v>
      </c>
    </row>
    <row r="7" spans="1:8" ht="17.25">
      <c r="A7" s="5">
        <v>2017</v>
      </c>
      <c r="B7" s="39">
        <f>TREND(B4:B6,A4:A6,A7)</f>
        <v>1654.1292600000743</v>
      </c>
      <c r="C7" s="39">
        <f>TREND(C4:C6,A4:A6,A7)</f>
        <v>11743.444439997897</v>
      </c>
      <c r="D7" s="39">
        <f>TREND(D4:D6,A4:A6,A7)</f>
        <v>9487.3917599981651</v>
      </c>
      <c r="E7" s="39">
        <f>TREND(E4:E6,A4:A6,A7)</f>
        <v>111123.64536000788</v>
      </c>
      <c r="F7" s="39">
        <f>TREND(F4:F6,A4:A6,A7)</f>
        <v>0</v>
      </c>
      <c r="G7" s="39">
        <f>TREND(G4:G6,A4:A6,A7)</f>
        <v>10062.82368000038</v>
      </c>
      <c r="H7" s="42">
        <f t="shared" si="0"/>
        <v>144071.4345000044</v>
      </c>
    </row>
    <row r="8" spans="1:8" ht="17.25">
      <c r="A8" s="5">
        <v>2018</v>
      </c>
      <c r="B8" s="39">
        <f>TREND(B4:B7,A4:A7,A8)</f>
        <v>2205.5056799999438</v>
      </c>
      <c r="C8" s="39">
        <f>TREND(C4:C7,A4:A7,A8)</f>
        <v>14453.470079997554</v>
      </c>
      <c r="D8" s="39">
        <f>TREND(D4:D7,A4:A7,A8)</f>
        <v>12649.855679998174</v>
      </c>
      <c r="E8" s="39">
        <f>TREND(E4:E7,A4:A7,A8)</f>
        <v>141859.97280000895</v>
      </c>
      <c r="F8" s="39">
        <f>TREND(F4:F7,A4:A7,A8)</f>
        <v>0</v>
      </c>
      <c r="G8" s="39">
        <f>TREND(G4:G7,A4:A7,A8)</f>
        <v>12385.013760000467</v>
      </c>
      <c r="H8" s="42">
        <f t="shared" si="0"/>
        <v>183553.81800000509</v>
      </c>
    </row>
    <row r="9" spans="1:8" ht="17.25">
      <c r="A9" s="5">
        <v>2019</v>
      </c>
      <c r="B9" s="39">
        <f>TREND(B4:B8,A4:A8,A9)</f>
        <v>2756.8820999998134</v>
      </c>
      <c r="C9" s="39">
        <f>TREND(C4:C8,A4:A8,A9)</f>
        <v>17163.495719997212</v>
      </c>
      <c r="D9" s="39">
        <f>TREND(D4:D8,A4:A8,A9)</f>
        <v>15812.319599997252</v>
      </c>
      <c r="E9" s="39">
        <f>TREND(E4:E8,A4:A8,A9)</f>
        <v>172596.30024001002</v>
      </c>
      <c r="F9" s="39">
        <f>TREND(F4:F8,A4:A8,A9)</f>
        <v>0</v>
      </c>
      <c r="G9" s="39">
        <f>TREND(G4:G8,A4:A8,A9)</f>
        <v>14707.203840000555</v>
      </c>
      <c r="H9" s="42">
        <f t="shared" si="0"/>
        <v>223036.20150000486</v>
      </c>
    </row>
    <row r="10" spans="1:8" ht="17.25">
      <c r="A10" s="5">
        <v>2020</v>
      </c>
      <c r="B10" s="39">
        <f>TREND(B4:B9,A4:A9,A10)</f>
        <v>3308.2585199999157</v>
      </c>
      <c r="C10" s="39">
        <f>TREND(C4:C9,A4:A9,A10)</f>
        <v>19873.52135999687</v>
      </c>
      <c r="D10" s="39">
        <f>TREND(D4:D9,A4:A9,A10)</f>
        <v>18974.783519997261</v>
      </c>
      <c r="E10" s="39">
        <f>TREND(E4:E9,A4:A9,A10)</f>
        <v>203332.62768001109</v>
      </c>
      <c r="F10" s="39">
        <f>TREND(F4:F9,A4:A9,A10)</f>
        <v>0</v>
      </c>
      <c r="G10" s="39">
        <f>TREND(G4:G9,A4:A9,A10)</f>
        <v>17029.393920000643</v>
      </c>
      <c r="H10" s="42">
        <f t="shared" si="0"/>
        <v>262518.58500000578</v>
      </c>
    </row>
    <row r="11" spans="1:8" ht="17.25">
      <c r="A11" s="5">
        <v>2021</v>
      </c>
      <c r="B11" s="39">
        <f>TREND(B4:B10,A4:A10,A11)</f>
        <v>3859.6349400000181</v>
      </c>
      <c r="C11" s="39">
        <f>TREND(C4:C10,A4:A10,A11)</f>
        <v>22583.546999996528</v>
      </c>
      <c r="D11" s="39">
        <f>TREND(D4:D10,A4:A10,A11)</f>
        <v>22137.247439995408</v>
      </c>
      <c r="E11" s="39">
        <f>TREND(E4:E10,A4:A10,A11)</f>
        <v>234068.95512001961</v>
      </c>
      <c r="F11" s="39">
        <f>TREND(F4:F10,A4:A10,A11)</f>
        <v>0</v>
      </c>
      <c r="G11" s="39">
        <f>TREND(G4:G10,A4:A10,A11)</f>
        <v>19351.58400000073</v>
      </c>
      <c r="H11" s="42">
        <f>SUM(B11:G11)</f>
        <v>302000.9685000123</v>
      </c>
    </row>
    <row r="12" spans="1:8" ht="17.25">
      <c r="A12" s="5">
        <v>2022</v>
      </c>
      <c r="B12" s="39">
        <f>TREND(B4:B11,A4:A11,A12)</f>
        <v>4411.0113599998876</v>
      </c>
      <c r="C12" s="39">
        <f>TREND(C4:C11,A4:A11,A12)</f>
        <v>25293.572639995255</v>
      </c>
      <c r="D12" s="39">
        <f>TREND(D4:D11,A4:A11,A12)</f>
        <v>25299.711359995417</v>
      </c>
      <c r="E12" s="39">
        <f>TREND(E4:E11,A4:A11,A12)</f>
        <v>264805.28256001323</v>
      </c>
      <c r="F12" s="39">
        <f>TREND(F4:F11,A4:A11,A12)</f>
        <v>0</v>
      </c>
      <c r="G12" s="39">
        <f>TREND(G4:G11,A4:A11,A12)</f>
        <v>21673.774080000818</v>
      </c>
      <c r="H12" s="42">
        <f>SUM(B12:G12)</f>
        <v>341483.35200000461</v>
      </c>
    </row>
    <row r="13" spans="1:8" ht="17.25">
      <c r="A13" s="5">
        <v>2023</v>
      </c>
      <c r="B13" s="39">
        <f>TREND(B4:B12,A4:A12,A13)</f>
        <v>4962.3877799997572</v>
      </c>
      <c r="C13" s="39">
        <f>TREND(C4:C12,A4:A12,A13)</f>
        <v>28003.598279993981</v>
      </c>
      <c r="D13" s="39">
        <f>TREND(D4:D12,A4:A12,A13)</f>
        <v>28462.175279995427</v>
      </c>
      <c r="E13" s="39">
        <f>TREND(E4:E12,A4:A12,A13)</f>
        <v>295541.61000002176</v>
      </c>
      <c r="F13" s="39">
        <f>TREND(F4:F12,A4:A12,A13)</f>
        <v>0</v>
      </c>
      <c r="G13" s="39">
        <f>TREND(G4:G12,A4:A12,A13)</f>
        <v>23995.964160001837</v>
      </c>
      <c r="H13" s="42">
        <f>SUM(B13:G13)</f>
        <v>380965.73550001276</v>
      </c>
    </row>
    <row r="16" spans="1:8" ht="17.25">
      <c r="A16" s="1"/>
      <c r="B16" s="1"/>
      <c r="C16" s="1"/>
      <c r="D16" s="1"/>
      <c r="E16" s="1"/>
      <c r="F16" s="1"/>
      <c r="G16" s="1"/>
    </row>
    <row r="17" spans="1:8" ht="15.75">
      <c r="A17" s="78" t="s">
        <v>9</v>
      </c>
      <c r="B17" s="78"/>
      <c r="C17" s="78"/>
      <c r="D17" s="78"/>
      <c r="E17" s="78"/>
      <c r="F17" s="78"/>
      <c r="G17" s="78"/>
      <c r="H17" s="40"/>
    </row>
    <row r="18" spans="1:8" ht="17.25">
      <c r="A18" s="64"/>
      <c r="B18" s="64"/>
      <c r="C18" s="64"/>
      <c r="D18" s="64"/>
      <c r="E18" s="64"/>
      <c r="F18" s="64"/>
      <c r="G18" s="64"/>
      <c r="H18" s="40"/>
    </row>
    <row r="19" spans="1:8" ht="47.25" customHeight="1">
      <c r="A19" s="65" t="s">
        <v>1</v>
      </c>
      <c r="B19" s="66" t="s">
        <v>2</v>
      </c>
      <c r="C19" s="66" t="s">
        <v>3</v>
      </c>
      <c r="D19" s="67" t="s">
        <v>4</v>
      </c>
      <c r="E19" s="66" t="s">
        <v>5</v>
      </c>
      <c r="F19" s="66" t="s">
        <v>6</v>
      </c>
      <c r="G19" s="66" t="s">
        <v>7</v>
      </c>
      <c r="H19" s="68" t="s">
        <v>8</v>
      </c>
    </row>
    <row r="20" spans="1:8" ht="17.25">
      <c r="A20" s="69">
        <v>2014</v>
      </c>
      <c r="B20" s="39">
        <f>[1]Hoja1!G4*4</f>
        <v>3104.16</v>
      </c>
      <c r="C20" s="39">
        <f>[1]Hoja1!G5*4</f>
        <v>17799.84</v>
      </c>
      <c r="D20" s="39">
        <f>[1]Hoja1!G6*4</f>
        <v>17804.16</v>
      </c>
      <c r="E20" s="39">
        <f>[1]Hoja1!G7*4</f>
        <v>23293.920000000002</v>
      </c>
      <c r="F20" s="39">
        <v>0</v>
      </c>
      <c r="G20" s="39">
        <f>[1]Hoja1!G9*4</f>
        <v>20336.64</v>
      </c>
      <c r="H20" s="42">
        <f>SUM(B20:G20)</f>
        <v>82338.720000000001</v>
      </c>
    </row>
    <row r="21" spans="1:8" ht="17.25">
      <c r="A21" s="69">
        <v>2015</v>
      </c>
      <c r="B21" s="39">
        <f>[1]Hoja1!G4*7</f>
        <v>5432.28</v>
      </c>
      <c r="C21" s="39">
        <f>[1]Hoja1!G5*7</f>
        <v>31149.72</v>
      </c>
      <c r="D21" s="39">
        <f>[1]Hoja1!G6*7</f>
        <v>31157.279999999999</v>
      </c>
      <c r="E21" s="39">
        <f>[1]Hoja1!G7*7</f>
        <v>40764.36</v>
      </c>
      <c r="F21" s="39">
        <v>0</v>
      </c>
      <c r="G21" s="39">
        <f>[1]Hoja1!G9*7</f>
        <v>35589.119999999995</v>
      </c>
      <c r="H21" s="42">
        <f t="shared" ref="H21:H29" si="1">SUM(B21:G21)</f>
        <v>144092.76</v>
      </c>
    </row>
    <row r="22" spans="1:8" ht="17.25">
      <c r="A22" s="69">
        <v>2016</v>
      </c>
      <c r="B22" s="39">
        <f>TREND(B20:B21,A20:A21,A22)</f>
        <v>7760.3999999994412</v>
      </c>
      <c r="C22" s="39">
        <f>TREND(C20:C21,A20:A21,A22)</f>
        <v>44499.60000000149</v>
      </c>
      <c r="D22" s="39">
        <f>TREND(D20:D21,A20:A21,A22)</f>
        <v>44510.39999999851</v>
      </c>
      <c r="E22" s="39">
        <f>TREND(E20:E21,A20:A21,A22)</f>
        <v>58234.80000000447</v>
      </c>
      <c r="F22" s="39">
        <v>0</v>
      </c>
      <c r="G22" s="39">
        <f>TREND(G20:G21,A20:A21,A22)</f>
        <v>50841.60000000149</v>
      </c>
      <c r="H22" s="42">
        <f t="shared" si="1"/>
        <v>205846.8000000054</v>
      </c>
    </row>
    <row r="23" spans="1:8" ht="17.25">
      <c r="A23" s="69">
        <v>2017</v>
      </c>
      <c r="B23" s="39">
        <f>TREND(B20:B22,A20:A22,A23)</f>
        <v>10088.519999999553</v>
      </c>
      <c r="C23" s="39">
        <f>TREND(C20:C22,A20:A22,A23)</f>
        <v>57849.480000000447</v>
      </c>
      <c r="D23" s="39">
        <f>TREND(D20:D22,A20:A22,A23)</f>
        <v>57863.519999999553</v>
      </c>
      <c r="E23" s="39">
        <f>TREND(E20:E22,A20:A22,A23)</f>
        <v>75705.240000002086</v>
      </c>
      <c r="F23" s="39">
        <v>0</v>
      </c>
      <c r="G23" s="39">
        <f>TREND(G20:G22,A20:A22,A23)</f>
        <v>66094.080000005662</v>
      </c>
      <c r="H23" s="42">
        <f t="shared" si="1"/>
        <v>267600.8400000073</v>
      </c>
    </row>
    <row r="24" spans="1:8" ht="17.25">
      <c r="A24" s="69">
        <v>2018</v>
      </c>
      <c r="B24" s="39">
        <f>TREND(B20:B23,A20:A23,A24)</f>
        <v>12416.639999999665</v>
      </c>
      <c r="C24" s="39">
        <f>TREND(C20:C23,A20:A23,A24)</f>
        <v>71199.359999999404</v>
      </c>
      <c r="D24" s="39">
        <f>TREND(D20:D23,A20:A23,A24)</f>
        <v>71216.640000000596</v>
      </c>
      <c r="E24" s="39">
        <f>TREND(E20:E23,A20:A23,A24)</f>
        <v>93175.679999999702</v>
      </c>
      <c r="F24" s="39">
        <v>0</v>
      </c>
      <c r="G24" s="39">
        <f>TREND(G20:G23,A20:A23,A24)</f>
        <v>81346.560000009835</v>
      </c>
      <c r="H24" s="42">
        <f t="shared" si="1"/>
        <v>329354.8800000092</v>
      </c>
    </row>
    <row r="25" spans="1:8" ht="17.25">
      <c r="A25" s="69">
        <v>2019</v>
      </c>
      <c r="B25" s="39">
        <f>TREND(B20:B24,A20:A24,A25)</f>
        <v>14744.759999998845</v>
      </c>
      <c r="C25" s="39">
        <f>TREND(C20:C24,A20:A24,A25)</f>
        <v>84549.239999998361</v>
      </c>
      <c r="D25" s="39">
        <f>TREND(D20:D24,A20:A24,A25)</f>
        <v>84569.760000001639</v>
      </c>
      <c r="E25" s="39">
        <f>TREND(E20:E24,A20:A24,A25)</f>
        <v>110646.12000000477</v>
      </c>
      <c r="F25" s="39">
        <v>0</v>
      </c>
      <c r="G25" s="39">
        <f>TREND(G20:G24,A20:A24,A25)</f>
        <v>96599.040000014007</v>
      </c>
      <c r="H25" s="42">
        <f t="shared" si="1"/>
        <v>391108.92000001762</v>
      </c>
    </row>
    <row r="26" spans="1:8" ht="17.25">
      <c r="A26" s="69">
        <v>2020</v>
      </c>
      <c r="B26" s="39">
        <f>TREND(B20:B25,A20:A25,A26)</f>
        <v>17072.879999998957</v>
      </c>
      <c r="C26" s="39">
        <f>TREND(C20:C25,A20:A25,A26)</f>
        <v>97899.120000001043</v>
      </c>
      <c r="D26" s="39">
        <f>TREND(D20:D25,A20:A25,A26)</f>
        <v>97922.879999998957</v>
      </c>
      <c r="E26" s="39">
        <f>TREND(E20:E25,A20:A25,A26)</f>
        <v>128116.56000000983</v>
      </c>
      <c r="F26" s="39">
        <v>0</v>
      </c>
      <c r="G26" s="39">
        <f>TREND(G20:G25,A20:A25,A26)</f>
        <v>111851.52000001445</v>
      </c>
      <c r="H26" s="42">
        <f t="shared" si="1"/>
        <v>452862.96000002325</v>
      </c>
    </row>
    <row r="27" spans="1:8" ht="17.25">
      <c r="A27" s="69">
        <v>2021</v>
      </c>
      <c r="B27" s="39">
        <f>TREND(B20:B26,A20:A26,A27)</f>
        <v>19400.999999999069</v>
      </c>
      <c r="C27" s="39">
        <f>TREND(C20:C26,A20:A26,A27)</f>
        <v>111249</v>
      </c>
      <c r="D27" s="39">
        <f>TREND(D20:D26,A20:A26,A27)</f>
        <v>111276</v>
      </c>
      <c r="E27" s="39">
        <f>TREND(E20:E26,A20:A26,A27)</f>
        <v>145587.00000000745</v>
      </c>
      <c r="F27" s="39">
        <v>0</v>
      </c>
      <c r="G27" s="39">
        <f>TREND(G20:G26,A20:A26,A27)</f>
        <v>127104.00000001863</v>
      </c>
      <c r="H27" s="42">
        <f t="shared" si="1"/>
        <v>514617.00000002515</v>
      </c>
    </row>
    <row r="28" spans="1:8" ht="17.25">
      <c r="A28" s="69">
        <v>2022</v>
      </c>
      <c r="B28" s="39">
        <f>TREND(B20:B27,A20:A27,A28)</f>
        <v>21729.11999999918</v>
      </c>
      <c r="C28" s="39">
        <f>TREND(C20:C27,A20:A27,A28)</f>
        <v>124598.88000000268</v>
      </c>
      <c r="D28" s="39">
        <f>TREND(D20:D27,A20:A27,A28)</f>
        <v>124629.11999999732</v>
      </c>
      <c r="E28" s="39">
        <f>TREND(E20:E27,A20:A27,A28)</f>
        <v>163057.44000001252</v>
      </c>
      <c r="F28" s="39">
        <v>0</v>
      </c>
      <c r="G28" s="39">
        <f>TREND(G20:G27,A20:A27,A28)</f>
        <v>142356.4800000228</v>
      </c>
      <c r="H28" s="42">
        <f t="shared" si="1"/>
        <v>576371.0400000345</v>
      </c>
    </row>
    <row r="29" spans="1:8" ht="17.25">
      <c r="A29" s="69">
        <v>2023</v>
      </c>
      <c r="B29" s="39">
        <f>TREND(B20:B28,A20:A28,A29)</f>
        <v>24057.239999998361</v>
      </c>
      <c r="C29" s="39">
        <f>TREND(C20:C28,A20:A28,A29)</f>
        <v>137948.75999999791</v>
      </c>
      <c r="D29" s="39">
        <f>TREND(D20:D28,A20:A28,A29)</f>
        <v>137982.24000000209</v>
      </c>
      <c r="E29" s="39">
        <f>TREND(E20:E28,A20:A28,A29)</f>
        <v>180527.88000001013</v>
      </c>
      <c r="F29" s="39">
        <v>0</v>
      </c>
      <c r="G29" s="39">
        <f>TREND(G20:G28,A20:A28,A29)</f>
        <v>157608.96000002697</v>
      </c>
      <c r="H29" s="42">
        <f t="shared" si="1"/>
        <v>638125.08000003546</v>
      </c>
    </row>
    <row r="31" spans="1:8" ht="17.25">
      <c r="A31" s="1"/>
      <c r="B31" s="1"/>
      <c r="C31" s="1"/>
      <c r="D31" s="1"/>
      <c r="E31" s="1"/>
      <c r="F31" s="1"/>
      <c r="G31" s="1"/>
    </row>
    <row r="32" spans="1:8" ht="15.75">
      <c r="A32" s="79" t="s">
        <v>10</v>
      </c>
      <c r="B32" s="79"/>
      <c r="C32" s="79"/>
      <c r="D32" s="79"/>
      <c r="E32" s="79"/>
      <c r="F32" s="79"/>
      <c r="G32" s="79"/>
    </row>
    <row r="33" spans="1:12" ht="17.25">
      <c r="A33" s="1"/>
      <c r="B33" s="1"/>
      <c r="C33" s="1"/>
      <c r="D33" s="1"/>
      <c r="E33" s="1"/>
      <c r="F33" s="1"/>
      <c r="G33" s="1"/>
    </row>
    <row r="34" spans="1:12" ht="15.75">
      <c r="A34" s="2" t="s">
        <v>1</v>
      </c>
      <c r="B34" s="3" t="s">
        <v>11</v>
      </c>
      <c r="C34" s="3" t="s">
        <v>12</v>
      </c>
      <c r="D34" s="4" t="s">
        <v>13</v>
      </c>
      <c r="E34" s="3" t="s">
        <v>14</v>
      </c>
      <c r="F34" s="3" t="s">
        <v>15</v>
      </c>
      <c r="G34" s="3" t="s">
        <v>16</v>
      </c>
      <c r="H34" s="44" t="s">
        <v>8</v>
      </c>
    </row>
    <row r="35" spans="1:12" ht="17.25">
      <c r="A35" s="5">
        <v>2014</v>
      </c>
      <c r="B35" s="39">
        <v>789.61</v>
      </c>
      <c r="C35" s="39">
        <v>177</v>
      </c>
      <c r="D35" s="39">
        <v>1152</v>
      </c>
      <c r="E35" s="39">
        <v>6897.6</v>
      </c>
      <c r="F35" s="39">
        <v>7200</v>
      </c>
      <c r="G35" s="39">
        <v>1323.72</v>
      </c>
      <c r="H35" s="43">
        <f>SUM(B35:G35)</f>
        <v>17539.93</v>
      </c>
    </row>
    <row r="36" spans="1:12" ht="17.25">
      <c r="A36" s="5">
        <v>2015</v>
      </c>
      <c r="B36" s="39">
        <v>1396</v>
      </c>
      <c r="C36" s="39">
        <v>358.2</v>
      </c>
      <c r="D36" s="39">
        <v>1267</v>
      </c>
      <c r="E36" s="39">
        <v>6897.6</v>
      </c>
      <c r="F36" s="39">
        <v>7200</v>
      </c>
      <c r="G36" s="39">
        <v>1323.72</v>
      </c>
      <c r="H36" s="43">
        <f>SUM(B36:G36)</f>
        <v>18442.52</v>
      </c>
    </row>
    <row r="37" spans="1:12" ht="17.25">
      <c r="A37" s="5">
        <v>2016</v>
      </c>
      <c r="B37" s="39">
        <f t="shared" ref="B37:B44" si="2">TREND($B$35:$B$36,$A$35:$A$36,A37)</f>
        <v>2002.3899999998976</v>
      </c>
      <c r="C37" s="39">
        <f t="shared" ref="C37:C44" si="3">TREND($C$35:$C$36,$A$35:$A$36,A37)</f>
        <v>539.39999999996508</v>
      </c>
      <c r="D37" s="39">
        <f t="shared" ref="D37:D44" si="4">TREND($D$35:$D$36,$A$35:$A$36,A37)</f>
        <v>1382</v>
      </c>
      <c r="E37" s="39">
        <f t="shared" ref="E37:E44" si="5">TREND(E35:E36,A35:A36,A37)</f>
        <v>6897.6</v>
      </c>
      <c r="F37" s="39">
        <v>7200</v>
      </c>
      <c r="G37" s="39">
        <v>1323.72</v>
      </c>
      <c r="H37" s="43">
        <f t="shared" ref="H37:H44" si="6">SUM(B37:G37)</f>
        <v>19345.109999999862</v>
      </c>
    </row>
    <row r="38" spans="1:12" ht="17.25">
      <c r="A38" s="5">
        <v>2017</v>
      </c>
      <c r="B38" s="39">
        <f t="shared" si="2"/>
        <v>2608.7799999997951</v>
      </c>
      <c r="C38" s="39">
        <f t="shared" si="3"/>
        <v>720.59999999997672</v>
      </c>
      <c r="D38" s="39">
        <f t="shared" si="4"/>
        <v>1497</v>
      </c>
      <c r="E38" s="39">
        <f t="shared" si="5"/>
        <v>6897.6</v>
      </c>
      <c r="F38" s="39">
        <v>7200</v>
      </c>
      <c r="G38" s="39">
        <v>1323.72</v>
      </c>
      <c r="H38" s="43">
        <f t="shared" si="6"/>
        <v>20247.699999999772</v>
      </c>
    </row>
    <row r="39" spans="1:12" ht="17.25">
      <c r="A39" s="5">
        <v>2018</v>
      </c>
      <c r="B39" s="39">
        <f t="shared" si="2"/>
        <v>3215.1699999999255</v>
      </c>
      <c r="C39" s="39">
        <f t="shared" si="3"/>
        <v>901.79999999998836</v>
      </c>
      <c r="D39" s="39">
        <f t="shared" si="4"/>
        <v>1612</v>
      </c>
      <c r="E39" s="39">
        <f t="shared" si="5"/>
        <v>6897.6</v>
      </c>
      <c r="F39" s="39">
        <v>7200</v>
      </c>
      <c r="G39" s="39">
        <v>1323.72</v>
      </c>
      <c r="H39" s="43">
        <f t="shared" si="6"/>
        <v>21150.289999999914</v>
      </c>
    </row>
    <row r="40" spans="1:12" ht="17.25">
      <c r="A40" s="5">
        <v>2019</v>
      </c>
      <c r="B40" s="39">
        <f t="shared" si="2"/>
        <v>3821.559999999823</v>
      </c>
      <c r="C40" s="39">
        <f t="shared" si="3"/>
        <v>1083</v>
      </c>
      <c r="D40" s="39">
        <f t="shared" si="4"/>
        <v>1727</v>
      </c>
      <c r="E40" s="39">
        <f t="shared" si="5"/>
        <v>6897.6</v>
      </c>
      <c r="F40" s="39">
        <v>7200</v>
      </c>
      <c r="G40" s="39">
        <v>1323.72</v>
      </c>
      <c r="H40" s="43">
        <f t="shared" si="6"/>
        <v>22052.879999999823</v>
      </c>
    </row>
    <row r="41" spans="1:12" ht="17.25">
      <c r="A41" s="6">
        <v>2020</v>
      </c>
      <c r="B41" s="39">
        <f t="shared" si="2"/>
        <v>4427.9499999999534</v>
      </c>
      <c r="C41" s="39">
        <f t="shared" si="3"/>
        <v>1264.2000000000116</v>
      </c>
      <c r="D41" s="39">
        <f t="shared" si="4"/>
        <v>1842</v>
      </c>
      <c r="E41" s="39">
        <f t="shared" si="5"/>
        <v>6897.6</v>
      </c>
      <c r="F41" s="39">
        <v>7200</v>
      </c>
      <c r="G41" s="39">
        <v>1323.72</v>
      </c>
      <c r="H41" s="43">
        <f t="shared" si="6"/>
        <v>22955.469999999965</v>
      </c>
    </row>
    <row r="42" spans="1:12" ht="17.25">
      <c r="A42" s="6">
        <v>2021</v>
      </c>
      <c r="B42" s="39">
        <f t="shared" si="2"/>
        <v>5034.339999999851</v>
      </c>
      <c r="C42" s="39">
        <f t="shared" si="3"/>
        <v>1445.3999999999651</v>
      </c>
      <c r="D42" s="39">
        <f t="shared" si="4"/>
        <v>1957</v>
      </c>
      <c r="E42" s="39">
        <f t="shared" si="5"/>
        <v>6897.6</v>
      </c>
      <c r="F42" s="39">
        <v>7200</v>
      </c>
      <c r="G42" s="39">
        <v>1323.72</v>
      </c>
      <c r="H42" s="43">
        <f t="shared" si="6"/>
        <v>23858.059999999816</v>
      </c>
    </row>
    <row r="43" spans="1:12" ht="17.25">
      <c r="A43" s="5">
        <v>2022</v>
      </c>
      <c r="B43" s="39">
        <f t="shared" si="2"/>
        <v>5640.7299999999814</v>
      </c>
      <c r="C43" s="39">
        <f t="shared" si="3"/>
        <v>1626.5999999999767</v>
      </c>
      <c r="D43" s="39">
        <f t="shared" si="4"/>
        <v>2072</v>
      </c>
      <c r="E43" s="39">
        <f t="shared" si="5"/>
        <v>6897.6</v>
      </c>
      <c r="F43" s="39">
        <v>7200</v>
      </c>
      <c r="G43" s="39">
        <v>1323.72</v>
      </c>
      <c r="H43" s="43">
        <f t="shared" si="6"/>
        <v>24760.649999999958</v>
      </c>
    </row>
    <row r="44" spans="1:12" ht="17.25">
      <c r="A44" s="5">
        <v>2023</v>
      </c>
      <c r="B44" s="39">
        <f t="shared" si="2"/>
        <v>6247.1199999998789</v>
      </c>
      <c r="C44" s="39">
        <f t="shared" si="3"/>
        <v>1807.7999999999884</v>
      </c>
      <c r="D44" s="39">
        <f t="shared" si="4"/>
        <v>2187</v>
      </c>
      <c r="E44" s="39">
        <f t="shared" si="5"/>
        <v>6897.6</v>
      </c>
      <c r="F44" s="39">
        <v>7200</v>
      </c>
      <c r="G44" s="39">
        <v>1323.72</v>
      </c>
      <c r="H44" s="43">
        <f t="shared" si="6"/>
        <v>25663.239999999867</v>
      </c>
    </row>
    <row r="47" spans="1:12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2" ht="64.5" customHeight="1">
      <c r="A48" s="24" t="s">
        <v>17</v>
      </c>
      <c r="B48" s="25" t="s">
        <v>18</v>
      </c>
      <c r="C48" s="25" t="s">
        <v>19</v>
      </c>
      <c r="D48" s="25" t="s">
        <v>20</v>
      </c>
      <c r="E48" s="25" t="s">
        <v>21</v>
      </c>
      <c r="F48" s="25" t="s">
        <v>22</v>
      </c>
      <c r="G48" s="24" t="s">
        <v>23</v>
      </c>
      <c r="H48" s="38" t="s">
        <v>24</v>
      </c>
      <c r="I48" s="24" t="s">
        <v>25</v>
      </c>
      <c r="J48" s="24" t="s">
        <v>26</v>
      </c>
      <c r="K48" s="24" t="s">
        <v>8</v>
      </c>
      <c r="L48" s="38" t="s">
        <v>27</v>
      </c>
    </row>
    <row r="49" spans="1:12" ht="15.75" customHeight="1">
      <c r="A49" s="22">
        <v>2014</v>
      </c>
      <c r="B49" s="45">
        <v>8400</v>
      </c>
      <c r="C49" s="45">
        <v>12000</v>
      </c>
      <c r="D49" s="45">
        <v>8400</v>
      </c>
      <c r="E49" s="45">
        <v>6000</v>
      </c>
      <c r="F49" s="45">
        <v>6000</v>
      </c>
      <c r="G49" s="46">
        <v>4200</v>
      </c>
      <c r="H49" s="46">
        <v>4200</v>
      </c>
      <c r="I49" s="46">
        <v>5400</v>
      </c>
      <c r="J49" s="46">
        <v>9600</v>
      </c>
      <c r="K49" s="42">
        <f>SUM(B49:J49)</f>
        <v>64200</v>
      </c>
      <c r="L49" s="47">
        <f>H35+K49</f>
        <v>81739.929999999993</v>
      </c>
    </row>
    <row r="50" spans="1:12" ht="15.75">
      <c r="A50" s="22">
        <v>2015</v>
      </c>
      <c r="B50" s="45">
        <v>8400</v>
      </c>
      <c r="C50" s="45">
        <v>12000</v>
      </c>
      <c r="D50" s="45">
        <v>16800</v>
      </c>
      <c r="E50" s="45">
        <v>6000</v>
      </c>
      <c r="F50" s="45">
        <v>12000</v>
      </c>
      <c r="G50" s="46">
        <v>4200</v>
      </c>
      <c r="H50" s="46">
        <v>4200</v>
      </c>
      <c r="I50" s="46">
        <v>5400</v>
      </c>
      <c r="J50" s="46">
        <v>9600</v>
      </c>
      <c r="K50" s="42">
        <f t="shared" ref="K50:K58" si="7">SUM(B50:J50)</f>
        <v>78600</v>
      </c>
      <c r="L50" s="47">
        <f t="shared" ref="L50:L56" si="8">H36+K50</f>
        <v>97042.52</v>
      </c>
    </row>
    <row r="51" spans="1:12" ht="15.75">
      <c r="A51" s="23">
        <v>2016</v>
      </c>
      <c r="B51" s="45">
        <v>16800</v>
      </c>
      <c r="C51" s="45">
        <v>24000</v>
      </c>
      <c r="D51" s="45">
        <v>25200</v>
      </c>
      <c r="E51" s="45">
        <v>6000</v>
      </c>
      <c r="F51" s="45">
        <v>18000</v>
      </c>
      <c r="G51" s="46">
        <v>4200</v>
      </c>
      <c r="H51" s="46">
        <v>4200</v>
      </c>
      <c r="I51" s="46">
        <v>5400</v>
      </c>
      <c r="J51" s="46">
        <v>9600</v>
      </c>
      <c r="K51" s="42">
        <f t="shared" si="7"/>
        <v>113400</v>
      </c>
      <c r="L51" s="47">
        <f t="shared" si="8"/>
        <v>132745.10999999987</v>
      </c>
    </row>
    <row r="52" spans="1:12" ht="15.75">
      <c r="A52" s="23">
        <v>2017</v>
      </c>
      <c r="B52" s="45">
        <f t="shared" ref="B52:B58" si="9">TREND($B$50:$B$51,$A$49:$A$50,A51)</f>
        <v>25200</v>
      </c>
      <c r="C52" s="45">
        <f t="shared" ref="C52:C58" si="10">TREND($C$50:$C$51,$A$49:$A$50,A51)</f>
        <v>36000</v>
      </c>
      <c r="D52" s="45">
        <f t="shared" ref="D52:D58" si="11">TREND($D$50:$D$51,$A$49:$A$50,A51)</f>
        <v>33600</v>
      </c>
      <c r="E52" s="45">
        <f t="shared" ref="E52:E58" si="12">TREND(E50:E51,A49:A50,A51)</f>
        <v>6000</v>
      </c>
      <c r="F52" s="45">
        <f t="shared" ref="F52:F58" si="13">TREND($F$50:$F$51,$A$49:$A$50,A51)</f>
        <v>24000</v>
      </c>
      <c r="G52" s="46">
        <v>4200</v>
      </c>
      <c r="H52" s="46">
        <v>4200</v>
      </c>
      <c r="I52" s="46">
        <v>5400</v>
      </c>
      <c r="J52" s="46">
        <v>9600</v>
      </c>
      <c r="K52" s="42">
        <f t="shared" si="7"/>
        <v>148200</v>
      </c>
      <c r="L52" s="47">
        <f t="shared" si="8"/>
        <v>168447.69999999978</v>
      </c>
    </row>
    <row r="53" spans="1:12" ht="15.75">
      <c r="A53" s="23">
        <v>2018</v>
      </c>
      <c r="B53" s="45">
        <f t="shared" si="9"/>
        <v>33600</v>
      </c>
      <c r="C53" s="45">
        <f t="shared" si="10"/>
        <v>48000</v>
      </c>
      <c r="D53" s="45">
        <f t="shared" si="11"/>
        <v>42000</v>
      </c>
      <c r="E53" s="45">
        <f t="shared" si="12"/>
        <v>6000</v>
      </c>
      <c r="F53" s="45">
        <f t="shared" si="13"/>
        <v>30000</v>
      </c>
      <c r="G53" s="46">
        <v>4200</v>
      </c>
      <c r="H53" s="46">
        <v>4200</v>
      </c>
      <c r="I53" s="46">
        <v>5400</v>
      </c>
      <c r="J53" s="46">
        <v>9600</v>
      </c>
      <c r="K53" s="42">
        <f t="shared" si="7"/>
        <v>183000</v>
      </c>
      <c r="L53" s="47">
        <f t="shared" si="8"/>
        <v>204150.28999999992</v>
      </c>
    </row>
    <row r="54" spans="1:12" ht="15.75">
      <c r="A54" s="23">
        <v>2019</v>
      </c>
      <c r="B54" s="45">
        <f t="shared" si="9"/>
        <v>42000</v>
      </c>
      <c r="C54" s="45">
        <f t="shared" si="10"/>
        <v>60000</v>
      </c>
      <c r="D54" s="45">
        <f t="shared" si="11"/>
        <v>50400</v>
      </c>
      <c r="E54" s="45">
        <f t="shared" si="12"/>
        <v>6000</v>
      </c>
      <c r="F54" s="45">
        <f t="shared" si="13"/>
        <v>36000</v>
      </c>
      <c r="G54" s="46">
        <v>4200</v>
      </c>
      <c r="H54" s="46">
        <v>4200</v>
      </c>
      <c r="I54" s="46">
        <v>5400</v>
      </c>
      <c r="J54" s="46">
        <v>9600</v>
      </c>
      <c r="K54" s="42">
        <f t="shared" si="7"/>
        <v>217800</v>
      </c>
      <c r="L54" s="47">
        <f t="shared" si="8"/>
        <v>239852.87999999983</v>
      </c>
    </row>
    <row r="55" spans="1:12" ht="15.75">
      <c r="A55" s="23">
        <v>2020</v>
      </c>
      <c r="B55" s="45">
        <f t="shared" si="9"/>
        <v>50400</v>
      </c>
      <c r="C55" s="45">
        <f t="shared" si="10"/>
        <v>72000</v>
      </c>
      <c r="D55" s="45">
        <f t="shared" si="11"/>
        <v>58800</v>
      </c>
      <c r="E55" s="45">
        <f t="shared" si="12"/>
        <v>6000</v>
      </c>
      <c r="F55" s="45">
        <f t="shared" si="13"/>
        <v>42000</v>
      </c>
      <c r="G55" s="46">
        <v>4200</v>
      </c>
      <c r="H55" s="46">
        <v>4200</v>
      </c>
      <c r="I55" s="46">
        <v>5400</v>
      </c>
      <c r="J55" s="46">
        <v>9600</v>
      </c>
      <c r="K55" s="42">
        <f t="shared" si="7"/>
        <v>252600</v>
      </c>
      <c r="L55" s="47">
        <f t="shared" si="8"/>
        <v>275555.46999999997</v>
      </c>
    </row>
    <row r="56" spans="1:12" ht="15.75">
      <c r="A56" s="23">
        <v>2021</v>
      </c>
      <c r="B56" s="45">
        <f t="shared" si="9"/>
        <v>58800</v>
      </c>
      <c r="C56" s="45">
        <f t="shared" si="10"/>
        <v>84000</v>
      </c>
      <c r="D56" s="45">
        <f t="shared" si="11"/>
        <v>67200</v>
      </c>
      <c r="E56" s="45">
        <f t="shared" si="12"/>
        <v>6000</v>
      </c>
      <c r="F56" s="45">
        <f t="shared" si="13"/>
        <v>48000</v>
      </c>
      <c r="G56" s="46">
        <v>4200</v>
      </c>
      <c r="H56" s="46">
        <v>4200</v>
      </c>
      <c r="I56" s="46">
        <v>5400</v>
      </c>
      <c r="J56" s="46">
        <v>9600</v>
      </c>
      <c r="K56" s="42">
        <f t="shared" si="7"/>
        <v>287400</v>
      </c>
      <c r="L56" s="47">
        <f t="shared" si="8"/>
        <v>311258.05999999982</v>
      </c>
    </row>
    <row r="57" spans="1:12" ht="15.75">
      <c r="A57" s="23">
        <v>2022</v>
      </c>
      <c r="B57" s="45">
        <f t="shared" si="9"/>
        <v>67200</v>
      </c>
      <c r="C57" s="45">
        <f t="shared" si="10"/>
        <v>96000</v>
      </c>
      <c r="D57" s="45">
        <f t="shared" si="11"/>
        <v>75600</v>
      </c>
      <c r="E57" s="45">
        <f t="shared" si="12"/>
        <v>6000</v>
      </c>
      <c r="F57" s="45">
        <f t="shared" si="13"/>
        <v>54000</v>
      </c>
      <c r="G57" s="46">
        <v>4200</v>
      </c>
      <c r="H57" s="46">
        <v>4200</v>
      </c>
      <c r="I57" s="46">
        <v>5400</v>
      </c>
      <c r="J57" s="46">
        <v>9600</v>
      </c>
      <c r="K57" s="42">
        <f t="shared" si="7"/>
        <v>322200</v>
      </c>
      <c r="L57" s="47">
        <f>H43+K57</f>
        <v>346960.64999999997</v>
      </c>
    </row>
    <row r="58" spans="1:12" ht="15.75">
      <c r="A58" s="22">
        <v>2023</v>
      </c>
      <c r="B58" s="45">
        <f t="shared" si="9"/>
        <v>75600</v>
      </c>
      <c r="C58" s="45">
        <f t="shared" si="10"/>
        <v>108000</v>
      </c>
      <c r="D58" s="45">
        <f t="shared" si="11"/>
        <v>84000</v>
      </c>
      <c r="E58" s="45">
        <f t="shared" si="12"/>
        <v>6000</v>
      </c>
      <c r="F58" s="45">
        <f t="shared" si="13"/>
        <v>60000</v>
      </c>
      <c r="G58" s="46">
        <v>4200</v>
      </c>
      <c r="H58" s="46">
        <v>4200</v>
      </c>
      <c r="I58" s="46">
        <v>5400</v>
      </c>
      <c r="J58" s="46">
        <v>9600</v>
      </c>
      <c r="K58" s="42">
        <f t="shared" si="7"/>
        <v>357000</v>
      </c>
      <c r="L58" s="47">
        <f>H44+K58</f>
        <v>382663.23999999987</v>
      </c>
    </row>
    <row r="60" spans="1:12" ht="15.75" thickBot="1"/>
    <row r="61" spans="1:12" ht="27.75" customHeight="1" thickBot="1">
      <c r="D61" s="80" t="s">
        <v>28</v>
      </c>
      <c r="E61" s="80"/>
      <c r="F61" s="11"/>
      <c r="G61" s="11"/>
      <c r="H61" s="11"/>
    </row>
    <row r="62" spans="1:12" ht="18" thickBot="1">
      <c r="D62" s="81" t="s">
        <v>29</v>
      </c>
      <c r="E62" s="12" t="s">
        <v>30</v>
      </c>
      <c r="F62" s="11"/>
      <c r="G62" s="11"/>
      <c r="H62" s="11"/>
    </row>
    <row r="63" spans="1:12" ht="18" thickBot="1">
      <c r="D63" s="81"/>
      <c r="E63" s="12" t="s">
        <v>31</v>
      </c>
      <c r="F63" s="11"/>
      <c r="G63" s="11"/>
      <c r="H63" s="11"/>
    </row>
    <row r="64" spans="1:12" ht="18" thickBot="1">
      <c r="D64" s="71" t="s">
        <v>32</v>
      </c>
      <c r="E64" s="13">
        <v>50000</v>
      </c>
      <c r="F64" s="59" t="s">
        <v>33</v>
      </c>
      <c r="G64" s="11"/>
      <c r="H64" s="11"/>
    </row>
    <row r="65" spans="2:15" ht="30.75" thickBot="1">
      <c r="D65" s="71" t="s">
        <v>34</v>
      </c>
      <c r="E65" s="14">
        <f>11.83/12</f>
        <v>0.98583333333333334</v>
      </c>
      <c r="F65" s="57">
        <v>0.1183</v>
      </c>
      <c r="G65" s="11"/>
      <c r="H65" s="11"/>
    </row>
    <row r="66" spans="2:15" ht="18" thickBot="1">
      <c r="D66" s="71" t="s">
        <v>35</v>
      </c>
      <c r="E66" s="12">
        <f>8*12</f>
        <v>96</v>
      </c>
      <c r="F66" s="58">
        <v>8</v>
      </c>
      <c r="G66" s="11"/>
      <c r="H66" s="11"/>
    </row>
    <row r="67" spans="2:15" ht="17.25" thickBot="1">
      <c r="D67" s="15" t="s">
        <v>36</v>
      </c>
      <c r="E67" s="16">
        <v>96</v>
      </c>
      <c r="F67" s="11"/>
      <c r="G67" s="11"/>
      <c r="H67" s="11"/>
    </row>
    <row r="68" spans="2:15" ht="17.25" thickBot="1">
      <c r="D68" s="17" t="s">
        <v>37</v>
      </c>
      <c r="E68" s="18">
        <f>E65/E66</f>
        <v>1.0269097222222223E-2</v>
      </c>
      <c r="F68" s="11"/>
      <c r="G68" s="11"/>
      <c r="H68" s="11"/>
    </row>
    <row r="69" spans="2:15" ht="17.25" thickBot="1">
      <c r="D69" s="15" t="s">
        <v>38</v>
      </c>
      <c r="E69" s="19">
        <f>PMT(E68,E66,-E64)</f>
        <v>821.53928279650029</v>
      </c>
      <c r="F69" s="11"/>
      <c r="G69" s="11"/>
      <c r="H69" s="11"/>
      <c r="J69" s="99" t="s">
        <v>39</v>
      </c>
      <c r="K69" s="99"/>
      <c r="L69" s="99"/>
      <c r="M69" s="99"/>
      <c r="N69" s="99"/>
      <c r="O69" s="99"/>
    </row>
    <row r="70" spans="2:15" ht="16.5">
      <c r="B70" s="9"/>
      <c r="C70" s="8"/>
      <c r="D70" s="11"/>
      <c r="E70" s="11"/>
      <c r="F70" s="11"/>
      <c r="G70" s="11"/>
      <c r="H70" s="11"/>
    </row>
    <row r="71" spans="2:15">
      <c r="C71" s="70" t="s">
        <v>40</v>
      </c>
      <c r="D71" s="72" t="s">
        <v>41</v>
      </c>
      <c r="E71" s="72" t="s">
        <v>42</v>
      </c>
      <c r="F71" s="72" t="s">
        <v>43</v>
      </c>
      <c r="G71" s="72" t="s">
        <v>44</v>
      </c>
      <c r="H71" s="72" t="s">
        <v>45</v>
      </c>
      <c r="J71" s="48" t="s">
        <v>46</v>
      </c>
      <c r="K71" s="73" t="s">
        <v>47</v>
      </c>
      <c r="L71" s="73" t="s">
        <v>48</v>
      </c>
      <c r="M71" s="73" t="s">
        <v>49</v>
      </c>
      <c r="N71" s="73" t="s">
        <v>50</v>
      </c>
      <c r="O71" s="73" t="s">
        <v>51</v>
      </c>
    </row>
    <row r="72" spans="2:15" ht="16.5">
      <c r="C72" s="70">
        <v>1</v>
      </c>
      <c r="D72" s="20">
        <f>$E$64</f>
        <v>50000</v>
      </c>
      <c r="E72" s="20">
        <f t="shared" ref="E72:E103" si="14">F72+G72</f>
        <v>1034.2881944444446</v>
      </c>
      <c r="F72" s="20">
        <f t="shared" ref="F72:F103" si="15">D72*$E$68</f>
        <v>513.4548611111112</v>
      </c>
      <c r="G72" s="21">
        <f t="shared" ref="G72:G103" si="16">$D$72/$E$66</f>
        <v>520.83333333333337</v>
      </c>
      <c r="H72" s="20">
        <f t="shared" ref="H72:H103" si="17">D72-G72</f>
        <v>49479.166666666664</v>
      </c>
      <c r="J72" s="70">
        <v>0</v>
      </c>
      <c r="K72" s="42"/>
      <c r="L72" s="42"/>
      <c r="M72" s="42"/>
      <c r="N72" s="42"/>
      <c r="O72" s="42">
        <f>E64</f>
        <v>50000</v>
      </c>
    </row>
    <row r="73" spans="2:15" ht="16.5">
      <c r="C73" s="70">
        <v>2</v>
      </c>
      <c r="D73" s="20">
        <f t="shared" ref="D73:D104" si="18">H72</f>
        <v>49479.166666666664</v>
      </c>
      <c r="E73" s="20">
        <f t="shared" si="14"/>
        <v>1028.9397063078704</v>
      </c>
      <c r="F73" s="20">
        <f t="shared" si="15"/>
        <v>508.10637297453707</v>
      </c>
      <c r="G73" s="21">
        <f t="shared" si="16"/>
        <v>520.83333333333337</v>
      </c>
      <c r="H73" s="20">
        <f t="shared" si="17"/>
        <v>48958.333333333328</v>
      </c>
      <c r="J73" s="70">
        <v>1</v>
      </c>
      <c r="K73" s="42">
        <f t="shared" ref="K73" si="19">O72</f>
        <v>50000</v>
      </c>
      <c r="L73" s="42">
        <f>IPMT($F$65,J73,$F$66,-$O$72)</f>
        <v>5915</v>
      </c>
      <c r="M73" s="42">
        <f>PPMT($F$65,J73,$F$66,-$O$72)</f>
        <v>4090.4330873346926</v>
      </c>
      <c r="N73" s="42">
        <f>PMT($F$65,$F$66,-$O$72)</f>
        <v>10005.433087334693</v>
      </c>
      <c r="O73" s="42">
        <f>K73-M73</f>
        <v>45909.566912665308</v>
      </c>
    </row>
    <row r="74" spans="2:15" ht="16.5">
      <c r="C74" s="70">
        <v>3</v>
      </c>
      <c r="D74" s="20">
        <f t="shared" si="18"/>
        <v>48958.333333333328</v>
      </c>
      <c r="E74" s="20">
        <f t="shared" si="14"/>
        <v>1023.5912181712963</v>
      </c>
      <c r="F74" s="20">
        <f t="shared" si="15"/>
        <v>502.75788483796293</v>
      </c>
      <c r="G74" s="21">
        <f t="shared" si="16"/>
        <v>520.83333333333337</v>
      </c>
      <c r="H74" s="20">
        <f t="shared" si="17"/>
        <v>48437.499999999993</v>
      </c>
      <c r="J74" s="70">
        <v>2</v>
      </c>
      <c r="K74" s="42">
        <f t="shared" ref="K74:K80" si="20">O73</f>
        <v>45909.566912665308</v>
      </c>
      <c r="L74" s="42">
        <f t="shared" ref="L74:L80" si="21">IPMT($F$65,J74,$F$66,-$O$72)</f>
        <v>5431.101765768306</v>
      </c>
      <c r="M74" s="42">
        <f t="shared" ref="M74:M80" si="22">PPMT($F$65,J74,$F$66,-$O$72)</f>
        <v>4574.3313215663866</v>
      </c>
      <c r="N74" s="42">
        <f t="shared" ref="N74:N80" si="23">PMT($F$65,$F$66,-$O$72)</f>
        <v>10005.433087334693</v>
      </c>
      <c r="O74" s="42">
        <f t="shared" ref="O74:O80" si="24">K74-M74</f>
        <v>41335.235591098921</v>
      </c>
    </row>
    <row r="75" spans="2:15" ht="16.5">
      <c r="C75" s="70">
        <v>4</v>
      </c>
      <c r="D75" s="20">
        <f t="shared" si="18"/>
        <v>48437.499999999993</v>
      </c>
      <c r="E75" s="20">
        <f t="shared" si="14"/>
        <v>1018.2427300347222</v>
      </c>
      <c r="F75" s="20">
        <f t="shared" si="15"/>
        <v>497.40939670138886</v>
      </c>
      <c r="G75" s="21">
        <f t="shared" si="16"/>
        <v>520.83333333333337</v>
      </c>
      <c r="H75" s="20">
        <f t="shared" si="17"/>
        <v>47916.666666666657</v>
      </c>
      <c r="J75" s="70">
        <v>3</v>
      </c>
      <c r="K75" s="42">
        <f t="shared" si="20"/>
        <v>41335.235591098921</v>
      </c>
      <c r="L75" s="42">
        <f t="shared" si="21"/>
        <v>4889.9583704270035</v>
      </c>
      <c r="M75" s="42">
        <f t="shared" si="22"/>
        <v>5115.47471690769</v>
      </c>
      <c r="N75" s="52">
        <f>PMT($F$65,$F$66,-$O$72)</f>
        <v>10005.433087334693</v>
      </c>
      <c r="O75" s="42">
        <f t="shared" si="24"/>
        <v>36219.760874191234</v>
      </c>
    </row>
    <row r="76" spans="2:15" ht="16.5">
      <c r="C76" s="70">
        <v>5</v>
      </c>
      <c r="D76" s="20">
        <f t="shared" si="18"/>
        <v>47916.666666666657</v>
      </c>
      <c r="E76" s="20">
        <f t="shared" si="14"/>
        <v>1012.894241898148</v>
      </c>
      <c r="F76" s="20">
        <f t="shared" si="15"/>
        <v>492.06090856481472</v>
      </c>
      <c r="G76" s="21">
        <f t="shared" si="16"/>
        <v>520.83333333333337</v>
      </c>
      <c r="H76" s="20">
        <f t="shared" si="17"/>
        <v>47395.833333333321</v>
      </c>
      <c r="J76" s="70">
        <v>4</v>
      </c>
      <c r="K76" s="42">
        <f t="shared" si="20"/>
        <v>36219.760874191234</v>
      </c>
      <c r="L76" s="42">
        <f t="shared" si="21"/>
        <v>4284.7977114168234</v>
      </c>
      <c r="M76" s="42">
        <f t="shared" si="22"/>
        <v>5720.6353759178701</v>
      </c>
      <c r="N76" s="42">
        <f t="shared" si="23"/>
        <v>10005.433087334693</v>
      </c>
      <c r="O76" s="42">
        <f t="shared" si="24"/>
        <v>30499.125498273363</v>
      </c>
    </row>
    <row r="77" spans="2:15" ht="16.5">
      <c r="C77" s="70">
        <v>6</v>
      </c>
      <c r="D77" s="20">
        <f t="shared" si="18"/>
        <v>47395.833333333321</v>
      </c>
      <c r="E77" s="20">
        <f t="shared" si="14"/>
        <v>1007.545753761574</v>
      </c>
      <c r="F77" s="20">
        <f t="shared" si="15"/>
        <v>486.71242042824065</v>
      </c>
      <c r="G77" s="21">
        <f t="shared" si="16"/>
        <v>520.83333333333337</v>
      </c>
      <c r="H77" s="20">
        <f t="shared" si="17"/>
        <v>46874.999999999985</v>
      </c>
      <c r="J77" s="70">
        <v>5</v>
      </c>
      <c r="K77" s="42">
        <f t="shared" si="20"/>
        <v>30499.125498273363</v>
      </c>
      <c r="L77" s="42">
        <f t="shared" si="21"/>
        <v>3608.0465464457393</v>
      </c>
      <c r="M77" s="42">
        <f t="shared" si="22"/>
        <v>6397.3865408889524</v>
      </c>
      <c r="N77" s="42">
        <f t="shared" si="23"/>
        <v>10005.433087334693</v>
      </c>
      <c r="O77" s="42">
        <f t="shared" si="24"/>
        <v>24101.738957384412</v>
      </c>
    </row>
    <row r="78" spans="2:15" ht="16.5">
      <c r="C78" s="70">
        <v>7</v>
      </c>
      <c r="D78" s="20">
        <f t="shared" si="18"/>
        <v>46874.999999999985</v>
      </c>
      <c r="E78" s="20">
        <f t="shared" si="14"/>
        <v>1002.197265625</v>
      </c>
      <c r="F78" s="20">
        <f t="shared" si="15"/>
        <v>481.36393229166657</v>
      </c>
      <c r="G78" s="21">
        <f t="shared" si="16"/>
        <v>520.83333333333337</v>
      </c>
      <c r="H78" s="20">
        <f t="shared" si="17"/>
        <v>46354.16666666665</v>
      </c>
      <c r="J78" s="70">
        <v>6</v>
      </c>
      <c r="K78" s="42">
        <f t="shared" si="20"/>
        <v>24101.738957384412</v>
      </c>
      <c r="L78" s="42">
        <f t="shared" si="21"/>
        <v>2851.2357186585764</v>
      </c>
      <c r="M78" s="42">
        <f t="shared" si="22"/>
        <v>7154.1973686761166</v>
      </c>
      <c r="N78" s="42">
        <f t="shared" si="23"/>
        <v>10005.433087334693</v>
      </c>
      <c r="O78" s="42">
        <f t="shared" si="24"/>
        <v>16947.541588708296</v>
      </c>
    </row>
    <row r="79" spans="2:15" ht="16.5">
      <c r="C79" s="70">
        <v>8</v>
      </c>
      <c r="D79" s="20">
        <f t="shared" si="18"/>
        <v>46354.16666666665</v>
      </c>
      <c r="E79" s="20">
        <f t="shared" si="14"/>
        <v>996.84877748842587</v>
      </c>
      <c r="F79" s="20">
        <f t="shared" si="15"/>
        <v>476.01544415509244</v>
      </c>
      <c r="G79" s="21">
        <f t="shared" si="16"/>
        <v>520.83333333333337</v>
      </c>
      <c r="H79" s="20">
        <f t="shared" si="17"/>
        <v>45833.333333333314</v>
      </c>
      <c r="J79" s="70">
        <v>7</v>
      </c>
      <c r="K79" s="42">
        <f t="shared" si="20"/>
        <v>16947.541588708296</v>
      </c>
      <c r="L79" s="42">
        <f t="shared" si="21"/>
        <v>2004.8941699441914</v>
      </c>
      <c r="M79" s="42">
        <f t="shared" si="22"/>
        <v>8000.5389173905014</v>
      </c>
      <c r="N79" s="42">
        <f t="shared" si="23"/>
        <v>10005.433087334693</v>
      </c>
      <c r="O79" s="42">
        <f t="shared" si="24"/>
        <v>8947.002671317794</v>
      </c>
    </row>
    <row r="80" spans="2:15" ht="16.5">
      <c r="C80" s="70">
        <v>9</v>
      </c>
      <c r="D80" s="20">
        <f t="shared" si="18"/>
        <v>45833.333333333314</v>
      </c>
      <c r="E80" s="20">
        <f t="shared" si="14"/>
        <v>991.50028935185173</v>
      </c>
      <c r="F80" s="20">
        <f t="shared" si="15"/>
        <v>470.66695601851836</v>
      </c>
      <c r="G80" s="21">
        <f t="shared" si="16"/>
        <v>520.83333333333337</v>
      </c>
      <c r="H80" s="20">
        <f t="shared" si="17"/>
        <v>45312.499999999978</v>
      </c>
      <c r="J80" s="70">
        <v>8</v>
      </c>
      <c r="K80" s="42">
        <f t="shared" si="20"/>
        <v>8947.002671317794</v>
      </c>
      <c r="L80" s="42">
        <f t="shared" si="21"/>
        <v>1058.4304160168954</v>
      </c>
      <c r="M80" s="42">
        <f t="shared" si="22"/>
        <v>8947.0026713177976</v>
      </c>
      <c r="N80" s="42">
        <f t="shared" si="23"/>
        <v>10005.433087334693</v>
      </c>
      <c r="O80" s="42">
        <f t="shared" si="24"/>
        <v>0</v>
      </c>
    </row>
    <row r="81" spans="3:9" ht="16.5">
      <c r="C81" s="70">
        <v>10</v>
      </c>
      <c r="D81" s="20">
        <f t="shared" si="18"/>
        <v>45312.499999999978</v>
      </c>
      <c r="E81" s="20">
        <f t="shared" si="14"/>
        <v>986.1518012152776</v>
      </c>
      <c r="F81" s="20">
        <f t="shared" si="15"/>
        <v>465.31846788194423</v>
      </c>
      <c r="G81" s="21">
        <f t="shared" si="16"/>
        <v>520.83333333333337</v>
      </c>
      <c r="H81" s="20">
        <f t="shared" si="17"/>
        <v>44791.666666666642</v>
      </c>
    </row>
    <row r="82" spans="3:9" ht="16.5">
      <c r="C82" s="70">
        <v>11</v>
      </c>
      <c r="D82" s="20">
        <f t="shared" si="18"/>
        <v>44791.666666666642</v>
      </c>
      <c r="E82" s="20">
        <f t="shared" si="14"/>
        <v>980.80331307870347</v>
      </c>
      <c r="F82" s="20">
        <f t="shared" si="15"/>
        <v>459.96997974537015</v>
      </c>
      <c r="G82" s="21">
        <f t="shared" si="16"/>
        <v>520.83333333333337</v>
      </c>
      <c r="H82" s="20">
        <f t="shared" si="17"/>
        <v>44270.833333333307</v>
      </c>
    </row>
    <row r="83" spans="3:9" ht="16.5">
      <c r="C83" s="70">
        <v>12</v>
      </c>
      <c r="D83" s="20">
        <f t="shared" si="18"/>
        <v>44270.833333333307</v>
      </c>
      <c r="E83" s="20">
        <f t="shared" si="14"/>
        <v>975.45482494212945</v>
      </c>
      <c r="F83" s="20">
        <f t="shared" si="15"/>
        <v>454.62149160879608</v>
      </c>
      <c r="G83" s="21">
        <f t="shared" si="16"/>
        <v>520.83333333333337</v>
      </c>
      <c r="H83" s="20">
        <f t="shared" si="17"/>
        <v>43749.999999999971</v>
      </c>
      <c r="I83" s="37"/>
    </row>
    <row r="84" spans="3:9" ht="16.5">
      <c r="C84" s="70">
        <v>13</v>
      </c>
      <c r="D84" s="20">
        <f t="shared" si="18"/>
        <v>43749.999999999971</v>
      </c>
      <c r="E84" s="20">
        <f t="shared" si="14"/>
        <v>970.10633680555532</v>
      </c>
      <c r="F84" s="20">
        <f t="shared" si="15"/>
        <v>449.27300347222194</v>
      </c>
      <c r="G84" s="21">
        <f t="shared" si="16"/>
        <v>520.83333333333337</v>
      </c>
      <c r="H84" s="20">
        <f t="shared" si="17"/>
        <v>43229.166666666635</v>
      </c>
    </row>
    <row r="85" spans="3:9" ht="16.5">
      <c r="C85" s="70">
        <v>14</v>
      </c>
      <c r="D85" s="20">
        <f t="shared" si="18"/>
        <v>43229.166666666635</v>
      </c>
      <c r="E85" s="20">
        <f t="shared" si="14"/>
        <v>964.7578486689813</v>
      </c>
      <c r="F85" s="20">
        <f t="shared" si="15"/>
        <v>443.92451533564787</v>
      </c>
      <c r="G85" s="21">
        <f t="shared" si="16"/>
        <v>520.83333333333337</v>
      </c>
      <c r="H85" s="20">
        <f t="shared" si="17"/>
        <v>42708.333333333299</v>
      </c>
    </row>
    <row r="86" spans="3:9" ht="16.5">
      <c r="C86" s="70">
        <v>15</v>
      </c>
      <c r="D86" s="20">
        <f t="shared" si="18"/>
        <v>42708.333333333299</v>
      </c>
      <c r="E86" s="20">
        <f t="shared" si="14"/>
        <v>959.40936053240716</v>
      </c>
      <c r="F86" s="20">
        <f t="shared" si="15"/>
        <v>438.57602719907374</v>
      </c>
      <c r="G86" s="21">
        <f t="shared" si="16"/>
        <v>520.83333333333337</v>
      </c>
      <c r="H86" s="20">
        <f t="shared" si="17"/>
        <v>42187.499999999964</v>
      </c>
    </row>
    <row r="87" spans="3:9" ht="16.5">
      <c r="C87" s="70">
        <v>16</v>
      </c>
      <c r="D87" s="20">
        <f t="shared" si="18"/>
        <v>42187.499999999964</v>
      </c>
      <c r="E87" s="20">
        <f t="shared" si="14"/>
        <v>954.06087239583303</v>
      </c>
      <c r="F87" s="20">
        <f t="shared" si="15"/>
        <v>433.22753906249966</v>
      </c>
      <c r="G87" s="21">
        <f t="shared" si="16"/>
        <v>520.83333333333337</v>
      </c>
      <c r="H87" s="20">
        <f t="shared" si="17"/>
        <v>41666.666666666628</v>
      </c>
    </row>
    <row r="88" spans="3:9" ht="16.5">
      <c r="C88" s="70">
        <v>17</v>
      </c>
      <c r="D88" s="20">
        <f t="shared" si="18"/>
        <v>41666.666666666628</v>
      </c>
      <c r="E88" s="20">
        <f t="shared" si="14"/>
        <v>948.7123842592589</v>
      </c>
      <c r="F88" s="20">
        <f t="shared" si="15"/>
        <v>427.87905092592553</v>
      </c>
      <c r="G88" s="21">
        <f t="shared" si="16"/>
        <v>520.83333333333337</v>
      </c>
      <c r="H88" s="20">
        <f t="shared" si="17"/>
        <v>41145.833333333292</v>
      </c>
    </row>
    <row r="89" spans="3:9" ht="16.5">
      <c r="C89" s="70">
        <v>18</v>
      </c>
      <c r="D89" s="20">
        <f t="shared" si="18"/>
        <v>41145.833333333292</v>
      </c>
      <c r="E89" s="20">
        <f t="shared" si="14"/>
        <v>943.36389612268476</v>
      </c>
      <c r="F89" s="20">
        <f t="shared" si="15"/>
        <v>422.53056278935145</v>
      </c>
      <c r="G89" s="21">
        <f t="shared" si="16"/>
        <v>520.83333333333337</v>
      </c>
      <c r="H89" s="20">
        <f t="shared" si="17"/>
        <v>40624.999999999956</v>
      </c>
    </row>
    <row r="90" spans="3:9" ht="16.5">
      <c r="C90" s="70">
        <v>19</v>
      </c>
      <c r="D90" s="20">
        <f t="shared" si="18"/>
        <v>40624.999999999956</v>
      </c>
      <c r="E90" s="20">
        <f t="shared" si="14"/>
        <v>938.01540798611074</v>
      </c>
      <c r="F90" s="20">
        <f t="shared" si="15"/>
        <v>417.18207465277737</v>
      </c>
      <c r="G90" s="21">
        <f t="shared" si="16"/>
        <v>520.83333333333337</v>
      </c>
      <c r="H90" s="20">
        <f t="shared" si="17"/>
        <v>40104.166666666621</v>
      </c>
    </row>
    <row r="91" spans="3:9" ht="16.5">
      <c r="C91" s="70">
        <v>20</v>
      </c>
      <c r="D91" s="20">
        <f t="shared" si="18"/>
        <v>40104.166666666621</v>
      </c>
      <c r="E91" s="20">
        <f t="shared" si="14"/>
        <v>932.66691984953661</v>
      </c>
      <c r="F91" s="20">
        <f t="shared" si="15"/>
        <v>411.83358651620324</v>
      </c>
      <c r="G91" s="21">
        <f t="shared" si="16"/>
        <v>520.83333333333337</v>
      </c>
      <c r="H91" s="20">
        <f t="shared" si="17"/>
        <v>39583.333333333285</v>
      </c>
    </row>
    <row r="92" spans="3:9" ht="16.5">
      <c r="C92" s="70">
        <v>21</v>
      </c>
      <c r="D92" s="20">
        <f t="shared" si="18"/>
        <v>39583.333333333285</v>
      </c>
      <c r="E92" s="20">
        <f t="shared" si="14"/>
        <v>927.31843171296259</v>
      </c>
      <c r="F92" s="20">
        <f t="shared" si="15"/>
        <v>406.48509837962916</v>
      </c>
      <c r="G92" s="21">
        <f t="shared" si="16"/>
        <v>520.83333333333337</v>
      </c>
      <c r="H92" s="20">
        <f t="shared" si="17"/>
        <v>39062.499999999949</v>
      </c>
    </row>
    <row r="93" spans="3:9" ht="16.5">
      <c r="C93" s="70">
        <v>22</v>
      </c>
      <c r="D93" s="20">
        <f t="shared" si="18"/>
        <v>39062.499999999949</v>
      </c>
      <c r="E93" s="20">
        <f t="shared" si="14"/>
        <v>921.96994357638846</v>
      </c>
      <c r="F93" s="20">
        <f t="shared" si="15"/>
        <v>401.13661024305503</v>
      </c>
      <c r="G93" s="21">
        <f t="shared" si="16"/>
        <v>520.83333333333337</v>
      </c>
      <c r="H93" s="20">
        <f t="shared" si="17"/>
        <v>38541.666666666613</v>
      </c>
    </row>
    <row r="94" spans="3:9" ht="16.5">
      <c r="C94" s="70">
        <v>23</v>
      </c>
      <c r="D94" s="20">
        <f t="shared" si="18"/>
        <v>38541.666666666613</v>
      </c>
      <c r="E94" s="20">
        <f t="shared" si="14"/>
        <v>916.62145543981433</v>
      </c>
      <c r="F94" s="20">
        <f t="shared" si="15"/>
        <v>395.78812210648096</v>
      </c>
      <c r="G94" s="21">
        <f t="shared" si="16"/>
        <v>520.83333333333337</v>
      </c>
      <c r="H94" s="20">
        <f t="shared" si="17"/>
        <v>38020.833333333278</v>
      </c>
    </row>
    <row r="95" spans="3:9" ht="16.5">
      <c r="C95" s="70">
        <v>24</v>
      </c>
      <c r="D95" s="20">
        <f t="shared" si="18"/>
        <v>38020.833333333278</v>
      </c>
      <c r="E95" s="20">
        <f t="shared" si="14"/>
        <v>911.27296730324019</v>
      </c>
      <c r="F95" s="20">
        <f t="shared" si="15"/>
        <v>390.43963396990688</v>
      </c>
      <c r="G95" s="21">
        <f t="shared" si="16"/>
        <v>520.83333333333337</v>
      </c>
      <c r="H95" s="20">
        <f t="shared" si="17"/>
        <v>37499.999999999942</v>
      </c>
      <c r="I95" s="37"/>
    </row>
    <row r="96" spans="3:9" ht="16.5">
      <c r="C96" s="70">
        <v>25</v>
      </c>
      <c r="D96" s="20">
        <f t="shared" si="18"/>
        <v>37499.999999999942</v>
      </c>
      <c r="E96" s="20">
        <f t="shared" si="14"/>
        <v>905.92447916666606</v>
      </c>
      <c r="F96" s="20">
        <f t="shared" si="15"/>
        <v>385.09114583333275</v>
      </c>
      <c r="G96" s="21">
        <f t="shared" si="16"/>
        <v>520.83333333333337</v>
      </c>
      <c r="H96" s="20">
        <f t="shared" si="17"/>
        <v>36979.166666666606</v>
      </c>
    </row>
    <row r="97" spans="3:9" ht="16.5">
      <c r="C97" s="70">
        <v>26</v>
      </c>
      <c r="D97" s="20">
        <f t="shared" si="18"/>
        <v>36979.166666666606</v>
      </c>
      <c r="E97" s="20">
        <f t="shared" si="14"/>
        <v>900.57599103009204</v>
      </c>
      <c r="F97" s="20">
        <f t="shared" si="15"/>
        <v>379.74265769675867</v>
      </c>
      <c r="G97" s="21">
        <f t="shared" si="16"/>
        <v>520.83333333333337</v>
      </c>
      <c r="H97" s="20">
        <f t="shared" si="17"/>
        <v>36458.33333333327</v>
      </c>
    </row>
    <row r="98" spans="3:9" ht="16.5">
      <c r="C98" s="70">
        <v>27</v>
      </c>
      <c r="D98" s="20">
        <f t="shared" si="18"/>
        <v>36458.33333333327</v>
      </c>
      <c r="E98" s="20">
        <f t="shared" si="14"/>
        <v>895.22750289351791</v>
      </c>
      <c r="F98" s="20">
        <f t="shared" si="15"/>
        <v>374.39416956018454</v>
      </c>
      <c r="G98" s="21">
        <f t="shared" si="16"/>
        <v>520.83333333333337</v>
      </c>
      <c r="H98" s="20">
        <f t="shared" si="17"/>
        <v>35937.499999999935</v>
      </c>
    </row>
    <row r="99" spans="3:9" ht="16.5">
      <c r="C99" s="70">
        <v>28</v>
      </c>
      <c r="D99" s="20">
        <f t="shared" si="18"/>
        <v>35937.499999999935</v>
      </c>
      <c r="E99" s="20">
        <f t="shared" si="14"/>
        <v>889.87901475694389</v>
      </c>
      <c r="F99" s="20">
        <f t="shared" si="15"/>
        <v>369.04568142361046</v>
      </c>
      <c r="G99" s="21">
        <f t="shared" si="16"/>
        <v>520.83333333333337</v>
      </c>
      <c r="H99" s="20">
        <f t="shared" si="17"/>
        <v>35416.666666666599</v>
      </c>
    </row>
    <row r="100" spans="3:9" ht="16.5">
      <c r="C100" s="70">
        <v>29</v>
      </c>
      <c r="D100" s="20">
        <f t="shared" si="18"/>
        <v>35416.666666666599</v>
      </c>
      <c r="E100" s="20">
        <f t="shared" si="14"/>
        <v>884.53052662036976</v>
      </c>
      <c r="F100" s="20">
        <f t="shared" si="15"/>
        <v>363.69719328703638</v>
      </c>
      <c r="G100" s="21">
        <f t="shared" si="16"/>
        <v>520.83333333333337</v>
      </c>
      <c r="H100" s="20">
        <f t="shared" si="17"/>
        <v>34895.833333333263</v>
      </c>
    </row>
    <row r="101" spans="3:9" ht="16.5">
      <c r="C101" s="70">
        <v>30</v>
      </c>
      <c r="D101" s="20">
        <f t="shared" si="18"/>
        <v>34895.833333333263</v>
      </c>
      <c r="E101" s="20">
        <f t="shared" si="14"/>
        <v>879.18203848379562</v>
      </c>
      <c r="F101" s="20">
        <f t="shared" si="15"/>
        <v>358.34870515046225</v>
      </c>
      <c r="G101" s="21">
        <f t="shared" si="16"/>
        <v>520.83333333333337</v>
      </c>
      <c r="H101" s="20">
        <f t="shared" si="17"/>
        <v>34374.999999999927</v>
      </c>
    </row>
    <row r="102" spans="3:9" ht="16.5">
      <c r="C102" s="70">
        <v>31</v>
      </c>
      <c r="D102" s="20">
        <f t="shared" si="18"/>
        <v>34374.999999999927</v>
      </c>
      <c r="E102" s="20">
        <f t="shared" si="14"/>
        <v>873.83355034722149</v>
      </c>
      <c r="F102" s="20">
        <f t="shared" si="15"/>
        <v>353.00021701388818</v>
      </c>
      <c r="G102" s="21">
        <f t="shared" si="16"/>
        <v>520.83333333333337</v>
      </c>
      <c r="H102" s="20">
        <f t="shared" si="17"/>
        <v>33854.166666666591</v>
      </c>
    </row>
    <row r="103" spans="3:9" ht="16.5">
      <c r="C103" s="70">
        <v>32</v>
      </c>
      <c r="D103" s="20">
        <f t="shared" si="18"/>
        <v>33854.166666666591</v>
      </c>
      <c r="E103" s="20">
        <f t="shared" si="14"/>
        <v>868.48506221064736</v>
      </c>
      <c r="F103" s="20">
        <f t="shared" si="15"/>
        <v>347.65172887731404</v>
      </c>
      <c r="G103" s="21">
        <f t="shared" si="16"/>
        <v>520.83333333333337</v>
      </c>
      <c r="H103" s="20">
        <f t="shared" si="17"/>
        <v>33333.333333333256</v>
      </c>
    </row>
    <row r="104" spans="3:9" ht="16.5">
      <c r="C104" s="70">
        <v>33</v>
      </c>
      <c r="D104" s="20">
        <f t="shared" si="18"/>
        <v>33333.333333333256</v>
      </c>
      <c r="E104" s="20">
        <f t="shared" ref="E104:E135" si="25">F104+G104</f>
        <v>863.13657407407334</v>
      </c>
      <c r="F104" s="20">
        <f t="shared" ref="F104:F135" si="26">D104*$E$68</f>
        <v>342.30324074073997</v>
      </c>
      <c r="G104" s="21">
        <f t="shared" ref="G104:G135" si="27">$D$72/$E$66</f>
        <v>520.83333333333337</v>
      </c>
      <c r="H104" s="20">
        <f t="shared" ref="H104:H135" si="28">D104-G104</f>
        <v>32812.49999999992</v>
      </c>
    </row>
    <row r="105" spans="3:9" ht="16.5">
      <c r="C105" s="70">
        <v>34</v>
      </c>
      <c r="D105" s="20">
        <f t="shared" ref="D105:D136" si="29">H104</f>
        <v>32812.49999999992</v>
      </c>
      <c r="E105" s="20">
        <f t="shared" si="25"/>
        <v>857.78808593749932</v>
      </c>
      <c r="F105" s="20">
        <f t="shared" si="26"/>
        <v>336.95475260416589</v>
      </c>
      <c r="G105" s="21">
        <f t="shared" si="27"/>
        <v>520.83333333333337</v>
      </c>
      <c r="H105" s="20">
        <f t="shared" si="28"/>
        <v>32291.666666666588</v>
      </c>
    </row>
    <row r="106" spans="3:9" ht="16.5">
      <c r="C106" s="70">
        <v>35</v>
      </c>
      <c r="D106" s="20">
        <f t="shared" si="29"/>
        <v>32291.666666666588</v>
      </c>
      <c r="E106" s="20">
        <f t="shared" si="25"/>
        <v>852.43959780092518</v>
      </c>
      <c r="F106" s="20">
        <f t="shared" si="26"/>
        <v>331.60626446759181</v>
      </c>
      <c r="G106" s="21">
        <f t="shared" si="27"/>
        <v>520.83333333333337</v>
      </c>
      <c r="H106" s="20">
        <f t="shared" si="28"/>
        <v>31770.833333333256</v>
      </c>
    </row>
    <row r="107" spans="3:9" ht="16.5">
      <c r="C107" s="70">
        <v>36</v>
      </c>
      <c r="D107" s="20">
        <f t="shared" si="29"/>
        <v>31770.833333333256</v>
      </c>
      <c r="E107" s="20">
        <f t="shared" si="25"/>
        <v>847.09110966435105</v>
      </c>
      <c r="F107" s="20">
        <f t="shared" si="26"/>
        <v>326.25777633101774</v>
      </c>
      <c r="G107" s="21">
        <f t="shared" si="27"/>
        <v>520.83333333333337</v>
      </c>
      <c r="H107" s="20">
        <f t="shared" si="28"/>
        <v>31249.999999999924</v>
      </c>
      <c r="I107" s="37"/>
    </row>
    <row r="108" spans="3:9" ht="16.5">
      <c r="C108" s="70">
        <v>37</v>
      </c>
      <c r="D108" s="20">
        <f t="shared" si="29"/>
        <v>31249.999999999924</v>
      </c>
      <c r="E108" s="20">
        <f t="shared" si="25"/>
        <v>841.74262152777703</v>
      </c>
      <c r="F108" s="20">
        <f t="shared" si="26"/>
        <v>320.90928819444366</v>
      </c>
      <c r="G108" s="21">
        <f t="shared" si="27"/>
        <v>520.83333333333337</v>
      </c>
      <c r="H108" s="20">
        <f t="shared" si="28"/>
        <v>30729.166666666591</v>
      </c>
    </row>
    <row r="109" spans="3:9" ht="16.5">
      <c r="C109" s="70">
        <v>38</v>
      </c>
      <c r="D109" s="20">
        <f t="shared" si="29"/>
        <v>30729.166666666591</v>
      </c>
      <c r="E109" s="20">
        <f t="shared" si="25"/>
        <v>836.39413339120301</v>
      </c>
      <c r="F109" s="20">
        <f t="shared" si="26"/>
        <v>315.56080005786964</v>
      </c>
      <c r="G109" s="21">
        <f t="shared" si="27"/>
        <v>520.83333333333337</v>
      </c>
      <c r="H109" s="20">
        <f t="shared" si="28"/>
        <v>30208.333333333259</v>
      </c>
    </row>
    <row r="110" spans="3:9" ht="16.5">
      <c r="C110" s="70">
        <v>39</v>
      </c>
      <c r="D110" s="20">
        <f t="shared" si="29"/>
        <v>30208.333333333259</v>
      </c>
      <c r="E110" s="20">
        <f t="shared" si="25"/>
        <v>831.04564525462888</v>
      </c>
      <c r="F110" s="20">
        <f t="shared" si="26"/>
        <v>310.21231192129557</v>
      </c>
      <c r="G110" s="21">
        <f t="shared" si="27"/>
        <v>520.83333333333337</v>
      </c>
      <c r="H110" s="20">
        <f t="shared" si="28"/>
        <v>29687.499999999927</v>
      </c>
    </row>
    <row r="111" spans="3:9" ht="16.5">
      <c r="C111" s="70">
        <v>40</v>
      </c>
      <c r="D111" s="20">
        <f t="shared" si="29"/>
        <v>29687.499999999927</v>
      </c>
      <c r="E111" s="20">
        <f t="shared" si="25"/>
        <v>825.69715711805486</v>
      </c>
      <c r="F111" s="20">
        <f t="shared" si="26"/>
        <v>304.86382378472149</v>
      </c>
      <c r="G111" s="21">
        <f t="shared" si="27"/>
        <v>520.83333333333337</v>
      </c>
      <c r="H111" s="20">
        <f t="shared" si="28"/>
        <v>29166.666666666595</v>
      </c>
    </row>
    <row r="112" spans="3:9" ht="16.5">
      <c r="C112" s="70">
        <v>41</v>
      </c>
      <c r="D112" s="20">
        <f t="shared" si="29"/>
        <v>29166.666666666595</v>
      </c>
      <c r="E112" s="20">
        <f t="shared" si="25"/>
        <v>820.34866898148084</v>
      </c>
      <c r="F112" s="20">
        <f t="shared" si="26"/>
        <v>299.51533564814741</v>
      </c>
      <c r="G112" s="21">
        <f t="shared" si="27"/>
        <v>520.83333333333337</v>
      </c>
      <c r="H112" s="20">
        <f t="shared" si="28"/>
        <v>28645.833333333263</v>
      </c>
    </row>
    <row r="113" spans="3:9" ht="16.5">
      <c r="C113" s="70">
        <v>42</v>
      </c>
      <c r="D113" s="20">
        <f t="shared" si="29"/>
        <v>28645.833333333263</v>
      </c>
      <c r="E113" s="20">
        <f t="shared" si="25"/>
        <v>815.00018084490671</v>
      </c>
      <c r="F113" s="20">
        <f t="shared" si="26"/>
        <v>294.16684751157339</v>
      </c>
      <c r="G113" s="21">
        <f t="shared" si="27"/>
        <v>520.83333333333337</v>
      </c>
      <c r="H113" s="20">
        <f t="shared" si="28"/>
        <v>28124.999999999931</v>
      </c>
    </row>
    <row r="114" spans="3:9" ht="16.5">
      <c r="C114" s="70">
        <v>43</v>
      </c>
      <c r="D114" s="20">
        <f t="shared" si="29"/>
        <v>28124.999999999931</v>
      </c>
      <c r="E114" s="20">
        <f t="shared" si="25"/>
        <v>809.65169270833269</v>
      </c>
      <c r="F114" s="20">
        <f t="shared" si="26"/>
        <v>288.81835937499932</v>
      </c>
      <c r="G114" s="21">
        <f t="shared" si="27"/>
        <v>520.83333333333337</v>
      </c>
      <c r="H114" s="20">
        <f t="shared" si="28"/>
        <v>27604.166666666599</v>
      </c>
    </row>
    <row r="115" spans="3:9" ht="16.5">
      <c r="C115" s="70">
        <v>44</v>
      </c>
      <c r="D115" s="20">
        <f t="shared" si="29"/>
        <v>27604.166666666599</v>
      </c>
      <c r="E115" s="20">
        <f t="shared" si="25"/>
        <v>804.30320457175867</v>
      </c>
      <c r="F115" s="20">
        <f t="shared" si="26"/>
        <v>283.46987123842524</v>
      </c>
      <c r="G115" s="21">
        <f t="shared" si="27"/>
        <v>520.83333333333337</v>
      </c>
      <c r="H115" s="20">
        <f t="shared" si="28"/>
        <v>27083.333333333267</v>
      </c>
    </row>
    <row r="116" spans="3:9" ht="16.5">
      <c r="C116" s="70">
        <v>45</v>
      </c>
      <c r="D116" s="20">
        <f t="shared" si="29"/>
        <v>27083.333333333267</v>
      </c>
      <c r="E116" s="20">
        <f t="shared" si="25"/>
        <v>798.95471643518454</v>
      </c>
      <c r="F116" s="20">
        <f t="shared" si="26"/>
        <v>278.12138310185117</v>
      </c>
      <c r="G116" s="21">
        <f t="shared" si="27"/>
        <v>520.83333333333337</v>
      </c>
      <c r="H116" s="20">
        <f t="shared" si="28"/>
        <v>26562.499999999935</v>
      </c>
    </row>
    <row r="117" spans="3:9" ht="16.5">
      <c r="C117" s="70">
        <v>46</v>
      </c>
      <c r="D117" s="20">
        <f t="shared" si="29"/>
        <v>26562.499999999935</v>
      </c>
      <c r="E117" s="20">
        <f t="shared" si="25"/>
        <v>793.60622829861052</v>
      </c>
      <c r="F117" s="20">
        <f t="shared" si="26"/>
        <v>272.77289496527715</v>
      </c>
      <c r="G117" s="21">
        <f t="shared" si="27"/>
        <v>520.83333333333337</v>
      </c>
      <c r="H117" s="20">
        <f t="shared" si="28"/>
        <v>26041.666666666602</v>
      </c>
    </row>
    <row r="118" spans="3:9" ht="16.5">
      <c r="C118" s="70">
        <v>47</v>
      </c>
      <c r="D118" s="20">
        <f t="shared" si="29"/>
        <v>26041.666666666602</v>
      </c>
      <c r="E118" s="20">
        <f t="shared" si="25"/>
        <v>788.2577401620365</v>
      </c>
      <c r="F118" s="20">
        <f t="shared" si="26"/>
        <v>267.42440682870307</v>
      </c>
      <c r="G118" s="21">
        <f t="shared" si="27"/>
        <v>520.83333333333337</v>
      </c>
      <c r="H118" s="20">
        <f t="shared" si="28"/>
        <v>25520.83333333327</v>
      </c>
    </row>
    <row r="119" spans="3:9" ht="16.5">
      <c r="C119" s="70">
        <v>48</v>
      </c>
      <c r="D119" s="20">
        <f t="shared" si="29"/>
        <v>25520.83333333327</v>
      </c>
      <c r="E119" s="20">
        <f t="shared" si="25"/>
        <v>782.90925202546237</v>
      </c>
      <c r="F119" s="20">
        <f t="shared" si="26"/>
        <v>262.07591869212899</v>
      </c>
      <c r="G119" s="21">
        <f t="shared" si="27"/>
        <v>520.83333333333337</v>
      </c>
      <c r="H119" s="20">
        <f t="shared" si="28"/>
        <v>24999.999999999938</v>
      </c>
      <c r="I119" s="37"/>
    </row>
    <row r="120" spans="3:9" ht="16.5">
      <c r="C120" s="70">
        <v>49</v>
      </c>
      <c r="D120" s="20">
        <f t="shared" si="29"/>
        <v>24999.999999999938</v>
      </c>
      <c r="E120" s="20">
        <f t="shared" si="25"/>
        <v>777.56076388888823</v>
      </c>
      <c r="F120" s="20">
        <f t="shared" si="26"/>
        <v>256.72743055555492</v>
      </c>
      <c r="G120" s="21">
        <f t="shared" si="27"/>
        <v>520.83333333333337</v>
      </c>
      <c r="H120" s="20">
        <f t="shared" si="28"/>
        <v>24479.166666666606</v>
      </c>
    </row>
    <row r="121" spans="3:9" ht="16.5">
      <c r="C121" s="70">
        <v>50</v>
      </c>
      <c r="D121" s="20">
        <f t="shared" si="29"/>
        <v>24479.166666666606</v>
      </c>
      <c r="E121" s="20">
        <f t="shared" si="25"/>
        <v>772.21227575231421</v>
      </c>
      <c r="F121" s="20">
        <f t="shared" si="26"/>
        <v>251.37894241898087</v>
      </c>
      <c r="G121" s="21">
        <f t="shared" si="27"/>
        <v>520.83333333333337</v>
      </c>
      <c r="H121" s="20">
        <f t="shared" si="28"/>
        <v>23958.333333333274</v>
      </c>
    </row>
    <row r="122" spans="3:9" ht="16.5">
      <c r="C122" s="70">
        <v>51</v>
      </c>
      <c r="D122" s="20">
        <f t="shared" si="29"/>
        <v>23958.333333333274</v>
      </c>
      <c r="E122" s="20">
        <f t="shared" si="25"/>
        <v>766.86378761574019</v>
      </c>
      <c r="F122" s="20">
        <f t="shared" si="26"/>
        <v>246.03045428240682</v>
      </c>
      <c r="G122" s="21">
        <f t="shared" si="27"/>
        <v>520.83333333333337</v>
      </c>
      <c r="H122" s="20">
        <f t="shared" si="28"/>
        <v>23437.499999999942</v>
      </c>
    </row>
    <row r="123" spans="3:9" ht="16.5">
      <c r="C123" s="70">
        <v>52</v>
      </c>
      <c r="D123" s="20">
        <f t="shared" si="29"/>
        <v>23437.499999999942</v>
      </c>
      <c r="E123" s="20">
        <f t="shared" si="25"/>
        <v>761.51529947916606</v>
      </c>
      <c r="F123" s="20">
        <f t="shared" si="26"/>
        <v>240.68196614583275</v>
      </c>
      <c r="G123" s="21">
        <f t="shared" si="27"/>
        <v>520.83333333333337</v>
      </c>
      <c r="H123" s="20">
        <f t="shared" si="28"/>
        <v>22916.66666666661</v>
      </c>
    </row>
    <row r="124" spans="3:9" ht="16.5">
      <c r="C124" s="70">
        <v>53</v>
      </c>
      <c r="D124" s="20">
        <f t="shared" si="29"/>
        <v>22916.66666666661</v>
      </c>
      <c r="E124" s="20">
        <f t="shared" si="25"/>
        <v>756.16681134259204</v>
      </c>
      <c r="F124" s="20">
        <f t="shared" si="26"/>
        <v>235.3334780092587</v>
      </c>
      <c r="G124" s="21">
        <f t="shared" si="27"/>
        <v>520.83333333333337</v>
      </c>
      <c r="H124" s="20">
        <f t="shared" si="28"/>
        <v>22395.833333333278</v>
      </c>
    </row>
    <row r="125" spans="3:9" ht="16.5">
      <c r="C125" s="70">
        <v>54</v>
      </c>
      <c r="D125" s="20">
        <f t="shared" si="29"/>
        <v>22395.833333333278</v>
      </c>
      <c r="E125" s="20">
        <f t="shared" si="25"/>
        <v>750.81832320601802</v>
      </c>
      <c r="F125" s="20">
        <f t="shared" si="26"/>
        <v>229.98498987268462</v>
      </c>
      <c r="G125" s="21">
        <f t="shared" si="27"/>
        <v>520.83333333333337</v>
      </c>
      <c r="H125" s="20">
        <f t="shared" si="28"/>
        <v>21874.999999999945</v>
      </c>
    </row>
    <row r="126" spans="3:9" ht="16.5">
      <c r="C126" s="70">
        <v>55</v>
      </c>
      <c r="D126" s="20">
        <f t="shared" si="29"/>
        <v>21874.999999999945</v>
      </c>
      <c r="E126" s="20">
        <f t="shared" si="25"/>
        <v>745.46983506944389</v>
      </c>
      <c r="F126" s="20">
        <f t="shared" si="26"/>
        <v>224.63650173611057</v>
      </c>
      <c r="G126" s="21">
        <f t="shared" si="27"/>
        <v>520.83333333333337</v>
      </c>
      <c r="H126" s="20">
        <f t="shared" si="28"/>
        <v>21354.166666666613</v>
      </c>
    </row>
    <row r="127" spans="3:9" ht="16.5">
      <c r="C127" s="70">
        <v>56</v>
      </c>
      <c r="D127" s="20">
        <f t="shared" si="29"/>
        <v>21354.166666666613</v>
      </c>
      <c r="E127" s="20">
        <f t="shared" si="25"/>
        <v>740.12134693286987</v>
      </c>
      <c r="F127" s="20">
        <f t="shared" si="26"/>
        <v>219.2880135995365</v>
      </c>
      <c r="G127" s="21">
        <f t="shared" si="27"/>
        <v>520.83333333333337</v>
      </c>
      <c r="H127" s="20">
        <f t="shared" si="28"/>
        <v>20833.333333333281</v>
      </c>
    </row>
    <row r="128" spans="3:9" ht="16.5">
      <c r="C128" s="70">
        <v>57</v>
      </c>
      <c r="D128" s="20">
        <f t="shared" si="29"/>
        <v>20833.333333333281</v>
      </c>
      <c r="E128" s="20">
        <f t="shared" si="25"/>
        <v>734.77285879629585</v>
      </c>
      <c r="F128" s="20">
        <f t="shared" si="26"/>
        <v>213.93952546296245</v>
      </c>
      <c r="G128" s="21">
        <f t="shared" si="27"/>
        <v>520.83333333333337</v>
      </c>
      <c r="H128" s="20">
        <f t="shared" si="28"/>
        <v>20312.499999999949</v>
      </c>
    </row>
    <row r="129" spans="3:9" ht="16.5">
      <c r="C129" s="70">
        <v>58</v>
      </c>
      <c r="D129" s="20">
        <f t="shared" si="29"/>
        <v>20312.499999999949</v>
      </c>
      <c r="E129" s="20">
        <f t="shared" si="25"/>
        <v>729.42437065972172</v>
      </c>
      <c r="F129" s="20">
        <f t="shared" si="26"/>
        <v>208.59103732638837</v>
      </c>
      <c r="G129" s="21">
        <f t="shared" si="27"/>
        <v>520.83333333333337</v>
      </c>
      <c r="H129" s="20">
        <f t="shared" si="28"/>
        <v>19791.666666666617</v>
      </c>
    </row>
    <row r="130" spans="3:9" ht="16.5">
      <c r="C130" s="70">
        <v>59</v>
      </c>
      <c r="D130" s="20">
        <f t="shared" si="29"/>
        <v>19791.666666666617</v>
      </c>
      <c r="E130" s="20">
        <f t="shared" si="25"/>
        <v>724.0758825231477</v>
      </c>
      <c r="F130" s="20">
        <f t="shared" si="26"/>
        <v>203.24254918981433</v>
      </c>
      <c r="G130" s="21">
        <f t="shared" si="27"/>
        <v>520.83333333333337</v>
      </c>
      <c r="H130" s="20">
        <f t="shared" si="28"/>
        <v>19270.833333333285</v>
      </c>
    </row>
    <row r="131" spans="3:9" ht="16.5">
      <c r="C131" s="70">
        <v>60</v>
      </c>
      <c r="D131" s="20">
        <f t="shared" si="29"/>
        <v>19270.833333333285</v>
      </c>
      <c r="E131" s="20">
        <f t="shared" si="25"/>
        <v>718.72739438657368</v>
      </c>
      <c r="F131" s="20">
        <f t="shared" si="26"/>
        <v>197.89406105324025</v>
      </c>
      <c r="G131" s="21">
        <f t="shared" si="27"/>
        <v>520.83333333333337</v>
      </c>
      <c r="H131" s="20">
        <f t="shared" si="28"/>
        <v>18749.999999999953</v>
      </c>
      <c r="I131" s="37"/>
    </row>
    <row r="132" spans="3:9" ht="16.5">
      <c r="C132" s="70">
        <v>61</v>
      </c>
      <c r="D132" s="20">
        <f t="shared" si="29"/>
        <v>18749.999999999953</v>
      </c>
      <c r="E132" s="20">
        <f t="shared" si="25"/>
        <v>713.37890624999955</v>
      </c>
      <c r="F132" s="20">
        <f t="shared" si="26"/>
        <v>192.5455729166662</v>
      </c>
      <c r="G132" s="21">
        <f t="shared" si="27"/>
        <v>520.83333333333337</v>
      </c>
      <c r="H132" s="20">
        <f t="shared" si="28"/>
        <v>18229.166666666621</v>
      </c>
    </row>
    <row r="133" spans="3:9" ht="16.5">
      <c r="C133" s="70">
        <v>62</v>
      </c>
      <c r="D133" s="20">
        <f t="shared" si="29"/>
        <v>18229.166666666621</v>
      </c>
      <c r="E133" s="20">
        <f t="shared" si="25"/>
        <v>708.03041811342553</v>
      </c>
      <c r="F133" s="20">
        <f t="shared" si="26"/>
        <v>187.19708478009213</v>
      </c>
      <c r="G133" s="21">
        <f t="shared" si="27"/>
        <v>520.83333333333337</v>
      </c>
      <c r="H133" s="20">
        <f t="shared" si="28"/>
        <v>17708.333333333288</v>
      </c>
    </row>
    <row r="134" spans="3:9" ht="16.5">
      <c r="C134" s="70">
        <v>63</v>
      </c>
      <c r="D134" s="20">
        <f t="shared" si="29"/>
        <v>17708.333333333288</v>
      </c>
      <c r="E134" s="20">
        <f t="shared" si="25"/>
        <v>702.68192997685151</v>
      </c>
      <c r="F134" s="20">
        <f t="shared" si="26"/>
        <v>181.84859664351808</v>
      </c>
      <c r="G134" s="21">
        <f t="shared" si="27"/>
        <v>520.83333333333337</v>
      </c>
      <c r="H134" s="20">
        <f t="shared" si="28"/>
        <v>17187.499999999956</v>
      </c>
    </row>
    <row r="135" spans="3:9" ht="16.5">
      <c r="C135" s="70">
        <v>64</v>
      </c>
      <c r="D135" s="20">
        <f t="shared" si="29"/>
        <v>17187.499999999956</v>
      </c>
      <c r="E135" s="20">
        <f t="shared" si="25"/>
        <v>697.33344184027737</v>
      </c>
      <c r="F135" s="20">
        <f t="shared" si="26"/>
        <v>176.500108506944</v>
      </c>
      <c r="G135" s="21">
        <f t="shared" si="27"/>
        <v>520.83333333333337</v>
      </c>
      <c r="H135" s="20">
        <f t="shared" si="28"/>
        <v>16666.666666666624</v>
      </c>
    </row>
    <row r="136" spans="3:9" ht="16.5">
      <c r="C136" s="70">
        <v>65</v>
      </c>
      <c r="D136" s="20">
        <f t="shared" si="29"/>
        <v>16666.666666666624</v>
      </c>
      <c r="E136" s="20">
        <f t="shared" ref="E136:E167" si="30">F136+G136</f>
        <v>691.98495370370335</v>
      </c>
      <c r="F136" s="20">
        <f t="shared" ref="F136:F167" si="31">D136*$E$68</f>
        <v>171.15162037036995</v>
      </c>
      <c r="G136" s="21">
        <f t="shared" ref="G136:G167" si="32">$D$72/$E$66</f>
        <v>520.83333333333337</v>
      </c>
      <c r="H136" s="20">
        <f t="shared" ref="H136:H167" si="33">D136-G136</f>
        <v>16145.83333333329</v>
      </c>
    </row>
    <row r="137" spans="3:9" ht="16.5">
      <c r="C137" s="70">
        <v>66</v>
      </c>
      <c r="D137" s="20">
        <f t="shared" ref="D137:D167" si="34">H136</f>
        <v>16145.83333333329</v>
      </c>
      <c r="E137" s="20">
        <f t="shared" si="30"/>
        <v>686.63646556712922</v>
      </c>
      <c r="F137" s="20">
        <f t="shared" si="31"/>
        <v>165.80313223379588</v>
      </c>
      <c r="G137" s="21">
        <f t="shared" si="32"/>
        <v>520.83333333333337</v>
      </c>
      <c r="H137" s="20">
        <f t="shared" si="33"/>
        <v>15624.999999999956</v>
      </c>
    </row>
    <row r="138" spans="3:9" ht="16.5">
      <c r="C138" s="70">
        <v>67</v>
      </c>
      <c r="D138" s="20">
        <f t="shared" si="34"/>
        <v>15624.999999999956</v>
      </c>
      <c r="E138" s="20">
        <f t="shared" si="30"/>
        <v>681.2879774305552</v>
      </c>
      <c r="F138" s="20">
        <f t="shared" si="31"/>
        <v>160.45464409722177</v>
      </c>
      <c r="G138" s="21">
        <f t="shared" si="32"/>
        <v>520.83333333333337</v>
      </c>
      <c r="H138" s="20">
        <f t="shared" si="33"/>
        <v>15104.166666666622</v>
      </c>
    </row>
    <row r="139" spans="3:9" ht="16.5">
      <c r="C139" s="70">
        <v>68</v>
      </c>
      <c r="D139" s="20">
        <f t="shared" si="34"/>
        <v>15104.166666666622</v>
      </c>
      <c r="E139" s="20">
        <f t="shared" si="30"/>
        <v>675.93948929398107</v>
      </c>
      <c r="F139" s="20">
        <f t="shared" si="31"/>
        <v>155.1061559606477</v>
      </c>
      <c r="G139" s="21">
        <f t="shared" si="32"/>
        <v>520.83333333333337</v>
      </c>
      <c r="H139" s="20">
        <f t="shared" si="33"/>
        <v>14583.333333333288</v>
      </c>
    </row>
    <row r="140" spans="3:9" ht="16.5">
      <c r="C140" s="70">
        <v>69</v>
      </c>
      <c r="D140" s="20">
        <f t="shared" si="34"/>
        <v>14583.333333333288</v>
      </c>
      <c r="E140" s="20">
        <f t="shared" si="30"/>
        <v>670.59100115740694</v>
      </c>
      <c r="F140" s="20">
        <f t="shared" si="31"/>
        <v>149.75766782407362</v>
      </c>
      <c r="G140" s="21">
        <f t="shared" si="32"/>
        <v>520.83333333333337</v>
      </c>
      <c r="H140" s="20">
        <f t="shared" si="33"/>
        <v>14062.499999999955</v>
      </c>
    </row>
    <row r="141" spans="3:9" ht="16.5">
      <c r="C141" s="70">
        <v>70</v>
      </c>
      <c r="D141" s="20">
        <f t="shared" si="34"/>
        <v>14062.499999999955</v>
      </c>
      <c r="E141" s="20">
        <f t="shared" si="30"/>
        <v>665.24251302083292</v>
      </c>
      <c r="F141" s="20">
        <f t="shared" si="31"/>
        <v>144.40917968749955</v>
      </c>
      <c r="G141" s="21">
        <f t="shared" si="32"/>
        <v>520.83333333333337</v>
      </c>
      <c r="H141" s="20">
        <f t="shared" si="33"/>
        <v>13541.666666666621</v>
      </c>
    </row>
    <row r="142" spans="3:9" ht="16.5">
      <c r="C142" s="70">
        <v>71</v>
      </c>
      <c r="D142" s="20">
        <f t="shared" si="34"/>
        <v>13541.666666666621</v>
      </c>
      <c r="E142" s="20">
        <f t="shared" si="30"/>
        <v>659.8940248842589</v>
      </c>
      <c r="F142" s="20">
        <f t="shared" si="31"/>
        <v>139.06069155092547</v>
      </c>
      <c r="G142" s="21">
        <f t="shared" si="32"/>
        <v>520.83333333333337</v>
      </c>
      <c r="H142" s="20">
        <f t="shared" si="33"/>
        <v>13020.833333333287</v>
      </c>
    </row>
    <row r="143" spans="3:9" ht="16.5">
      <c r="C143" s="70">
        <v>72</v>
      </c>
      <c r="D143" s="20">
        <f t="shared" si="34"/>
        <v>13020.833333333287</v>
      </c>
      <c r="E143" s="20">
        <f t="shared" si="30"/>
        <v>654.54553674768476</v>
      </c>
      <c r="F143" s="20">
        <f t="shared" si="31"/>
        <v>133.71220341435139</v>
      </c>
      <c r="G143" s="21">
        <f t="shared" si="32"/>
        <v>520.83333333333337</v>
      </c>
      <c r="H143" s="20">
        <f t="shared" si="33"/>
        <v>12499.999999999953</v>
      </c>
      <c r="I143" s="37"/>
    </row>
    <row r="144" spans="3:9" ht="16.5">
      <c r="C144" s="70">
        <v>73</v>
      </c>
      <c r="D144" s="20">
        <f t="shared" si="34"/>
        <v>12499.999999999953</v>
      </c>
      <c r="E144" s="20">
        <f t="shared" si="30"/>
        <v>649.19704861111063</v>
      </c>
      <c r="F144" s="20">
        <f t="shared" si="31"/>
        <v>128.36371527777729</v>
      </c>
      <c r="G144" s="21">
        <f t="shared" si="32"/>
        <v>520.83333333333337</v>
      </c>
      <c r="H144" s="20">
        <f t="shared" si="33"/>
        <v>11979.166666666619</v>
      </c>
    </row>
    <row r="145" spans="3:9" ht="16.5">
      <c r="C145" s="70">
        <v>74</v>
      </c>
      <c r="D145" s="20">
        <f t="shared" si="34"/>
        <v>11979.166666666619</v>
      </c>
      <c r="E145" s="20">
        <f t="shared" si="30"/>
        <v>643.84856047453661</v>
      </c>
      <c r="F145" s="20">
        <f t="shared" si="31"/>
        <v>123.01522714120323</v>
      </c>
      <c r="G145" s="21">
        <f t="shared" si="32"/>
        <v>520.83333333333337</v>
      </c>
      <c r="H145" s="20">
        <f t="shared" si="33"/>
        <v>11458.333333333285</v>
      </c>
    </row>
    <row r="146" spans="3:9" ht="16.5">
      <c r="C146" s="70">
        <v>75</v>
      </c>
      <c r="D146" s="20">
        <f t="shared" si="34"/>
        <v>11458.333333333285</v>
      </c>
      <c r="E146" s="20">
        <f t="shared" si="30"/>
        <v>638.50007233796248</v>
      </c>
      <c r="F146" s="20">
        <f t="shared" si="31"/>
        <v>117.66673900462914</v>
      </c>
      <c r="G146" s="21">
        <f t="shared" si="32"/>
        <v>520.83333333333337</v>
      </c>
      <c r="H146" s="20">
        <f t="shared" si="33"/>
        <v>10937.499999999951</v>
      </c>
    </row>
    <row r="147" spans="3:9" ht="16.5">
      <c r="C147" s="70">
        <v>76</v>
      </c>
      <c r="D147" s="20">
        <f t="shared" si="34"/>
        <v>10937.499999999951</v>
      </c>
      <c r="E147" s="20">
        <f t="shared" si="30"/>
        <v>633.15158420138846</v>
      </c>
      <c r="F147" s="20">
        <f t="shared" si="31"/>
        <v>112.31825086805506</v>
      </c>
      <c r="G147" s="21">
        <f t="shared" si="32"/>
        <v>520.83333333333337</v>
      </c>
      <c r="H147" s="20">
        <f t="shared" si="33"/>
        <v>10416.666666666617</v>
      </c>
    </row>
    <row r="148" spans="3:9" ht="16.5">
      <c r="C148" s="70">
        <v>77</v>
      </c>
      <c r="D148" s="20">
        <f t="shared" si="34"/>
        <v>10416.666666666617</v>
      </c>
      <c r="E148" s="20">
        <f t="shared" si="30"/>
        <v>627.80309606481433</v>
      </c>
      <c r="F148" s="20">
        <f t="shared" si="31"/>
        <v>106.96976273148098</v>
      </c>
      <c r="G148" s="21">
        <f t="shared" si="32"/>
        <v>520.83333333333337</v>
      </c>
      <c r="H148" s="20">
        <f t="shared" si="33"/>
        <v>9895.833333333283</v>
      </c>
    </row>
    <row r="149" spans="3:9" ht="16.5">
      <c r="C149" s="70">
        <v>78</v>
      </c>
      <c r="D149" s="20">
        <f t="shared" si="34"/>
        <v>9895.833333333283</v>
      </c>
      <c r="E149" s="20">
        <f t="shared" si="30"/>
        <v>622.45460792824031</v>
      </c>
      <c r="F149" s="20">
        <f t="shared" si="31"/>
        <v>101.62127459490689</v>
      </c>
      <c r="G149" s="21">
        <f t="shared" si="32"/>
        <v>520.83333333333337</v>
      </c>
      <c r="H149" s="20">
        <f t="shared" si="33"/>
        <v>9374.9999999999491</v>
      </c>
    </row>
    <row r="150" spans="3:9" ht="16.5">
      <c r="C150" s="70">
        <v>79</v>
      </c>
      <c r="D150" s="20">
        <f t="shared" si="34"/>
        <v>9374.9999999999491</v>
      </c>
      <c r="E150" s="20">
        <f t="shared" si="30"/>
        <v>617.10611979166617</v>
      </c>
      <c r="F150" s="20">
        <f t="shared" si="31"/>
        <v>96.272786458332817</v>
      </c>
      <c r="G150" s="21">
        <f t="shared" si="32"/>
        <v>520.83333333333337</v>
      </c>
      <c r="H150" s="20">
        <f t="shared" si="33"/>
        <v>8854.1666666666151</v>
      </c>
    </row>
    <row r="151" spans="3:9" ht="16.5">
      <c r="C151" s="70">
        <v>80</v>
      </c>
      <c r="D151" s="20">
        <f t="shared" si="34"/>
        <v>8854.1666666666151</v>
      </c>
      <c r="E151" s="20">
        <f t="shared" si="30"/>
        <v>611.75763165509215</v>
      </c>
      <c r="F151" s="20">
        <f t="shared" si="31"/>
        <v>90.924298321758741</v>
      </c>
      <c r="G151" s="21">
        <f t="shared" si="32"/>
        <v>520.83333333333337</v>
      </c>
      <c r="H151" s="20">
        <f t="shared" si="33"/>
        <v>8333.3333333332812</v>
      </c>
    </row>
    <row r="152" spans="3:9" ht="16.5">
      <c r="C152" s="70">
        <v>81</v>
      </c>
      <c r="D152" s="20">
        <f t="shared" si="34"/>
        <v>8333.3333333332812</v>
      </c>
      <c r="E152" s="20">
        <f t="shared" si="30"/>
        <v>606.40914351851802</v>
      </c>
      <c r="F152" s="20">
        <f t="shared" si="31"/>
        <v>85.57581018518465</v>
      </c>
      <c r="G152" s="21">
        <f t="shared" si="32"/>
        <v>520.83333333333337</v>
      </c>
      <c r="H152" s="20">
        <f t="shared" si="33"/>
        <v>7812.4999999999482</v>
      </c>
    </row>
    <row r="153" spans="3:9" ht="16.5">
      <c r="C153" s="70">
        <v>82</v>
      </c>
      <c r="D153" s="20">
        <f t="shared" si="34"/>
        <v>7812.4999999999482</v>
      </c>
      <c r="E153" s="20">
        <f t="shared" si="30"/>
        <v>601.060655381944</v>
      </c>
      <c r="F153" s="20">
        <f t="shared" si="31"/>
        <v>80.227322048610588</v>
      </c>
      <c r="G153" s="21">
        <f t="shared" si="32"/>
        <v>520.83333333333337</v>
      </c>
      <c r="H153" s="20">
        <f t="shared" si="33"/>
        <v>7291.6666666666151</v>
      </c>
    </row>
    <row r="154" spans="3:9" ht="16.5">
      <c r="C154" s="70">
        <v>83</v>
      </c>
      <c r="D154" s="20">
        <f t="shared" si="34"/>
        <v>7291.6666666666151</v>
      </c>
      <c r="E154" s="20">
        <f t="shared" si="30"/>
        <v>595.71216724536987</v>
      </c>
      <c r="F154" s="20">
        <f t="shared" si="31"/>
        <v>74.878833912036512</v>
      </c>
      <c r="G154" s="21">
        <f t="shared" si="32"/>
        <v>520.83333333333337</v>
      </c>
      <c r="H154" s="20">
        <f t="shared" si="33"/>
        <v>6770.8333333332821</v>
      </c>
    </row>
    <row r="155" spans="3:9" ht="16.5">
      <c r="C155" s="70">
        <v>84</v>
      </c>
      <c r="D155" s="20">
        <f t="shared" si="34"/>
        <v>6770.8333333332821</v>
      </c>
      <c r="E155" s="20">
        <f t="shared" si="30"/>
        <v>590.36367910879585</v>
      </c>
      <c r="F155" s="20">
        <f t="shared" si="31"/>
        <v>69.530345775462436</v>
      </c>
      <c r="G155" s="21">
        <f t="shared" si="32"/>
        <v>520.83333333333337</v>
      </c>
      <c r="H155" s="20">
        <f t="shared" si="33"/>
        <v>6249.9999999999491</v>
      </c>
      <c r="I155" s="37"/>
    </row>
    <row r="156" spans="3:9" ht="16.5">
      <c r="C156" s="70">
        <v>85</v>
      </c>
      <c r="D156" s="20">
        <f t="shared" si="34"/>
        <v>6249.9999999999491</v>
      </c>
      <c r="E156" s="20">
        <f t="shared" si="30"/>
        <v>585.01519097222172</v>
      </c>
      <c r="F156" s="20">
        <f t="shared" si="31"/>
        <v>64.181857638888374</v>
      </c>
      <c r="G156" s="21">
        <f t="shared" si="32"/>
        <v>520.83333333333337</v>
      </c>
      <c r="H156" s="20">
        <f t="shared" si="33"/>
        <v>5729.166666666616</v>
      </c>
    </row>
    <row r="157" spans="3:9" ht="16.5">
      <c r="C157" s="70">
        <v>86</v>
      </c>
      <c r="D157" s="20">
        <f t="shared" si="34"/>
        <v>5729.166666666616</v>
      </c>
      <c r="E157" s="20">
        <f t="shared" si="30"/>
        <v>579.6667028356477</v>
      </c>
      <c r="F157" s="20">
        <f t="shared" si="31"/>
        <v>58.833369502314298</v>
      </c>
      <c r="G157" s="21">
        <f t="shared" si="32"/>
        <v>520.83333333333337</v>
      </c>
      <c r="H157" s="20">
        <f t="shared" si="33"/>
        <v>5208.333333333283</v>
      </c>
    </row>
    <row r="158" spans="3:9" ht="16.5">
      <c r="C158" s="70">
        <v>87</v>
      </c>
      <c r="D158" s="20">
        <f t="shared" si="34"/>
        <v>5208.333333333283</v>
      </c>
      <c r="E158" s="20">
        <f t="shared" si="30"/>
        <v>574.31821469907356</v>
      </c>
      <c r="F158" s="20">
        <f t="shared" si="31"/>
        <v>53.484881365740229</v>
      </c>
      <c r="G158" s="21">
        <f t="shared" si="32"/>
        <v>520.83333333333337</v>
      </c>
      <c r="H158" s="20">
        <f t="shared" si="33"/>
        <v>4687.49999999995</v>
      </c>
    </row>
    <row r="159" spans="3:9" ht="16.5">
      <c r="C159" s="70">
        <v>88</v>
      </c>
      <c r="D159" s="20">
        <f t="shared" si="34"/>
        <v>4687.49999999995</v>
      </c>
      <c r="E159" s="20">
        <f t="shared" si="30"/>
        <v>568.96972656249955</v>
      </c>
      <c r="F159" s="20">
        <f t="shared" si="31"/>
        <v>48.136393229166153</v>
      </c>
      <c r="G159" s="21">
        <f t="shared" si="32"/>
        <v>520.83333333333337</v>
      </c>
      <c r="H159" s="20">
        <f t="shared" si="33"/>
        <v>4166.6666666666169</v>
      </c>
    </row>
    <row r="160" spans="3:9" ht="16.5">
      <c r="C160" s="70">
        <v>89</v>
      </c>
      <c r="D160" s="20">
        <f t="shared" si="34"/>
        <v>4166.6666666666169</v>
      </c>
      <c r="E160" s="20">
        <f t="shared" si="30"/>
        <v>563.62123842592541</v>
      </c>
      <c r="F160" s="20">
        <f t="shared" si="31"/>
        <v>42.787905092592084</v>
      </c>
      <c r="G160" s="21">
        <f t="shared" si="32"/>
        <v>520.83333333333337</v>
      </c>
      <c r="H160" s="20">
        <f t="shared" si="33"/>
        <v>3645.8333333332835</v>
      </c>
    </row>
    <row r="161" spans="1:15" ht="16.5">
      <c r="C161" s="70">
        <v>90</v>
      </c>
      <c r="D161" s="20">
        <f t="shared" si="34"/>
        <v>3645.8333333332835</v>
      </c>
      <c r="E161" s="20">
        <f t="shared" si="30"/>
        <v>558.27275028935139</v>
      </c>
      <c r="F161" s="20">
        <f t="shared" si="31"/>
        <v>37.439416956018007</v>
      </c>
      <c r="G161" s="21">
        <f t="shared" si="32"/>
        <v>520.83333333333337</v>
      </c>
      <c r="H161" s="20">
        <f t="shared" si="33"/>
        <v>3124.99999999995</v>
      </c>
    </row>
    <row r="162" spans="1:15" ht="16.5">
      <c r="C162" s="70">
        <v>91</v>
      </c>
      <c r="D162" s="20">
        <f t="shared" si="34"/>
        <v>3124.99999999995</v>
      </c>
      <c r="E162" s="20">
        <f t="shared" si="30"/>
        <v>552.92426215277726</v>
      </c>
      <c r="F162" s="20">
        <f t="shared" si="31"/>
        <v>32.090928819443931</v>
      </c>
      <c r="G162" s="21">
        <f t="shared" si="32"/>
        <v>520.83333333333337</v>
      </c>
      <c r="H162" s="20">
        <f t="shared" si="33"/>
        <v>2604.1666666666165</v>
      </c>
    </row>
    <row r="163" spans="1:15" ht="16.5">
      <c r="C163" s="70">
        <v>92</v>
      </c>
      <c r="D163" s="20">
        <f t="shared" si="34"/>
        <v>2604.1666666666165</v>
      </c>
      <c r="E163" s="20">
        <f t="shared" si="30"/>
        <v>547.57577401620324</v>
      </c>
      <c r="F163" s="20">
        <f t="shared" si="31"/>
        <v>26.742440682869855</v>
      </c>
      <c r="G163" s="21">
        <f t="shared" si="32"/>
        <v>520.83333333333337</v>
      </c>
      <c r="H163" s="20">
        <f t="shared" si="33"/>
        <v>2083.333333333283</v>
      </c>
    </row>
    <row r="164" spans="1:15" ht="16.5">
      <c r="C164" s="70">
        <v>93</v>
      </c>
      <c r="D164" s="20">
        <f t="shared" si="34"/>
        <v>2083.333333333283</v>
      </c>
      <c r="E164" s="20">
        <f t="shared" si="30"/>
        <v>542.22728587962911</v>
      </c>
      <c r="F164" s="20">
        <f t="shared" si="31"/>
        <v>21.393952546295782</v>
      </c>
      <c r="G164" s="21">
        <f t="shared" si="32"/>
        <v>520.83333333333337</v>
      </c>
      <c r="H164" s="20">
        <f t="shared" si="33"/>
        <v>1562.4999999999495</v>
      </c>
    </row>
    <row r="165" spans="1:15" ht="16.5">
      <c r="C165" s="70">
        <v>94</v>
      </c>
      <c r="D165" s="20">
        <f t="shared" si="34"/>
        <v>1562.4999999999495</v>
      </c>
      <c r="E165" s="20">
        <f t="shared" si="30"/>
        <v>536.87879774305509</v>
      </c>
      <c r="F165" s="20">
        <f t="shared" si="31"/>
        <v>16.045464409721706</v>
      </c>
      <c r="G165" s="21">
        <f t="shared" si="32"/>
        <v>520.83333333333337</v>
      </c>
      <c r="H165" s="20">
        <f t="shared" si="33"/>
        <v>1041.666666666616</v>
      </c>
    </row>
    <row r="166" spans="1:15" ht="16.5">
      <c r="C166" s="70">
        <v>95</v>
      </c>
      <c r="D166" s="20">
        <f t="shared" si="34"/>
        <v>1041.666666666616</v>
      </c>
      <c r="E166" s="20">
        <f t="shared" si="30"/>
        <v>531.53030960648096</v>
      </c>
      <c r="F166" s="20">
        <f t="shared" si="31"/>
        <v>10.696976273147628</v>
      </c>
      <c r="G166" s="21">
        <f t="shared" si="32"/>
        <v>520.83333333333337</v>
      </c>
      <c r="H166" s="20">
        <f t="shared" si="33"/>
        <v>520.83333333328267</v>
      </c>
    </row>
    <row r="167" spans="1:15" ht="16.5">
      <c r="C167" s="70">
        <v>96</v>
      </c>
      <c r="D167" s="20">
        <f t="shared" si="34"/>
        <v>520.83333333328267</v>
      </c>
      <c r="E167" s="20">
        <f t="shared" si="30"/>
        <v>526.18182146990694</v>
      </c>
      <c r="F167" s="20">
        <f t="shared" si="31"/>
        <v>5.3484881365735539</v>
      </c>
      <c r="G167" s="21">
        <f t="shared" si="32"/>
        <v>520.83333333333337</v>
      </c>
      <c r="H167" s="20">
        <f t="shared" si="33"/>
        <v>-5.0704329623840749E-11</v>
      </c>
      <c r="I167" s="37"/>
    </row>
    <row r="168" spans="1:15">
      <c r="F168" s="37"/>
    </row>
    <row r="171" spans="1:15">
      <c r="A171" s="76" t="s">
        <v>52</v>
      </c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</row>
    <row r="173" spans="1:15">
      <c r="A173" s="77" t="s">
        <v>53</v>
      </c>
      <c r="B173" s="77" t="s">
        <v>54</v>
      </c>
      <c r="C173" s="77" t="s">
        <v>55</v>
      </c>
      <c r="D173" s="77" t="s">
        <v>56</v>
      </c>
      <c r="E173" s="72">
        <v>1</v>
      </c>
      <c r="F173" s="72">
        <v>2</v>
      </c>
      <c r="G173" s="72">
        <v>3</v>
      </c>
      <c r="H173" s="72">
        <v>4</v>
      </c>
      <c r="I173" s="72">
        <v>5</v>
      </c>
      <c r="J173" s="72">
        <v>6</v>
      </c>
      <c r="K173" s="72">
        <v>7</v>
      </c>
      <c r="L173" s="72">
        <v>8</v>
      </c>
      <c r="M173" s="72">
        <v>9</v>
      </c>
      <c r="N173" s="72">
        <v>10</v>
      </c>
      <c r="O173" s="107"/>
    </row>
    <row r="174" spans="1:15">
      <c r="A174" s="77"/>
      <c r="B174" s="77"/>
      <c r="C174" s="77"/>
      <c r="D174" s="77"/>
      <c r="E174" s="77" t="s">
        <v>57</v>
      </c>
      <c r="F174" s="77"/>
      <c r="G174" s="77"/>
      <c r="H174" s="77"/>
      <c r="I174" s="77"/>
      <c r="J174" s="77"/>
      <c r="K174" s="77"/>
      <c r="L174" s="77"/>
      <c r="M174" s="77"/>
      <c r="N174" s="77"/>
      <c r="O174" s="107"/>
    </row>
    <row r="175" spans="1:15">
      <c r="A175" s="77"/>
      <c r="B175" s="77"/>
      <c r="C175" s="77"/>
      <c r="D175" s="77"/>
      <c r="E175" s="72">
        <v>2014</v>
      </c>
      <c r="F175" s="72">
        <v>2015</v>
      </c>
      <c r="G175" s="72">
        <v>2016</v>
      </c>
      <c r="H175" s="72">
        <v>2017</v>
      </c>
      <c r="I175" s="72">
        <v>2018</v>
      </c>
      <c r="J175" s="72">
        <v>2019</v>
      </c>
      <c r="K175" s="72">
        <v>2020</v>
      </c>
      <c r="L175" s="72">
        <v>2021</v>
      </c>
      <c r="M175" s="72">
        <v>2022</v>
      </c>
      <c r="N175" s="72">
        <v>2023</v>
      </c>
      <c r="O175" s="107"/>
    </row>
    <row r="176" spans="1:15" ht="27" customHeight="1">
      <c r="A176" s="82" t="s">
        <v>58</v>
      </c>
      <c r="B176" s="84">
        <v>395</v>
      </c>
      <c r="C176" s="84">
        <v>39.5</v>
      </c>
      <c r="D176" s="84">
        <v>3</v>
      </c>
      <c r="E176" s="28">
        <f>DB(B176,C176,D176,E173)</f>
        <v>211.72</v>
      </c>
      <c r="F176" s="28">
        <f>DB(B176,C176,D176,F173)</f>
        <v>98.238080000000011</v>
      </c>
      <c r="G176" s="28">
        <f>DB(B176,C176,D176,G173)</f>
        <v>45.582469119999999</v>
      </c>
      <c r="H176" s="28"/>
      <c r="I176" s="28"/>
      <c r="J176" s="29"/>
      <c r="K176" s="29"/>
      <c r="L176" s="29"/>
      <c r="M176" s="29"/>
      <c r="N176" s="29"/>
      <c r="O176" s="51"/>
    </row>
    <row r="177" spans="1:15">
      <c r="A177" s="82"/>
      <c r="B177" s="84"/>
      <c r="C177" s="84"/>
      <c r="D177" s="84"/>
      <c r="E177" s="86" t="s">
        <v>59</v>
      </c>
      <c r="F177" s="86"/>
      <c r="G177" s="86"/>
      <c r="H177" s="86"/>
      <c r="I177" s="86"/>
      <c r="J177" s="86"/>
      <c r="K177" s="86"/>
      <c r="L177" s="86"/>
      <c r="M177" s="86"/>
      <c r="N177" s="86"/>
      <c r="O177" s="10"/>
    </row>
    <row r="178" spans="1:15" ht="17.25" thickBot="1">
      <c r="A178" s="83"/>
      <c r="B178" s="85"/>
      <c r="C178" s="85"/>
      <c r="D178" s="85"/>
      <c r="E178" s="30">
        <f>B176-E176</f>
        <v>183.28</v>
      </c>
      <c r="F178" s="30">
        <f>E178-F176</f>
        <v>85.04191999999999</v>
      </c>
      <c r="G178" s="30">
        <f>F178-G176</f>
        <v>39.459450879999991</v>
      </c>
      <c r="H178" s="30"/>
      <c r="I178" s="30"/>
      <c r="J178" s="31"/>
      <c r="K178" s="31"/>
      <c r="L178" s="31"/>
      <c r="M178" s="31"/>
      <c r="N178" s="31"/>
      <c r="O178" s="10"/>
    </row>
    <row r="179" spans="1:15" ht="27" customHeight="1">
      <c r="A179" s="87" t="s">
        <v>60</v>
      </c>
      <c r="B179" s="92">
        <v>79</v>
      </c>
      <c r="C179" s="92">
        <v>7.9</v>
      </c>
      <c r="D179" s="92">
        <v>10</v>
      </c>
      <c r="E179" s="32">
        <f>DB($B$179,$C$179,$D$179,1)</f>
        <v>16.273999999999997</v>
      </c>
      <c r="F179" s="32">
        <f>DB($B$179,$C$179,$D$179,2)</f>
        <v>12.921555999999999</v>
      </c>
      <c r="G179" s="32">
        <f>DB($B$179,$C$179,$D$179,3)</f>
        <v>10.259715464000001</v>
      </c>
      <c r="H179" s="32">
        <f>DB($B$179,$C$179,$D$179,4)</f>
        <v>8.1462140784159995</v>
      </c>
      <c r="I179" s="32">
        <f>DB($B$179,$C$179,$D$179,5)</f>
        <v>6.4680939782623037</v>
      </c>
      <c r="J179" s="32">
        <f>DB($B$179,$C$179,$D$179,6)</f>
        <v>5.1356666187402693</v>
      </c>
      <c r="K179" s="32">
        <f>DB($B$179,$C$179,$D$179,7)</f>
        <v>4.0777192952797741</v>
      </c>
      <c r="L179" s="32">
        <f>DB($B$179,$C$179,$D$179,8)</f>
        <v>3.2377091204521404</v>
      </c>
      <c r="M179" s="32">
        <f>DB($B$179,$C$179,$D$179,9)</f>
        <v>2.5707410416389993</v>
      </c>
      <c r="N179" s="32">
        <f>DB($B$179,$C$179,$D$179,10)</f>
        <v>2.0411683870613651</v>
      </c>
      <c r="O179" s="51"/>
    </row>
    <row r="180" spans="1:15">
      <c r="A180" s="88"/>
      <c r="B180" s="93"/>
      <c r="C180" s="93"/>
      <c r="D180" s="93"/>
      <c r="E180" s="101" t="s">
        <v>59</v>
      </c>
      <c r="F180" s="102"/>
      <c r="G180" s="102"/>
      <c r="H180" s="102"/>
      <c r="I180" s="102"/>
      <c r="J180" s="102"/>
      <c r="K180" s="102"/>
      <c r="L180" s="102"/>
      <c r="M180" s="102"/>
      <c r="N180" s="103"/>
      <c r="O180" s="51"/>
    </row>
    <row r="181" spans="1:15" ht="17.25" thickBot="1">
      <c r="A181" s="89"/>
      <c r="B181" s="94"/>
      <c r="C181" s="94"/>
      <c r="D181" s="94"/>
      <c r="E181" s="30">
        <f>B179-E179</f>
        <v>62.725999999999999</v>
      </c>
      <c r="F181" s="30">
        <f t="shared" ref="F181:N181" si="35">E181-F179</f>
        <v>49.804444000000004</v>
      </c>
      <c r="G181" s="30">
        <f t="shared" si="35"/>
        <v>39.544728536000001</v>
      </c>
      <c r="H181" s="30">
        <f t="shared" si="35"/>
        <v>31.398514457584</v>
      </c>
      <c r="I181" s="30">
        <f t="shared" si="35"/>
        <v>24.930420479321697</v>
      </c>
      <c r="J181" s="30">
        <f t="shared" si="35"/>
        <v>19.794753860581427</v>
      </c>
      <c r="K181" s="30">
        <f t="shared" si="35"/>
        <v>15.717034565301653</v>
      </c>
      <c r="L181" s="30">
        <f t="shared" si="35"/>
        <v>12.479325444849511</v>
      </c>
      <c r="M181" s="30">
        <f t="shared" si="35"/>
        <v>9.9085844032105115</v>
      </c>
      <c r="N181" s="30">
        <f t="shared" si="35"/>
        <v>7.8674160161491464</v>
      </c>
      <c r="O181" s="51"/>
    </row>
    <row r="182" spans="1:15" ht="27" customHeight="1">
      <c r="A182" s="90" t="s">
        <v>61</v>
      </c>
      <c r="B182" s="104">
        <v>17.5</v>
      </c>
      <c r="C182" s="104">
        <v>1.75</v>
      </c>
      <c r="D182" s="104">
        <v>3</v>
      </c>
      <c r="E182" s="26">
        <f>DB($B$182,$C$182,$D$182,E173)</f>
        <v>9.3800000000000008</v>
      </c>
      <c r="F182" s="26">
        <f t="shared" ref="F182:G182" si="36">DB($B$182,$C$182,$D$182,F173)</f>
        <v>4.3523199999999997</v>
      </c>
      <c r="G182" s="26">
        <f t="shared" si="36"/>
        <v>2.0194764799999998</v>
      </c>
      <c r="H182" s="27"/>
      <c r="I182" s="27"/>
      <c r="J182" s="27"/>
      <c r="K182" s="27"/>
      <c r="L182" s="27"/>
      <c r="M182" s="27"/>
      <c r="N182" s="27"/>
      <c r="O182" s="51"/>
    </row>
    <row r="183" spans="1:15" ht="13.5" customHeight="1">
      <c r="A183" s="82"/>
      <c r="B183" s="105"/>
      <c r="C183" s="105"/>
      <c r="D183" s="105"/>
      <c r="E183" s="86" t="s">
        <v>59</v>
      </c>
      <c r="F183" s="86"/>
      <c r="G183" s="86"/>
      <c r="H183" s="86"/>
      <c r="I183" s="86"/>
      <c r="J183" s="86"/>
      <c r="K183" s="86"/>
      <c r="L183" s="86"/>
      <c r="M183" s="86"/>
      <c r="N183" s="86"/>
      <c r="O183" s="10"/>
    </row>
    <row r="184" spans="1:15" ht="27" customHeight="1" thickBot="1">
      <c r="A184" s="83"/>
      <c r="B184" s="106"/>
      <c r="C184" s="106"/>
      <c r="D184" s="106"/>
      <c r="E184" s="30">
        <f>B182-E182</f>
        <v>8.1199999999999992</v>
      </c>
      <c r="F184" s="30">
        <f>E184-F182</f>
        <v>3.7676799999999995</v>
      </c>
      <c r="G184" s="30">
        <f>F184-G182</f>
        <v>1.7482035199999997</v>
      </c>
      <c r="H184" s="31"/>
      <c r="I184" s="31"/>
      <c r="J184" s="31"/>
      <c r="K184" s="31"/>
      <c r="L184" s="31"/>
      <c r="M184" s="31"/>
      <c r="N184" s="31"/>
      <c r="O184" s="10"/>
    </row>
    <row r="185" spans="1:15" ht="16.5">
      <c r="A185" s="91" t="s">
        <v>62</v>
      </c>
      <c r="B185" s="108">
        <v>165</v>
      </c>
      <c r="C185" s="108">
        <v>16.5</v>
      </c>
      <c r="D185" s="108">
        <v>3</v>
      </c>
      <c r="E185" s="32">
        <f>DB($B$185,$C$185,$D$185,E173)</f>
        <v>88.440000000000012</v>
      </c>
      <c r="F185" s="32">
        <f t="shared" ref="F185:G185" si="37">DB($B$185,$C$185,$D$185,F173)</f>
        <v>41.036159999999995</v>
      </c>
      <c r="G185" s="32">
        <f t="shared" si="37"/>
        <v>19.040778239999998</v>
      </c>
      <c r="H185" s="33"/>
      <c r="I185" s="33"/>
      <c r="J185" s="33"/>
      <c r="K185" s="33"/>
      <c r="L185" s="33"/>
      <c r="M185" s="33"/>
      <c r="N185" s="33"/>
      <c r="O185" s="51"/>
    </row>
    <row r="186" spans="1:15">
      <c r="A186" s="82"/>
      <c r="B186" s="105"/>
      <c r="C186" s="105"/>
      <c r="D186" s="105"/>
      <c r="E186" s="86" t="s">
        <v>59</v>
      </c>
      <c r="F186" s="86"/>
      <c r="G186" s="86"/>
      <c r="H186" s="86"/>
      <c r="I186" s="86"/>
      <c r="J186" s="86"/>
      <c r="K186" s="86"/>
      <c r="L186" s="86"/>
      <c r="M186" s="86"/>
      <c r="N186" s="86"/>
      <c r="O186" s="10"/>
    </row>
    <row r="187" spans="1:15" ht="17.25" thickBot="1">
      <c r="A187" s="83"/>
      <c r="B187" s="106"/>
      <c r="C187" s="106"/>
      <c r="D187" s="106"/>
      <c r="E187" s="30">
        <f>B185-E185</f>
        <v>76.559999999999988</v>
      </c>
      <c r="F187" s="30">
        <f>E187-F185</f>
        <v>35.523839999999993</v>
      </c>
      <c r="G187" s="30">
        <f>F187-G185</f>
        <v>16.483061759999995</v>
      </c>
      <c r="H187" s="31"/>
      <c r="I187" s="31"/>
      <c r="J187" s="31"/>
      <c r="K187" s="31"/>
      <c r="L187" s="31"/>
      <c r="M187" s="31"/>
      <c r="N187" s="31"/>
      <c r="O187" s="10"/>
    </row>
    <row r="188" spans="1:15" ht="27" customHeight="1">
      <c r="A188" s="91" t="s">
        <v>63</v>
      </c>
      <c r="B188" s="95">
        <v>150</v>
      </c>
      <c r="C188" s="95">
        <v>15</v>
      </c>
      <c r="D188" s="95">
        <v>10</v>
      </c>
      <c r="E188" s="32">
        <f>DB($B$188,$C$188,$D$188,E173)</f>
        <v>30.9</v>
      </c>
      <c r="F188" s="32">
        <f t="shared" ref="F188:N188" si="38">DB($B$188,$C$188,$D$188,F173)</f>
        <v>24.534599999999998</v>
      </c>
      <c r="G188" s="32">
        <f t="shared" si="38"/>
        <v>19.4804724</v>
      </c>
      <c r="H188" s="32">
        <f t="shared" si="38"/>
        <v>15.4674950856</v>
      </c>
      <c r="I188" s="32">
        <f t="shared" si="38"/>
        <v>12.281191097966399</v>
      </c>
      <c r="J188" s="32">
        <f t="shared" si="38"/>
        <v>9.7512657317853222</v>
      </c>
      <c r="K188" s="32">
        <f t="shared" si="38"/>
        <v>7.7425049910375447</v>
      </c>
      <c r="L188" s="32">
        <f t="shared" si="38"/>
        <v>6.1475489628838105</v>
      </c>
      <c r="M188" s="32">
        <f t="shared" si="38"/>
        <v>4.881153876529746</v>
      </c>
      <c r="N188" s="32">
        <f t="shared" si="38"/>
        <v>3.8756361779646178</v>
      </c>
      <c r="O188" s="51"/>
    </row>
    <row r="189" spans="1:15">
      <c r="A189" s="82"/>
      <c r="B189" s="84"/>
      <c r="C189" s="84"/>
      <c r="D189" s="84"/>
      <c r="E189" s="86" t="s">
        <v>59</v>
      </c>
      <c r="F189" s="86"/>
      <c r="G189" s="86"/>
      <c r="H189" s="86"/>
      <c r="I189" s="86"/>
      <c r="J189" s="86"/>
      <c r="K189" s="86"/>
      <c r="L189" s="86"/>
      <c r="M189" s="86"/>
      <c r="N189" s="86"/>
      <c r="O189" s="10"/>
    </row>
    <row r="190" spans="1:15" ht="17.25" thickBot="1">
      <c r="A190" s="83"/>
      <c r="B190" s="85"/>
      <c r="C190" s="85"/>
      <c r="D190" s="85"/>
      <c r="E190" s="30">
        <f>B188-E188</f>
        <v>119.1</v>
      </c>
      <c r="F190" s="30">
        <f t="shared" ref="F190:N190" si="39">E190-F188</f>
        <v>94.565399999999997</v>
      </c>
      <c r="G190" s="30">
        <f t="shared" si="39"/>
        <v>75.0849276</v>
      </c>
      <c r="H190" s="30">
        <f t="shared" si="39"/>
        <v>59.617432514400001</v>
      </c>
      <c r="I190" s="30">
        <f t="shared" si="39"/>
        <v>47.336241416433602</v>
      </c>
      <c r="J190" s="30">
        <f t="shared" si="39"/>
        <v>37.584975684648278</v>
      </c>
      <c r="K190" s="30">
        <f t="shared" si="39"/>
        <v>29.842470693610732</v>
      </c>
      <c r="L190" s="30">
        <f t="shared" si="39"/>
        <v>23.694921730726922</v>
      </c>
      <c r="M190" s="30">
        <f t="shared" si="39"/>
        <v>18.813767854197174</v>
      </c>
      <c r="N190" s="30">
        <f t="shared" si="39"/>
        <v>14.938131676232556</v>
      </c>
      <c r="O190" s="10"/>
    </row>
    <row r="191" spans="1:15" ht="16.5">
      <c r="A191" s="91" t="s">
        <v>64</v>
      </c>
      <c r="B191" s="95">
        <v>89</v>
      </c>
      <c r="C191" s="95">
        <v>8.9</v>
      </c>
      <c r="D191" s="95">
        <v>3</v>
      </c>
      <c r="E191" s="32">
        <f>DB($B$191,$C$191,$D$191,E173)</f>
        <v>47.704000000000001</v>
      </c>
      <c r="F191" s="32">
        <f t="shared" ref="F191:G191" si="40">DB($B$191,$C$191,$D$191,F173)</f>
        <v>22.134656</v>
      </c>
      <c r="G191" s="32">
        <f t="shared" si="40"/>
        <v>10.270480384000001</v>
      </c>
      <c r="H191" s="33"/>
      <c r="I191" s="33"/>
      <c r="J191" s="33"/>
      <c r="K191" s="33"/>
      <c r="L191" s="33"/>
      <c r="M191" s="33"/>
      <c r="N191" s="33"/>
      <c r="O191" s="51"/>
    </row>
    <row r="192" spans="1:15">
      <c r="A192" s="82"/>
      <c r="B192" s="84"/>
      <c r="C192" s="84"/>
      <c r="D192" s="84"/>
      <c r="E192" s="86" t="s">
        <v>59</v>
      </c>
      <c r="F192" s="86"/>
      <c r="G192" s="86"/>
      <c r="H192" s="86"/>
      <c r="I192" s="86"/>
      <c r="J192" s="86"/>
      <c r="K192" s="86"/>
      <c r="L192" s="86"/>
      <c r="M192" s="86"/>
      <c r="N192" s="86"/>
      <c r="O192" s="10"/>
    </row>
    <row r="193" spans="1:15" ht="17.25" thickBot="1">
      <c r="A193" s="83"/>
      <c r="B193" s="85"/>
      <c r="C193" s="85"/>
      <c r="D193" s="85"/>
      <c r="E193" s="30">
        <f>B191-E191</f>
        <v>41.295999999999999</v>
      </c>
      <c r="F193" s="30">
        <f>E193-F191</f>
        <v>19.161344</v>
      </c>
      <c r="G193" s="30">
        <f>F193-G191</f>
        <v>8.890863615999999</v>
      </c>
      <c r="H193" s="31"/>
      <c r="I193" s="31"/>
      <c r="J193" s="31"/>
      <c r="K193" s="31"/>
      <c r="L193" s="31"/>
      <c r="M193" s="31"/>
      <c r="N193" s="31"/>
      <c r="O193" s="10"/>
    </row>
    <row r="194" spans="1:15" ht="16.5">
      <c r="A194" s="91" t="s">
        <v>65</v>
      </c>
      <c r="B194" s="95">
        <v>43</v>
      </c>
      <c r="C194" s="95">
        <v>4.3</v>
      </c>
      <c r="D194" s="95">
        <v>10</v>
      </c>
      <c r="E194" s="32">
        <f>DB($B$194,$C$194,$D$194,E173)</f>
        <v>8.8579999999999988</v>
      </c>
      <c r="F194" s="32">
        <f t="shared" ref="F194:N194" si="41">DB($B$194,$C$194,$D$194,F173)</f>
        <v>7.0332520000000001</v>
      </c>
      <c r="G194" s="32">
        <f t="shared" si="41"/>
        <v>5.584402088</v>
      </c>
      <c r="H194" s="32">
        <f t="shared" si="41"/>
        <v>4.4340152578719998</v>
      </c>
      <c r="I194" s="32">
        <f t="shared" si="41"/>
        <v>3.5206081147503685</v>
      </c>
      <c r="J194" s="32">
        <f t="shared" si="41"/>
        <v>2.7953628431117927</v>
      </c>
      <c r="K194" s="32">
        <f t="shared" si="41"/>
        <v>2.2195180974307633</v>
      </c>
      <c r="L194" s="32">
        <f t="shared" si="41"/>
        <v>1.7622973693600261</v>
      </c>
      <c r="M194" s="32">
        <f t="shared" si="41"/>
        <v>1.3992641112718607</v>
      </c>
      <c r="N194" s="32">
        <f t="shared" si="41"/>
        <v>1.1110157043498574</v>
      </c>
      <c r="O194" s="51"/>
    </row>
    <row r="195" spans="1:15">
      <c r="A195" s="82"/>
      <c r="B195" s="84"/>
      <c r="C195" s="84"/>
      <c r="D195" s="84"/>
      <c r="E195" s="86" t="s">
        <v>59</v>
      </c>
      <c r="F195" s="86"/>
      <c r="G195" s="86"/>
      <c r="H195" s="86"/>
      <c r="I195" s="86"/>
      <c r="J195" s="86"/>
      <c r="K195" s="86"/>
      <c r="L195" s="86"/>
      <c r="M195" s="86"/>
      <c r="N195" s="86"/>
      <c r="O195" s="10"/>
    </row>
    <row r="196" spans="1:15" ht="17.25" thickBot="1">
      <c r="A196" s="83"/>
      <c r="B196" s="85"/>
      <c r="C196" s="85"/>
      <c r="D196" s="85"/>
      <c r="E196" s="30">
        <f>B194-E194</f>
        <v>34.142000000000003</v>
      </c>
      <c r="F196" s="30">
        <f>E196-F194</f>
        <v>27.108748000000002</v>
      </c>
      <c r="G196" s="30">
        <f t="shared" ref="G196:N196" si="42">F196-G194</f>
        <v>21.524345912000001</v>
      </c>
      <c r="H196" s="30">
        <f t="shared" si="42"/>
        <v>17.090330654128003</v>
      </c>
      <c r="I196" s="30">
        <f t="shared" si="42"/>
        <v>13.569722539377635</v>
      </c>
      <c r="J196" s="30">
        <f t="shared" si="42"/>
        <v>10.774359696265842</v>
      </c>
      <c r="K196" s="30">
        <f t="shared" si="42"/>
        <v>8.554841598835079</v>
      </c>
      <c r="L196" s="30">
        <f t="shared" si="42"/>
        <v>6.7925442294750527</v>
      </c>
      <c r="M196" s="30">
        <f t="shared" si="42"/>
        <v>5.393280118203192</v>
      </c>
      <c r="N196" s="30">
        <f t="shared" si="42"/>
        <v>4.2822644138533343</v>
      </c>
      <c r="O196" s="10"/>
    </row>
    <row r="197" spans="1:15" ht="16.5">
      <c r="A197" s="91" t="s">
        <v>66</v>
      </c>
      <c r="B197" s="95">
        <v>550</v>
      </c>
      <c r="C197" s="95">
        <v>55</v>
      </c>
      <c r="D197" s="95">
        <v>10</v>
      </c>
      <c r="E197" s="32">
        <f>DB($B$197,$C$197,$D$197,E173)</f>
        <v>113.3</v>
      </c>
      <c r="F197" s="32">
        <f t="shared" ref="F197:N197" si="43">DB($B$197,$C$197,$D$197,F173)</f>
        <v>89.960199999999986</v>
      </c>
      <c r="G197" s="32">
        <f t="shared" si="43"/>
        <v>71.428398799999997</v>
      </c>
      <c r="H197" s="32">
        <f t="shared" si="43"/>
        <v>56.714148647199991</v>
      </c>
      <c r="I197" s="32">
        <f t="shared" si="43"/>
        <v>45.031034025876799</v>
      </c>
      <c r="J197" s="32">
        <f t="shared" si="43"/>
        <v>35.754641016546174</v>
      </c>
      <c r="K197" s="32">
        <f t="shared" si="43"/>
        <v>28.389184967137666</v>
      </c>
      <c r="L197" s="32">
        <f t="shared" si="43"/>
        <v>22.541012863907305</v>
      </c>
      <c r="M197" s="32">
        <f t="shared" si="43"/>
        <v>17.897564213942399</v>
      </c>
      <c r="N197" s="32">
        <f t="shared" si="43"/>
        <v>14.210665985870264</v>
      </c>
      <c r="O197" s="51"/>
    </row>
    <row r="198" spans="1:15">
      <c r="A198" s="82"/>
      <c r="B198" s="84"/>
      <c r="C198" s="84"/>
      <c r="D198" s="84"/>
      <c r="E198" s="86" t="s">
        <v>59</v>
      </c>
      <c r="F198" s="86"/>
      <c r="G198" s="86"/>
      <c r="H198" s="86"/>
      <c r="I198" s="86"/>
      <c r="J198" s="86"/>
      <c r="K198" s="86"/>
      <c r="L198" s="86"/>
      <c r="M198" s="86"/>
      <c r="N198" s="86"/>
      <c r="O198" s="10"/>
    </row>
    <row r="199" spans="1:15" ht="17.25" thickBot="1">
      <c r="A199" s="83"/>
      <c r="B199" s="85"/>
      <c r="C199" s="85"/>
      <c r="D199" s="85"/>
      <c r="E199" s="30">
        <f>B197-E197</f>
        <v>436.7</v>
      </c>
      <c r="F199" s="30">
        <f>E199-F197</f>
        <v>346.7398</v>
      </c>
      <c r="G199" s="30">
        <f t="shared" ref="G199:N199" si="44">F199-G197</f>
        <v>275.31140119999998</v>
      </c>
      <c r="H199" s="30">
        <f t="shared" si="44"/>
        <v>218.5972525528</v>
      </c>
      <c r="I199" s="30">
        <f t="shared" si="44"/>
        <v>173.56621852692319</v>
      </c>
      <c r="J199" s="30">
        <f t="shared" si="44"/>
        <v>137.81157751037702</v>
      </c>
      <c r="K199" s="30">
        <f t="shared" si="44"/>
        <v>109.42239254323935</v>
      </c>
      <c r="L199" s="30">
        <f t="shared" si="44"/>
        <v>86.881379679332042</v>
      </c>
      <c r="M199" s="30">
        <f t="shared" si="44"/>
        <v>68.98381546538964</v>
      </c>
      <c r="N199" s="30">
        <f t="shared" si="44"/>
        <v>54.773149479519375</v>
      </c>
      <c r="O199" s="10"/>
    </row>
    <row r="200" spans="1:15" ht="16.5">
      <c r="A200" s="91" t="s">
        <v>67</v>
      </c>
      <c r="B200" s="96">
        <v>300</v>
      </c>
      <c r="C200" s="96">
        <v>30</v>
      </c>
      <c r="D200" s="96">
        <v>10</v>
      </c>
      <c r="E200" s="32">
        <f>DB($B$200,$C$200,$D$200,E173)</f>
        <v>61.8</v>
      </c>
      <c r="F200" s="32">
        <f t="shared" ref="F200:N200" si="45">DB($B$200,$C$200,$D$200,F173)</f>
        <v>49.069199999999995</v>
      </c>
      <c r="G200" s="32">
        <f t="shared" si="45"/>
        <v>38.9609448</v>
      </c>
      <c r="H200" s="32">
        <f t="shared" si="45"/>
        <v>30.934990171199999</v>
      </c>
      <c r="I200" s="32">
        <f t="shared" si="45"/>
        <v>24.562382195932798</v>
      </c>
      <c r="J200" s="32">
        <f t="shared" si="45"/>
        <v>19.502531463570644</v>
      </c>
      <c r="K200" s="32">
        <f t="shared" si="45"/>
        <v>15.485009982075089</v>
      </c>
      <c r="L200" s="32">
        <f t="shared" si="45"/>
        <v>12.295097925767621</v>
      </c>
      <c r="M200" s="32">
        <f t="shared" si="45"/>
        <v>9.7623077530594919</v>
      </c>
      <c r="N200" s="32">
        <f t="shared" si="45"/>
        <v>7.7512723559292356</v>
      </c>
      <c r="O200" s="51"/>
    </row>
    <row r="201" spans="1:15">
      <c r="A201" s="82"/>
      <c r="B201" s="97"/>
      <c r="C201" s="97"/>
      <c r="D201" s="97"/>
      <c r="E201" s="86" t="s">
        <v>59</v>
      </c>
      <c r="F201" s="86"/>
      <c r="G201" s="86"/>
      <c r="H201" s="86"/>
      <c r="I201" s="86"/>
      <c r="J201" s="86"/>
      <c r="K201" s="86"/>
      <c r="L201" s="86"/>
      <c r="M201" s="86"/>
      <c r="N201" s="86"/>
      <c r="O201" s="10"/>
    </row>
    <row r="202" spans="1:15" ht="17.25" thickBot="1">
      <c r="A202" s="83"/>
      <c r="B202" s="98"/>
      <c r="C202" s="98"/>
      <c r="D202" s="98"/>
      <c r="E202" s="30">
        <f>B200-E200</f>
        <v>238.2</v>
      </c>
      <c r="F202" s="30">
        <f>E202-F200</f>
        <v>189.13079999999999</v>
      </c>
      <c r="G202" s="30">
        <f>F202-G200</f>
        <v>150.1698552</v>
      </c>
      <c r="H202" s="30">
        <f t="shared" ref="H202:N202" si="46">G202-H200</f>
        <v>119.2348650288</v>
      </c>
      <c r="I202" s="30">
        <f t="shared" si="46"/>
        <v>94.672482832867203</v>
      </c>
      <c r="J202" s="30">
        <f t="shared" si="46"/>
        <v>75.169951369296555</v>
      </c>
      <c r="K202" s="30">
        <f t="shared" si="46"/>
        <v>59.684941387221464</v>
      </c>
      <c r="L202" s="30">
        <f t="shared" si="46"/>
        <v>47.389843461453843</v>
      </c>
      <c r="M202" s="30">
        <f t="shared" si="46"/>
        <v>37.627535708394348</v>
      </c>
      <c r="N202" s="30">
        <f t="shared" si="46"/>
        <v>29.876263352465113</v>
      </c>
      <c r="O202" s="10"/>
    </row>
    <row r="203" spans="1:15" ht="16.5">
      <c r="A203" s="91" t="s">
        <v>68</v>
      </c>
      <c r="B203" s="96">
        <v>548</v>
      </c>
      <c r="C203" s="96">
        <v>54.8</v>
      </c>
      <c r="D203" s="96">
        <v>3</v>
      </c>
      <c r="E203" s="32">
        <f>DB($B$203,$C$203,$D$203,E173)</f>
        <v>293.72800000000001</v>
      </c>
      <c r="F203" s="32">
        <f t="shared" ref="F203:G203" si="47">DB($B$203,$C$203,$D$203,F173)</f>
        <v>136.28979200000001</v>
      </c>
      <c r="G203" s="32">
        <f t="shared" si="47"/>
        <v>63.238463487999994</v>
      </c>
      <c r="H203" s="33"/>
      <c r="I203" s="33"/>
      <c r="J203" s="33"/>
      <c r="K203" s="33"/>
      <c r="L203" s="33"/>
      <c r="M203" s="33"/>
      <c r="N203" s="33"/>
      <c r="O203" s="51"/>
    </row>
    <row r="204" spans="1:15">
      <c r="A204" s="82"/>
      <c r="B204" s="97"/>
      <c r="C204" s="97"/>
      <c r="D204" s="97"/>
      <c r="E204" s="86" t="s">
        <v>59</v>
      </c>
      <c r="F204" s="86"/>
      <c r="G204" s="86"/>
      <c r="H204" s="86"/>
      <c r="I204" s="86"/>
      <c r="J204" s="86"/>
      <c r="K204" s="86"/>
      <c r="L204" s="86"/>
      <c r="M204" s="86"/>
      <c r="N204" s="86"/>
      <c r="O204" s="10"/>
    </row>
    <row r="205" spans="1:15" ht="17.25" thickBot="1">
      <c r="A205" s="83"/>
      <c r="B205" s="98"/>
      <c r="C205" s="98"/>
      <c r="D205" s="98"/>
      <c r="E205" s="30">
        <f>B203-E203</f>
        <v>254.27199999999999</v>
      </c>
      <c r="F205" s="30">
        <f>E205-F203</f>
        <v>117.98220799999999</v>
      </c>
      <c r="G205" s="30">
        <f>F205-G203</f>
        <v>54.743744511999992</v>
      </c>
      <c r="H205" s="31"/>
      <c r="I205" s="31"/>
      <c r="J205" s="31"/>
      <c r="K205" s="31"/>
      <c r="L205" s="31"/>
      <c r="M205" s="31"/>
      <c r="N205" s="31"/>
      <c r="O205" s="10"/>
    </row>
    <row r="206" spans="1:15" ht="16.5">
      <c r="A206" s="91" t="s">
        <v>69</v>
      </c>
      <c r="B206" s="96">
        <v>70.3</v>
      </c>
      <c r="C206" s="96">
        <v>7.03</v>
      </c>
      <c r="D206" s="96">
        <v>3</v>
      </c>
      <c r="E206" s="32">
        <f>DB($B$206,$C$206,$D$206,E173)</f>
        <v>37.680799999999998</v>
      </c>
      <c r="F206" s="32">
        <f t="shared" ref="F206:G206" si="48">DB($B$206,$C$206,$D$206,F173)</f>
        <v>17.483891200000002</v>
      </c>
      <c r="G206" s="32">
        <f t="shared" si="48"/>
        <v>8.1125255167999981</v>
      </c>
      <c r="H206" s="33"/>
      <c r="I206" s="33"/>
      <c r="J206" s="33"/>
      <c r="K206" s="33"/>
      <c r="L206" s="33"/>
      <c r="M206" s="33"/>
      <c r="N206" s="33"/>
      <c r="O206" s="51"/>
    </row>
    <row r="207" spans="1:15">
      <c r="A207" s="82"/>
      <c r="B207" s="97"/>
      <c r="C207" s="97"/>
      <c r="D207" s="97"/>
      <c r="E207" s="86" t="s">
        <v>59</v>
      </c>
      <c r="F207" s="86"/>
      <c r="G207" s="86"/>
      <c r="H207" s="86"/>
      <c r="I207" s="86"/>
      <c r="J207" s="86"/>
      <c r="K207" s="86"/>
      <c r="L207" s="86"/>
      <c r="M207" s="86"/>
      <c r="N207" s="86"/>
      <c r="O207" s="10"/>
    </row>
    <row r="208" spans="1:15" ht="17.25" thickBot="1">
      <c r="A208" s="83"/>
      <c r="B208" s="98"/>
      <c r="C208" s="98"/>
      <c r="D208" s="98"/>
      <c r="E208" s="30">
        <f>B206-E206</f>
        <v>32.619199999999999</v>
      </c>
      <c r="F208" s="30">
        <f>E208-F206</f>
        <v>15.135308799999997</v>
      </c>
      <c r="G208" s="30">
        <f>F208-G206</f>
        <v>7.022783283199999</v>
      </c>
      <c r="H208" s="31"/>
      <c r="I208" s="31"/>
      <c r="J208" s="31"/>
      <c r="K208" s="31"/>
      <c r="L208" s="31"/>
      <c r="M208" s="31"/>
      <c r="N208" s="31"/>
      <c r="O208" s="10"/>
    </row>
    <row r="209" spans="1:16" ht="27" customHeight="1">
      <c r="A209" s="91" t="s">
        <v>70</v>
      </c>
      <c r="B209" s="96">
        <v>40</v>
      </c>
      <c r="C209" s="96">
        <v>4</v>
      </c>
      <c r="D209" s="96">
        <v>10</v>
      </c>
      <c r="E209" s="32">
        <f>DB($B$209,$C$209,$D$209,E173)</f>
        <v>8.24</v>
      </c>
      <c r="F209" s="32">
        <f t="shared" ref="F209:N209" si="49">DB($B$209,$C$209,$D$209,F173)</f>
        <v>6.542559999999999</v>
      </c>
      <c r="G209" s="32">
        <f t="shared" si="49"/>
        <v>5.1947926399999993</v>
      </c>
      <c r="H209" s="32">
        <f t="shared" si="49"/>
        <v>4.1246653561599995</v>
      </c>
      <c r="I209" s="32">
        <f t="shared" si="49"/>
        <v>3.2749842927910402</v>
      </c>
      <c r="J209" s="32">
        <f t="shared" si="49"/>
        <v>2.6003375284760857</v>
      </c>
      <c r="K209" s="32">
        <f t="shared" si="49"/>
        <v>2.064667997610012</v>
      </c>
      <c r="L209" s="32">
        <f t="shared" si="49"/>
        <v>1.6393463901023495</v>
      </c>
      <c r="M209" s="32">
        <f t="shared" si="49"/>
        <v>1.3016410337412656</v>
      </c>
      <c r="N209" s="32">
        <f t="shared" si="49"/>
        <v>1.0335029807905647</v>
      </c>
      <c r="O209" s="51"/>
    </row>
    <row r="210" spans="1:16">
      <c r="A210" s="82"/>
      <c r="B210" s="97"/>
      <c r="C210" s="97"/>
      <c r="D210" s="97"/>
      <c r="E210" s="86" t="s">
        <v>59</v>
      </c>
      <c r="F210" s="86"/>
      <c r="G210" s="86"/>
      <c r="H210" s="86"/>
      <c r="I210" s="86"/>
      <c r="J210" s="86"/>
      <c r="K210" s="86"/>
      <c r="L210" s="86"/>
      <c r="M210" s="86"/>
      <c r="N210" s="86"/>
      <c r="O210" s="10"/>
    </row>
    <row r="211" spans="1:16" ht="17.25" thickBot="1">
      <c r="A211" s="83"/>
      <c r="B211" s="98"/>
      <c r="C211" s="98"/>
      <c r="D211" s="98"/>
      <c r="E211" s="30">
        <f>B209-E209</f>
        <v>31.759999999999998</v>
      </c>
      <c r="F211" s="30">
        <f>E211-F209</f>
        <v>25.21744</v>
      </c>
      <c r="G211" s="30">
        <f t="shared" ref="G211:N211" si="50">F211-G209</f>
        <v>20.022647360000001</v>
      </c>
      <c r="H211" s="30">
        <f t="shared" si="50"/>
        <v>15.897982003840001</v>
      </c>
      <c r="I211" s="30">
        <f t="shared" si="50"/>
        <v>12.62299771104896</v>
      </c>
      <c r="J211" s="30">
        <f t="shared" si="50"/>
        <v>10.022660182572874</v>
      </c>
      <c r="K211" s="30">
        <f t="shared" si="50"/>
        <v>7.9579921849628619</v>
      </c>
      <c r="L211" s="30">
        <f t="shared" si="50"/>
        <v>6.3186457948605126</v>
      </c>
      <c r="M211" s="30">
        <f t="shared" si="50"/>
        <v>5.0170047611192468</v>
      </c>
      <c r="N211" s="30">
        <f t="shared" si="50"/>
        <v>3.9835017803286821</v>
      </c>
      <c r="O211" s="10"/>
    </row>
    <row r="212" spans="1:16" ht="16.5">
      <c r="A212" s="91" t="s">
        <v>71</v>
      </c>
      <c r="B212" s="96">
        <v>34</v>
      </c>
      <c r="C212" s="96">
        <v>3.4</v>
      </c>
      <c r="D212" s="96">
        <v>3</v>
      </c>
      <c r="E212" s="32">
        <f>DB($B$212,$C$212,$D$212,E173)</f>
        <v>18.224</v>
      </c>
      <c r="F212" s="32">
        <f t="shared" ref="F212:G212" si="51">DB($B$212,$C$212,$D$212,F173)</f>
        <v>8.4559360000000012</v>
      </c>
      <c r="G212" s="32">
        <f t="shared" si="51"/>
        <v>3.9235543039999996</v>
      </c>
      <c r="H212" s="33"/>
      <c r="I212" s="33"/>
      <c r="J212" s="33"/>
      <c r="K212" s="33"/>
      <c r="L212" s="33"/>
      <c r="M212" s="33"/>
      <c r="N212" s="33"/>
      <c r="O212" s="51"/>
    </row>
    <row r="213" spans="1:16">
      <c r="A213" s="82"/>
      <c r="B213" s="97"/>
      <c r="C213" s="97"/>
      <c r="D213" s="97"/>
      <c r="E213" s="86" t="s">
        <v>59</v>
      </c>
      <c r="F213" s="86"/>
      <c r="G213" s="86"/>
      <c r="H213" s="86"/>
      <c r="I213" s="86"/>
      <c r="J213" s="86"/>
      <c r="K213" s="86"/>
      <c r="L213" s="86"/>
      <c r="M213" s="86"/>
      <c r="N213" s="86"/>
      <c r="O213" s="10"/>
    </row>
    <row r="214" spans="1:16" ht="17.25" thickBot="1">
      <c r="A214" s="83"/>
      <c r="B214" s="98"/>
      <c r="C214" s="98"/>
      <c r="D214" s="98"/>
      <c r="E214" s="30">
        <f>B212-E212</f>
        <v>15.776</v>
      </c>
      <c r="F214" s="30">
        <f>E214-F212</f>
        <v>7.3200639999999986</v>
      </c>
      <c r="G214" s="30">
        <f>F214-G212</f>
        <v>3.396509695999999</v>
      </c>
      <c r="H214" s="31"/>
      <c r="I214" s="31"/>
      <c r="J214" s="31"/>
      <c r="K214" s="31"/>
      <c r="L214" s="31"/>
      <c r="M214" s="31"/>
      <c r="N214" s="31"/>
      <c r="O214" s="10"/>
    </row>
    <row r="215" spans="1:16" ht="16.5">
      <c r="A215" s="91" t="s">
        <v>72</v>
      </c>
      <c r="B215" s="95">
        <v>960</v>
      </c>
      <c r="C215" s="95">
        <v>96</v>
      </c>
      <c r="D215" s="95">
        <v>3</v>
      </c>
      <c r="E215" s="32">
        <f>DB($B$215,$C$215,$D$215,E173)</f>
        <v>514.56000000000006</v>
      </c>
      <c r="F215" s="32">
        <f t="shared" ref="F215:G215" si="52">DB($B$215,$C$215,$D$215,F173)</f>
        <v>238.75583999999998</v>
      </c>
      <c r="G215" s="32">
        <f t="shared" si="52"/>
        <v>110.78270975999999</v>
      </c>
      <c r="H215" s="33"/>
      <c r="I215" s="33"/>
      <c r="J215" s="33"/>
      <c r="K215" s="33"/>
      <c r="L215" s="33"/>
      <c r="M215" s="33"/>
      <c r="N215" s="33"/>
      <c r="O215" s="51"/>
    </row>
    <row r="216" spans="1:16">
      <c r="A216" s="82"/>
      <c r="B216" s="84"/>
      <c r="C216" s="84"/>
      <c r="D216" s="84"/>
      <c r="E216" s="86" t="s">
        <v>59</v>
      </c>
      <c r="F216" s="86"/>
      <c r="G216" s="86"/>
      <c r="H216" s="86"/>
      <c r="I216" s="86"/>
      <c r="J216" s="86"/>
      <c r="K216" s="86"/>
      <c r="L216" s="86"/>
      <c r="M216" s="86"/>
      <c r="N216" s="86"/>
      <c r="O216" s="10"/>
    </row>
    <row r="217" spans="1:16" ht="15.75" thickBot="1">
      <c r="A217" s="83"/>
      <c r="B217" s="85"/>
      <c r="C217" s="85"/>
      <c r="D217" s="85"/>
      <c r="E217" s="35">
        <f>B215-E215</f>
        <v>445.43999999999994</v>
      </c>
      <c r="F217" s="35">
        <f>E217-F215</f>
        <v>206.68415999999996</v>
      </c>
      <c r="G217" s="36">
        <f>F217-G215</f>
        <v>95.901450239999974</v>
      </c>
      <c r="H217" s="34"/>
      <c r="I217" s="34"/>
      <c r="J217" s="34"/>
      <c r="K217" s="34"/>
      <c r="L217" s="34"/>
      <c r="M217" s="34"/>
      <c r="N217" s="34"/>
      <c r="O217" s="10"/>
    </row>
    <row r="221" spans="1:16">
      <c r="F221" s="100" t="s">
        <v>73</v>
      </c>
      <c r="G221" s="70">
        <v>2014</v>
      </c>
      <c r="H221" s="70">
        <v>2015</v>
      </c>
      <c r="I221" s="70">
        <v>2016</v>
      </c>
      <c r="J221" s="70">
        <v>2017</v>
      </c>
      <c r="K221" s="70">
        <v>2018</v>
      </c>
      <c r="L221" s="70">
        <v>2019</v>
      </c>
      <c r="M221" s="70">
        <v>2020</v>
      </c>
      <c r="N221" s="70">
        <v>2021</v>
      </c>
      <c r="O221" s="70">
        <v>2022</v>
      </c>
      <c r="P221" s="70">
        <v>2023</v>
      </c>
    </row>
    <row r="222" spans="1:16">
      <c r="F222" s="100"/>
      <c r="G222" s="50">
        <f>E176+E182+E185+E191+E203+E206+E212+E215</f>
        <v>1221.4367999999999</v>
      </c>
      <c r="H222" s="50">
        <f>F176+F182+F185+F191+F203+F206+F212+F215</f>
        <v>566.74667520000003</v>
      </c>
      <c r="I222" s="50">
        <f>G176+G182+G185+G191+G205+G212+G215</f>
        <v>246.36321279999999</v>
      </c>
      <c r="J222" s="50">
        <f t="shared" ref="J222:P222" si="53">H179+H188+H194+H197+H200+H209</f>
        <v>119.82152859644798</v>
      </c>
      <c r="K222" s="50">
        <f t="shared" si="53"/>
        <v>95.138293705579713</v>
      </c>
      <c r="L222" s="50">
        <f t="shared" si="53"/>
        <v>75.539805202230298</v>
      </c>
      <c r="M222" s="50">
        <f t="shared" si="53"/>
        <v>59.978605330570851</v>
      </c>
      <c r="N222" s="50">
        <f t="shared" si="53"/>
        <v>47.623012632473248</v>
      </c>
      <c r="O222" s="50">
        <f t="shared" si="53"/>
        <v>37.812672030183762</v>
      </c>
      <c r="P222" s="50">
        <f t="shared" si="53"/>
        <v>30.023261591965905</v>
      </c>
    </row>
    <row r="227" ht="16.5" customHeight="1"/>
    <row r="228" ht="16.5" customHeight="1"/>
    <row r="229" ht="16.5" customHeight="1"/>
    <row r="231" ht="16.5" customHeight="1"/>
    <row r="232" ht="16.5" customHeight="1"/>
    <row r="233" ht="16.5" customHeight="1"/>
    <row r="234" ht="16.5" customHeight="1"/>
    <row r="235" ht="16.5" customHeight="1"/>
    <row r="238" ht="16.5" customHeight="1"/>
    <row r="241" ht="16.5" customHeight="1"/>
  </sheetData>
  <mergeCells count="84">
    <mergeCell ref="D188:D190"/>
    <mergeCell ref="D179:D181"/>
    <mergeCell ref="O173:O175"/>
    <mergeCell ref="B203:B205"/>
    <mergeCell ref="C203:C205"/>
    <mergeCell ref="D203:D205"/>
    <mergeCell ref="B191:B193"/>
    <mergeCell ref="C191:C193"/>
    <mergeCell ref="B194:B196"/>
    <mergeCell ref="C194:C196"/>
    <mergeCell ref="B182:B184"/>
    <mergeCell ref="C182:C184"/>
    <mergeCell ref="B185:B187"/>
    <mergeCell ref="C185:C187"/>
    <mergeCell ref="D185:D187"/>
    <mergeCell ref="J69:O69"/>
    <mergeCell ref="F221:F222"/>
    <mergeCell ref="D212:D214"/>
    <mergeCell ref="D215:D217"/>
    <mergeCell ref="E216:N216"/>
    <mergeCell ref="D197:D199"/>
    <mergeCell ref="E180:N180"/>
    <mergeCell ref="E183:N183"/>
    <mergeCell ref="E186:N186"/>
    <mergeCell ref="E189:N189"/>
    <mergeCell ref="E192:N192"/>
    <mergeCell ref="E195:N195"/>
    <mergeCell ref="E198:N198"/>
    <mergeCell ref="D191:D193"/>
    <mergeCell ref="D194:D196"/>
    <mergeCell ref="D182:D184"/>
    <mergeCell ref="B212:B214"/>
    <mergeCell ref="C212:C214"/>
    <mergeCell ref="E201:N201"/>
    <mergeCell ref="E204:N204"/>
    <mergeCell ref="E207:N207"/>
    <mergeCell ref="E210:N210"/>
    <mergeCell ref="E213:N213"/>
    <mergeCell ref="B206:B208"/>
    <mergeCell ref="C206:C208"/>
    <mergeCell ref="D206:D208"/>
    <mergeCell ref="B209:B211"/>
    <mergeCell ref="C209:C211"/>
    <mergeCell ref="D209:D211"/>
    <mergeCell ref="B200:B202"/>
    <mergeCell ref="C200:C202"/>
    <mergeCell ref="D200:D202"/>
    <mergeCell ref="A209:A211"/>
    <mergeCell ref="A212:A214"/>
    <mergeCell ref="A215:A217"/>
    <mergeCell ref="B179:B181"/>
    <mergeCell ref="C179:C181"/>
    <mergeCell ref="B188:B190"/>
    <mergeCell ref="C188:C190"/>
    <mergeCell ref="B197:B199"/>
    <mergeCell ref="C197:C199"/>
    <mergeCell ref="B215:B217"/>
    <mergeCell ref="C215:C217"/>
    <mergeCell ref="A194:A196"/>
    <mergeCell ref="A197:A199"/>
    <mergeCell ref="A200:A202"/>
    <mergeCell ref="A203:A205"/>
    <mergeCell ref="A206:A208"/>
    <mergeCell ref="A179:A181"/>
    <mergeCell ref="A182:A184"/>
    <mergeCell ref="A185:A187"/>
    <mergeCell ref="A188:A190"/>
    <mergeCell ref="A191:A193"/>
    <mergeCell ref="A176:A178"/>
    <mergeCell ref="B176:B178"/>
    <mergeCell ref="C176:C178"/>
    <mergeCell ref="D176:D178"/>
    <mergeCell ref="E177:N177"/>
    <mergeCell ref="A17:G17"/>
    <mergeCell ref="A32:G32"/>
    <mergeCell ref="D61:E61"/>
    <mergeCell ref="D62:D63"/>
    <mergeCell ref="A1:H1"/>
    <mergeCell ref="A171:N171"/>
    <mergeCell ref="A173:A175"/>
    <mergeCell ref="B173:B175"/>
    <mergeCell ref="C173:C175"/>
    <mergeCell ref="D173:D175"/>
    <mergeCell ref="E174:N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7"/>
  <sheetViews>
    <sheetView workbookViewId="0">
      <selection activeCell="J8" sqref="J8"/>
    </sheetView>
  </sheetViews>
  <sheetFormatPr defaultColWidth="11.42578125" defaultRowHeight="15"/>
  <cols>
    <col min="3" max="3" width="24" customWidth="1"/>
  </cols>
  <sheetData>
    <row r="5" spans="2:3" ht="18.75">
      <c r="B5" s="53" t="s">
        <v>57</v>
      </c>
      <c r="C5" s="53" t="s">
        <v>74</v>
      </c>
    </row>
    <row r="6" spans="2:3" ht="15.75">
      <c r="B6" s="2">
        <v>0</v>
      </c>
      <c r="C6" s="60">
        <v>-50000</v>
      </c>
    </row>
    <row r="7" spans="2:3" ht="15.75">
      <c r="B7" s="2">
        <v>1</v>
      </c>
      <c r="C7" s="61">
        <v>-99773.566159669368</v>
      </c>
    </row>
    <row r="8" spans="2:3" ht="15.75">
      <c r="B8" s="2">
        <v>2</v>
      </c>
      <c r="C8" s="61">
        <v>-78714.217905134763</v>
      </c>
    </row>
    <row r="9" spans="2:3" ht="15.75">
      <c r="B9" s="2">
        <v>3</v>
      </c>
      <c r="C9" s="61">
        <v>-121100.57825172364</v>
      </c>
    </row>
    <row r="10" spans="2:3" ht="15.75">
      <c r="B10" s="2">
        <v>4</v>
      </c>
      <c r="C10" s="61">
        <v>-164045.03787080824</v>
      </c>
    </row>
    <row r="11" spans="2:3" ht="15.75">
      <c r="B11" s="2">
        <v>5</v>
      </c>
      <c r="C11" s="61">
        <v>-207655.27652539793</v>
      </c>
    </row>
    <row r="12" spans="2:3" ht="15.75">
      <c r="B12" s="2">
        <v>6</v>
      </c>
      <c r="C12" s="61">
        <v>-252049.50441498493</v>
      </c>
    </row>
    <row r="13" spans="2:3" ht="15.75">
      <c r="B13" s="2">
        <v>7</v>
      </c>
      <c r="C13" s="61">
        <v>-297321.06522249093</v>
      </c>
    </row>
    <row r="14" spans="2:3" ht="15.75">
      <c r="B14" s="2">
        <v>8</v>
      </c>
      <c r="C14" s="61">
        <v>-343574.22205070732</v>
      </c>
    </row>
    <row r="15" spans="2:3" ht="15.75">
      <c r="B15" s="2">
        <v>9</v>
      </c>
      <c r="C15" s="61">
        <v>-370914.60838140803</v>
      </c>
    </row>
    <row r="16" spans="2:3" ht="15.75">
      <c r="B16" s="2">
        <v>10</v>
      </c>
      <c r="C16" s="61">
        <v>-407876.0141864373</v>
      </c>
    </row>
    <row r="17" spans="2:3" ht="21">
      <c r="B17" s="54" t="s">
        <v>75</v>
      </c>
      <c r="C17" s="62">
        <f>NPV(11.83%,C6,C7,C8,C9,C10,C11,C12,C13,C14,C15,C16)</f>
        <v>-1061035.321450114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zoomScale="80" zoomScaleNormal="80" workbookViewId="0">
      <selection activeCell="H20" sqref="H20"/>
    </sheetView>
  </sheetViews>
  <sheetFormatPr defaultColWidth="11.42578125" defaultRowHeight="15"/>
  <cols>
    <col min="3" max="3" width="11" customWidth="1"/>
    <col min="4" max="4" width="17.42578125" customWidth="1"/>
    <col min="5" max="5" width="14.42578125" customWidth="1"/>
    <col min="6" max="6" width="15.85546875" customWidth="1"/>
    <col min="7" max="7" width="16.5703125" customWidth="1"/>
    <col min="8" max="8" width="16" customWidth="1"/>
    <col min="9" max="9" width="15.85546875" customWidth="1"/>
    <col min="10" max="10" width="17.140625" customWidth="1"/>
    <col min="11" max="12" width="16" customWidth="1"/>
    <col min="13" max="13" width="17.28515625" customWidth="1"/>
  </cols>
  <sheetData>
    <row r="1" spans="1:14">
      <c r="A1" s="113" t="s">
        <v>76</v>
      </c>
      <c r="B1" s="113"/>
      <c r="C1" s="113"/>
      <c r="D1" s="70">
        <v>2014</v>
      </c>
      <c r="E1" s="70">
        <v>2015</v>
      </c>
      <c r="F1" s="70">
        <v>2016</v>
      </c>
      <c r="G1" s="70">
        <v>2017</v>
      </c>
      <c r="H1" s="70">
        <v>2018</v>
      </c>
      <c r="I1" s="70">
        <v>2019</v>
      </c>
      <c r="J1" s="70">
        <v>2020</v>
      </c>
      <c r="K1" s="70">
        <v>2021</v>
      </c>
      <c r="L1" s="70">
        <v>2022</v>
      </c>
      <c r="M1" s="70">
        <v>2023</v>
      </c>
    </row>
    <row r="2" spans="1:14">
      <c r="A2" s="109" t="s">
        <v>77</v>
      </c>
      <c r="B2" s="109"/>
      <c r="C2" s="109"/>
      <c r="D2" s="74">
        <v>25624.284000000003</v>
      </c>
      <c r="E2" s="74">
        <v>65106.66750000001</v>
      </c>
      <c r="F2" s="74">
        <v>104589.05100000533</v>
      </c>
      <c r="G2" s="74">
        <v>144071.4345000044</v>
      </c>
      <c r="H2" s="74">
        <v>183553.81800000509</v>
      </c>
      <c r="I2" s="74">
        <v>223036.20150000486</v>
      </c>
      <c r="J2" s="74">
        <v>262518.58500000578</v>
      </c>
      <c r="K2" s="74">
        <v>302000.9685000123</v>
      </c>
      <c r="L2" s="74">
        <v>341483.35200000461</v>
      </c>
      <c r="M2" s="74">
        <v>380965.73550001276</v>
      </c>
      <c r="N2" s="40"/>
    </row>
    <row r="3" spans="1:14">
      <c r="A3" s="113" t="s">
        <v>78</v>
      </c>
      <c r="B3" s="113"/>
      <c r="C3" s="113"/>
      <c r="D3" s="74"/>
      <c r="E3" s="74"/>
      <c r="F3" s="74"/>
      <c r="G3" s="74"/>
      <c r="H3" s="74"/>
      <c r="I3" s="74"/>
      <c r="J3" s="74"/>
      <c r="K3" s="74"/>
      <c r="L3" s="74"/>
      <c r="M3" s="74"/>
      <c r="N3" s="40"/>
    </row>
    <row r="4" spans="1:14">
      <c r="A4" s="109" t="s">
        <v>79</v>
      </c>
      <c r="B4" s="109"/>
      <c r="C4" s="109"/>
      <c r="D4" s="74">
        <v>82338.720000000001</v>
      </c>
      <c r="E4" s="74">
        <v>144092.76</v>
      </c>
      <c r="F4" s="74">
        <v>205846.8000000054</v>
      </c>
      <c r="G4" s="74">
        <v>267600.8400000073</v>
      </c>
      <c r="H4" s="74">
        <v>329354.8800000092</v>
      </c>
      <c r="I4" s="74">
        <v>391108.92000001762</v>
      </c>
      <c r="J4" s="74">
        <v>452862.96000002325</v>
      </c>
      <c r="K4" s="74">
        <v>514617.00000002515</v>
      </c>
      <c r="L4" s="74">
        <v>576371.0400000345</v>
      </c>
      <c r="M4" s="74">
        <v>638125.08000003546</v>
      </c>
      <c r="N4" s="40"/>
    </row>
    <row r="5" spans="1:14">
      <c r="A5" s="63" t="s">
        <v>80</v>
      </c>
      <c r="B5" s="63"/>
      <c r="C5" s="63"/>
      <c r="D5" s="74">
        <v>81739.929999999993</v>
      </c>
      <c r="E5" s="74">
        <v>97042.52</v>
      </c>
      <c r="F5" s="74">
        <v>132745.10999999987</v>
      </c>
      <c r="G5" s="74">
        <v>168447.69999999978</v>
      </c>
      <c r="H5" s="74">
        <v>204150.28999999992</v>
      </c>
      <c r="I5" s="74">
        <v>239852.87999999983</v>
      </c>
      <c r="J5" s="74">
        <v>275555.46999999997</v>
      </c>
      <c r="K5" s="74">
        <v>311258.05999999982</v>
      </c>
      <c r="L5" s="74">
        <v>346960.64999999997</v>
      </c>
      <c r="M5" s="74">
        <v>382663.23999999987</v>
      </c>
      <c r="N5" s="40"/>
    </row>
    <row r="6" spans="1:14">
      <c r="A6" s="63" t="s">
        <v>81</v>
      </c>
      <c r="B6" s="63"/>
      <c r="C6" s="63"/>
      <c r="D6" s="74">
        <v>5915</v>
      </c>
      <c r="E6" s="74">
        <v>5431.101765768306</v>
      </c>
      <c r="F6" s="74">
        <v>4889.9583704270035</v>
      </c>
      <c r="G6" s="74">
        <v>4284.7977114168234</v>
      </c>
      <c r="H6" s="74">
        <v>3608.0465464457393</v>
      </c>
      <c r="I6" s="74">
        <v>2851.2357186585764</v>
      </c>
      <c r="J6" s="74">
        <v>2004.8941699441914</v>
      </c>
      <c r="K6" s="74">
        <v>1058.4304160168954</v>
      </c>
      <c r="L6" s="74"/>
      <c r="M6" s="74"/>
      <c r="N6" s="40"/>
    </row>
    <row r="7" spans="1:14">
      <c r="A7" s="109" t="s">
        <v>82</v>
      </c>
      <c r="B7" s="109"/>
      <c r="C7" s="109"/>
      <c r="D7" s="74">
        <v>1221.4367999999999</v>
      </c>
      <c r="E7" s="74">
        <v>566.74667520000003</v>
      </c>
      <c r="F7" s="74">
        <v>246.36321279999999</v>
      </c>
      <c r="G7" s="74">
        <v>119.82152859644798</v>
      </c>
      <c r="H7" s="74">
        <v>95.138293705579713</v>
      </c>
      <c r="I7" s="74">
        <v>75.539805202230298</v>
      </c>
      <c r="J7" s="74">
        <v>59.978605330570851</v>
      </c>
      <c r="K7" s="74">
        <v>47.623012632473248</v>
      </c>
      <c r="L7" s="74">
        <v>37.812672030183762</v>
      </c>
      <c r="M7" s="74">
        <v>30.023261591965905</v>
      </c>
      <c r="N7" s="40"/>
    </row>
    <row r="8" spans="1:14">
      <c r="A8" s="109" t="s">
        <v>83</v>
      </c>
      <c r="B8" s="109"/>
      <c r="C8" s="109"/>
      <c r="D8" s="74">
        <f>SUM(D4:D7)</f>
        <v>171215.08679999999</v>
      </c>
      <c r="E8" s="74">
        <f t="shared" ref="E8:M8" si="0">SUM(E4:E7)</f>
        <v>247133.12844096834</v>
      </c>
      <c r="F8" s="74">
        <f t="shared" si="0"/>
        <v>343728.23158323229</v>
      </c>
      <c r="G8" s="74">
        <f t="shared" si="0"/>
        <v>440453.15924002038</v>
      </c>
      <c r="H8" s="74">
        <f t="shared" si="0"/>
        <v>537208.35484016035</v>
      </c>
      <c r="I8" s="74">
        <f t="shared" si="0"/>
        <v>633888.57552387833</v>
      </c>
      <c r="J8" s="74">
        <f t="shared" si="0"/>
        <v>730483.30277529801</v>
      </c>
      <c r="K8" s="74">
        <f t="shared" si="0"/>
        <v>826981.11342867429</v>
      </c>
      <c r="L8" s="74">
        <f t="shared" si="0"/>
        <v>923369.50267206458</v>
      </c>
      <c r="M8" s="74">
        <f t="shared" si="0"/>
        <v>1020818.3432616272</v>
      </c>
      <c r="N8" s="40"/>
    </row>
    <row r="9" spans="1:14">
      <c r="A9" s="63" t="s">
        <v>84</v>
      </c>
      <c r="B9" s="63"/>
      <c r="C9" s="63"/>
      <c r="D9" s="74">
        <f>D2-D8</f>
        <v>-145590.80279999998</v>
      </c>
      <c r="E9" s="74">
        <f t="shared" ref="E9:M9" si="1">E2-E8</f>
        <v>-182026.46094096833</v>
      </c>
      <c r="F9" s="74">
        <f t="shared" si="1"/>
        <v>-239139.18058322696</v>
      </c>
      <c r="G9" s="74">
        <f t="shared" si="1"/>
        <v>-296381.72474001598</v>
      </c>
      <c r="H9" s="74">
        <f t="shared" si="1"/>
        <v>-353654.53684015526</v>
      </c>
      <c r="I9" s="74">
        <f t="shared" si="1"/>
        <v>-410852.37402387348</v>
      </c>
      <c r="J9" s="74">
        <f t="shared" si="1"/>
        <v>-467964.71777529223</v>
      </c>
      <c r="K9" s="74">
        <f t="shared" si="1"/>
        <v>-524980.14492866199</v>
      </c>
      <c r="L9" s="74">
        <f t="shared" si="1"/>
        <v>-581886.15067205997</v>
      </c>
      <c r="M9" s="74">
        <f t="shared" si="1"/>
        <v>-639852.60776161449</v>
      </c>
      <c r="N9" s="40"/>
    </row>
    <row r="10" spans="1:14">
      <c r="A10" s="63" t="s">
        <v>85</v>
      </c>
      <c r="B10" s="63"/>
      <c r="C10" s="63"/>
      <c r="D10" s="74">
        <f>D9*15%</f>
        <v>-21838.620419999996</v>
      </c>
      <c r="E10" s="74">
        <f t="shared" ref="E10:M10" si="2">E9*15%</f>
        <v>-27303.969141145248</v>
      </c>
      <c r="F10" s="74">
        <f t="shared" si="2"/>
        <v>-35870.877087484041</v>
      </c>
      <c r="G10" s="74">
        <f t="shared" si="2"/>
        <v>-44457.258711002396</v>
      </c>
      <c r="H10" s="74">
        <f t="shared" si="2"/>
        <v>-53048.180526023287</v>
      </c>
      <c r="I10" s="74">
        <f t="shared" si="2"/>
        <v>-61627.85610358102</v>
      </c>
      <c r="J10" s="74">
        <f t="shared" si="2"/>
        <v>-70194.707666293834</v>
      </c>
      <c r="K10" s="74">
        <f t="shared" si="2"/>
        <v>-78747.021739299293</v>
      </c>
      <c r="L10" s="74">
        <f t="shared" si="2"/>
        <v>-87282.92260080899</v>
      </c>
      <c r="M10" s="74">
        <f t="shared" si="2"/>
        <v>-95977.891164242174</v>
      </c>
      <c r="N10" s="40"/>
    </row>
    <row r="11" spans="1:14">
      <c r="A11" s="63" t="s">
        <v>86</v>
      </c>
      <c r="B11" s="63"/>
      <c r="C11" s="63"/>
      <c r="D11" s="74">
        <f>D9-D10</f>
        <v>-123752.18237999998</v>
      </c>
      <c r="E11" s="74">
        <f t="shared" ref="E11:M11" si="3">E9-E10</f>
        <v>-154722.4917998231</v>
      </c>
      <c r="F11" s="74">
        <f t="shared" si="3"/>
        <v>-203268.3034957429</v>
      </c>
      <c r="G11" s="74">
        <f t="shared" si="3"/>
        <v>-251924.46602901359</v>
      </c>
      <c r="H11" s="74">
        <f t="shared" si="3"/>
        <v>-300606.35631413199</v>
      </c>
      <c r="I11" s="74">
        <f t="shared" si="3"/>
        <v>-349224.51792029245</v>
      </c>
      <c r="J11" s="74">
        <f t="shared" si="3"/>
        <v>-397770.01010899839</v>
      </c>
      <c r="K11" s="74">
        <f t="shared" si="3"/>
        <v>-446233.1231893627</v>
      </c>
      <c r="L11" s="74">
        <f t="shared" si="3"/>
        <v>-494603.22807125095</v>
      </c>
      <c r="M11" s="74">
        <f t="shared" si="3"/>
        <v>-543874.71659737232</v>
      </c>
      <c r="N11" s="40"/>
    </row>
    <row r="12" spans="1:14">
      <c r="A12" s="109" t="s">
        <v>87</v>
      </c>
      <c r="B12" s="109"/>
      <c r="C12" s="109"/>
      <c r="D12" s="74">
        <f>D11*25%</f>
        <v>-30938.045594999996</v>
      </c>
      <c r="E12" s="74">
        <f>E11*25%</f>
        <v>-38680.622949955774</v>
      </c>
      <c r="F12" s="74">
        <f t="shared" ref="F12:M12" si="4">F11*25%</f>
        <v>-50817.075873935726</v>
      </c>
      <c r="G12" s="74">
        <f t="shared" si="4"/>
        <v>-62981.116507253399</v>
      </c>
      <c r="H12" s="74">
        <f t="shared" si="4"/>
        <v>-75151.589078532998</v>
      </c>
      <c r="I12" s="74">
        <f t="shared" si="4"/>
        <v>-87306.129480073112</v>
      </c>
      <c r="J12" s="74">
        <f t="shared" si="4"/>
        <v>-99442.502527249599</v>
      </c>
      <c r="K12" s="74">
        <f t="shared" si="4"/>
        <v>-111558.28079734067</v>
      </c>
      <c r="L12" s="74">
        <f t="shared" si="4"/>
        <v>-123650.80701781274</v>
      </c>
      <c r="M12" s="74">
        <f t="shared" si="4"/>
        <v>-135968.67914934308</v>
      </c>
      <c r="N12" s="40"/>
    </row>
    <row r="13" spans="1:14">
      <c r="A13" s="63" t="s">
        <v>88</v>
      </c>
      <c r="B13" s="63"/>
      <c r="C13" s="63"/>
      <c r="D13" s="74">
        <f>D11-D12</f>
        <v>-92814.136784999981</v>
      </c>
      <c r="E13" s="74">
        <f t="shared" ref="E13:M13" si="5">E11-E12</f>
        <v>-116041.86884986731</v>
      </c>
      <c r="F13" s="74">
        <f t="shared" si="5"/>
        <v>-152451.22762180719</v>
      </c>
      <c r="G13" s="74">
        <f t="shared" si="5"/>
        <v>-188943.34952176019</v>
      </c>
      <c r="H13" s="74">
        <f t="shared" si="5"/>
        <v>-225454.76723559899</v>
      </c>
      <c r="I13" s="74">
        <f t="shared" si="5"/>
        <v>-261918.38844021934</v>
      </c>
      <c r="J13" s="74">
        <f t="shared" si="5"/>
        <v>-298327.50758174877</v>
      </c>
      <c r="K13" s="74">
        <f t="shared" si="5"/>
        <v>-334674.84239202202</v>
      </c>
      <c r="L13" s="74">
        <f t="shared" si="5"/>
        <v>-370952.42105343821</v>
      </c>
      <c r="M13" s="74">
        <f t="shared" si="5"/>
        <v>-407906.03744802927</v>
      </c>
      <c r="N13" s="40"/>
    </row>
    <row r="14" spans="1:14">
      <c r="A14" s="110"/>
      <c r="B14" s="111"/>
      <c r="C14" s="112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40"/>
    </row>
    <row r="15" spans="1:14">
      <c r="A15" s="109" t="s">
        <v>89</v>
      </c>
      <c r="B15" s="109"/>
      <c r="C15" s="109"/>
      <c r="D15" s="74">
        <f>D13-D14</f>
        <v>-92814.136784999981</v>
      </c>
      <c r="E15" s="74">
        <f t="shared" ref="E15" si="6">E13-E14</f>
        <v>-116041.86884986731</v>
      </c>
      <c r="F15" s="74">
        <f t="shared" ref="F15" si="7">F13-F14</f>
        <v>-152451.22762180719</v>
      </c>
      <c r="G15" s="74">
        <f t="shared" ref="G15" si="8">G13-G14</f>
        <v>-188943.34952176019</v>
      </c>
      <c r="H15" s="74">
        <f t="shared" ref="H15" si="9">H13-H14</f>
        <v>-225454.76723559899</v>
      </c>
      <c r="I15" s="74">
        <f t="shared" ref="I15" si="10">I13-I14</f>
        <v>-261918.38844021934</v>
      </c>
      <c r="J15" s="74">
        <f t="shared" ref="J15" si="11">J13-J14</f>
        <v>-298327.50758174877</v>
      </c>
      <c r="K15" s="74">
        <f t="shared" ref="K15" si="12">K13-K14</f>
        <v>-334674.84239202202</v>
      </c>
      <c r="L15" s="74">
        <f t="shared" ref="L15" si="13">L13-L14</f>
        <v>-370952.42105343821</v>
      </c>
      <c r="M15" s="74">
        <f t="shared" ref="M15" si="14">M13-M14</f>
        <v>-407906.03744802927</v>
      </c>
      <c r="N15" s="40"/>
    </row>
    <row r="16" spans="1:14">
      <c r="A16" s="109" t="s">
        <v>90</v>
      </c>
      <c r="B16" s="109"/>
      <c r="C16" s="109"/>
      <c r="D16" s="74">
        <v>1221.4367999999999</v>
      </c>
      <c r="E16" s="74">
        <v>566.74667520000003</v>
      </c>
      <c r="F16" s="74">
        <v>246.36321279999999</v>
      </c>
      <c r="G16" s="74">
        <v>119.82152859644798</v>
      </c>
      <c r="H16" s="74">
        <v>95.138293705579713</v>
      </c>
      <c r="I16" s="74">
        <v>75.539805202230298</v>
      </c>
      <c r="J16" s="74">
        <v>59.978605330570851</v>
      </c>
      <c r="K16" s="74">
        <v>47.623012632473248</v>
      </c>
      <c r="L16" s="74">
        <v>37.812672030183762</v>
      </c>
      <c r="M16" s="74">
        <v>30.023261591965905</v>
      </c>
      <c r="N16" s="40"/>
    </row>
    <row r="17" spans="1:14">
      <c r="A17" s="109" t="s">
        <v>91</v>
      </c>
      <c r="B17" s="109"/>
      <c r="C17" s="109"/>
      <c r="D17" s="74">
        <v>50000</v>
      </c>
      <c r="E17" s="74"/>
      <c r="F17" s="74"/>
      <c r="G17" s="74"/>
      <c r="H17" s="74"/>
      <c r="I17" s="74"/>
      <c r="J17" s="74"/>
      <c r="K17" s="74"/>
      <c r="L17" s="74"/>
      <c r="M17" s="74"/>
      <c r="N17" s="40"/>
    </row>
    <row r="18" spans="1:14">
      <c r="A18" s="109" t="s">
        <v>92</v>
      </c>
      <c r="B18" s="109"/>
      <c r="C18" s="109"/>
      <c r="D18" s="74">
        <v>45909.566912665308</v>
      </c>
      <c r="E18" s="74">
        <v>41335.235591098921</v>
      </c>
      <c r="F18" s="74">
        <v>36219.760874191234</v>
      </c>
      <c r="G18" s="74">
        <v>30499.125498273363</v>
      </c>
      <c r="H18" s="74">
        <v>24101.738957384412</v>
      </c>
      <c r="I18" s="74">
        <v>16947.541588708296</v>
      </c>
      <c r="J18" s="74">
        <v>8947.002671317794</v>
      </c>
      <c r="K18" s="74">
        <v>0</v>
      </c>
      <c r="L18" s="74"/>
      <c r="M18" s="74"/>
      <c r="N18" s="40"/>
    </row>
    <row r="19" spans="1:14">
      <c r="A19" s="109" t="s">
        <v>93</v>
      </c>
      <c r="B19" s="109"/>
      <c r="C19" s="109"/>
      <c r="D19" s="74">
        <v>4090.4330873346926</v>
      </c>
      <c r="E19" s="74">
        <v>4574.3313215663866</v>
      </c>
      <c r="F19" s="74">
        <v>5115.47471690769</v>
      </c>
      <c r="G19" s="74">
        <v>5720.6353759178701</v>
      </c>
      <c r="H19" s="74">
        <v>6397.3865408889524</v>
      </c>
      <c r="I19" s="74">
        <v>7154.1973686761166</v>
      </c>
      <c r="J19" s="74">
        <v>8000.5389173905014</v>
      </c>
      <c r="K19" s="74">
        <v>8947.0026713177976</v>
      </c>
      <c r="L19" s="74"/>
      <c r="M19" s="74"/>
      <c r="N19" s="40"/>
    </row>
    <row r="20" spans="1:14">
      <c r="A20" s="109" t="s">
        <v>94</v>
      </c>
      <c r="B20" s="109"/>
      <c r="C20" s="109"/>
      <c r="D20" s="75">
        <f>D15+D16-D17+D18-D19</f>
        <v>-99773.566159669368</v>
      </c>
      <c r="E20" s="75">
        <f t="shared" ref="E20:M20" si="15">E15+E16-E17+E18-E19</f>
        <v>-78714.217905134763</v>
      </c>
      <c r="F20" s="75">
        <f t="shared" si="15"/>
        <v>-121100.57825172364</v>
      </c>
      <c r="G20" s="75">
        <f t="shared" si="15"/>
        <v>-164045.03787080824</v>
      </c>
      <c r="H20" s="75">
        <f t="shared" si="15"/>
        <v>-207655.27652539793</v>
      </c>
      <c r="I20" s="75">
        <f t="shared" si="15"/>
        <v>-252049.50441498493</v>
      </c>
      <c r="J20" s="75">
        <f t="shared" si="15"/>
        <v>-297321.06522249093</v>
      </c>
      <c r="K20" s="75">
        <f t="shared" si="15"/>
        <v>-343574.22205070732</v>
      </c>
      <c r="L20" s="75">
        <f t="shared" si="15"/>
        <v>-370914.60838140803</v>
      </c>
      <c r="M20" s="75">
        <f t="shared" si="15"/>
        <v>-407876.0141864373</v>
      </c>
      <c r="N20" s="40"/>
    </row>
    <row r="21" spans="1:14"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</row>
  </sheetData>
  <mergeCells count="14">
    <mergeCell ref="A20:C20"/>
    <mergeCell ref="A12:C12"/>
    <mergeCell ref="A15:C15"/>
    <mergeCell ref="A16:C16"/>
    <mergeCell ref="A17:C17"/>
    <mergeCell ref="A18:C18"/>
    <mergeCell ref="A19:C19"/>
    <mergeCell ref="A8:C8"/>
    <mergeCell ref="A14:C14"/>
    <mergeCell ref="A1:C1"/>
    <mergeCell ref="A3:C3"/>
    <mergeCell ref="A2:C2"/>
    <mergeCell ref="A4:C4"/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5"/>
  <sheetViews>
    <sheetView workbookViewId="0">
      <selection activeCell="B3" sqref="B3:C15"/>
    </sheetView>
  </sheetViews>
  <sheetFormatPr defaultColWidth="11.42578125" defaultRowHeight="15"/>
  <cols>
    <col min="2" max="2" width="13.28515625" customWidth="1"/>
    <col min="3" max="3" width="24.85546875" customWidth="1"/>
  </cols>
  <sheetData>
    <row r="3" spans="2:3" ht="18.75">
      <c r="B3" s="53" t="s">
        <v>57</v>
      </c>
      <c r="C3" s="53" t="s">
        <v>74</v>
      </c>
    </row>
    <row r="4" spans="2:3" ht="15.75">
      <c r="B4" s="2">
        <v>0</v>
      </c>
      <c r="C4" s="42">
        <v>-50000</v>
      </c>
    </row>
    <row r="5" spans="2:3" ht="15.75">
      <c r="B5" s="2">
        <v>1</v>
      </c>
      <c r="C5" s="56">
        <v>-131458.21</v>
      </c>
    </row>
    <row r="6" spans="2:3" ht="15.75">
      <c r="B6" s="2">
        <v>2</v>
      </c>
      <c r="C6" s="49">
        <v>-141320.59390513477</v>
      </c>
    </row>
    <row r="7" spans="2:3" ht="15.75">
      <c r="B7" s="2">
        <v>3</v>
      </c>
      <c r="C7" s="49">
        <v>-210538.25825172741</v>
      </c>
    </row>
    <row r="8" spans="2:3" ht="15.75">
      <c r="B8" s="2">
        <v>4</v>
      </c>
      <c r="C8" s="49">
        <v>-280314.02187080699</v>
      </c>
    </row>
    <row r="9" spans="2:3" ht="15.75">
      <c r="B9" s="2">
        <v>5</v>
      </c>
      <c r="C9" s="49">
        <v>-350755.56452539255</v>
      </c>
    </row>
    <row r="10" spans="2:3" ht="15.75">
      <c r="B10" s="2">
        <v>6</v>
      </c>
      <c r="C10" s="49">
        <v>-421981.09641499404</v>
      </c>
    </row>
    <row r="11" spans="2:3" ht="15.75">
      <c r="B11" s="2">
        <v>7</v>
      </c>
      <c r="C11" s="49">
        <v>-494083.96122249553</v>
      </c>
    </row>
    <row r="12" spans="2:3" ht="15.75">
      <c r="B12" s="2">
        <v>8</v>
      </c>
      <c r="C12" s="49">
        <v>-567168.4220507167</v>
      </c>
    </row>
    <row r="13" spans="2:3" ht="15.75">
      <c r="B13" s="2">
        <v>9</v>
      </c>
      <c r="C13" s="49">
        <v>-621340.112381413</v>
      </c>
    </row>
    <row r="14" spans="2:3" ht="15.75">
      <c r="B14" s="2">
        <v>10</v>
      </c>
      <c r="C14" s="49">
        <v>-685132.82218644721</v>
      </c>
    </row>
    <row r="15" spans="2:3" ht="21">
      <c r="B15" s="54" t="s">
        <v>95</v>
      </c>
      <c r="C15" s="55" t="e">
        <f>IRR(C4:C14)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</dc:creator>
  <cp:keywords/>
  <dc:description/>
  <cp:lastModifiedBy>Usuario</cp:lastModifiedBy>
  <cp:revision/>
  <dcterms:created xsi:type="dcterms:W3CDTF">2015-07-04T23:08:31Z</dcterms:created>
  <dcterms:modified xsi:type="dcterms:W3CDTF">2015-07-15T03:05:05Z</dcterms:modified>
</cp:coreProperties>
</file>