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55" firstSheet="2"/>
  </bookViews>
  <sheets>
    <sheet name="proyecto" sheetId="1" r:id="rId1"/>
    <sheet name="van" sheetId="4" r:id="rId2"/>
    <sheet name="flujo de caja" sheetId="2" r:id="rId3"/>
    <sheet name="tir" sheetId="3" r:id="rId4"/>
  </sheets>
  <externalReferences>
    <externalReference r:id="rId5"/>
  </externalReference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8" i="1" l="1"/>
  <c r="O79" i="1"/>
  <c r="O80" i="1"/>
  <c r="O81" i="1"/>
  <c r="O82" i="1"/>
  <c r="O83" i="1"/>
  <c r="O84" i="1"/>
  <c r="O77" i="1"/>
  <c r="M78" i="1"/>
  <c r="M79" i="1"/>
  <c r="M80" i="1"/>
  <c r="M81" i="1"/>
  <c r="M82" i="1"/>
  <c r="M83" i="1"/>
  <c r="M84" i="1"/>
  <c r="N78" i="1"/>
  <c r="N79" i="1"/>
  <c r="N80" i="1"/>
  <c r="N81" i="1"/>
  <c r="N82" i="1"/>
  <c r="N83" i="1"/>
  <c r="N84" i="1"/>
  <c r="L78" i="1"/>
  <c r="L79" i="1"/>
  <c r="L80" i="1"/>
  <c r="L81" i="1"/>
  <c r="L82" i="1"/>
  <c r="L83" i="1"/>
  <c r="L84" i="1"/>
  <c r="L77" i="1"/>
  <c r="M77" i="1"/>
  <c r="N77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76" i="1"/>
  <c r="E164" i="1"/>
  <c r="E165" i="1"/>
  <c r="E166" i="1"/>
  <c r="E167" i="1"/>
  <c r="E168" i="1"/>
  <c r="E169" i="1"/>
  <c r="E170" i="1"/>
  <c r="E171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76" i="1"/>
  <c r="H75" i="1"/>
  <c r="E71" i="1"/>
  <c r="E68" i="1"/>
  <c r="E72" i="1"/>
  <c r="L54" i="1"/>
  <c r="L55" i="1"/>
  <c r="L56" i="1"/>
  <c r="L57" i="1"/>
  <c r="L58" i="1"/>
  <c r="L59" i="1"/>
  <c r="L60" i="1"/>
  <c r="L61" i="1"/>
  <c r="L52" i="1"/>
  <c r="L53" i="1"/>
  <c r="K54" i="1"/>
  <c r="K55" i="1"/>
  <c r="K56" i="1"/>
  <c r="K57" i="1"/>
  <c r="K58" i="1"/>
  <c r="K59" i="1"/>
  <c r="K60" i="1"/>
  <c r="K61" i="1"/>
  <c r="K53" i="1"/>
  <c r="J55" i="1"/>
  <c r="J56" i="1"/>
  <c r="J57" i="1"/>
  <c r="J58" i="1"/>
  <c r="J59" i="1"/>
  <c r="J60" i="1"/>
  <c r="J61" i="1"/>
  <c r="I55" i="1"/>
  <c r="I56" i="1"/>
  <c r="I57" i="1"/>
  <c r="I58" i="1"/>
  <c r="I59" i="1"/>
  <c r="I60" i="1"/>
  <c r="I61" i="1"/>
  <c r="H55" i="1"/>
  <c r="H56" i="1"/>
  <c r="H57" i="1"/>
  <c r="H58" i="1"/>
  <c r="H59" i="1"/>
  <c r="H60" i="1"/>
  <c r="H61" i="1"/>
  <c r="G55" i="1"/>
  <c r="G56" i="1"/>
  <c r="G57" i="1"/>
  <c r="G58" i="1"/>
  <c r="G59" i="1"/>
  <c r="G60" i="1"/>
  <c r="G61" i="1"/>
  <c r="F55" i="1"/>
  <c r="F56" i="1"/>
  <c r="F57" i="1"/>
  <c r="F58" i="1"/>
  <c r="F59" i="1"/>
  <c r="F60" i="1"/>
  <c r="F61" i="1"/>
  <c r="E55" i="1"/>
  <c r="E56" i="1"/>
  <c r="E57" i="1"/>
  <c r="E58" i="1"/>
  <c r="E59" i="1"/>
  <c r="E60" i="1"/>
  <c r="E61" i="1"/>
  <c r="J54" i="1"/>
  <c r="I54" i="1"/>
  <c r="H54" i="1"/>
  <c r="G54" i="1"/>
  <c r="F54" i="1"/>
  <c r="E54" i="1"/>
  <c r="D55" i="1"/>
  <c r="D56" i="1"/>
  <c r="D57" i="1"/>
  <c r="D58" i="1"/>
  <c r="D59" i="1"/>
  <c r="D60" i="1"/>
  <c r="D61" i="1"/>
  <c r="D54" i="1"/>
  <c r="C55" i="1"/>
  <c r="C56" i="1"/>
  <c r="C57" i="1"/>
  <c r="C58" i="1"/>
  <c r="C59" i="1"/>
  <c r="C60" i="1"/>
  <c r="C61" i="1"/>
  <c r="C54" i="1"/>
  <c r="B55" i="1"/>
  <c r="B56" i="1"/>
  <c r="B57" i="1"/>
  <c r="B58" i="1"/>
  <c r="B59" i="1"/>
  <c r="B60" i="1"/>
  <c r="B61" i="1"/>
  <c r="B54" i="1"/>
  <c r="C53" i="1"/>
  <c r="D53" i="1"/>
  <c r="E53" i="1"/>
  <c r="F53" i="1"/>
  <c r="G53" i="1"/>
  <c r="H53" i="1"/>
  <c r="I53" i="1"/>
  <c r="J53" i="1"/>
  <c r="B53" i="1"/>
  <c r="B47" i="1"/>
  <c r="B46" i="1"/>
  <c r="B45" i="1"/>
  <c r="B44" i="1"/>
  <c r="B43" i="1"/>
  <c r="B42" i="1"/>
  <c r="B41" i="1"/>
  <c r="B40" i="1"/>
  <c r="H39" i="1"/>
  <c r="H40" i="1"/>
  <c r="H41" i="1"/>
  <c r="H42" i="1"/>
  <c r="H43" i="1"/>
  <c r="H44" i="1"/>
  <c r="H45" i="1"/>
  <c r="H46" i="1"/>
  <c r="H47" i="1"/>
  <c r="H38" i="1"/>
  <c r="C17" i="4"/>
  <c r="C15" i="3"/>
  <c r="D8" i="2"/>
  <c r="D9" i="2"/>
  <c r="D10" i="2"/>
  <c r="D11" i="2"/>
  <c r="O76" i="1"/>
  <c r="E8" i="2"/>
  <c r="E9" i="2"/>
  <c r="F8" i="2"/>
  <c r="F9" i="2"/>
  <c r="G8" i="2"/>
  <c r="G9" i="2"/>
  <c r="H8" i="2"/>
  <c r="H9" i="2"/>
  <c r="I8" i="2"/>
  <c r="I9" i="2"/>
  <c r="J8" i="2"/>
  <c r="J9" i="2"/>
  <c r="K8" i="2"/>
  <c r="K9" i="2"/>
  <c r="L8" i="2"/>
  <c r="L9" i="2"/>
  <c r="M8" i="2"/>
  <c r="M9" i="2"/>
  <c r="N183" i="1"/>
  <c r="N192" i="1"/>
  <c r="N198" i="1"/>
  <c r="N201" i="1"/>
  <c r="N204" i="1"/>
  <c r="N213" i="1"/>
  <c r="P226" i="1"/>
  <c r="M183" i="1"/>
  <c r="M192" i="1"/>
  <c r="M198" i="1"/>
  <c r="M201" i="1"/>
  <c r="M204" i="1"/>
  <c r="M213" i="1"/>
  <c r="O226" i="1"/>
  <c r="L183" i="1"/>
  <c r="L192" i="1"/>
  <c r="L198" i="1"/>
  <c r="L201" i="1"/>
  <c r="L204" i="1"/>
  <c r="L213" i="1"/>
  <c r="N226" i="1"/>
  <c r="K183" i="1"/>
  <c r="K192" i="1"/>
  <c r="K198" i="1"/>
  <c r="K201" i="1"/>
  <c r="K204" i="1"/>
  <c r="K213" i="1"/>
  <c r="M226" i="1"/>
  <c r="J183" i="1"/>
  <c r="J192" i="1"/>
  <c r="J198" i="1"/>
  <c r="J201" i="1"/>
  <c r="J204" i="1"/>
  <c r="J213" i="1"/>
  <c r="L226" i="1"/>
  <c r="I183" i="1"/>
  <c r="I192" i="1"/>
  <c r="I198" i="1"/>
  <c r="I201" i="1"/>
  <c r="I204" i="1"/>
  <c r="I213" i="1"/>
  <c r="K226" i="1"/>
  <c r="H183" i="1"/>
  <c r="H192" i="1"/>
  <c r="H198" i="1"/>
  <c r="H201" i="1"/>
  <c r="H204" i="1"/>
  <c r="H213" i="1"/>
  <c r="J226" i="1"/>
  <c r="E201" i="1"/>
  <c r="E203" i="1"/>
  <c r="F201" i="1"/>
  <c r="F203" i="1"/>
  <c r="G201" i="1"/>
  <c r="G203" i="1"/>
  <c r="H203" i="1"/>
  <c r="I203" i="1"/>
  <c r="J203" i="1"/>
  <c r="K203" i="1"/>
  <c r="L203" i="1"/>
  <c r="M203" i="1"/>
  <c r="N203" i="1"/>
  <c r="G180" i="1"/>
  <c r="G186" i="1"/>
  <c r="G189" i="1"/>
  <c r="G195" i="1"/>
  <c r="E207" i="1"/>
  <c r="E209" i="1"/>
  <c r="F207" i="1"/>
  <c r="F209" i="1"/>
  <c r="G207" i="1"/>
  <c r="G209" i="1"/>
  <c r="G216" i="1"/>
  <c r="G219" i="1"/>
  <c r="I226" i="1"/>
  <c r="F180" i="1"/>
  <c r="F186" i="1"/>
  <c r="F189" i="1"/>
  <c r="F195" i="1"/>
  <c r="F210" i="1"/>
  <c r="F216" i="1"/>
  <c r="F219" i="1"/>
  <c r="H226" i="1"/>
  <c r="E180" i="1"/>
  <c r="E186" i="1"/>
  <c r="E189" i="1"/>
  <c r="E195" i="1"/>
  <c r="E210" i="1"/>
  <c r="E216" i="1"/>
  <c r="E219" i="1"/>
  <c r="G226" i="1"/>
  <c r="L10" i="2"/>
  <c r="L11" i="2"/>
  <c r="J10" i="2"/>
  <c r="J11" i="2"/>
  <c r="H10" i="2"/>
  <c r="H11" i="2"/>
  <c r="F10" i="2"/>
  <c r="F11" i="2"/>
  <c r="M10" i="2"/>
  <c r="M11" i="2"/>
  <c r="K10" i="2"/>
  <c r="K11" i="2"/>
  <c r="I10" i="2"/>
  <c r="I11" i="2"/>
  <c r="G10" i="2"/>
  <c r="G11" i="2"/>
  <c r="E10" i="2"/>
  <c r="E11" i="2"/>
  <c r="E12" i="2"/>
  <c r="G12" i="2"/>
  <c r="G13" i="2"/>
  <c r="G15" i="2"/>
  <c r="G20" i="2"/>
  <c r="K12" i="2"/>
  <c r="K13" i="2"/>
  <c r="K15" i="2"/>
  <c r="K20" i="2"/>
  <c r="D12" i="2"/>
  <c r="D13" i="2"/>
  <c r="D15" i="2"/>
  <c r="D20" i="2"/>
  <c r="E13" i="2"/>
  <c r="E15" i="2"/>
  <c r="E20" i="2"/>
  <c r="I12" i="2"/>
  <c r="I13" i="2"/>
  <c r="I15" i="2"/>
  <c r="I20" i="2"/>
  <c r="M12" i="2"/>
  <c r="M13" i="2"/>
  <c r="M15" i="2"/>
  <c r="M20" i="2"/>
  <c r="F12" i="2"/>
  <c r="F13" i="2"/>
  <c r="F15" i="2"/>
  <c r="F20" i="2"/>
  <c r="H12" i="2"/>
  <c r="H13" i="2"/>
  <c r="H15" i="2"/>
  <c r="H20" i="2"/>
  <c r="J12" i="2"/>
  <c r="J13" i="2"/>
  <c r="J15" i="2"/>
  <c r="J20" i="2"/>
  <c r="L12" i="2"/>
  <c r="L13" i="2"/>
  <c r="L15" i="2"/>
  <c r="L20" i="2"/>
  <c r="C46" i="1"/>
  <c r="D46" i="1"/>
  <c r="E40" i="1"/>
  <c r="E41" i="1"/>
  <c r="E42" i="1"/>
  <c r="E43" i="1"/>
  <c r="E44" i="1"/>
  <c r="E45" i="1"/>
  <c r="E46" i="1"/>
  <c r="C47" i="1"/>
  <c r="D47" i="1"/>
  <c r="E47" i="1"/>
  <c r="C40" i="1"/>
  <c r="D40" i="1"/>
  <c r="C41" i="1"/>
  <c r="D41" i="1"/>
  <c r="C42" i="1"/>
  <c r="D42" i="1"/>
  <c r="C43" i="1"/>
  <c r="D43" i="1"/>
  <c r="C44" i="1"/>
  <c r="D44" i="1"/>
  <c r="C45" i="1"/>
  <c r="D45" i="1"/>
  <c r="K52" i="1"/>
  <c r="E182" i="1"/>
  <c r="E192" i="1"/>
  <c r="E194" i="1"/>
  <c r="F192" i="1"/>
  <c r="G192" i="1"/>
  <c r="F182" i="1"/>
  <c r="G182" i="1"/>
  <c r="F194" i="1"/>
  <c r="G194" i="1"/>
  <c r="H194" i="1"/>
  <c r="I194" i="1"/>
  <c r="J194" i="1"/>
  <c r="K194" i="1"/>
  <c r="L194" i="1"/>
  <c r="M194" i="1"/>
  <c r="N194" i="1"/>
  <c r="E221" i="1"/>
  <c r="F221" i="1"/>
  <c r="E218" i="1"/>
  <c r="F218" i="1"/>
  <c r="F213" i="1"/>
  <c r="G213" i="1"/>
  <c r="E213" i="1"/>
  <c r="E215" i="1"/>
  <c r="F215" i="1"/>
  <c r="G210" i="1"/>
  <c r="E212" i="1"/>
  <c r="F212" i="1"/>
  <c r="F204" i="1"/>
  <c r="G204" i="1"/>
  <c r="E204" i="1"/>
  <c r="E206" i="1"/>
  <c r="F198" i="1"/>
  <c r="G198" i="1"/>
  <c r="E198" i="1"/>
  <c r="E200" i="1"/>
  <c r="E197" i="1"/>
  <c r="F197" i="1"/>
  <c r="E191" i="1"/>
  <c r="F191" i="1"/>
  <c r="E188" i="1"/>
  <c r="F188" i="1"/>
  <c r="G183" i="1"/>
  <c r="F183" i="1"/>
  <c r="E183" i="1"/>
  <c r="E185" i="1"/>
  <c r="E69" i="1"/>
  <c r="G191" i="1"/>
  <c r="F200" i="1"/>
  <c r="G200" i="1"/>
  <c r="H200" i="1"/>
  <c r="I200" i="1"/>
  <c r="J200" i="1"/>
  <c r="K200" i="1"/>
  <c r="L200" i="1"/>
  <c r="M200" i="1"/>
  <c r="N200" i="1"/>
  <c r="F206" i="1"/>
  <c r="G206" i="1"/>
  <c r="H206" i="1"/>
  <c r="I206" i="1"/>
  <c r="J206" i="1"/>
  <c r="K206" i="1"/>
  <c r="L206" i="1"/>
  <c r="M206" i="1"/>
  <c r="N206" i="1"/>
  <c r="G215" i="1"/>
  <c r="H215" i="1"/>
  <c r="I215" i="1"/>
  <c r="J215" i="1"/>
  <c r="K215" i="1"/>
  <c r="L215" i="1"/>
  <c r="M215" i="1"/>
  <c r="N215" i="1"/>
  <c r="G218" i="1"/>
  <c r="F185" i="1"/>
  <c r="G185" i="1"/>
  <c r="H185" i="1"/>
  <c r="I185" i="1"/>
  <c r="J185" i="1"/>
  <c r="K185" i="1"/>
  <c r="L185" i="1"/>
  <c r="M185" i="1"/>
  <c r="N185" i="1"/>
  <c r="G188" i="1"/>
  <c r="G197" i="1"/>
  <c r="G212" i="1"/>
  <c r="G221" i="1"/>
</calcChain>
</file>

<file path=xl/sharedStrings.xml><?xml version="1.0" encoding="utf-8"?>
<sst xmlns="http://schemas.openxmlformats.org/spreadsheetml/2006/main" count="128" uniqueCount="99">
  <si>
    <t>TABLA D INGRESOS TOTALES</t>
  </si>
  <si>
    <t>AÑOS</t>
  </si>
  <si>
    <t>Plan personal</t>
  </si>
  <si>
    <t> Plan Empresarial -
Economico </t>
  </si>
  <si>
    <t>Plan Empresarial -Estandar</t>
  </si>
  <si>
    <t> Plan Empresarial
 - Ropa y Tecnología  </t>
  </si>
  <si>
    <t>Plan Empresarial - Premium</t>
  </si>
  <si>
    <t xml:space="preserve">Plan a la Medida </t>
  </si>
  <si>
    <t xml:space="preserve"> $                         -   </t>
  </si>
  <si>
    <t xml:space="preserve"> $                   -   </t>
  </si>
  <si>
    <t>Costos totales</t>
  </si>
  <si>
    <t>Plan Empresarial -Economico</t>
  </si>
  <si>
    <t xml:space="preserve">Plan Empresarial - Ropa y Tecnología </t>
  </si>
  <si>
    <t>TABLA DE GASTOS TOTALES</t>
  </si>
  <si>
    <t>LUZ ELECTRICA</t>
  </si>
  <si>
    <t>AGUA</t>
  </si>
  <si>
    <t>TELEFONO</t>
  </si>
  <si>
    <t>INTERNET</t>
  </si>
  <si>
    <t>ARRIENDO</t>
  </si>
  <si>
    <t>PUBLICIDAD</t>
  </si>
  <si>
    <t>TOTAL</t>
  </si>
  <si>
    <t xml:space="preserve">SUELDO ANUAL </t>
  </si>
  <si>
    <t>Desarrollador Web
Junior</t>
  </si>
  <si>
    <t>Desarrollador Web
Sénior y supervisor</t>
  </si>
  <si>
    <t>Diseñador Web
Junior</t>
  </si>
  <si>
    <t>Diseñador Grafico</t>
  </si>
  <si>
    <t>TECNICO EN COMPUTADORAS Y REDES</t>
  </si>
  <si>
    <t>SECRETARIA</t>
  </si>
  <si>
    <t>PERSONAL CALL CENTER</t>
  </si>
  <si>
    <t>CONTADORA</t>
  </si>
  <si>
    <t>CONSULTOR WEB</t>
  </si>
  <si>
    <t>TOTAL DE COSTOS BASICOS Y OPERACIONALES</t>
  </si>
  <si>
    <t>VARIABLES DE AMORTIZACIÓN</t>
  </si>
  <si>
    <t>Banco:</t>
  </si>
  <si>
    <t>Banco</t>
  </si>
  <si>
    <t>Pa cifico</t>
  </si>
  <si>
    <t>Préstamo</t>
  </si>
  <si>
    <t>ANUAL</t>
  </si>
  <si>
    <t>INTERES ANUAL(%):</t>
  </si>
  <si>
    <t>PLAZO (Años):</t>
  </si>
  <si>
    <t>K</t>
  </si>
  <si>
    <t>IP</t>
  </si>
  <si>
    <t>PAGO</t>
  </si>
  <si>
    <t>TABLA DE COSTOS FINANCIEROS</t>
  </si>
  <si>
    <t>N</t>
  </si>
  <si>
    <t>CUOTA</t>
  </si>
  <si>
    <t>INTERESES</t>
  </si>
  <si>
    <t>AMORTIZACION</t>
  </si>
  <si>
    <t>SALDO FINAL</t>
  </si>
  <si>
    <t>Periodos</t>
  </si>
  <si>
    <t>Inicial</t>
  </si>
  <si>
    <t>Intereses</t>
  </si>
  <si>
    <t>Amort</t>
  </si>
  <si>
    <t>Cuota</t>
  </si>
  <si>
    <t>Final</t>
  </si>
  <si>
    <t>TABLA DE DEPRECIACION</t>
  </si>
  <si>
    <t>EQUIPO</t>
  </si>
  <si>
    <t>COSTO</t>
  </si>
  <si>
    <t>V. RESIDUAL</t>
  </si>
  <si>
    <t>TIEMPO UTIL</t>
  </si>
  <si>
    <t>PERÍODOS</t>
  </si>
  <si>
    <t>Computador desktop</t>
  </si>
  <si>
    <t>VALOR ACTIVO</t>
  </si>
  <si>
    <t>Mesa por computador</t>
  </si>
  <si>
    <t>UPS Regulador</t>
  </si>
  <si>
    <t>Impresora wifi</t>
  </si>
  <si>
    <t>Mesa de reuniones</t>
  </si>
  <si>
    <t>Telefono Ip</t>
  </si>
  <si>
    <t>Silla de oficina</t>
  </si>
  <si>
    <t>Aire Split</t>
  </si>
  <si>
    <t>Muebles</t>
  </si>
  <si>
    <t>Proyector</t>
  </si>
  <si>
    <t>Camaras IP</t>
  </si>
  <si>
    <t>Adornos de oficina</t>
  </si>
  <si>
    <t>Router wifi</t>
  </si>
  <si>
    <t>Servidor</t>
  </si>
  <si>
    <t>DEPRECIACION ANUAL</t>
  </si>
  <si>
    <t>VALORES</t>
  </si>
  <si>
    <t>VAN</t>
  </si>
  <si>
    <t>Ingresos</t>
  </si>
  <si>
    <t>Ventas</t>
  </si>
  <si>
    <t>Egresos</t>
  </si>
  <si>
    <t>Costos insumos</t>
  </si>
  <si>
    <t>Costos operacionales y basicos</t>
  </si>
  <si>
    <t>Costos financieros (Intereses)</t>
  </si>
  <si>
    <t>Depreciacion anual</t>
  </si>
  <si>
    <t>Total Egresos</t>
  </si>
  <si>
    <t>UTILIDAD ANTES DE IMPUESTOS</t>
  </si>
  <si>
    <t>Participación de Trabajadores 15%</t>
  </si>
  <si>
    <t>Utilidad despues trabajadores</t>
  </si>
  <si>
    <t>IMPUESTO A LA RENTA 25%</t>
  </si>
  <si>
    <t>Utilidad despues de la renta</t>
  </si>
  <si>
    <t>Utilidad Neta</t>
  </si>
  <si>
    <t>(+) Depreciacion (de activos fijos)</t>
  </si>
  <si>
    <t>(-) Inversion</t>
  </si>
  <si>
    <t>(+) Prestamo</t>
  </si>
  <si>
    <t>(-) Amortización Capital del Préstamo</t>
  </si>
  <si>
    <t>(=) Flujo Caja del Inversionista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</si>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</sst>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\ #,##0.00;[Red]&quot;$&quot;\ \-#,##0.00"/>
    <numFmt numFmtId="164" formatCode="&quot;$&quot;\ #,##0.00_);[Red]\(&quot;$&quot;\ #,##0.00\)"/>
    <numFmt numFmtId="165" formatCode="_(&quot;$&quot;\ * #,##0.00_);_(&quot;$&quot;\ * \(#,##0.00\);_(&quot;$&quot;\ * &quot;-&quot;??_);_(@_)"/>
    <numFmt numFmtId="166" formatCode="&quot;$&quot;\ #,##0.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alibri"/>
      <family val="2"/>
      <scheme val="minor"/>
    </font>
    <font>
      <b/>
      <sz val="8"/>
      <color theme="1"/>
      <name val="Century Gothic"/>
      <family val="2"/>
    </font>
    <font>
      <b/>
      <sz val="8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name val="Century Gothic"/>
      <family val="2"/>
    </font>
    <font>
      <b/>
      <sz val="11"/>
      <color theme="1"/>
      <name val="Century Gothic"/>
      <family val="2"/>
    </font>
    <font>
      <b/>
      <sz val="9"/>
      <color theme="1"/>
      <name val="Century Gothic"/>
      <family val="2"/>
    </font>
    <font>
      <sz val="10"/>
      <color theme="1"/>
      <name val="Century Gothic"/>
      <family val="2"/>
    </font>
    <font>
      <sz val="9"/>
      <color theme="1"/>
      <name val="Century Gothic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  <charset val="1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</cellStyleXfs>
  <cellXfs count="138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164" fontId="0" fillId="0" borderId="0" xfId="0" applyNumberFormat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1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0" fontId="8" fillId="0" borderId="3" xfId="2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5" fontId="8" fillId="0" borderId="1" xfId="0" applyNumberFormat="1" applyFont="1" applyBorder="1"/>
    <xf numFmtId="164" fontId="8" fillId="0" borderId="1" xfId="0" applyNumberFormat="1" applyFont="1" applyBorder="1"/>
    <xf numFmtId="0" fontId="14" fillId="0" borderId="1" xfId="0" applyNumberFormat="1" applyFont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64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8" xfId="0" applyBorder="1"/>
    <xf numFmtId="164" fontId="0" fillId="0" borderId="8" xfId="0" applyNumberFormat="1" applyBorder="1"/>
    <xf numFmtId="164" fontId="0" fillId="0" borderId="8" xfId="0" applyNumberFormat="1" applyBorder="1" applyAlignment="1">
      <alignment horizontal="center" vertical="center"/>
    </xf>
    <xf numFmtId="165" fontId="0" fillId="0" borderId="0" xfId="0" applyNumberFormat="1"/>
    <xf numFmtId="0" fontId="5" fillId="0" borderId="1" xfId="0" applyFont="1" applyFill="1" applyBorder="1" applyAlignment="1">
      <alignment horizontal="center" vertical="center" wrapText="1"/>
    </xf>
    <xf numFmtId="165" fontId="4" fillId="0" borderId="1" xfId="1" applyFont="1" applyBorder="1" applyAlignment="1">
      <alignment horizontal="center" vertical="center"/>
    </xf>
    <xf numFmtId="165" fontId="0" fillId="0" borderId="0" xfId="1" applyFont="1"/>
    <xf numFmtId="165" fontId="0" fillId="0" borderId="1" xfId="1" applyFont="1" applyBorder="1"/>
    <xf numFmtId="165" fontId="0" fillId="0" borderId="1" xfId="1" applyFont="1" applyBorder="1" applyAlignment="1">
      <alignment horizontal="center" vertical="center"/>
    </xf>
    <xf numFmtId="165" fontId="2" fillId="0" borderId="1" xfId="1" applyFont="1" applyBorder="1" applyAlignment="1">
      <alignment horizontal="center" vertical="center"/>
    </xf>
    <xf numFmtId="165" fontId="15" fillId="0" borderId="1" xfId="1" applyFont="1" applyFill="1" applyBorder="1" applyAlignment="1">
      <alignment horizontal="center" vertical="top" wrapText="1"/>
    </xf>
    <xf numFmtId="165" fontId="14" fillId="0" borderId="1" xfId="1" applyFont="1" applyFill="1" applyBorder="1" applyAlignment="1">
      <alignment horizontal="center" vertical="top" wrapText="1"/>
    </xf>
    <xf numFmtId="165" fontId="0" fillId="0" borderId="1" xfId="0" applyNumberFormat="1" applyBorder="1"/>
    <xf numFmtId="0" fontId="10" fillId="0" borderId="1" xfId="0" applyFont="1" applyFill="1" applyBorder="1" applyAlignment="1">
      <alignment horizontal="center" vertical="center"/>
    </xf>
    <xf numFmtId="2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/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9" fontId="20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5" fillId="0" borderId="1" xfId="1" applyFont="1" applyBorder="1" applyAlignment="1">
      <alignment horizontal="right" vertical="center"/>
    </xf>
    <xf numFmtId="166" fontId="15" fillId="0" borderId="1" xfId="1" applyNumberFormat="1" applyFont="1" applyBorder="1" applyAlignment="1">
      <alignment horizontal="right" vertical="center"/>
    </xf>
    <xf numFmtId="164" fontId="20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2" fontId="0" fillId="0" borderId="1" xfId="1" applyNumberFormat="1" applyFont="1" applyBorder="1"/>
    <xf numFmtId="2" fontId="2" fillId="0" borderId="1" xfId="1" applyNumberFormat="1" applyFont="1" applyBorder="1"/>
    <xf numFmtId="0" fontId="1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5" fontId="4" fillId="0" borderId="0" xfId="1" applyFont="1" applyBorder="1" applyAlignment="1">
      <alignment horizontal="center" vertical="center"/>
    </xf>
    <xf numFmtId="165" fontId="0" fillId="0" borderId="0" xfId="1" applyFont="1" applyBorder="1"/>
    <xf numFmtId="9" fontId="6" fillId="0" borderId="0" xfId="0" applyNumberFormat="1" applyFont="1" applyBorder="1" applyAlignment="1">
      <alignment horizontal="center" vertical="center" wrapText="1"/>
    </xf>
    <xf numFmtId="9" fontId="7" fillId="0" borderId="0" xfId="0" applyNumberFormat="1" applyFont="1" applyBorder="1" applyAlignment="1">
      <alignment horizontal="center" vertic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8" fontId="0" fillId="0" borderId="0" xfId="0" applyNumberFormat="1"/>
    <xf numFmtId="0" fontId="22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5" fontId="21" fillId="0" borderId="0" xfId="1" applyFont="1" applyBorder="1" applyAlignment="1">
      <alignment horizontal="center" vertical="center"/>
    </xf>
    <xf numFmtId="165" fontId="24" fillId="0" borderId="0" xfId="1" applyFont="1" applyBorder="1"/>
    <xf numFmtId="165" fontId="21" fillId="0" borderId="0" xfId="1" applyFont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166" fontId="23" fillId="0" borderId="0" xfId="0" applyNumberFormat="1" applyFont="1" applyAlignment="1">
      <alignment horizontal="center" vertical="center"/>
    </xf>
    <xf numFmtId="166" fontId="23" fillId="0" borderId="0" xfId="0" applyNumberFormat="1" applyFont="1" applyAlignment="1">
      <alignment horizontal="center"/>
    </xf>
    <xf numFmtId="166" fontId="23" fillId="0" borderId="0" xfId="1" applyNumberFormat="1" applyFont="1" applyBorder="1" applyAlignment="1">
      <alignment horizontal="center" vertical="center"/>
    </xf>
    <xf numFmtId="166" fontId="23" fillId="0" borderId="0" xfId="1" applyNumberFormat="1" applyFont="1" applyBorder="1" applyAlignment="1">
      <alignment horizontal="center"/>
    </xf>
    <xf numFmtId="165" fontId="3" fillId="0" borderId="0" xfId="1" applyFont="1" applyBorder="1" applyAlignment="1">
      <alignment horizontal="center"/>
    </xf>
    <xf numFmtId="165" fontId="4" fillId="0" borderId="0" xfId="1" applyFont="1" applyBorder="1"/>
    <xf numFmtId="165" fontId="5" fillId="0" borderId="0" xfId="1" applyFont="1" applyBorder="1" applyAlignment="1">
      <alignment horizontal="center" vertical="center"/>
    </xf>
    <xf numFmtId="165" fontId="6" fillId="0" borderId="0" xfId="1" applyFont="1" applyBorder="1" applyAlignment="1">
      <alignment horizontal="center" vertical="center" wrapText="1"/>
    </xf>
    <xf numFmtId="165" fontId="7" fillId="0" borderId="0" xfId="1" applyFont="1" applyBorder="1" applyAlignment="1">
      <alignment horizontal="center" vertical="center" wrapText="1"/>
    </xf>
    <xf numFmtId="165" fontId="6" fillId="0" borderId="0" xfId="1" applyFont="1" applyFill="1" applyBorder="1" applyAlignment="1">
      <alignment horizontal="center" vertical="center" wrapText="1"/>
    </xf>
    <xf numFmtId="10" fontId="4" fillId="0" borderId="0" xfId="1" applyNumberFormat="1" applyFont="1" applyBorder="1"/>
    <xf numFmtId="10" fontId="0" fillId="0" borderId="0" xfId="1" applyNumberFormat="1" applyFont="1" applyBorder="1"/>
    <xf numFmtId="10" fontId="0" fillId="0" borderId="0" xfId="0" applyNumberFormat="1"/>
    <xf numFmtId="0" fontId="2" fillId="0" borderId="0" xfId="0" applyFont="1" applyBorder="1" applyAlignment="1">
      <alignment horizontal="center"/>
    </xf>
    <xf numFmtId="10" fontId="4" fillId="0" borderId="3" xfId="2" applyNumberFormat="1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/>
    </xf>
  </cellXfs>
  <cellStyles count="4">
    <cellStyle name="Moneda" xfId="1" builtinId="4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mpu-proyec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4">
          <cell r="F4">
            <v>787.68060000000003</v>
          </cell>
          <cell r="G4">
            <v>776.04</v>
          </cell>
        </row>
        <row r="5">
          <cell r="F5">
            <v>4516.7093999999997</v>
          </cell>
          <cell r="G5">
            <v>4449.96</v>
          </cell>
        </row>
        <row r="6">
          <cell r="F6">
            <v>4517.8056000000006</v>
          </cell>
          <cell r="G6">
            <v>4451.04</v>
          </cell>
        </row>
        <row r="7">
          <cell r="F7">
            <v>5910.8322000000007</v>
          </cell>
          <cell r="G7">
            <v>5823.4800000000005</v>
          </cell>
        </row>
        <row r="8">
          <cell r="F8">
            <v>14239.881600000001</v>
          </cell>
        </row>
        <row r="9">
          <cell r="F9">
            <v>5160.4224000000004</v>
          </cell>
          <cell r="G9">
            <v>5084.16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tabSelected="1" zoomScale="84" zoomScaleNormal="84" workbookViewId="0">
      <selection activeCell="H19" sqref="H19"/>
    </sheetView>
  </sheetViews>
  <sheetFormatPr defaultColWidth="11.42578125" defaultRowHeight="15"/>
  <cols>
    <col min="1" max="1" width="15" customWidth="1"/>
    <col min="2" max="2" width="20.28515625" customWidth="1"/>
    <col min="3" max="3" width="19.5703125" customWidth="1"/>
    <col min="4" max="4" width="17.7109375" customWidth="1"/>
    <col min="5" max="5" width="17.42578125" customWidth="1"/>
    <col min="6" max="6" width="21.42578125" customWidth="1"/>
    <col min="7" max="7" width="17" customWidth="1"/>
    <col min="8" max="8" width="25.42578125" customWidth="1"/>
    <col min="9" max="9" width="14.42578125" customWidth="1"/>
    <col min="10" max="10" width="20.7109375" customWidth="1"/>
    <col min="11" max="11" width="16.5703125" customWidth="1"/>
    <col min="12" max="12" width="19.28515625" customWidth="1"/>
    <col min="13" max="13" width="11.5703125" bestFit="1" customWidth="1"/>
    <col min="14" max="14" width="12.28515625" bestFit="1" customWidth="1"/>
    <col min="15" max="15" width="12.42578125" bestFit="1" customWidth="1"/>
  </cols>
  <sheetData>
    <row r="1" spans="1:8" ht="15.75">
      <c r="A1" s="104"/>
      <c r="B1" s="104"/>
      <c r="C1" s="104"/>
      <c r="D1" s="104"/>
      <c r="E1" s="104"/>
      <c r="F1" s="104"/>
      <c r="G1" s="104"/>
      <c r="H1" s="104"/>
    </row>
    <row r="2" spans="1:8">
      <c r="A2" s="135" t="s">
        <v>0</v>
      </c>
      <c r="B2" s="135"/>
      <c r="C2" s="135"/>
      <c r="D2" s="135"/>
      <c r="E2" s="135"/>
      <c r="F2" s="135"/>
      <c r="G2" s="135"/>
      <c r="H2" s="135"/>
    </row>
    <row r="3" spans="1:8" ht="50.25" customHeight="1">
      <c r="A3" s="105"/>
      <c r="B3" s="106"/>
      <c r="C3" s="110">
        <v>0.1</v>
      </c>
      <c r="D3" s="111">
        <v>0.2</v>
      </c>
      <c r="E3" s="110">
        <v>0.1</v>
      </c>
      <c r="F3" s="110">
        <v>0.4</v>
      </c>
      <c r="G3" s="110">
        <v>0.05</v>
      </c>
      <c r="H3" s="112">
        <v>0.15</v>
      </c>
    </row>
    <row r="4" spans="1:8" ht="17.25">
      <c r="A4" s="107"/>
      <c r="B4" s="108"/>
      <c r="C4" s="108"/>
      <c r="D4" s="108"/>
      <c r="E4" s="108"/>
      <c r="F4" s="108"/>
      <c r="G4" s="108"/>
      <c r="H4" s="109"/>
    </row>
    <row r="5" spans="1:8" ht="42" customHeight="1">
      <c r="A5" s="107"/>
      <c r="B5" s="116" t="s">
        <v>1</v>
      </c>
      <c r="C5" s="116" t="s">
        <v>2</v>
      </c>
      <c r="D5" s="118" t="s">
        <v>3</v>
      </c>
      <c r="E5" s="116" t="s">
        <v>4</v>
      </c>
      <c r="F5" s="118" t="s">
        <v>5</v>
      </c>
      <c r="G5" s="116" t="s">
        <v>6</v>
      </c>
      <c r="H5" s="117" t="s">
        <v>7</v>
      </c>
    </row>
    <row r="6" spans="1:8">
      <c r="A6" s="114">
        <v>4</v>
      </c>
      <c r="B6" s="120">
        <v>2014</v>
      </c>
      <c r="C6" s="124" t="s">
        <v>8</v>
      </c>
      <c r="D6" s="124">
        <v>4516.71</v>
      </c>
      <c r="E6" s="124" t="s">
        <v>9</v>
      </c>
      <c r="F6" s="124">
        <v>11821.66</v>
      </c>
      <c r="G6" s="124" t="s">
        <v>9</v>
      </c>
      <c r="H6" s="125">
        <v>5160.42</v>
      </c>
    </row>
    <row r="7" spans="1:8">
      <c r="A7" s="114">
        <v>7</v>
      </c>
      <c r="B7" s="120">
        <v>2015</v>
      </c>
      <c r="C7" s="124">
        <v>787.68</v>
      </c>
      <c r="D7" s="124">
        <v>4516.71</v>
      </c>
      <c r="E7" s="124">
        <v>4517.8100000000004</v>
      </c>
      <c r="F7" s="124">
        <v>17732.5</v>
      </c>
      <c r="G7" s="124" t="s">
        <v>9</v>
      </c>
      <c r="H7" s="125">
        <v>5160.42</v>
      </c>
    </row>
    <row r="8" spans="1:8">
      <c r="A8" s="114">
        <v>10</v>
      </c>
      <c r="B8" s="120">
        <v>2016</v>
      </c>
      <c r="C8" s="124">
        <v>787.68</v>
      </c>
      <c r="D8" s="124">
        <v>9033.42</v>
      </c>
      <c r="E8" s="124">
        <v>4517.8100000000004</v>
      </c>
      <c r="F8" s="124">
        <v>23643.33</v>
      </c>
      <c r="G8" s="124">
        <v>14239.88</v>
      </c>
      <c r="H8" s="125">
        <v>10320.84</v>
      </c>
    </row>
    <row r="9" spans="1:8">
      <c r="A9" s="114">
        <v>13</v>
      </c>
      <c r="B9" s="120">
        <v>2017</v>
      </c>
      <c r="C9" s="124">
        <v>787.68</v>
      </c>
      <c r="D9" s="124">
        <v>13550.13</v>
      </c>
      <c r="E9" s="124">
        <v>4517.8100000000004</v>
      </c>
      <c r="F9" s="124">
        <v>29554.16</v>
      </c>
      <c r="G9" s="124">
        <v>14239.88</v>
      </c>
      <c r="H9" s="125">
        <v>10320.84</v>
      </c>
    </row>
    <row r="10" spans="1:8">
      <c r="A10" s="114">
        <v>16</v>
      </c>
      <c r="B10" s="120">
        <v>2018</v>
      </c>
      <c r="C10" s="124">
        <v>1575.36</v>
      </c>
      <c r="D10" s="124">
        <v>13550.13</v>
      </c>
      <c r="E10" s="124">
        <v>9035.61</v>
      </c>
      <c r="F10" s="124">
        <v>35464.99</v>
      </c>
      <c r="G10" s="124">
        <v>14239.88</v>
      </c>
      <c r="H10" s="125">
        <v>10320.84</v>
      </c>
    </row>
    <row r="11" spans="1:8">
      <c r="A11" s="114">
        <v>19</v>
      </c>
      <c r="B11" s="120">
        <v>2019</v>
      </c>
      <c r="C11" s="124">
        <v>1575.36</v>
      </c>
      <c r="D11" s="124">
        <v>18066.84</v>
      </c>
      <c r="E11" s="124">
        <v>9035.61</v>
      </c>
      <c r="F11" s="124">
        <v>47286.66</v>
      </c>
      <c r="G11" s="124">
        <v>14239.88</v>
      </c>
      <c r="H11" s="125">
        <v>15481.27</v>
      </c>
    </row>
    <row r="12" spans="1:8">
      <c r="A12" s="114">
        <v>22</v>
      </c>
      <c r="B12" s="120">
        <v>2020</v>
      </c>
      <c r="C12" s="124">
        <v>1575.36</v>
      </c>
      <c r="D12" s="124">
        <v>18066.84</v>
      </c>
      <c r="E12" s="124">
        <v>9035.61</v>
      </c>
      <c r="F12" s="124">
        <v>53197.49</v>
      </c>
      <c r="G12" s="124">
        <v>14239.88</v>
      </c>
      <c r="H12" s="125">
        <v>15481.27</v>
      </c>
    </row>
    <row r="13" spans="1:8">
      <c r="A13" s="114">
        <v>25</v>
      </c>
      <c r="B13" s="120">
        <v>2021</v>
      </c>
      <c r="C13" s="124">
        <v>2363.04</v>
      </c>
      <c r="D13" s="124">
        <v>22583.55</v>
      </c>
      <c r="E13" s="124">
        <v>13553.42</v>
      </c>
      <c r="F13" s="124">
        <v>59108.32</v>
      </c>
      <c r="G13" s="124">
        <v>14239.88</v>
      </c>
      <c r="H13" s="125">
        <v>20641.689999999999</v>
      </c>
    </row>
    <row r="14" spans="1:8">
      <c r="A14" s="115">
        <v>28</v>
      </c>
      <c r="B14" s="121">
        <v>2022</v>
      </c>
      <c r="C14" s="122">
        <v>2363.04</v>
      </c>
      <c r="D14" s="123">
        <v>27100.26</v>
      </c>
      <c r="E14" s="123">
        <v>13553.42</v>
      </c>
      <c r="F14" s="123">
        <v>65019.15</v>
      </c>
      <c r="G14" s="123">
        <v>14239.88</v>
      </c>
      <c r="H14" s="123">
        <v>20641.689999999999</v>
      </c>
    </row>
    <row r="15" spans="1:8">
      <c r="A15" s="115">
        <v>31</v>
      </c>
      <c r="B15" s="121">
        <v>2023</v>
      </c>
      <c r="C15" s="123">
        <v>2363.04</v>
      </c>
      <c r="D15" s="123">
        <v>27100.26</v>
      </c>
      <c r="E15" s="123">
        <v>13553.42</v>
      </c>
      <c r="F15" s="123">
        <v>70929.990000000005</v>
      </c>
      <c r="G15" s="123">
        <v>28479.759999999998</v>
      </c>
      <c r="H15" s="123">
        <v>25802.11</v>
      </c>
    </row>
    <row r="16" spans="1:8">
      <c r="A16" s="115"/>
      <c r="B16" s="121"/>
      <c r="C16" s="123"/>
      <c r="D16" s="123"/>
      <c r="E16" s="123"/>
      <c r="F16" s="123"/>
      <c r="G16" s="123"/>
      <c r="H16" s="123"/>
    </row>
    <row r="17" spans="1:9">
      <c r="A17" s="115"/>
      <c r="B17" s="121"/>
      <c r="C17" s="123"/>
      <c r="D17" s="123"/>
      <c r="E17" s="123"/>
      <c r="F17" s="123"/>
      <c r="G17" s="123"/>
      <c r="H17" s="123"/>
    </row>
    <row r="18" spans="1:9">
      <c r="A18" s="115"/>
      <c r="B18" s="121"/>
      <c r="C18" s="123"/>
      <c r="D18" s="123"/>
      <c r="E18" s="123"/>
      <c r="F18" s="123"/>
      <c r="G18" s="123"/>
      <c r="H18" s="123"/>
    </row>
    <row r="19" spans="1:9" ht="17.25">
      <c r="A19" s="1"/>
      <c r="B19" s="1"/>
      <c r="C19" s="1"/>
      <c r="D19" s="1"/>
      <c r="E19" s="1"/>
      <c r="F19" s="1"/>
      <c r="G19" s="1"/>
    </row>
    <row r="20" spans="1:9" ht="15.75">
      <c r="A20" s="126" t="s">
        <v>10</v>
      </c>
      <c r="B20" s="126"/>
      <c r="C20" s="126"/>
      <c r="D20" s="126"/>
      <c r="E20" s="126"/>
      <c r="F20" s="126"/>
      <c r="G20" s="126"/>
      <c r="H20" s="126"/>
      <c r="I20" s="126"/>
    </row>
    <row r="21" spans="1:9" ht="17.25">
      <c r="A21" s="127"/>
      <c r="B21" s="127"/>
      <c r="C21" s="127"/>
      <c r="D21" s="132">
        <v>0.1</v>
      </c>
      <c r="E21" s="132">
        <v>0.2</v>
      </c>
      <c r="F21" s="132">
        <v>0.1</v>
      </c>
      <c r="G21" s="132">
        <v>0.4</v>
      </c>
      <c r="H21" s="133">
        <v>0.05</v>
      </c>
      <c r="I21" s="134">
        <v>0.15</v>
      </c>
    </row>
    <row r="22" spans="1:9" ht="47.25" customHeight="1">
      <c r="A22" s="128"/>
      <c r="B22" s="129"/>
      <c r="C22" s="129" t="s">
        <v>1</v>
      </c>
      <c r="D22" s="130" t="s">
        <v>2</v>
      </c>
      <c r="E22" s="129" t="s">
        <v>11</v>
      </c>
      <c r="F22" s="129" t="s">
        <v>4</v>
      </c>
      <c r="G22" s="129" t="s">
        <v>12</v>
      </c>
      <c r="H22" s="131" t="s">
        <v>6</v>
      </c>
      <c r="I22" t="s">
        <v>7</v>
      </c>
    </row>
    <row r="23" spans="1:9" ht="17.25">
      <c r="A23" s="120"/>
      <c r="B23" s="119">
        <v>4</v>
      </c>
      <c r="C23" s="120">
        <v>2014</v>
      </c>
      <c r="D23" s="108" t="s">
        <v>8</v>
      </c>
      <c r="E23" s="108">
        <v>4449.96</v>
      </c>
      <c r="F23" s="108" t="s">
        <v>9</v>
      </c>
      <c r="G23" s="108">
        <v>11646.96</v>
      </c>
      <c r="H23" s="109" t="s">
        <v>9</v>
      </c>
      <c r="I23" s="113">
        <v>5084.16</v>
      </c>
    </row>
    <row r="24" spans="1:9" ht="17.25">
      <c r="A24" s="120"/>
      <c r="B24" s="119">
        <v>7</v>
      </c>
      <c r="C24" s="120">
        <v>2015</v>
      </c>
      <c r="D24" s="108">
        <v>776.04</v>
      </c>
      <c r="E24" s="108">
        <v>4449.96</v>
      </c>
      <c r="F24" s="108">
        <v>4451.04</v>
      </c>
      <c r="G24" s="108">
        <v>17470.439999999999</v>
      </c>
      <c r="H24" s="109" t="s">
        <v>9</v>
      </c>
      <c r="I24" s="113">
        <v>5084.16</v>
      </c>
    </row>
    <row r="25" spans="1:9" ht="17.25">
      <c r="A25" s="120"/>
      <c r="B25" s="119">
        <v>10</v>
      </c>
      <c r="C25" s="120">
        <v>2016</v>
      </c>
      <c r="D25" s="108">
        <v>776.04</v>
      </c>
      <c r="E25" s="108">
        <v>8899.92</v>
      </c>
      <c r="F25" s="108">
        <v>4451.04</v>
      </c>
      <c r="G25" s="108">
        <v>23293.919999999998</v>
      </c>
      <c r="H25" s="109">
        <v>14029.44</v>
      </c>
      <c r="I25" s="113">
        <v>10168.32</v>
      </c>
    </row>
    <row r="26" spans="1:9" ht="17.25">
      <c r="A26" s="120"/>
      <c r="B26" s="119">
        <v>13</v>
      </c>
      <c r="C26" s="120">
        <v>2017</v>
      </c>
      <c r="D26" s="108">
        <v>776.04</v>
      </c>
      <c r="E26" s="108">
        <v>13349.88</v>
      </c>
      <c r="F26" s="108">
        <v>4451.04</v>
      </c>
      <c r="G26" s="108">
        <v>29117.4</v>
      </c>
      <c r="H26" s="109">
        <v>14029.44</v>
      </c>
      <c r="I26" s="113">
        <v>10168.32</v>
      </c>
    </row>
    <row r="27" spans="1:9" ht="17.25">
      <c r="A27" s="120"/>
      <c r="B27" s="119">
        <v>16</v>
      </c>
      <c r="C27" s="120">
        <v>2018</v>
      </c>
      <c r="D27" s="108">
        <v>1552.08</v>
      </c>
      <c r="E27" s="108">
        <v>13349.88</v>
      </c>
      <c r="F27" s="108">
        <v>8902.08</v>
      </c>
      <c r="G27" s="108">
        <v>34940.879999999997</v>
      </c>
      <c r="H27" s="109">
        <v>14029.44</v>
      </c>
      <c r="I27" s="113">
        <v>10168.32</v>
      </c>
    </row>
    <row r="28" spans="1:9" ht="17.25">
      <c r="A28" s="120"/>
      <c r="B28" s="119">
        <v>19</v>
      </c>
      <c r="C28" s="120">
        <v>2019</v>
      </c>
      <c r="D28" s="108">
        <v>1552.08</v>
      </c>
      <c r="E28" s="108">
        <v>17799.84</v>
      </c>
      <c r="F28" s="108">
        <v>8902.08</v>
      </c>
      <c r="G28" s="108">
        <v>46587.839999999997</v>
      </c>
      <c r="H28" s="109">
        <v>14029.44</v>
      </c>
      <c r="I28" s="113">
        <v>15252.48</v>
      </c>
    </row>
    <row r="29" spans="1:9" ht="17.25">
      <c r="A29" s="120"/>
      <c r="B29" s="119">
        <v>22</v>
      </c>
      <c r="C29" s="120">
        <v>2020</v>
      </c>
      <c r="D29" s="108">
        <v>1552.08</v>
      </c>
      <c r="E29" s="108">
        <v>17799.84</v>
      </c>
      <c r="F29" s="108">
        <v>8902.08</v>
      </c>
      <c r="G29" s="108">
        <v>52411.32</v>
      </c>
      <c r="H29" s="109">
        <v>14029.44</v>
      </c>
      <c r="I29" s="113">
        <v>15252.48</v>
      </c>
    </row>
    <row r="30" spans="1:9" ht="17.25">
      <c r="A30" s="120"/>
      <c r="B30" s="119">
        <v>25</v>
      </c>
      <c r="C30" s="120">
        <v>2021</v>
      </c>
      <c r="D30" s="108">
        <v>2328.12</v>
      </c>
      <c r="E30" s="108">
        <v>22249.8</v>
      </c>
      <c r="F30" s="108">
        <v>13353.12</v>
      </c>
      <c r="G30" s="108">
        <v>58234.8</v>
      </c>
      <c r="H30" s="109">
        <v>14029.44</v>
      </c>
      <c r="I30" s="113">
        <v>20336.64</v>
      </c>
    </row>
    <row r="31" spans="1:9" ht="17.25">
      <c r="A31" s="120"/>
      <c r="B31" s="119">
        <v>28</v>
      </c>
      <c r="C31" s="120">
        <v>2022</v>
      </c>
      <c r="D31" s="108">
        <v>2328.12</v>
      </c>
      <c r="E31" s="108">
        <v>26699.759999999998</v>
      </c>
      <c r="F31" s="108">
        <v>13353.12</v>
      </c>
      <c r="G31" s="108">
        <v>64058.28</v>
      </c>
      <c r="H31" s="109">
        <v>14029.44</v>
      </c>
      <c r="I31" s="113">
        <v>20336.64</v>
      </c>
    </row>
    <row r="32" spans="1:9" ht="17.25">
      <c r="A32" s="120"/>
      <c r="B32" s="119">
        <v>31</v>
      </c>
      <c r="C32" s="120">
        <v>2023</v>
      </c>
      <c r="D32" s="108">
        <v>2328.12</v>
      </c>
      <c r="E32" s="108">
        <v>26699.759999999998</v>
      </c>
      <c r="F32" s="108">
        <v>13353.12</v>
      </c>
      <c r="G32" s="108">
        <v>69881.759999999995</v>
      </c>
      <c r="H32" s="109">
        <v>28058.880000000001</v>
      </c>
      <c r="I32" s="113">
        <v>25420.799999999999</v>
      </c>
    </row>
    <row r="34" spans="1:8" ht="17.25">
      <c r="A34" s="1"/>
      <c r="B34" s="1"/>
      <c r="C34" s="1"/>
      <c r="D34" s="1"/>
      <c r="E34" s="1"/>
      <c r="F34" s="1"/>
      <c r="G34" s="1"/>
    </row>
    <row r="35" spans="1:8" ht="15.75">
      <c r="A35" s="94" t="s">
        <v>13</v>
      </c>
      <c r="B35" s="94"/>
      <c r="C35" s="94"/>
      <c r="D35" s="94"/>
      <c r="E35" s="94"/>
      <c r="F35" s="94"/>
      <c r="G35" s="94"/>
    </row>
    <row r="36" spans="1:8" ht="17.25">
      <c r="A36" s="1"/>
      <c r="B36" s="1"/>
      <c r="C36" s="1"/>
      <c r="D36" s="1"/>
      <c r="E36" s="1"/>
      <c r="F36" s="1"/>
      <c r="G36" s="1"/>
    </row>
    <row r="37" spans="1:8" ht="15.75">
      <c r="A37" s="2" t="s">
        <v>1</v>
      </c>
      <c r="B37" s="3" t="s">
        <v>14</v>
      </c>
      <c r="C37" s="3" t="s">
        <v>15</v>
      </c>
      <c r="D37" s="4" t="s">
        <v>16</v>
      </c>
      <c r="E37" s="3" t="s">
        <v>17</v>
      </c>
      <c r="F37" s="3" t="s">
        <v>18</v>
      </c>
      <c r="G37" s="3" t="s">
        <v>19</v>
      </c>
      <c r="H37" s="42" t="s">
        <v>20</v>
      </c>
    </row>
    <row r="38" spans="1:8" ht="17.25">
      <c r="A38" s="5">
        <v>2014</v>
      </c>
      <c r="B38" s="38">
        <v>789.61</v>
      </c>
      <c r="C38" s="38">
        <v>177</v>
      </c>
      <c r="D38" s="38">
        <v>1152</v>
      </c>
      <c r="E38" s="38">
        <v>6897.6</v>
      </c>
      <c r="F38" s="38">
        <v>7200</v>
      </c>
      <c r="G38" s="38">
        <v>1323.72</v>
      </c>
      <c r="H38" s="41">
        <f>SUM(B38:G38)</f>
        <v>17539.93</v>
      </c>
    </row>
    <row r="39" spans="1:8" ht="17.25">
      <c r="A39" s="5">
        <v>2015</v>
      </c>
      <c r="B39" s="38">
        <v>1396</v>
      </c>
      <c r="C39" s="38">
        <v>358.2</v>
      </c>
      <c r="D39" s="38">
        <v>1267</v>
      </c>
      <c r="E39" s="38">
        <v>6897.6</v>
      </c>
      <c r="F39" s="38">
        <v>7200</v>
      </c>
      <c r="G39" s="38">
        <v>1323.72</v>
      </c>
      <c r="H39" s="41">
        <f t="shared" ref="H39:H47" si="0">SUM(B39:G39)</f>
        <v>18442.52</v>
      </c>
    </row>
    <row r="40" spans="1:8" ht="17.25">
      <c r="A40" s="5">
        <v>2016</v>
      </c>
      <c r="B40" s="38">
        <f>TREND($B$38:$B$39,$A$38:$A$39,A40)</f>
        <v>2002.3899999998976</v>
      </c>
      <c r="C40" s="38">
        <f t="shared" ref="C40:C47" si="1">TREND($C$38:$C$39,$A$38:$A$39,A40)</f>
        <v>539.39999999996508</v>
      </c>
      <c r="D40" s="38">
        <f t="shared" ref="D40:D47" si="2">TREND($D$38:$D$39,$A$38:$A$39,A40)</f>
        <v>1382</v>
      </c>
      <c r="E40" s="38">
        <f t="shared" ref="E40:E47" si="3">TREND(E38:E39,A38:A39,A40)</f>
        <v>6897.6</v>
      </c>
      <c r="F40" s="38">
        <v>7200</v>
      </c>
      <c r="G40" s="38">
        <v>1323.72</v>
      </c>
      <c r="H40" s="41">
        <f t="shared" si="0"/>
        <v>19345.109999999862</v>
      </c>
    </row>
    <row r="41" spans="1:8" ht="17.25">
      <c r="A41" s="5">
        <v>2017</v>
      </c>
      <c r="B41" s="38">
        <f>TREND($B$38:$B$39,$A$38:$A$39,A41)</f>
        <v>2608.7799999997951</v>
      </c>
      <c r="C41" s="38">
        <f t="shared" si="1"/>
        <v>720.59999999997672</v>
      </c>
      <c r="D41" s="38">
        <f t="shared" si="2"/>
        <v>1497</v>
      </c>
      <c r="E41" s="38">
        <f t="shared" si="3"/>
        <v>6897.6</v>
      </c>
      <c r="F41" s="38">
        <v>7200</v>
      </c>
      <c r="G41" s="38">
        <v>1323.72</v>
      </c>
      <c r="H41" s="41">
        <f t="shared" si="0"/>
        <v>20247.699999999772</v>
      </c>
    </row>
    <row r="42" spans="1:8" ht="17.25">
      <c r="A42" s="5">
        <v>2018</v>
      </c>
      <c r="B42" s="38">
        <f>TREND($B$38:$B$39,$A$38:$A$39,A42)</f>
        <v>3215.1699999999255</v>
      </c>
      <c r="C42" s="38">
        <f t="shared" si="1"/>
        <v>901.79999999998836</v>
      </c>
      <c r="D42" s="38">
        <f t="shared" si="2"/>
        <v>1612</v>
      </c>
      <c r="E42" s="38">
        <f t="shared" si="3"/>
        <v>6897.6</v>
      </c>
      <c r="F42" s="38">
        <v>7200</v>
      </c>
      <c r="G42" s="38">
        <v>1323.72</v>
      </c>
      <c r="H42" s="41">
        <f t="shared" si="0"/>
        <v>21150.289999999914</v>
      </c>
    </row>
    <row r="43" spans="1:8" ht="17.25">
      <c r="A43" s="5">
        <v>2019</v>
      </c>
      <c r="B43" s="38">
        <f>TREND($B$38:$B$39,$A$38:$A$39,A43)</f>
        <v>3821.559999999823</v>
      </c>
      <c r="C43" s="38">
        <f t="shared" si="1"/>
        <v>1083</v>
      </c>
      <c r="D43" s="38">
        <f t="shared" si="2"/>
        <v>1727</v>
      </c>
      <c r="E43" s="38">
        <f t="shared" si="3"/>
        <v>6897.6</v>
      </c>
      <c r="F43" s="38">
        <v>7200</v>
      </c>
      <c r="G43" s="38">
        <v>1323.72</v>
      </c>
      <c r="H43" s="41">
        <f t="shared" si="0"/>
        <v>22052.879999999823</v>
      </c>
    </row>
    <row r="44" spans="1:8" ht="17.25">
      <c r="A44" s="6">
        <v>2020</v>
      </c>
      <c r="B44" s="38">
        <f>TREND($B$38:$B$39,$A$38:$A$39,A44)</f>
        <v>4427.9499999999534</v>
      </c>
      <c r="C44" s="38">
        <f t="shared" si="1"/>
        <v>1264.2000000000116</v>
      </c>
      <c r="D44" s="38">
        <f t="shared" si="2"/>
        <v>1842</v>
      </c>
      <c r="E44" s="38">
        <f t="shared" si="3"/>
        <v>6897.6</v>
      </c>
      <c r="F44" s="38">
        <v>7200</v>
      </c>
      <c r="G44" s="38">
        <v>1323.72</v>
      </c>
      <c r="H44" s="41">
        <f t="shared" si="0"/>
        <v>22955.469999999965</v>
      </c>
    </row>
    <row r="45" spans="1:8" ht="17.25">
      <c r="A45" s="6">
        <v>2021</v>
      </c>
      <c r="B45" s="38">
        <f>TREND($B$38:$B$39,$A$38:$A$39,A45)</f>
        <v>5034.339999999851</v>
      </c>
      <c r="C45" s="38">
        <f t="shared" si="1"/>
        <v>1445.3999999999651</v>
      </c>
      <c r="D45" s="38">
        <f t="shared" si="2"/>
        <v>1957</v>
      </c>
      <c r="E45" s="38">
        <f t="shared" si="3"/>
        <v>6897.6</v>
      </c>
      <c r="F45" s="38">
        <v>7200</v>
      </c>
      <c r="G45" s="38">
        <v>1323.72</v>
      </c>
      <c r="H45" s="41">
        <f t="shared" si="0"/>
        <v>23858.059999999816</v>
      </c>
    </row>
    <row r="46" spans="1:8" ht="17.25">
      <c r="A46" s="5">
        <v>2022</v>
      </c>
      <c r="B46" s="38">
        <f>TREND($B$38:$B$39,$A$38:$A$39,A46)</f>
        <v>5640.7299999999814</v>
      </c>
      <c r="C46" s="38">
        <f t="shared" si="1"/>
        <v>1626.5999999999767</v>
      </c>
      <c r="D46" s="38">
        <f t="shared" si="2"/>
        <v>2072</v>
      </c>
      <c r="E46" s="38">
        <f t="shared" si="3"/>
        <v>6897.6</v>
      </c>
      <c r="F46" s="38">
        <v>7200</v>
      </c>
      <c r="G46" s="38">
        <v>1323.72</v>
      </c>
      <c r="H46" s="41">
        <f t="shared" si="0"/>
        <v>24760.649999999958</v>
      </c>
    </row>
    <row r="47" spans="1:8" ht="17.25">
      <c r="A47" s="5">
        <v>2023</v>
      </c>
      <c r="B47" s="38">
        <f>TREND($B$38:$B$39,$A$38:$A$39,A47)</f>
        <v>6247.1199999998789</v>
      </c>
      <c r="C47" s="38">
        <f t="shared" si="1"/>
        <v>1807.7999999999884</v>
      </c>
      <c r="D47" s="38">
        <f t="shared" si="2"/>
        <v>2187</v>
      </c>
      <c r="E47" s="38">
        <f t="shared" si="3"/>
        <v>6897.6</v>
      </c>
      <c r="F47" s="38">
        <v>7200</v>
      </c>
      <c r="G47" s="38">
        <v>1323.72</v>
      </c>
      <c r="H47" s="41">
        <f t="shared" si="0"/>
        <v>25663.239999999867</v>
      </c>
    </row>
    <row r="50" spans="1:12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2" ht="64.5" customHeight="1">
      <c r="A51" s="23" t="s">
        <v>21</v>
      </c>
      <c r="B51" s="24" t="s">
        <v>22</v>
      </c>
      <c r="C51" s="24" t="s">
        <v>23</v>
      </c>
      <c r="D51" s="24" t="s">
        <v>24</v>
      </c>
      <c r="E51" s="24" t="s">
        <v>25</v>
      </c>
      <c r="F51" s="24" t="s">
        <v>26</v>
      </c>
      <c r="G51" s="23" t="s">
        <v>27</v>
      </c>
      <c r="H51" s="37" t="s">
        <v>28</v>
      </c>
      <c r="I51" s="23" t="s">
        <v>29</v>
      </c>
      <c r="J51" s="23" t="s">
        <v>30</v>
      </c>
      <c r="K51" s="23" t="s">
        <v>20</v>
      </c>
      <c r="L51" s="37" t="s">
        <v>31</v>
      </c>
    </row>
    <row r="52" spans="1:12" ht="15.75" customHeight="1">
      <c r="A52" s="21">
        <v>2014</v>
      </c>
      <c r="B52" s="43">
        <v>8400</v>
      </c>
      <c r="C52" s="43">
        <v>12000</v>
      </c>
      <c r="D52" s="43">
        <v>16800</v>
      </c>
      <c r="E52" s="43">
        <v>6000</v>
      </c>
      <c r="F52" s="43">
        <v>12000</v>
      </c>
      <c r="G52" s="44">
        <v>4200</v>
      </c>
      <c r="H52" s="44">
        <v>4200</v>
      </c>
      <c r="I52" s="44">
        <v>5400</v>
      </c>
      <c r="J52" s="44">
        <v>9600</v>
      </c>
      <c r="K52" s="40">
        <f>SUM(B52:J52)</f>
        <v>78600</v>
      </c>
      <c r="L52" s="45">
        <f>H38+K52</f>
        <v>96139.93</v>
      </c>
    </row>
    <row r="53" spans="1:12" ht="15.75">
      <c r="A53" s="21">
        <v>2015</v>
      </c>
      <c r="B53" s="43">
        <f>B52*2</f>
        <v>16800</v>
      </c>
      <c r="C53" s="43">
        <f t="shared" ref="C53:J53" si="4">C52*2</f>
        <v>24000</v>
      </c>
      <c r="D53" s="43">
        <f t="shared" si="4"/>
        <v>33600</v>
      </c>
      <c r="E53" s="43">
        <f t="shared" si="4"/>
        <v>12000</v>
      </c>
      <c r="F53" s="43">
        <f t="shared" si="4"/>
        <v>24000</v>
      </c>
      <c r="G53" s="43">
        <f t="shared" si="4"/>
        <v>8400</v>
      </c>
      <c r="H53" s="43">
        <f t="shared" si="4"/>
        <v>8400</v>
      </c>
      <c r="I53" s="43">
        <f t="shared" si="4"/>
        <v>10800</v>
      </c>
      <c r="J53" s="43">
        <f t="shared" si="4"/>
        <v>19200</v>
      </c>
      <c r="K53" s="40">
        <f>SUM(B53:J53)</f>
        <v>157200</v>
      </c>
      <c r="L53" s="45">
        <f>H39+K53</f>
        <v>175642.52</v>
      </c>
    </row>
    <row r="54" spans="1:12" ht="17.25">
      <c r="A54" s="22">
        <v>2016</v>
      </c>
      <c r="B54" s="38">
        <f>TREND($B$52:$B$53,$A$52:$A$53,A54)</f>
        <v>25200</v>
      </c>
      <c r="C54" s="38">
        <f>TREND($C$52:$C$53,$A$52:$A$53,A54)</f>
        <v>36000</v>
      </c>
      <c r="D54" s="38">
        <f>TREND($D$52:$D$53,$A$52:$A$53,A54)</f>
        <v>50400</v>
      </c>
      <c r="E54" s="38">
        <f>TREND($E$52:$E$53,$A$52:$A$53,A54)</f>
        <v>18000</v>
      </c>
      <c r="F54" s="38">
        <f>TREND($F$52:$F$53,$A$52:$A$53,A54)</f>
        <v>36000</v>
      </c>
      <c r="G54" s="38">
        <f>TREND($G$52:$G$53,$A$52:$A$53,A54)</f>
        <v>12600</v>
      </c>
      <c r="H54" s="38">
        <f>TREND($H$52:$H$53,$A$52:$A$53,A54)</f>
        <v>12600</v>
      </c>
      <c r="I54" s="38">
        <f>TREND($I$52:$I$53,$A$52:$A$53,A54)</f>
        <v>16200</v>
      </c>
      <c r="J54" s="38">
        <f>TREND($J$52:$J$53,$A$52:$A$53,A54)</f>
        <v>28800</v>
      </c>
      <c r="K54" s="40">
        <f t="shared" ref="K54:K61" si="5">SUM(B54:J54)</f>
        <v>235800</v>
      </c>
      <c r="L54" s="45">
        <f t="shared" ref="L54:L61" si="6">H40+K54</f>
        <v>255145.10999999987</v>
      </c>
    </row>
    <row r="55" spans="1:12" ht="17.25">
      <c r="A55" s="22">
        <v>2017</v>
      </c>
      <c r="B55" s="38">
        <f t="shared" ref="B55:B61" si="7">TREND($B$52:$B$53,$A$52:$A$53,A55)</f>
        <v>33600</v>
      </c>
      <c r="C55" s="38">
        <f t="shared" ref="C55:C61" si="8">TREND($C$52:$C$53,$A$52:$A$53,A55)</f>
        <v>48000</v>
      </c>
      <c r="D55" s="38">
        <f t="shared" ref="D55:D61" si="9">TREND($D$52:$D$53,$A$52:$A$53,A55)</f>
        <v>67200</v>
      </c>
      <c r="E55" s="38">
        <f t="shared" ref="E55:E61" si="10">TREND($E$52:$E$53,$A$52:$A$53,A55)</f>
        <v>24000</v>
      </c>
      <c r="F55" s="38">
        <f t="shared" ref="F55:F61" si="11">TREND($F$52:$F$53,$A$52:$A$53,A55)</f>
        <v>48000</v>
      </c>
      <c r="G55" s="38">
        <f t="shared" ref="G55:G61" si="12">TREND($G$52:$G$53,$A$52:$A$53,A55)</f>
        <v>16800</v>
      </c>
      <c r="H55" s="38">
        <f t="shared" ref="H55:H61" si="13">TREND($H$52:$H$53,$A$52:$A$53,A55)</f>
        <v>16800</v>
      </c>
      <c r="I55" s="38">
        <f t="shared" ref="I55:I61" si="14">TREND($I$52:$I$53,$A$52:$A$53,A55)</f>
        <v>21600</v>
      </c>
      <c r="J55" s="38">
        <f t="shared" ref="J55:J61" si="15">TREND($J$52:$J$53,$A$52:$A$53,A55)</f>
        <v>38400</v>
      </c>
      <c r="K55" s="40">
        <f t="shared" si="5"/>
        <v>314400</v>
      </c>
      <c r="L55" s="45">
        <f t="shared" si="6"/>
        <v>334647.69999999978</v>
      </c>
    </row>
    <row r="56" spans="1:12" ht="17.25">
      <c r="A56" s="22">
        <v>2018</v>
      </c>
      <c r="B56" s="38">
        <f t="shared" si="7"/>
        <v>42000</v>
      </c>
      <c r="C56" s="38">
        <f t="shared" si="8"/>
        <v>60000</v>
      </c>
      <c r="D56" s="38">
        <f t="shared" si="9"/>
        <v>84000</v>
      </c>
      <c r="E56" s="38">
        <f t="shared" si="10"/>
        <v>30000</v>
      </c>
      <c r="F56" s="38">
        <f t="shared" si="11"/>
        <v>60000</v>
      </c>
      <c r="G56" s="38">
        <f t="shared" si="12"/>
        <v>21000</v>
      </c>
      <c r="H56" s="38">
        <f t="shared" si="13"/>
        <v>21000</v>
      </c>
      <c r="I56" s="38">
        <f t="shared" si="14"/>
        <v>27000</v>
      </c>
      <c r="J56" s="38">
        <f t="shared" si="15"/>
        <v>48000</v>
      </c>
      <c r="K56" s="40">
        <f t="shared" si="5"/>
        <v>393000</v>
      </c>
      <c r="L56" s="45">
        <f t="shared" si="6"/>
        <v>414150.28999999992</v>
      </c>
    </row>
    <row r="57" spans="1:12" ht="17.25">
      <c r="A57" s="22">
        <v>2019</v>
      </c>
      <c r="B57" s="38">
        <f t="shared" si="7"/>
        <v>50400</v>
      </c>
      <c r="C57" s="38">
        <f t="shared" si="8"/>
        <v>72000</v>
      </c>
      <c r="D57" s="38">
        <f t="shared" si="9"/>
        <v>100800</v>
      </c>
      <c r="E57" s="38">
        <f t="shared" si="10"/>
        <v>36000</v>
      </c>
      <c r="F57" s="38">
        <f t="shared" si="11"/>
        <v>72000</v>
      </c>
      <c r="G57" s="38">
        <f t="shared" si="12"/>
        <v>25200</v>
      </c>
      <c r="H57" s="38">
        <f t="shared" si="13"/>
        <v>25200</v>
      </c>
      <c r="I57" s="38">
        <f t="shared" si="14"/>
        <v>32400</v>
      </c>
      <c r="J57" s="38">
        <f t="shared" si="15"/>
        <v>57600</v>
      </c>
      <c r="K57" s="40">
        <f t="shared" si="5"/>
        <v>471600</v>
      </c>
      <c r="L57" s="45">
        <f t="shared" si="6"/>
        <v>493652.87999999983</v>
      </c>
    </row>
    <row r="58" spans="1:12" ht="17.25">
      <c r="A58" s="22">
        <v>2020</v>
      </c>
      <c r="B58" s="38">
        <f t="shared" si="7"/>
        <v>58800</v>
      </c>
      <c r="C58" s="38">
        <f t="shared" si="8"/>
        <v>84000</v>
      </c>
      <c r="D58" s="38">
        <f t="shared" si="9"/>
        <v>117600</v>
      </c>
      <c r="E58" s="38">
        <f t="shared" si="10"/>
        <v>42000</v>
      </c>
      <c r="F58" s="38">
        <f t="shared" si="11"/>
        <v>84000</v>
      </c>
      <c r="G58" s="38">
        <f t="shared" si="12"/>
        <v>29400</v>
      </c>
      <c r="H58" s="38">
        <f t="shared" si="13"/>
        <v>29400</v>
      </c>
      <c r="I58" s="38">
        <f t="shared" si="14"/>
        <v>37800</v>
      </c>
      <c r="J58" s="38">
        <f t="shared" si="15"/>
        <v>67200</v>
      </c>
      <c r="K58" s="40">
        <f t="shared" si="5"/>
        <v>550200</v>
      </c>
      <c r="L58" s="45">
        <f t="shared" si="6"/>
        <v>573155.47</v>
      </c>
    </row>
    <row r="59" spans="1:12" ht="17.25">
      <c r="A59" s="22">
        <v>2021</v>
      </c>
      <c r="B59" s="38">
        <f t="shared" si="7"/>
        <v>67200</v>
      </c>
      <c r="C59" s="38">
        <f t="shared" si="8"/>
        <v>96000</v>
      </c>
      <c r="D59" s="38">
        <f t="shared" si="9"/>
        <v>134400</v>
      </c>
      <c r="E59" s="38">
        <f t="shared" si="10"/>
        <v>48000</v>
      </c>
      <c r="F59" s="38">
        <f t="shared" si="11"/>
        <v>96000</v>
      </c>
      <c r="G59" s="38">
        <f t="shared" si="12"/>
        <v>33600</v>
      </c>
      <c r="H59" s="38">
        <f t="shared" si="13"/>
        <v>33600</v>
      </c>
      <c r="I59" s="38">
        <f t="shared" si="14"/>
        <v>43200</v>
      </c>
      <c r="J59" s="38">
        <f t="shared" si="15"/>
        <v>76800</v>
      </c>
      <c r="K59" s="40">
        <f t="shared" si="5"/>
        <v>628800</v>
      </c>
      <c r="L59" s="45">
        <f t="shared" si="6"/>
        <v>652658.05999999982</v>
      </c>
    </row>
    <row r="60" spans="1:12" ht="17.25">
      <c r="A60" s="22">
        <v>2022</v>
      </c>
      <c r="B60" s="38">
        <f t="shared" si="7"/>
        <v>75600</v>
      </c>
      <c r="C60" s="38">
        <f t="shared" si="8"/>
        <v>108000</v>
      </c>
      <c r="D60" s="38">
        <f t="shared" si="9"/>
        <v>151200</v>
      </c>
      <c r="E60" s="38">
        <f t="shared" si="10"/>
        <v>54000</v>
      </c>
      <c r="F60" s="38">
        <f t="shared" si="11"/>
        <v>108000</v>
      </c>
      <c r="G60" s="38">
        <f t="shared" si="12"/>
        <v>37800</v>
      </c>
      <c r="H60" s="38">
        <f t="shared" si="13"/>
        <v>37800</v>
      </c>
      <c r="I60" s="38">
        <f t="shared" si="14"/>
        <v>48600</v>
      </c>
      <c r="J60" s="38">
        <f t="shared" si="15"/>
        <v>86400</v>
      </c>
      <c r="K60" s="40">
        <f t="shared" si="5"/>
        <v>707400</v>
      </c>
      <c r="L60" s="45">
        <f t="shared" si="6"/>
        <v>732160.64999999991</v>
      </c>
    </row>
    <row r="61" spans="1:12" ht="17.25">
      <c r="A61" s="21">
        <v>2023</v>
      </c>
      <c r="B61" s="38">
        <f t="shared" si="7"/>
        <v>84000</v>
      </c>
      <c r="C61" s="38">
        <f t="shared" si="8"/>
        <v>120000</v>
      </c>
      <c r="D61" s="38">
        <f t="shared" si="9"/>
        <v>168000</v>
      </c>
      <c r="E61" s="38">
        <f t="shared" si="10"/>
        <v>60000</v>
      </c>
      <c r="F61" s="38">
        <f t="shared" si="11"/>
        <v>120000</v>
      </c>
      <c r="G61" s="38">
        <f t="shared" si="12"/>
        <v>42000</v>
      </c>
      <c r="H61" s="38">
        <f t="shared" si="13"/>
        <v>42000</v>
      </c>
      <c r="I61" s="38">
        <f t="shared" si="14"/>
        <v>54000</v>
      </c>
      <c r="J61" s="38">
        <f t="shared" si="15"/>
        <v>96000</v>
      </c>
      <c r="K61" s="40">
        <f t="shared" si="5"/>
        <v>786000</v>
      </c>
      <c r="L61" s="45">
        <f t="shared" si="6"/>
        <v>811663.23999999987</v>
      </c>
    </row>
    <row r="63" spans="1:12" ht="15.75" thickBot="1"/>
    <row r="64" spans="1:12" ht="27.75" customHeight="1" thickBot="1">
      <c r="D64" s="95" t="s">
        <v>32</v>
      </c>
      <c r="E64" s="95"/>
      <c r="F64" s="11"/>
      <c r="G64" s="11"/>
      <c r="H64" s="11"/>
    </row>
    <row r="65" spans="2:15" ht="17.25">
      <c r="D65" s="96" t="s">
        <v>33</v>
      </c>
      <c r="E65" s="12" t="s">
        <v>34</v>
      </c>
      <c r="F65" s="11"/>
      <c r="G65" s="11"/>
      <c r="H65" s="11"/>
    </row>
    <row r="66" spans="2:15" ht="18" thickBot="1">
      <c r="D66" s="96"/>
      <c r="E66" s="12" t="s">
        <v>35</v>
      </c>
      <c r="F66" s="11"/>
      <c r="G66" s="11"/>
      <c r="H66" s="11"/>
    </row>
    <row r="67" spans="2:15" ht="18" thickBot="1">
      <c r="D67" s="64" t="s">
        <v>36</v>
      </c>
      <c r="E67" s="13">
        <v>50000</v>
      </c>
      <c r="F67" s="56" t="s">
        <v>37</v>
      </c>
      <c r="G67" s="11"/>
      <c r="H67" s="11"/>
    </row>
    <row r="68" spans="2:15" ht="30">
      <c r="D68" s="64" t="s">
        <v>38</v>
      </c>
      <c r="E68" s="136">
        <f>11.83%/12</f>
        <v>9.8583333333333335E-3</v>
      </c>
      <c r="F68" s="54">
        <v>0.1183</v>
      </c>
      <c r="G68" s="11"/>
      <c r="H68" s="11"/>
    </row>
    <row r="69" spans="2:15" ht="18" thickBot="1">
      <c r="D69" s="64" t="s">
        <v>39</v>
      </c>
      <c r="E69" s="12">
        <f>8*12</f>
        <v>96</v>
      </c>
      <c r="F69" s="55">
        <v>8</v>
      </c>
      <c r="G69" s="11"/>
      <c r="H69" s="11"/>
    </row>
    <row r="70" spans="2:15" ht="17.25" thickBot="1">
      <c r="D70" s="14" t="s">
        <v>40</v>
      </c>
      <c r="E70" s="15">
        <v>96</v>
      </c>
      <c r="F70" s="11"/>
      <c r="G70" s="11"/>
      <c r="H70" s="11"/>
    </row>
    <row r="71" spans="2:15" ht="17.25" thickBot="1">
      <c r="D71" s="16" t="s">
        <v>41</v>
      </c>
      <c r="E71" s="17">
        <f>F68/12</f>
        <v>9.8583333333333335E-3</v>
      </c>
      <c r="F71" s="11"/>
      <c r="G71" s="11"/>
      <c r="H71" s="11"/>
    </row>
    <row r="72" spans="2:15" ht="17.25" thickBot="1">
      <c r="D72" s="14" t="s">
        <v>42</v>
      </c>
      <c r="E72" s="18">
        <f>PMT(E71,E69,-E67)</f>
        <v>807.97904870472917</v>
      </c>
      <c r="F72" s="11"/>
      <c r="G72" s="11"/>
      <c r="H72" s="11"/>
      <c r="J72" s="81" t="s">
        <v>43</v>
      </c>
      <c r="K72" s="81"/>
      <c r="L72" s="81"/>
      <c r="M72" s="81"/>
      <c r="N72" s="81"/>
      <c r="O72" s="81"/>
    </row>
    <row r="73" spans="2:15" ht="16.5">
      <c r="B73" s="9"/>
      <c r="C73" s="8"/>
      <c r="D73" s="11"/>
      <c r="E73" s="11"/>
      <c r="F73" s="11"/>
      <c r="G73" s="11"/>
      <c r="H73" s="11"/>
    </row>
    <row r="74" spans="2:15">
      <c r="C74" s="65" t="s">
        <v>44</v>
      </c>
      <c r="D74" s="63"/>
      <c r="E74" s="63" t="s">
        <v>45</v>
      </c>
      <c r="F74" s="63" t="s">
        <v>46</v>
      </c>
      <c r="G74" s="63" t="s">
        <v>47</v>
      </c>
      <c r="H74" s="63" t="s">
        <v>48</v>
      </c>
      <c r="J74" s="46" t="s">
        <v>49</v>
      </c>
      <c r="K74" s="66" t="s">
        <v>50</v>
      </c>
      <c r="L74" s="66" t="s">
        <v>51</v>
      </c>
      <c r="M74" s="66" t="s">
        <v>52</v>
      </c>
      <c r="N74" s="66" t="s">
        <v>53</v>
      </c>
      <c r="O74" s="66" t="s">
        <v>54</v>
      </c>
    </row>
    <row r="75" spans="2:15">
      <c r="C75" s="65">
        <v>0</v>
      </c>
      <c r="D75" s="63"/>
      <c r="E75" s="63"/>
      <c r="F75" s="63"/>
      <c r="G75" s="63"/>
      <c r="H75" s="137">
        <f>E67</f>
        <v>50000</v>
      </c>
      <c r="J75" s="46"/>
      <c r="K75" s="66"/>
      <c r="L75" s="66"/>
      <c r="M75" s="66"/>
      <c r="N75" s="66"/>
      <c r="O75" s="66"/>
    </row>
    <row r="76" spans="2:15" ht="16.5">
      <c r="C76" s="65">
        <v>1</v>
      </c>
      <c r="D76" s="19"/>
      <c r="E76" s="19">
        <f>PMT($E$71,$E$70,-$E$67)</f>
        <v>807.97904870472917</v>
      </c>
      <c r="F76" s="19">
        <f>IPMT($E$71,C76,$E$70,-$E$67)</f>
        <v>492.91666666666669</v>
      </c>
      <c r="G76" s="20">
        <f>PPMT($E$71,C76,$E$70,-$E$67)</f>
        <v>315.06238203806242</v>
      </c>
      <c r="H76" s="19">
        <f>H75-G76</f>
        <v>49684.937617961936</v>
      </c>
      <c r="J76" s="65">
        <v>0</v>
      </c>
      <c r="K76" s="40"/>
      <c r="L76" s="40"/>
      <c r="M76" s="40"/>
      <c r="N76" s="40"/>
      <c r="O76" s="40">
        <f>E67</f>
        <v>50000</v>
      </c>
    </row>
    <row r="77" spans="2:15" ht="16.5">
      <c r="C77" s="65">
        <v>2</v>
      </c>
      <c r="D77" s="19"/>
      <c r="E77" s="19">
        <f t="shared" ref="E77:E140" si="16">PMT($E$71,$E$70,-$E$67)</f>
        <v>807.97904870472917</v>
      </c>
      <c r="F77" s="19">
        <f t="shared" ref="F77:F140" si="17">IPMT($E$71,C77,$E$70,-$E$67)</f>
        <v>489.81067668374152</v>
      </c>
      <c r="G77" s="20">
        <f t="shared" ref="G77:G140" si="18">PPMT($E$71,C77,$E$70,-$E$67)</f>
        <v>318.16837202098765</v>
      </c>
      <c r="H77" s="19">
        <f t="shared" ref="H77:H140" si="19">H76-G77</f>
        <v>49366.769245940945</v>
      </c>
      <c r="J77" s="65">
        <v>1</v>
      </c>
      <c r="K77" s="40"/>
      <c r="L77" s="40">
        <f>IPMT($F$68,J77,$F$69,-$E$67)</f>
        <v>5915</v>
      </c>
      <c r="M77" s="40">
        <f>PPMT($F$68,J77,$F$69,-$E$67)</f>
        <v>4090.4330873346926</v>
      </c>
      <c r="N77" s="40">
        <f>PMT($F$68,$F$69,-$E$67)</f>
        <v>10005.433087334693</v>
      </c>
      <c r="O77" s="40">
        <f>O76-M77</f>
        <v>45909.566912665308</v>
      </c>
    </row>
    <row r="78" spans="2:15" ht="16.5">
      <c r="C78" s="65">
        <v>3</v>
      </c>
      <c r="D78" s="19"/>
      <c r="E78" s="19">
        <f t="shared" si="16"/>
        <v>807.97904870472917</v>
      </c>
      <c r="F78" s="19">
        <f t="shared" si="17"/>
        <v>486.67406681623459</v>
      </c>
      <c r="G78" s="20">
        <f t="shared" si="18"/>
        <v>321.30498188849452</v>
      </c>
      <c r="H78" s="19">
        <f t="shared" si="19"/>
        <v>49045.464264052447</v>
      </c>
      <c r="J78" s="65">
        <v>2</v>
      </c>
      <c r="K78" s="40"/>
      <c r="L78" s="40">
        <f t="shared" ref="L78:L84" si="20">IPMT($F$68,J78,$F$69,-$E$67)</f>
        <v>5431.101765768306</v>
      </c>
      <c r="M78" s="40">
        <f t="shared" ref="M78:M84" si="21">PPMT($F$68,J78,$F$69,-$E$67)</f>
        <v>4574.3313215663866</v>
      </c>
      <c r="N78" s="40">
        <f t="shared" ref="N78:N84" si="22">PMT($F$68,$F$69,-$E$67)</f>
        <v>10005.433087334693</v>
      </c>
      <c r="O78" s="40">
        <f t="shared" ref="O78:O84" si="23">O77-M78</f>
        <v>41335.235591098921</v>
      </c>
    </row>
    <row r="79" spans="2:15" ht="16.5">
      <c r="C79" s="65">
        <v>4</v>
      </c>
      <c r="D79" s="19"/>
      <c r="E79" s="19">
        <f t="shared" si="16"/>
        <v>807.97904870472917</v>
      </c>
      <c r="F79" s="19">
        <f t="shared" si="17"/>
        <v>483.50653520311727</v>
      </c>
      <c r="G79" s="20">
        <f t="shared" si="18"/>
        <v>324.47251350161196</v>
      </c>
      <c r="H79" s="19">
        <f t="shared" si="19"/>
        <v>48720.991750550835</v>
      </c>
      <c r="J79" s="65">
        <v>3</v>
      </c>
      <c r="K79" s="40"/>
      <c r="L79" s="40">
        <f t="shared" si="20"/>
        <v>4889.9583704270035</v>
      </c>
      <c r="M79" s="40">
        <f t="shared" si="21"/>
        <v>5115.47471690769</v>
      </c>
      <c r="N79" s="40">
        <f t="shared" si="22"/>
        <v>10005.433087334693</v>
      </c>
      <c r="O79" s="40">
        <f t="shared" si="23"/>
        <v>36219.760874191234</v>
      </c>
    </row>
    <row r="80" spans="2:15" ht="16.5">
      <c r="C80" s="65">
        <v>5</v>
      </c>
      <c r="D80" s="19"/>
      <c r="E80" s="19">
        <f t="shared" si="16"/>
        <v>807.97904870472917</v>
      </c>
      <c r="F80" s="19">
        <f t="shared" si="17"/>
        <v>480.30777700751372</v>
      </c>
      <c r="G80" s="20">
        <f t="shared" si="18"/>
        <v>327.67127169721539</v>
      </c>
      <c r="H80" s="19">
        <f t="shared" si="19"/>
        <v>48393.320478853617</v>
      </c>
      <c r="J80" s="65">
        <v>4</v>
      </c>
      <c r="K80" s="40"/>
      <c r="L80" s="40">
        <f t="shared" si="20"/>
        <v>4284.7977114168234</v>
      </c>
      <c r="M80" s="40">
        <f t="shared" si="21"/>
        <v>5720.6353759178701</v>
      </c>
      <c r="N80" s="40">
        <f t="shared" si="22"/>
        <v>10005.433087334693</v>
      </c>
      <c r="O80" s="40">
        <f t="shared" si="23"/>
        <v>30499.125498273363</v>
      </c>
    </row>
    <row r="81" spans="3:15" ht="16.5">
      <c r="C81" s="65">
        <v>6</v>
      </c>
      <c r="D81" s="19"/>
      <c r="E81" s="19">
        <f t="shared" si="16"/>
        <v>807.97904870472917</v>
      </c>
      <c r="F81" s="19">
        <f t="shared" si="17"/>
        <v>477.07748438736525</v>
      </c>
      <c r="G81" s="20">
        <f t="shared" si="18"/>
        <v>330.90156431736375</v>
      </c>
      <c r="H81" s="19">
        <f t="shared" si="19"/>
        <v>48062.418914536254</v>
      </c>
      <c r="J81" s="65">
        <v>5</v>
      </c>
      <c r="K81" s="40"/>
      <c r="L81" s="40">
        <f t="shared" si="20"/>
        <v>3608.0465464457393</v>
      </c>
      <c r="M81" s="40">
        <f t="shared" si="21"/>
        <v>6397.3865408889524</v>
      </c>
      <c r="N81" s="40">
        <f t="shared" si="22"/>
        <v>10005.433087334693</v>
      </c>
      <c r="O81" s="40">
        <f t="shared" si="23"/>
        <v>24101.738957384412</v>
      </c>
    </row>
    <row r="82" spans="3:15" ht="16.5">
      <c r="C82" s="65">
        <v>7</v>
      </c>
      <c r="D82" s="19"/>
      <c r="E82" s="19">
        <f t="shared" si="16"/>
        <v>807.97904870472917</v>
      </c>
      <c r="F82" s="19">
        <f t="shared" si="17"/>
        <v>473.81534646580349</v>
      </c>
      <c r="G82" s="20">
        <f t="shared" si="18"/>
        <v>334.16370223892579</v>
      </c>
      <c r="H82" s="19">
        <f t="shared" si="19"/>
        <v>47728.255212297328</v>
      </c>
      <c r="J82" s="65">
        <v>6</v>
      </c>
      <c r="K82" s="40"/>
      <c r="L82" s="40">
        <f t="shared" si="20"/>
        <v>2851.2357186585764</v>
      </c>
      <c r="M82" s="40">
        <f t="shared" si="21"/>
        <v>7154.1973686761166</v>
      </c>
      <c r="N82" s="40">
        <f t="shared" si="22"/>
        <v>10005.433087334693</v>
      </c>
      <c r="O82" s="40">
        <f t="shared" si="23"/>
        <v>16947.541588708296</v>
      </c>
    </row>
    <row r="83" spans="3:15" ht="16.5">
      <c r="C83" s="65">
        <v>8</v>
      </c>
      <c r="D83" s="19"/>
      <c r="E83" s="19">
        <f t="shared" si="16"/>
        <v>807.97904870472917</v>
      </c>
      <c r="F83" s="19">
        <f t="shared" si="17"/>
        <v>470.5210493012313</v>
      </c>
      <c r="G83" s="20">
        <f t="shared" si="18"/>
        <v>337.45799940349781</v>
      </c>
      <c r="H83" s="19">
        <f t="shared" si="19"/>
        <v>47390.797212893827</v>
      </c>
      <c r="J83" s="65">
        <v>7</v>
      </c>
      <c r="K83" s="40"/>
      <c r="L83" s="40">
        <f t="shared" si="20"/>
        <v>2004.8941699441914</v>
      </c>
      <c r="M83" s="40">
        <f t="shared" si="21"/>
        <v>8000.5389173905014</v>
      </c>
      <c r="N83" s="40">
        <f t="shared" si="22"/>
        <v>10005.433087334693</v>
      </c>
      <c r="O83" s="40">
        <f t="shared" si="23"/>
        <v>8947.002671317794</v>
      </c>
    </row>
    <row r="84" spans="3:15" ht="16.5">
      <c r="C84" s="65">
        <v>9</v>
      </c>
      <c r="D84" s="19"/>
      <c r="E84" s="19">
        <f t="shared" si="16"/>
        <v>807.97904870472917</v>
      </c>
      <c r="F84" s="19">
        <f t="shared" si="17"/>
        <v>467.19427585711185</v>
      </c>
      <c r="G84" s="20">
        <f t="shared" si="18"/>
        <v>340.78477284761732</v>
      </c>
      <c r="H84" s="19">
        <f t="shared" si="19"/>
        <v>47050.012440046208</v>
      </c>
      <c r="J84" s="65">
        <v>8</v>
      </c>
      <c r="K84" s="40"/>
      <c r="L84" s="40">
        <f t="shared" si="20"/>
        <v>1058.4304160168954</v>
      </c>
      <c r="M84" s="40">
        <f t="shared" si="21"/>
        <v>8947.0026713177976</v>
      </c>
      <c r="N84" s="40">
        <f t="shared" si="22"/>
        <v>10005.433087334693</v>
      </c>
      <c r="O84" s="40">
        <f t="shared" si="23"/>
        <v>0</v>
      </c>
    </row>
    <row r="85" spans="3:15" ht="16.5">
      <c r="C85" s="65">
        <v>10</v>
      </c>
      <c r="D85" s="19"/>
      <c r="E85" s="19">
        <f t="shared" si="16"/>
        <v>807.97904870472917</v>
      </c>
      <c r="F85" s="19">
        <f t="shared" si="17"/>
        <v>463.83470597145578</v>
      </c>
      <c r="G85" s="20">
        <f t="shared" si="18"/>
        <v>344.14434273327339</v>
      </c>
      <c r="H85" s="19">
        <f t="shared" si="19"/>
        <v>46705.868097312938</v>
      </c>
    </row>
    <row r="86" spans="3:15" ht="16.5">
      <c r="C86" s="65">
        <v>11</v>
      </c>
      <c r="D86" s="19"/>
      <c r="E86" s="19">
        <f t="shared" si="16"/>
        <v>807.97904870472917</v>
      </c>
      <c r="F86" s="19">
        <f t="shared" si="17"/>
        <v>460.44201632601022</v>
      </c>
      <c r="G86" s="20">
        <f t="shared" si="18"/>
        <v>347.53703237871895</v>
      </c>
      <c r="H86" s="19">
        <f t="shared" si="19"/>
        <v>46358.331064934217</v>
      </c>
    </row>
    <row r="87" spans="3:15" ht="16.5">
      <c r="C87" s="65">
        <v>12</v>
      </c>
      <c r="D87" s="19"/>
      <c r="E87" s="19">
        <f t="shared" si="16"/>
        <v>807.97904870472917</v>
      </c>
      <c r="F87" s="19">
        <f t="shared" si="17"/>
        <v>457.01588041514333</v>
      </c>
      <c r="G87" s="20">
        <f t="shared" si="18"/>
        <v>350.96316828958584</v>
      </c>
      <c r="H87" s="19">
        <f t="shared" si="19"/>
        <v>46007.367896644631</v>
      </c>
      <c r="I87" s="36"/>
    </row>
    <row r="88" spans="3:15" ht="16.5">
      <c r="C88" s="65">
        <v>13</v>
      </c>
      <c r="D88" s="19"/>
      <c r="E88" s="19">
        <f t="shared" si="16"/>
        <v>807.97904870472917</v>
      </c>
      <c r="F88" s="19">
        <f t="shared" si="17"/>
        <v>453.55596851442181</v>
      </c>
      <c r="G88" s="20">
        <f t="shared" si="18"/>
        <v>354.4230801903073</v>
      </c>
      <c r="H88" s="19">
        <f t="shared" si="19"/>
        <v>45652.944816454321</v>
      </c>
    </row>
    <row r="89" spans="3:15" ht="16.5">
      <c r="C89" s="65">
        <v>14</v>
      </c>
      <c r="D89" s="19"/>
      <c r="E89" s="19">
        <f t="shared" si="16"/>
        <v>807.97904870472917</v>
      </c>
      <c r="F89" s="19">
        <f t="shared" si="17"/>
        <v>450.06194764887908</v>
      </c>
      <c r="G89" s="20">
        <f t="shared" si="18"/>
        <v>357.91710105585008</v>
      </c>
      <c r="H89" s="19">
        <f t="shared" si="19"/>
        <v>45295.027715398472</v>
      </c>
    </row>
    <row r="90" spans="3:15" ht="16.5">
      <c r="C90" s="65">
        <v>15</v>
      </c>
      <c r="D90" s="19"/>
      <c r="E90" s="19">
        <f t="shared" si="16"/>
        <v>807.97904870472917</v>
      </c>
      <c r="F90" s="19">
        <f t="shared" si="17"/>
        <v>446.53348156097013</v>
      </c>
      <c r="G90" s="20">
        <f t="shared" si="18"/>
        <v>361.44556714375898</v>
      </c>
      <c r="H90" s="19">
        <f t="shared" si="19"/>
        <v>44933.582148254711</v>
      </c>
    </row>
    <row r="91" spans="3:15" ht="16.5">
      <c r="C91" s="65">
        <v>16</v>
      </c>
      <c r="D91" s="19"/>
      <c r="E91" s="19">
        <f t="shared" si="16"/>
        <v>807.97904870472917</v>
      </c>
      <c r="F91" s="19">
        <f t="shared" si="17"/>
        <v>442.97023067821124</v>
      </c>
      <c r="G91" s="20">
        <f t="shared" si="18"/>
        <v>365.00881802651787</v>
      </c>
      <c r="H91" s="19">
        <f t="shared" si="19"/>
        <v>44568.573330228195</v>
      </c>
    </row>
    <row r="92" spans="3:15" ht="16.5">
      <c r="C92" s="65">
        <v>17</v>
      </c>
      <c r="D92" s="19"/>
      <c r="E92" s="19">
        <f t="shared" si="16"/>
        <v>807.97904870472917</v>
      </c>
      <c r="F92" s="19">
        <f t="shared" si="17"/>
        <v>439.37185208049982</v>
      </c>
      <c r="G92" s="20">
        <f t="shared" si="18"/>
        <v>368.60719662422929</v>
      </c>
      <c r="H92" s="19">
        <f t="shared" si="19"/>
        <v>44199.966133603964</v>
      </c>
    </row>
    <row r="93" spans="3:15" ht="16.5">
      <c r="C93" s="65">
        <v>18</v>
      </c>
      <c r="D93" s="19"/>
      <c r="E93" s="19">
        <f t="shared" si="16"/>
        <v>807.97904870472917</v>
      </c>
      <c r="F93" s="19">
        <f t="shared" si="17"/>
        <v>435.73799946711256</v>
      </c>
      <c r="G93" s="20">
        <f t="shared" si="18"/>
        <v>372.24104923761649</v>
      </c>
      <c r="H93" s="19">
        <f t="shared" si="19"/>
        <v>43827.72508436635</v>
      </c>
    </row>
    <row r="94" spans="3:15" ht="16.5">
      <c r="C94" s="65">
        <v>19</v>
      </c>
      <c r="D94" s="19"/>
      <c r="E94" s="19">
        <f t="shared" si="16"/>
        <v>807.97904870472917</v>
      </c>
      <c r="F94" s="19">
        <f t="shared" si="17"/>
        <v>432.06832312337849</v>
      </c>
      <c r="G94" s="20">
        <f t="shared" si="18"/>
        <v>375.91072558135073</v>
      </c>
      <c r="H94" s="19">
        <f t="shared" si="19"/>
        <v>43451.814358784999</v>
      </c>
    </row>
    <row r="95" spans="3:15" ht="16.5">
      <c r="C95" s="65">
        <v>20</v>
      </c>
      <c r="D95" s="19"/>
      <c r="E95" s="19">
        <f t="shared" si="16"/>
        <v>807.97904870472917</v>
      </c>
      <c r="F95" s="19">
        <f t="shared" si="17"/>
        <v>428.36246988702226</v>
      </c>
      <c r="G95" s="20">
        <f t="shared" si="18"/>
        <v>379.61657881770685</v>
      </c>
      <c r="H95" s="19">
        <f t="shared" si="19"/>
        <v>43072.19777996729</v>
      </c>
    </row>
    <row r="96" spans="3:15" ht="16.5">
      <c r="C96" s="65">
        <v>21</v>
      </c>
      <c r="D96" s="19"/>
      <c r="E96" s="19">
        <f t="shared" si="16"/>
        <v>807.97904870472917</v>
      </c>
      <c r="F96" s="19">
        <f t="shared" si="17"/>
        <v>424.6200831141777</v>
      </c>
      <c r="G96" s="20">
        <f t="shared" si="18"/>
        <v>383.35896559055146</v>
      </c>
      <c r="H96" s="19">
        <f t="shared" si="19"/>
        <v>42688.838814376737</v>
      </c>
    </row>
    <row r="97" spans="3:9" ht="16.5">
      <c r="C97" s="65">
        <v>22</v>
      </c>
      <c r="D97" s="19"/>
      <c r="E97" s="19">
        <f t="shared" si="16"/>
        <v>807.97904870472917</v>
      </c>
      <c r="F97" s="19">
        <f t="shared" si="17"/>
        <v>420.84080264506423</v>
      </c>
      <c r="G97" s="20">
        <f t="shared" si="18"/>
        <v>387.13824605966494</v>
      </c>
      <c r="H97" s="19">
        <f t="shared" si="19"/>
        <v>42301.700568317072</v>
      </c>
    </row>
    <row r="98" spans="3:9" ht="16.5">
      <c r="C98" s="65">
        <v>23</v>
      </c>
      <c r="D98" s="19"/>
      <c r="E98" s="19">
        <f t="shared" si="16"/>
        <v>807.97904870472917</v>
      </c>
      <c r="F98" s="19">
        <f t="shared" si="17"/>
        <v>417.02426476932601</v>
      </c>
      <c r="G98" s="20">
        <f t="shared" si="18"/>
        <v>390.9547839354031</v>
      </c>
      <c r="H98" s="19">
        <f t="shared" si="19"/>
        <v>41910.745784381666</v>
      </c>
    </row>
    <row r="99" spans="3:9" ht="16.5">
      <c r="C99" s="65">
        <v>24</v>
      </c>
      <c r="D99" s="19"/>
      <c r="E99" s="19">
        <f t="shared" si="16"/>
        <v>807.97904870472917</v>
      </c>
      <c r="F99" s="19">
        <f t="shared" si="17"/>
        <v>413.17010219102946</v>
      </c>
      <c r="G99" s="20">
        <f t="shared" si="18"/>
        <v>394.80894651369965</v>
      </c>
      <c r="H99" s="19">
        <f t="shared" si="19"/>
        <v>41515.936837867965</v>
      </c>
      <c r="I99" s="36"/>
    </row>
    <row r="100" spans="3:9" ht="16.5">
      <c r="C100" s="65">
        <v>25</v>
      </c>
      <c r="D100" s="19"/>
      <c r="E100" s="19">
        <f t="shared" si="16"/>
        <v>807.97904870472917</v>
      </c>
      <c r="F100" s="19">
        <f t="shared" si="17"/>
        <v>409.27794399331526</v>
      </c>
      <c r="G100" s="20">
        <f t="shared" si="18"/>
        <v>398.70110471141385</v>
      </c>
      <c r="H100" s="19">
        <f t="shared" si="19"/>
        <v>41117.235733156551</v>
      </c>
    </row>
    <row r="101" spans="3:9" ht="16.5">
      <c r="C101" s="65">
        <v>26</v>
      </c>
      <c r="D101" s="19"/>
      <c r="E101" s="19">
        <f t="shared" si="16"/>
        <v>807.97904870472917</v>
      </c>
      <c r="F101" s="19">
        <f t="shared" si="17"/>
        <v>405.34741560270197</v>
      </c>
      <c r="G101" s="20">
        <f t="shared" si="18"/>
        <v>402.63163310202719</v>
      </c>
      <c r="H101" s="19">
        <f t="shared" si="19"/>
        <v>40714.604100054523</v>
      </c>
    </row>
    <row r="102" spans="3:9" ht="16.5">
      <c r="C102" s="65">
        <v>27</v>
      </c>
      <c r="D102" s="19"/>
      <c r="E102" s="19">
        <f t="shared" si="16"/>
        <v>807.97904870472917</v>
      </c>
      <c r="F102" s="19">
        <f t="shared" si="17"/>
        <v>401.37813875303772</v>
      </c>
      <c r="G102" s="20">
        <f t="shared" si="18"/>
        <v>406.60090995169139</v>
      </c>
      <c r="H102" s="19">
        <f t="shared" si="19"/>
        <v>40308.003190102834</v>
      </c>
    </row>
    <row r="103" spans="3:9" ht="16.5">
      <c r="C103" s="65">
        <v>28</v>
      </c>
      <c r="D103" s="19"/>
      <c r="E103" s="19">
        <f t="shared" si="16"/>
        <v>807.97904870472917</v>
      </c>
      <c r="F103" s="19">
        <f t="shared" si="17"/>
        <v>397.36973144909734</v>
      </c>
      <c r="G103" s="20">
        <f t="shared" si="18"/>
        <v>410.60931725563182</v>
      </c>
      <c r="H103" s="19">
        <f t="shared" si="19"/>
        <v>39897.393872847206</v>
      </c>
    </row>
    <row r="104" spans="3:9" ht="16.5">
      <c r="C104" s="65">
        <v>29</v>
      </c>
      <c r="D104" s="19"/>
      <c r="E104" s="19">
        <f t="shared" si="16"/>
        <v>807.97904870472917</v>
      </c>
      <c r="F104" s="19">
        <f t="shared" si="17"/>
        <v>393.32180792981899</v>
      </c>
      <c r="G104" s="20">
        <f t="shared" si="18"/>
        <v>414.65724077491029</v>
      </c>
      <c r="H104" s="19">
        <f t="shared" si="19"/>
        <v>39482.736632072294</v>
      </c>
    </row>
    <row r="105" spans="3:9" ht="16.5">
      <c r="C105" s="65">
        <v>30</v>
      </c>
      <c r="D105" s="19"/>
      <c r="E105" s="19">
        <f t="shared" si="16"/>
        <v>807.97904870472917</v>
      </c>
      <c r="F105" s="19">
        <f t="shared" si="17"/>
        <v>389.23397863117964</v>
      </c>
      <c r="G105" s="20">
        <f t="shared" si="18"/>
        <v>418.74507007354953</v>
      </c>
      <c r="H105" s="19">
        <f t="shared" si="19"/>
        <v>39063.991561998744</v>
      </c>
    </row>
    <row r="106" spans="3:9" ht="16.5">
      <c r="C106" s="65">
        <v>31</v>
      </c>
      <c r="D106" s="19"/>
      <c r="E106" s="19">
        <f t="shared" si="16"/>
        <v>807.97904870472917</v>
      </c>
      <c r="F106" s="19">
        <f t="shared" si="17"/>
        <v>385.10585014870458</v>
      </c>
      <c r="G106" s="20">
        <f t="shared" si="18"/>
        <v>422.87319855602465</v>
      </c>
      <c r="H106" s="19">
        <f t="shared" si="19"/>
        <v>38641.118363442722</v>
      </c>
    </row>
    <row r="107" spans="3:9" ht="16.5">
      <c r="C107" s="65">
        <v>32</v>
      </c>
      <c r="D107" s="19"/>
      <c r="E107" s="19">
        <f t="shared" si="16"/>
        <v>807.97904870472917</v>
      </c>
      <c r="F107" s="19">
        <f t="shared" si="17"/>
        <v>380.93702519960641</v>
      </c>
      <c r="G107" s="20">
        <f t="shared" si="18"/>
        <v>427.04202350512276</v>
      </c>
      <c r="H107" s="19">
        <f t="shared" si="19"/>
        <v>38214.076339937601</v>
      </c>
    </row>
    <row r="108" spans="3:9" ht="16.5">
      <c r="C108" s="65">
        <v>33</v>
      </c>
      <c r="D108" s="19"/>
      <c r="E108" s="19">
        <f t="shared" si="16"/>
        <v>807.97904870472917</v>
      </c>
      <c r="F108" s="19">
        <f t="shared" si="17"/>
        <v>376.72710258455169</v>
      </c>
      <c r="G108" s="20">
        <f t="shared" si="18"/>
        <v>431.25194612017742</v>
      </c>
      <c r="H108" s="19">
        <f t="shared" si="19"/>
        <v>37782.82439381742</v>
      </c>
    </row>
    <row r="109" spans="3:9" ht="16.5">
      <c r="C109" s="65">
        <v>34</v>
      </c>
      <c r="D109" s="19"/>
      <c r="E109" s="19">
        <f>PMT($E$71,$E$70,-$E$67)</f>
        <v>807.97904870472917</v>
      </c>
      <c r="F109" s="19">
        <f t="shared" si="17"/>
        <v>372.47567714905023</v>
      </c>
      <c r="G109" s="20">
        <f t="shared" si="18"/>
        <v>435.50337155567883</v>
      </c>
      <c r="H109" s="19">
        <f t="shared" si="19"/>
        <v>37347.321022261742</v>
      </c>
    </row>
    <row r="110" spans="3:9" ht="16.5">
      <c r="C110" s="65">
        <v>35</v>
      </c>
      <c r="D110" s="19"/>
      <c r="E110" s="19">
        <f t="shared" si="16"/>
        <v>807.97904870472917</v>
      </c>
      <c r="F110" s="19">
        <f t="shared" si="17"/>
        <v>368.18233974446389</v>
      </c>
      <c r="G110" s="20">
        <f t="shared" si="18"/>
        <v>439.79670896026522</v>
      </c>
      <c r="H110" s="19">
        <f t="shared" si="19"/>
        <v>36907.524313301474</v>
      </c>
    </row>
    <row r="111" spans="3:9" ht="16.5">
      <c r="C111" s="65">
        <v>36</v>
      </c>
      <c r="D111" s="19"/>
      <c r="E111" s="19">
        <f t="shared" si="16"/>
        <v>807.97904870472917</v>
      </c>
      <c r="F111" s="19">
        <f t="shared" si="17"/>
        <v>363.84667718863057</v>
      </c>
      <c r="G111" s="20">
        <f t="shared" si="18"/>
        <v>444.13237151609854</v>
      </c>
      <c r="H111" s="19">
        <f t="shared" si="19"/>
        <v>36463.391941785376</v>
      </c>
      <c r="I111" s="36"/>
    </row>
    <row r="112" spans="3:9" ht="16.5">
      <c r="C112" s="65">
        <v>37</v>
      </c>
      <c r="D112" s="19"/>
      <c r="E112" s="19">
        <f t="shared" si="16"/>
        <v>807.97904870472917</v>
      </c>
      <c r="F112" s="19">
        <f t="shared" si="17"/>
        <v>359.46827222610108</v>
      </c>
      <c r="G112" s="20">
        <f t="shared" si="18"/>
        <v>448.51077647862803</v>
      </c>
      <c r="H112" s="19">
        <f t="shared" si="19"/>
        <v>36014.881165306746</v>
      </c>
    </row>
    <row r="113" spans="3:9" ht="16.5">
      <c r="C113" s="65">
        <v>38</v>
      </c>
      <c r="D113" s="19"/>
      <c r="E113" s="19">
        <f t="shared" si="16"/>
        <v>807.97904870472917</v>
      </c>
      <c r="F113" s="19">
        <f t="shared" si="17"/>
        <v>355.04670348798254</v>
      </c>
      <c r="G113" s="20">
        <f t="shared" si="18"/>
        <v>452.93234521674651</v>
      </c>
      <c r="H113" s="19">
        <f t="shared" si="19"/>
        <v>35561.948820090001</v>
      </c>
    </row>
    <row r="114" spans="3:9" ht="16.5">
      <c r="C114" s="65">
        <v>39</v>
      </c>
      <c r="D114" s="19"/>
      <c r="E114" s="19">
        <f t="shared" si="16"/>
        <v>807.97904870472917</v>
      </c>
      <c r="F114" s="19">
        <f t="shared" si="17"/>
        <v>350.58154545138751</v>
      </c>
      <c r="G114" s="20">
        <f t="shared" si="18"/>
        <v>457.39750325334165</v>
      </c>
      <c r="H114" s="19">
        <f t="shared" si="19"/>
        <v>35104.55131683666</v>
      </c>
    </row>
    <row r="115" spans="3:9" ht="16.5">
      <c r="C115" s="65">
        <v>40</v>
      </c>
      <c r="D115" s="19"/>
      <c r="E115" s="19">
        <f t="shared" si="16"/>
        <v>807.97904870472917</v>
      </c>
      <c r="F115" s="19">
        <f t="shared" si="17"/>
        <v>346.07236839848161</v>
      </c>
      <c r="G115" s="20">
        <f t="shared" si="18"/>
        <v>461.90668030624749</v>
      </c>
      <c r="H115" s="19">
        <f t="shared" si="19"/>
        <v>34642.644636530415</v>
      </c>
    </row>
    <row r="116" spans="3:9" ht="16.5">
      <c r="C116" s="65">
        <v>41</v>
      </c>
      <c r="D116" s="19"/>
      <c r="E116" s="19">
        <f t="shared" si="16"/>
        <v>807.97904870472917</v>
      </c>
      <c r="F116" s="19">
        <f t="shared" si="17"/>
        <v>341.5187383751292</v>
      </c>
      <c r="G116" s="20">
        <f t="shared" si="18"/>
        <v>466.46031032959991</v>
      </c>
      <c r="H116" s="19">
        <f t="shared" si="19"/>
        <v>34176.184326200811</v>
      </c>
    </row>
    <row r="117" spans="3:9" ht="16.5">
      <c r="C117" s="65">
        <v>42</v>
      </c>
      <c r="D117" s="19"/>
      <c r="E117" s="19">
        <f t="shared" si="16"/>
        <v>807.97904870472917</v>
      </c>
      <c r="F117" s="19">
        <f t="shared" si="17"/>
        <v>336.92021714912988</v>
      </c>
      <c r="G117" s="20">
        <f t="shared" si="18"/>
        <v>471.05883155559923</v>
      </c>
      <c r="H117" s="19">
        <f t="shared" si="19"/>
        <v>33705.12549464521</v>
      </c>
    </row>
    <row r="118" spans="3:9" ht="16.5">
      <c r="C118" s="65">
        <v>43</v>
      </c>
      <c r="D118" s="19"/>
      <c r="E118" s="19">
        <f t="shared" si="16"/>
        <v>807.97904870472917</v>
      </c>
      <c r="F118" s="19">
        <f t="shared" si="17"/>
        <v>332.27636216804427</v>
      </c>
      <c r="G118" s="20">
        <f t="shared" si="18"/>
        <v>475.70268653668489</v>
      </c>
      <c r="H118" s="19">
        <f t="shared" si="19"/>
        <v>33229.422808108524</v>
      </c>
    </row>
    <row r="119" spans="3:9" ht="16.5">
      <c r="C119" s="65">
        <v>44</v>
      </c>
      <c r="D119" s="19"/>
      <c r="E119" s="19">
        <f t="shared" si="16"/>
        <v>807.97904870472917</v>
      </c>
      <c r="F119" s="19">
        <f t="shared" si="17"/>
        <v>327.58672651660351</v>
      </c>
      <c r="G119" s="20">
        <f t="shared" si="18"/>
        <v>480.39232218812566</v>
      </c>
      <c r="H119" s="19">
        <f t="shared" si="19"/>
        <v>32749.030485920397</v>
      </c>
    </row>
    <row r="120" spans="3:9" ht="16.5">
      <c r="C120" s="65">
        <v>45</v>
      </c>
      <c r="D120" s="19"/>
      <c r="E120" s="19">
        <f t="shared" si="16"/>
        <v>807.97904870472917</v>
      </c>
      <c r="F120" s="19">
        <f t="shared" si="17"/>
        <v>322.85085887369888</v>
      </c>
      <c r="G120" s="20">
        <f t="shared" si="18"/>
        <v>485.12818983103028</v>
      </c>
      <c r="H120" s="19">
        <f t="shared" si="19"/>
        <v>32263.902296089367</v>
      </c>
    </row>
    <row r="121" spans="3:9" ht="16.5">
      <c r="C121" s="65">
        <v>46</v>
      </c>
      <c r="D121" s="19"/>
      <c r="E121" s="19">
        <f t="shared" si="16"/>
        <v>807.97904870472917</v>
      </c>
      <c r="F121" s="19">
        <f t="shared" si="17"/>
        <v>318.06830346894799</v>
      </c>
      <c r="G121" s="20">
        <f t="shared" si="18"/>
        <v>489.91074523578112</v>
      </c>
      <c r="H121" s="19">
        <f t="shared" si="19"/>
        <v>31773.991550853585</v>
      </c>
    </row>
    <row r="122" spans="3:9" ht="16.5">
      <c r="C122" s="65">
        <v>47</v>
      </c>
      <c r="D122" s="19"/>
      <c r="E122" s="19">
        <f t="shared" si="16"/>
        <v>807.97904870472917</v>
      </c>
      <c r="F122" s="19">
        <f t="shared" si="17"/>
        <v>313.23860003883186</v>
      </c>
      <c r="G122" s="20">
        <f t="shared" si="18"/>
        <v>494.74044866589725</v>
      </c>
      <c r="H122" s="19">
        <f t="shared" si="19"/>
        <v>31279.251102187689</v>
      </c>
    </row>
    <row r="123" spans="3:9" ht="16.5">
      <c r="C123" s="65">
        <v>48</v>
      </c>
      <c r="D123" s="19"/>
      <c r="E123" s="19">
        <f t="shared" si="16"/>
        <v>807.97904870472917</v>
      </c>
      <c r="F123" s="19">
        <f t="shared" si="17"/>
        <v>308.36128378240056</v>
      </c>
      <c r="G123" s="20">
        <f t="shared" si="18"/>
        <v>499.61776492232849</v>
      </c>
      <c r="H123" s="19">
        <f t="shared" si="19"/>
        <v>30779.633337265361</v>
      </c>
      <c r="I123" s="36"/>
    </row>
    <row r="124" spans="3:9" ht="16.5">
      <c r="C124" s="65">
        <v>49</v>
      </c>
      <c r="D124" s="19"/>
      <c r="E124" s="19">
        <f t="shared" si="16"/>
        <v>807.97904870472917</v>
      </c>
      <c r="F124" s="19">
        <f t="shared" si="17"/>
        <v>303.43588531654132</v>
      </c>
      <c r="G124" s="20">
        <f t="shared" si="18"/>
        <v>504.54316338818791</v>
      </c>
      <c r="H124" s="19">
        <f t="shared" si="19"/>
        <v>30275.090173877172</v>
      </c>
    </row>
    <row r="125" spans="3:9" ht="16.5">
      <c r="C125" s="65">
        <v>50</v>
      </c>
      <c r="D125" s="19"/>
      <c r="E125" s="19">
        <f t="shared" si="16"/>
        <v>807.97904870472917</v>
      </c>
      <c r="F125" s="19">
        <f t="shared" si="17"/>
        <v>298.46193063080608</v>
      </c>
      <c r="G125" s="20">
        <f t="shared" si="18"/>
        <v>509.51711807392303</v>
      </c>
      <c r="H125" s="19">
        <f t="shared" si="19"/>
        <v>29765.573055803248</v>
      </c>
    </row>
    <row r="126" spans="3:9" ht="16.5">
      <c r="C126" s="65">
        <v>51</v>
      </c>
      <c r="D126" s="19"/>
      <c r="E126" s="19">
        <f t="shared" si="16"/>
        <v>807.97904870472917</v>
      </c>
      <c r="F126" s="19">
        <f t="shared" si="17"/>
        <v>293.43894104179401</v>
      </c>
      <c r="G126" s="20">
        <f t="shared" si="18"/>
        <v>514.54010766293516</v>
      </c>
      <c r="H126" s="19">
        <f t="shared" si="19"/>
        <v>29251.032948140313</v>
      </c>
    </row>
    <row r="127" spans="3:9" ht="16.5">
      <c r="C127" s="65">
        <v>52</v>
      </c>
      <c r="D127" s="19"/>
      <c r="E127" s="19">
        <f>PMT($E$71,$E$70,-$E$67)</f>
        <v>807.97904870472917</v>
      </c>
      <c r="F127" s="19">
        <f t="shared" si="17"/>
        <v>288.36643314708357</v>
      </c>
      <c r="G127" s="20">
        <f t="shared" si="18"/>
        <v>519.61261555764565</v>
      </c>
      <c r="H127" s="19">
        <f t="shared" si="19"/>
        <v>28731.420332582667</v>
      </c>
    </row>
    <row r="128" spans="3:9" ht="16.5">
      <c r="C128" s="65">
        <v>53</v>
      </c>
      <c r="D128" s="19"/>
      <c r="E128" s="19">
        <f t="shared" si="16"/>
        <v>807.97904870472917</v>
      </c>
      <c r="F128" s="19">
        <f t="shared" si="17"/>
        <v>283.24391877871113</v>
      </c>
      <c r="G128" s="20">
        <f t="shared" si="18"/>
        <v>524.73512992601809</v>
      </c>
      <c r="H128" s="19">
        <f t="shared" si="19"/>
        <v>28206.685202656648</v>
      </c>
    </row>
    <row r="129" spans="3:9" ht="16.5">
      <c r="C129" s="65">
        <v>54</v>
      </c>
      <c r="D129" s="19"/>
      <c r="E129" s="19">
        <f t="shared" si="16"/>
        <v>807.97904870472917</v>
      </c>
      <c r="F129" s="19">
        <f t="shared" si="17"/>
        <v>278.07090495619042</v>
      </c>
      <c r="G129" s="20">
        <f t="shared" si="18"/>
        <v>529.90814374853869</v>
      </c>
      <c r="H129" s="19">
        <f t="shared" si="19"/>
        <v>27676.777058908108</v>
      </c>
    </row>
    <row r="130" spans="3:9" ht="16.5">
      <c r="C130" s="65">
        <v>55</v>
      </c>
      <c r="D130" s="19"/>
      <c r="E130" s="19">
        <f t="shared" si="16"/>
        <v>807.97904870472917</v>
      </c>
      <c r="F130" s="19">
        <f t="shared" si="17"/>
        <v>272.84689383906937</v>
      </c>
      <c r="G130" s="20">
        <f t="shared" si="18"/>
        <v>535.13215486565969</v>
      </c>
      <c r="H130" s="19">
        <f t="shared" si="19"/>
        <v>27141.644904042449</v>
      </c>
    </row>
    <row r="131" spans="3:9" ht="16.5">
      <c r="C131" s="65">
        <v>56</v>
      </c>
      <c r="D131" s="19"/>
      <c r="E131" s="19">
        <f t="shared" si="16"/>
        <v>807.97904870472917</v>
      </c>
      <c r="F131" s="19">
        <f t="shared" si="17"/>
        <v>267.57138267901877</v>
      </c>
      <c r="G131" s="20">
        <f t="shared" si="18"/>
        <v>540.40766602571034</v>
      </c>
      <c r="H131" s="19">
        <f t="shared" si="19"/>
        <v>26601.23723801674</v>
      </c>
    </row>
    <row r="132" spans="3:9" ht="16.5">
      <c r="C132" s="65">
        <v>57</v>
      </c>
      <c r="D132" s="19"/>
      <c r="E132" s="19">
        <f t="shared" si="16"/>
        <v>807.97904870472917</v>
      </c>
      <c r="F132" s="19">
        <f t="shared" si="17"/>
        <v>262.24386377144867</v>
      </c>
      <c r="G132" s="20">
        <f t="shared" si="18"/>
        <v>545.73518493328049</v>
      </c>
      <c r="H132" s="19">
        <f t="shared" si="19"/>
        <v>26055.502053083459</v>
      </c>
    </row>
    <row r="133" spans="3:9" ht="16.5">
      <c r="C133" s="65">
        <v>58</v>
      </c>
      <c r="D133" s="19"/>
      <c r="E133" s="19">
        <f t="shared" si="16"/>
        <v>807.97904870472917</v>
      </c>
      <c r="F133" s="19">
        <f t="shared" si="17"/>
        <v>256.86382440664806</v>
      </c>
      <c r="G133" s="20">
        <f t="shared" si="18"/>
        <v>551.1152242980811</v>
      </c>
      <c r="H133" s="19">
        <f t="shared" si="19"/>
        <v>25504.386828785377</v>
      </c>
    </row>
    <row r="134" spans="3:9" ht="16.5">
      <c r="C134" s="65">
        <v>59</v>
      </c>
      <c r="D134" s="19"/>
      <c r="E134" s="19">
        <f t="shared" si="16"/>
        <v>807.97904870472917</v>
      </c>
      <c r="F134" s="19">
        <f t="shared" si="17"/>
        <v>251.43074682044283</v>
      </c>
      <c r="G134" s="20">
        <f t="shared" si="18"/>
        <v>556.54830188428639</v>
      </c>
      <c r="H134" s="19">
        <f t="shared" si="19"/>
        <v>24947.838526901091</v>
      </c>
    </row>
    <row r="135" spans="3:9" ht="16.5">
      <c r="C135" s="65">
        <v>60</v>
      </c>
      <c r="D135" s="19"/>
      <c r="E135" s="19">
        <f t="shared" si="16"/>
        <v>807.97904870472917</v>
      </c>
      <c r="F135" s="19">
        <f t="shared" si="17"/>
        <v>245.94410814436691</v>
      </c>
      <c r="G135" s="20">
        <f t="shared" si="18"/>
        <v>562.0349405603622</v>
      </c>
      <c r="H135" s="19">
        <f t="shared" si="19"/>
        <v>24385.803586340728</v>
      </c>
      <c r="I135" s="36"/>
    </row>
    <row r="136" spans="3:9" ht="16.5">
      <c r="C136" s="65">
        <v>61</v>
      </c>
      <c r="D136" s="19"/>
      <c r="E136" s="19">
        <f t="shared" si="16"/>
        <v>807.97904870472917</v>
      </c>
      <c r="F136" s="19">
        <f t="shared" si="17"/>
        <v>240.40338035534268</v>
      </c>
      <c r="G136" s="20">
        <f t="shared" si="18"/>
        <v>567.57566834938655</v>
      </c>
      <c r="H136" s="19">
        <f t="shared" si="19"/>
        <v>23818.227917991342</v>
      </c>
    </row>
    <row r="137" spans="3:9" ht="16.5">
      <c r="C137" s="65">
        <v>62</v>
      </c>
      <c r="D137" s="19"/>
      <c r="E137" s="19">
        <f t="shared" si="16"/>
        <v>807.97904870472917</v>
      </c>
      <c r="F137" s="19">
        <f t="shared" si="17"/>
        <v>234.80803022486495</v>
      </c>
      <c r="G137" s="20">
        <f t="shared" si="18"/>
        <v>573.17101847986419</v>
      </c>
      <c r="H137" s="19">
        <f t="shared" si="19"/>
        <v>23245.056899511477</v>
      </c>
    </row>
    <row r="138" spans="3:9" ht="16.5">
      <c r="C138" s="65">
        <v>63</v>
      </c>
      <c r="D138" s="19"/>
      <c r="E138" s="19">
        <f t="shared" si="16"/>
        <v>807.97904870472917</v>
      </c>
      <c r="F138" s="19">
        <f t="shared" si="17"/>
        <v>229.15751926768431</v>
      </c>
      <c r="G138" s="20">
        <f t="shared" si="18"/>
        <v>578.82152943704489</v>
      </c>
      <c r="H138" s="19">
        <f t="shared" si="19"/>
        <v>22666.235370074432</v>
      </c>
    </row>
    <row r="139" spans="3:9" ht="16.5">
      <c r="C139" s="65">
        <v>64</v>
      </c>
      <c r="D139" s="19"/>
      <c r="E139" s="19">
        <f t="shared" si="16"/>
        <v>807.97904870472917</v>
      </c>
      <c r="F139" s="19">
        <f t="shared" si="17"/>
        <v>223.45130368998409</v>
      </c>
      <c r="G139" s="20">
        <f t="shared" si="18"/>
        <v>584.52774501474505</v>
      </c>
      <c r="H139" s="19">
        <f t="shared" si="19"/>
        <v>22081.707625059687</v>
      </c>
    </row>
    <row r="140" spans="3:9" ht="16.5">
      <c r="C140" s="65">
        <v>65</v>
      </c>
      <c r="D140" s="19"/>
      <c r="E140" s="19">
        <f t="shared" si="16"/>
        <v>807.97904870472917</v>
      </c>
      <c r="F140" s="19">
        <f t="shared" si="17"/>
        <v>217.68883433704707</v>
      </c>
      <c r="G140" s="20">
        <f t="shared" si="18"/>
        <v>590.2902143676821</v>
      </c>
      <c r="H140" s="19">
        <f t="shared" si="19"/>
        <v>21491.417410692004</v>
      </c>
    </row>
    <row r="141" spans="3:9" ht="16.5">
      <c r="C141" s="65">
        <v>66</v>
      </c>
      <c r="D141" s="19"/>
      <c r="E141" s="19">
        <f t="shared" ref="E141:E145" si="24">PMT($E$71,$E$70,-$E$67)</f>
        <v>807.97904870472917</v>
      </c>
      <c r="F141" s="19">
        <f t="shared" ref="F141:F171" si="25">IPMT($E$71,C141,$E$70,-$E$67)</f>
        <v>211.86955664040562</v>
      </c>
      <c r="G141" s="20">
        <f t="shared" ref="G141:G171" si="26">PPMT($E$71,C141,$E$70,-$E$67)</f>
        <v>596.10949206432349</v>
      </c>
      <c r="H141" s="19">
        <f t="shared" ref="H141:H171" si="27">H140-G141</f>
        <v>20895.307918627681</v>
      </c>
    </row>
    <row r="142" spans="3:9" ht="16.5">
      <c r="C142" s="65">
        <v>67</v>
      </c>
      <c r="D142" s="19"/>
      <c r="E142" s="19">
        <f t="shared" si="24"/>
        <v>807.97904870472917</v>
      </c>
      <c r="F142" s="19">
        <f t="shared" si="25"/>
        <v>205.99291056447154</v>
      </c>
      <c r="G142" s="20">
        <f t="shared" si="26"/>
        <v>601.98613814025759</v>
      </c>
      <c r="H142" s="19">
        <f t="shared" si="27"/>
        <v>20293.321780487422</v>
      </c>
    </row>
    <row r="143" spans="3:9" ht="16.5">
      <c r="C143" s="65">
        <v>68</v>
      </c>
      <c r="D143" s="19"/>
      <c r="E143" s="19">
        <f t="shared" si="24"/>
        <v>807.97904870472917</v>
      </c>
      <c r="F143" s="19">
        <f t="shared" si="25"/>
        <v>200.05833055263884</v>
      </c>
      <c r="G143" s="20">
        <f t="shared" si="26"/>
        <v>607.92071815209033</v>
      </c>
      <c r="H143" s="19">
        <f t="shared" si="27"/>
        <v>19685.401062335332</v>
      </c>
    </row>
    <row r="144" spans="3:9" ht="16.5">
      <c r="C144" s="65">
        <v>69</v>
      </c>
      <c r="D144" s="19"/>
      <c r="E144" s="19">
        <f t="shared" si="24"/>
        <v>807.97904870472917</v>
      </c>
      <c r="F144" s="19">
        <f t="shared" si="25"/>
        <v>194.06524547285613</v>
      </c>
      <c r="G144" s="20">
        <f t="shared" si="26"/>
        <v>613.91380323187309</v>
      </c>
      <c r="H144" s="19">
        <f t="shared" si="27"/>
        <v>19071.487259103458</v>
      </c>
    </row>
    <row r="145" spans="3:9" ht="16.5">
      <c r="C145" s="65">
        <v>70</v>
      </c>
      <c r="D145" s="19"/>
      <c r="E145" s="19">
        <f t="shared" si="24"/>
        <v>807.97904870472917</v>
      </c>
      <c r="F145" s="19">
        <f t="shared" si="25"/>
        <v>188.01307856266192</v>
      </c>
      <c r="G145" s="20">
        <f t="shared" si="26"/>
        <v>619.96597014206725</v>
      </c>
      <c r="H145" s="19">
        <f t="shared" si="27"/>
        <v>18451.52128896139</v>
      </c>
    </row>
    <row r="146" spans="3:9" ht="16.5">
      <c r="C146" s="65">
        <v>71</v>
      </c>
      <c r="D146" s="19"/>
      <c r="E146" s="19">
        <f>PMT($E$71,$E$70,-$E$67)</f>
        <v>807.97904870472917</v>
      </c>
      <c r="F146" s="19">
        <f t="shared" si="25"/>
        <v>181.90124737367805</v>
      </c>
      <c r="G146" s="20">
        <f t="shared" si="26"/>
        <v>626.07780133105109</v>
      </c>
      <c r="H146" s="19">
        <f t="shared" si="27"/>
        <v>17825.443487630338</v>
      </c>
    </row>
    <row r="147" spans="3:9" ht="16.5">
      <c r="C147" s="65">
        <v>72</v>
      </c>
      <c r="D147" s="19"/>
      <c r="E147" s="19">
        <f t="shared" ref="E147:E163" si="28">PMT($E$71,$E$70,-$E$67)</f>
        <v>807.97904870472917</v>
      </c>
      <c r="F147" s="19">
        <f t="shared" si="25"/>
        <v>175.72916371555607</v>
      </c>
      <c r="G147" s="20">
        <f t="shared" si="26"/>
        <v>632.2498849891731</v>
      </c>
      <c r="H147" s="19">
        <f t="shared" si="27"/>
        <v>17193.193602641164</v>
      </c>
      <c r="I147" s="36"/>
    </row>
    <row r="148" spans="3:9" ht="16.5">
      <c r="C148" s="65">
        <v>73</v>
      </c>
      <c r="D148" s="19"/>
      <c r="E148" s="19">
        <f t="shared" si="28"/>
        <v>807.97904870472917</v>
      </c>
      <c r="F148" s="19">
        <f t="shared" si="25"/>
        <v>169.49623359937118</v>
      </c>
      <c r="G148" s="20">
        <f t="shared" si="26"/>
        <v>638.48281510535799</v>
      </c>
      <c r="H148" s="19">
        <f t="shared" si="27"/>
        <v>16554.710787535805</v>
      </c>
    </row>
    <row r="149" spans="3:9" ht="16.5">
      <c r="C149" s="65">
        <v>74</v>
      </c>
      <c r="D149" s="19"/>
      <c r="E149" s="19">
        <f t="shared" si="28"/>
        <v>807.97904870472917</v>
      </c>
      <c r="F149" s="19">
        <f t="shared" si="25"/>
        <v>163.20185718045749</v>
      </c>
      <c r="G149" s="20">
        <f t="shared" si="26"/>
        <v>644.77719152427164</v>
      </c>
      <c r="H149" s="19">
        <f t="shared" si="27"/>
        <v>15909.933596011533</v>
      </c>
    </row>
    <row r="150" spans="3:9" ht="16.5">
      <c r="C150" s="65">
        <v>75</v>
      </c>
      <c r="D150" s="19"/>
      <c r="E150" s="19">
        <f t="shared" si="28"/>
        <v>807.97904870472917</v>
      </c>
      <c r="F150" s="19">
        <f t="shared" si="25"/>
        <v>156.84542870068071</v>
      </c>
      <c r="G150" s="20">
        <f t="shared" si="26"/>
        <v>651.13362000404834</v>
      </c>
      <c r="H150" s="19">
        <f t="shared" si="27"/>
        <v>15258.799976007485</v>
      </c>
    </row>
    <row r="151" spans="3:9" ht="16.5">
      <c r="C151" s="65">
        <v>76</v>
      </c>
      <c r="D151" s="19"/>
      <c r="E151" s="19">
        <f t="shared" si="28"/>
        <v>807.97904870472917</v>
      </c>
      <c r="F151" s="19">
        <f t="shared" si="25"/>
        <v>150.42633643014082</v>
      </c>
      <c r="G151" s="20">
        <f t="shared" si="26"/>
        <v>657.55271227458832</v>
      </c>
      <c r="H151" s="19">
        <f t="shared" si="27"/>
        <v>14601.247263732897</v>
      </c>
    </row>
    <row r="152" spans="3:9" ht="16.5">
      <c r="C152" s="65">
        <v>77</v>
      </c>
      <c r="D152" s="19"/>
      <c r="E152" s="19">
        <f t="shared" si="28"/>
        <v>807.97904870472917</v>
      </c>
      <c r="F152" s="19">
        <f t="shared" si="25"/>
        <v>143.9439626083005</v>
      </c>
      <c r="G152" s="20">
        <f t="shared" si="26"/>
        <v>664.03508609642859</v>
      </c>
      <c r="H152" s="19">
        <f t="shared" si="27"/>
        <v>13937.212177636469</v>
      </c>
    </row>
    <row r="153" spans="3:9" ht="16.5">
      <c r="C153" s="65">
        <v>78</v>
      </c>
      <c r="D153" s="19"/>
      <c r="E153" s="19">
        <f t="shared" si="28"/>
        <v>807.97904870472917</v>
      </c>
      <c r="F153" s="19">
        <f t="shared" si="25"/>
        <v>137.3976833845332</v>
      </c>
      <c r="G153" s="20">
        <f t="shared" si="26"/>
        <v>670.58136532019591</v>
      </c>
      <c r="H153" s="19">
        <f t="shared" si="27"/>
        <v>13266.630812316273</v>
      </c>
    </row>
    <row r="154" spans="3:9" ht="16.5">
      <c r="C154" s="65">
        <v>79</v>
      </c>
      <c r="D154" s="19"/>
      <c r="E154" s="19">
        <f t="shared" si="28"/>
        <v>807.97904870472917</v>
      </c>
      <c r="F154" s="19">
        <f t="shared" si="25"/>
        <v>130.78686875808492</v>
      </c>
      <c r="G154" s="20">
        <f t="shared" si="26"/>
        <v>677.19217994664405</v>
      </c>
      <c r="H154" s="19">
        <f t="shared" si="27"/>
        <v>12589.438632369629</v>
      </c>
    </row>
    <row r="155" spans="3:9" ht="16.5">
      <c r="C155" s="65">
        <v>80</v>
      </c>
      <c r="D155" s="19"/>
      <c r="E155" s="19">
        <f t="shared" si="28"/>
        <v>807.97904870472917</v>
      </c>
      <c r="F155" s="19">
        <f t="shared" si="25"/>
        <v>124.11088251744425</v>
      </c>
      <c r="G155" s="20">
        <f t="shared" si="26"/>
        <v>683.86816618728483</v>
      </c>
      <c r="H155" s="19">
        <f t="shared" si="27"/>
        <v>11905.570466182344</v>
      </c>
    </row>
    <row r="156" spans="3:9" ht="16.5">
      <c r="C156" s="65">
        <v>81</v>
      </c>
      <c r="D156" s="19"/>
      <c r="E156" s="19">
        <f t="shared" si="28"/>
        <v>807.97904870472917</v>
      </c>
      <c r="F156" s="19">
        <f t="shared" si="25"/>
        <v>117.36908217911461</v>
      </c>
      <c r="G156" s="20">
        <f t="shared" si="26"/>
        <v>690.60996652561448</v>
      </c>
      <c r="H156" s="19">
        <f t="shared" si="27"/>
        <v>11214.960499656729</v>
      </c>
    </row>
    <row r="157" spans="3:9" ht="16.5">
      <c r="C157" s="65">
        <v>82</v>
      </c>
      <c r="D157" s="19"/>
      <c r="E157" s="19">
        <f t="shared" si="28"/>
        <v>807.97904870472917</v>
      </c>
      <c r="F157" s="19">
        <f t="shared" si="25"/>
        <v>110.56081892578294</v>
      </c>
      <c r="G157" s="20">
        <f t="shared" si="26"/>
        <v>697.41822977894617</v>
      </c>
      <c r="H157" s="19">
        <f t="shared" si="27"/>
        <v>10517.542269877782</v>
      </c>
    </row>
    <row r="158" spans="3:9" ht="16.5">
      <c r="C158" s="65">
        <v>83</v>
      </c>
      <c r="D158" s="19"/>
      <c r="E158" s="19">
        <f t="shared" si="28"/>
        <v>807.97904870472917</v>
      </c>
      <c r="F158" s="19">
        <f t="shared" si="25"/>
        <v>103.68543754387881</v>
      </c>
      <c r="G158" s="20">
        <f t="shared" si="26"/>
        <v>704.29361116085033</v>
      </c>
      <c r="H158" s="19">
        <f t="shared" si="27"/>
        <v>9813.2486587169315</v>
      </c>
    </row>
    <row r="159" spans="3:9" ht="16.5">
      <c r="C159" s="65">
        <v>84</v>
      </c>
      <c r="D159" s="19"/>
      <c r="E159" s="19">
        <f t="shared" si="28"/>
        <v>807.97904870472917</v>
      </c>
      <c r="F159" s="19">
        <f t="shared" si="25"/>
        <v>96.742276360518105</v>
      </c>
      <c r="G159" s="20">
        <f t="shared" si="26"/>
        <v>711.23677234421098</v>
      </c>
      <c r="H159" s="19">
        <f t="shared" si="27"/>
        <v>9102.0118863727203</v>
      </c>
      <c r="I159" s="36"/>
    </row>
    <row r="160" spans="3:9" ht="16.5">
      <c r="C160" s="65">
        <v>85</v>
      </c>
      <c r="D160" s="19"/>
      <c r="E160" s="19">
        <f t="shared" si="28"/>
        <v>807.97904870472917</v>
      </c>
      <c r="F160" s="19">
        <f t="shared" si="25"/>
        <v>89.730667179824763</v>
      </c>
      <c r="G160" s="20">
        <f t="shared" si="26"/>
        <v>718.2483815249044</v>
      </c>
      <c r="H160" s="19">
        <f t="shared" si="27"/>
        <v>8383.7635048478151</v>
      </c>
    </row>
    <row r="161" spans="1:14" ht="16.5">
      <c r="C161" s="65">
        <v>86</v>
      </c>
      <c r="D161" s="19"/>
      <c r="E161" s="19">
        <f t="shared" si="28"/>
        <v>807.97904870472917</v>
      </c>
      <c r="F161" s="19">
        <f t="shared" si="25"/>
        <v>82.649935218625089</v>
      </c>
      <c r="G161" s="20">
        <f t="shared" si="26"/>
        <v>725.32911348610401</v>
      </c>
      <c r="H161" s="19">
        <f t="shared" si="27"/>
        <v>7658.4343913617113</v>
      </c>
    </row>
    <row r="162" spans="1:14" ht="16.5">
      <c r="C162" s="65">
        <v>87</v>
      </c>
      <c r="D162" s="19"/>
      <c r="E162" s="19">
        <f t="shared" si="28"/>
        <v>807.97904870472917</v>
      </c>
      <c r="F162" s="19">
        <f t="shared" si="25"/>
        <v>75.4993990415079</v>
      </c>
      <c r="G162" s="20">
        <f t="shared" si="26"/>
        <v>732.47964966322127</v>
      </c>
      <c r="H162" s="19">
        <f t="shared" si="27"/>
        <v>6925.9547416984897</v>
      </c>
    </row>
    <row r="163" spans="1:14" ht="16.5">
      <c r="C163" s="65">
        <v>88</v>
      </c>
      <c r="D163" s="19"/>
      <c r="E163" s="19">
        <f t="shared" si="28"/>
        <v>807.97904870472917</v>
      </c>
      <c r="F163" s="19">
        <f t="shared" si="25"/>
        <v>68.278370495244644</v>
      </c>
      <c r="G163" s="20">
        <f t="shared" si="26"/>
        <v>739.70067820948441</v>
      </c>
      <c r="H163" s="19">
        <f t="shared" si="27"/>
        <v>6186.2540634890056</v>
      </c>
    </row>
    <row r="164" spans="1:14" ht="16.5">
      <c r="C164" s="65">
        <v>89</v>
      </c>
      <c r="D164" s="19"/>
      <c r="E164" s="19">
        <f>PMT($E$71,$E$70,-$E$67)</f>
        <v>807.97904870472917</v>
      </c>
      <c r="F164" s="19">
        <f t="shared" si="25"/>
        <v>60.986154642562795</v>
      </c>
      <c r="G164" s="20">
        <f t="shared" si="26"/>
        <v>746.99289406216633</v>
      </c>
      <c r="H164" s="19">
        <f t="shared" si="27"/>
        <v>5439.2611694268389</v>
      </c>
    </row>
    <row r="165" spans="1:14" ht="16.5">
      <c r="C165" s="65">
        <v>90</v>
      </c>
      <c r="D165" s="19"/>
      <c r="E165" s="19">
        <f t="shared" ref="E165:E171" si="29">PMT($E$71,$E$70,-$E$67)</f>
        <v>807.97904870472917</v>
      </c>
      <c r="F165" s="19">
        <f t="shared" si="25"/>
        <v>53.622049695266625</v>
      </c>
      <c r="G165" s="20">
        <f t="shared" si="26"/>
        <v>754.35699900946258</v>
      </c>
      <c r="H165" s="19">
        <f t="shared" si="27"/>
        <v>4684.904170417376</v>
      </c>
    </row>
    <row r="166" spans="1:14" ht="16.5">
      <c r="C166" s="65">
        <v>91</v>
      </c>
      <c r="D166" s="19"/>
      <c r="E166" s="19">
        <f t="shared" si="29"/>
        <v>807.97904870472917</v>
      </c>
      <c r="F166" s="19">
        <f t="shared" si="25"/>
        <v>46.185346946698331</v>
      </c>
      <c r="G166" s="20">
        <f t="shared" si="26"/>
        <v>761.79370175803092</v>
      </c>
      <c r="H166" s="19">
        <f t="shared" si="27"/>
        <v>3923.1104686593453</v>
      </c>
    </row>
    <row r="167" spans="1:14" ht="16.5">
      <c r="C167" s="65">
        <v>92</v>
      </c>
      <c r="D167" s="19"/>
      <c r="E167" s="19">
        <f t="shared" si="29"/>
        <v>807.97904870472917</v>
      </c>
      <c r="F167" s="19">
        <f t="shared" si="25"/>
        <v>38.675330703533746</v>
      </c>
      <c r="G167" s="20">
        <f t="shared" si="26"/>
        <v>769.30371800119542</v>
      </c>
      <c r="H167" s="19">
        <f t="shared" si="27"/>
        <v>3153.8067506581501</v>
      </c>
    </row>
    <row r="168" spans="1:14" ht="16.5">
      <c r="C168" s="65">
        <v>93</v>
      </c>
      <c r="D168" s="19"/>
      <c r="E168" s="19">
        <f t="shared" si="29"/>
        <v>807.97904870472917</v>
      </c>
      <c r="F168" s="19">
        <f t="shared" si="25"/>
        <v>31.091278216905287</v>
      </c>
      <c r="G168" s="20">
        <f t="shared" si="26"/>
        <v>776.8877704878239</v>
      </c>
      <c r="H168" s="19">
        <f t="shared" si="27"/>
        <v>2376.918980170326</v>
      </c>
    </row>
    <row r="169" spans="1:14" ht="16.5">
      <c r="C169" s="65">
        <v>94</v>
      </c>
      <c r="D169" s="19"/>
      <c r="E169" s="19">
        <f t="shared" si="29"/>
        <v>807.97904870472917</v>
      </c>
      <c r="F169" s="19">
        <f t="shared" si="25"/>
        <v>23.432459612846156</v>
      </c>
      <c r="G169" s="20">
        <f t="shared" si="26"/>
        <v>784.54658909188299</v>
      </c>
      <c r="H169" s="19">
        <f t="shared" si="27"/>
        <v>1592.3723910784429</v>
      </c>
    </row>
    <row r="170" spans="1:14" ht="16.5">
      <c r="C170" s="65">
        <v>95</v>
      </c>
      <c r="D170" s="19"/>
      <c r="E170" s="19">
        <f t="shared" si="29"/>
        <v>807.97904870472917</v>
      </c>
      <c r="F170" s="19">
        <f t="shared" si="25"/>
        <v>15.698137822048677</v>
      </c>
      <c r="G170" s="20">
        <f t="shared" si="26"/>
        <v>792.28091088268047</v>
      </c>
      <c r="H170" s="19">
        <f t="shared" si="27"/>
        <v>800.09148019576241</v>
      </c>
    </row>
    <row r="171" spans="1:14" ht="16.5">
      <c r="C171" s="65">
        <v>96</v>
      </c>
      <c r="D171" s="19"/>
      <c r="E171" s="19">
        <f t="shared" si="29"/>
        <v>807.97904870472917</v>
      </c>
      <c r="F171" s="19">
        <f t="shared" si="25"/>
        <v>7.8875685089302525</v>
      </c>
      <c r="G171" s="20">
        <f t="shared" si="26"/>
        <v>800.09148019579891</v>
      </c>
      <c r="H171" s="19">
        <f t="shared" si="27"/>
        <v>-3.6493474908638746E-11</v>
      </c>
      <c r="I171" s="36"/>
    </row>
    <row r="172" spans="1:14">
      <c r="F172" s="36"/>
    </row>
    <row r="175" spans="1:14">
      <c r="A175" s="97" t="s">
        <v>55</v>
      </c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</row>
    <row r="177" spans="1:15">
      <c r="A177" s="98" t="s">
        <v>56</v>
      </c>
      <c r="B177" s="98" t="s">
        <v>57</v>
      </c>
      <c r="C177" s="98" t="s">
        <v>58</v>
      </c>
      <c r="D177" s="98" t="s">
        <v>59</v>
      </c>
      <c r="E177" s="63">
        <v>1</v>
      </c>
      <c r="F177" s="63">
        <v>2</v>
      </c>
      <c r="G177" s="63">
        <v>3</v>
      </c>
      <c r="H177" s="63">
        <v>4</v>
      </c>
      <c r="I177" s="63">
        <v>5</v>
      </c>
      <c r="J177" s="63">
        <v>6</v>
      </c>
      <c r="K177" s="63">
        <v>7</v>
      </c>
      <c r="L177" s="63">
        <v>8</v>
      </c>
      <c r="M177" s="63">
        <v>9</v>
      </c>
      <c r="N177" s="63">
        <v>10</v>
      </c>
      <c r="O177" s="73"/>
    </row>
    <row r="178" spans="1:15">
      <c r="A178" s="98"/>
      <c r="B178" s="98"/>
      <c r="C178" s="98"/>
      <c r="D178" s="98"/>
      <c r="E178" s="98" t="s">
        <v>60</v>
      </c>
      <c r="F178" s="98"/>
      <c r="G178" s="98"/>
      <c r="H178" s="98"/>
      <c r="I178" s="98"/>
      <c r="J178" s="98"/>
      <c r="K178" s="98"/>
      <c r="L178" s="98"/>
      <c r="M178" s="98"/>
      <c r="N178" s="98"/>
      <c r="O178" s="73"/>
    </row>
    <row r="179" spans="1:15">
      <c r="A179" s="98"/>
      <c r="B179" s="98"/>
      <c r="C179" s="98"/>
      <c r="D179" s="98"/>
      <c r="E179" s="63">
        <v>2014</v>
      </c>
      <c r="F179" s="63">
        <v>2015</v>
      </c>
      <c r="G179" s="63">
        <v>2016</v>
      </c>
      <c r="H179" s="63">
        <v>2017</v>
      </c>
      <c r="I179" s="63">
        <v>2018</v>
      </c>
      <c r="J179" s="63">
        <v>2019</v>
      </c>
      <c r="K179" s="63">
        <v>2020</v>
      </c>
      <c r="L179" s="63">
        <v>2021</v>
      </c>
      <c r="M179" s="63">
        <v>2022</v>
      </c>
      <c r="N179" s="63">
        <v>2023</v>
      </c>
      <c r="O179" s="73"/>
    </row>
    <row r="180" spans="1:15" ht="27" customHeight="1">
      <c r="A180" s="88" t="s">
        <v>61</v>
      </c>
      <c r="B180" s="68">
        <v>395</v>
      </c>
      <c r="C180" s="68">
        <v>39.5</v>
      </c>
      <c r="D180" s="68">
        <v>3</v>
      </c>
      <c r="E180" s="27">
        <f>DB(B180,C180,D180,E177)</f>
        <v>211.72</v>
      </c>
      <c r="F180" s="27">
        <f>DB(B180,C180,D180,F177)</f>
        <v>98.238080000000011</v>
      </c>
      <c r="G180" s="27">
        <f>DB(B180,C180,D180,G177)</f>
        <v>45.582469119999999</v>
      </c>
      <c r="H180" s="27"/>
      <c r="I180" s="27"/>
      <c r="J180" s="28"/>
      <c r="K180" s="28"/>
      <c r="L180" s="28"/>
      <c r="M180" s="28"/>
      <c r="N180" s="28"/>
      <c r="O180" s="49"/>
    </row>
    <row r="181" spans="1:15">
      <c r="A181" s="88"/>
      <c r="B181" s="68"/>
      <c r="C181" s="68"/>
      <c r="D181" s="68"/>
      <c r="E181" s="83" t="s">
        <v>62</v>
      </c>
      <c r="F181" s="83"/>
      <c r="G181" s="83"/>
      <c r="H181" s="83"/>
      <c r="I181" s="83"/>
      <c r="J181" s="83"/>
      <c r="K181" s="83"/>
      <c r="L181" s="83"/>
      <c r="M181" s="83"/>
      <c r="N181" s="83"/>
      <c r="O181" s="10"/>
    </row>
    <row r="182" spans="1:15" ht="17.25" thickBot="1">
      <c r="A182" s="89"/>
      <c r="B182" s="69"/>
      <c r="C182" s="69"/>
      <c r="D182" s="69"/>
      <c r="E182" s="29">
        <f>B180-E180</f>
        <v>183.28</v>
      </c>
      <c r="F182" s="29">
        <f>E182-F180</f>
        <v>85.04191999999999</v>
      </c>
      <c r="G182" s="29">
        <f>F182-G180</f>
        <v>39.459450879999991</v>
      </c>
      <c r="H182" s="29"/>
      <c r="I182" s="29"/>
      <c r="J182" s="30"/>
      <c r="K182" s="30"/>
      <c r="L182" s="30"/>
      <c r="M182" s="30"/>
      <c r="N182" s="30"/>
      <c r="O182" s="10"/>
    </row>
    <row r="183" spans="1:15" ht="27" customHeight="1">
      <c r="A183" s="90" t="s">
        <v>63</v>
      </c>
      <c r="B183" s="70">
        <v>79</v>
      </c>
      <c r="C183" s="70">
        <v>7.9</v>
      </c>
      <c r="D183" s="70">
        <v>10</v>
      </c>
      <c r="E183" s="31">
        <f>DB($B$183,$C$183,$D$183,1)</f>
        <v>16.273999999999997</v>
      </c>
      <c r="F183" s="31">
        <f>DB($B$183,$C$183,$D$183,2)</f>
        <v>12.921555999999999</v>
      </c>
      <c r="G183" s="31">
        <f>DB($B$183,$C$183,$D$183,3)</f>
        <v>10.259715464000001</v>
      </c>
      <c r="H183" s="31">
        <f>DB($B$183,$C$183,$D$183,4)</f>
        <v>8.1462140784159995</v>
      </c>
      <c r="I183" s="31">
        <f>DB($B$183,$C$183,$D$183,5)</f>
        <v>6.4680939782623037</v>
      </c>
      <c r="J183" s="31">
        <f>DB($B$183,$C$183,$D$183,6)</f>
        <v>5.1356666187402693</v>
      </c>
      <c r="K183" s="31">
        <f>DB($B$183,$C$183,$D$183,7)</f>
        <v>4.0777192952797741</v>
      </c>
      <c r="L183" s="31">
        <f>DB($B$183,$C$183,$D$183,8)</f>
        <v>3.2377091204521404</v>
      </c>
      <c r="M183" s="31">
        <f>DB($B$183,$C$183,$D$183,9)</f>
        <v>2.5707410416389993</v>
      </c>
      <c r="N183" s="31">
        <f>DB($B$183,$C$183,$D$183,10)</f>
        <v>2.0411683870613651</v>
      </c>
      <c r="O183" s="49"/>
    </row>
    <row r="184" spans="1:15">
      <c r="A184" s="91"/>
      <c r="B184" s="71"/>
      <c r="C184" s="71"/>
      <c r="D184" s="71"/>
      <c r="E184" s="84" t="s">
        <v>62</v>
      </c>
      <c r="F184" s="85"/>
      <c r="G184" s="85"/>
      <c r="H184" s="85"/>
      <c r="I184" s="85"/>
      <c r="J184" s="85"/>
      <c r="K184" s="85"/>
      <c r="L184" s="85"/>
      <c r="M184" s="85"/>
      <c r="N184" s="86"/>
      <c r="O184" s="49"/>
    </row>
    <row r="185" spans="1:15" ht="17.25" thickBot="1">
      <c r="A185" s="92"/>
      <c r="B185" s="72"/>
      <c r="C185" s="72"/>
      <c r="D185" s="72"/>
      <c r="E185" s="29">
        <f>B183-E183</f>
        <v>62.725999999999999</v>
      </c>
      <c r="F185" s="29">
        <f t="shared" ref="F185:N185" si="30">E185-F183</f>
        <v>49.804444000000004</v>
      </c>
      <c r="G185" s="29">
        <f t="shared" si="30"/>
        <v>39.544728536000001</v>
      </c>
      <c r="H185" s="29">
        <f t="shared" si="30"/>
        <v>31.398514457584</v>
      </c>
      <c r="I185" s="29">
        <f t="shared" si="30"/>
        <v>24.930420479321697</v>
      </c>
      <c r="J185" s="29">
        <f t="shared" si="30"/>
        <v>19.794753860581427</v>
      </c>
      <c r="K185" s="29">
        <f t="shared" si="30"/>
        <v>15.717034565301653</v>
      </c>
      <c r="L185" s="29">
        <f t="shared" si="30"/>
        <v>12.479325444849511</v>
      </c>
      <c r="M185" s="29">
        <f t="shared" si="30"/>
        <v>9.9085844032105115</v>
      </c>
      <c r="N185" s="29">
        <f t="shared" si="30"/>
        <v>7.8674160161491464</v>
      </c>
      <c r="O185" s="49"/>
    </row>
    <row r="186" spans="1:15" ht="27" customHeight="1">
      <c r="A186" s="93" t="s">
        <v>64</v>
      </c>
      <c r="B186" s="77">
        <v>17.5</v>
      </c>
      <c r="C186" s="77">
        <v>1.75</v>
      </c>
      <c r="D186" s="77">
        <v>3</v>
      </c>
      <c r="E186" s="25">
        <f>DB($B$186,$C$186,$D$186,E177)</f>
        <v>9.3800000000000008</v>
      </c>
      <c r="F186" s="25">
        <f t="shared" ref="F186:G186" si="31">DB($B$186,$C$186,$D$186,F177)</f>
        <v>4.3523199999999997</v>
      </c>
      <c r="G186" s="25">
        <f t="shared" si="31"/>
        <v>2.0194764799999998</v>
      </c>
      <c r="H186" s="26"/>
      <c r="I186" s="26"/>
      <c r="J186" s="26"/>
      <c r="K186" s="26"/>
      <c r="L186" s="26"/>
      <c r="M186" s="26"/>
      <c r="N186" s="26"/>
      <c r="O186" s="49"/>
    </row>
    <row r="187" spans="1:15" ht="13.5" customHeight="1">
      <c r="A187" s="88"/>
      <c r="B187" s="78"/>
      <c r="C187" s="78"/>
      <c r="D187" s="78"/>
      <c r="E187" s="83" t="s">
        <v>62</v>
      </c>
      <c r="F187" s="83"/>
      <c r="G187" s="83"/>
      <c r="H187" s="83"/>
      <c r="I187" s="83"/>
      <c r="J187" s="83"/>
      <c r="K187" s="83"/>
      <c r="L187" s="83"/>
      <c r="M187" s="83"/>
      <c r="N187" s="83"/>
      <c r="O187" s="10"/>
    </row>
    <row r="188" spans="1:15" ht="27" customHeight="1" thickBot="1">
      <c r="A188" s="89"/>
      <c r="B188" s="79"/>
      <c r="C188" s="79"/>
      <c r="D188" s="79"/>
      <c r="E188" s="29">
        <f>B186-E186</f>
        <v>8.1199999999999992</v>
      </c>
      <c r="F188" s="29">
        <f>E188-F186</f>
        <v>3.7676799999999995</v>
      </c>
      <c r="G188" s="29">
        <f>F188-G186</f>
        <v>1.7482035199999997</v>
      </c>
      <c r="H188" s="30"/>
      <c r="I188" s="30"/>
      <c r="J188" s="30"/>
      <c r="K188" s="30"/>
      <c r="L188" s="30"/>
      <c r="M188" s="30"/>
      <c r="N188" s="30"/>
      <c r="O188" s="10"/>
    </row>
    <row r="189" spans="1:15" ht="16.5">
      <c r="A189" s="87" t="s">
        <v>65</v>
      </c>
      <c r="B189" s="80">
        <v>165</v>
      </c>
      <c r="C189" s="80">
        <v>16.5</v>
      </c>
      <c r="D189" s="80">
        <v>3</v>
      </c>
      <c r="E189" s="31">
        <f>DB($B$189,$C$189,$D$189,E177)</f>
        <v>88.440000000000012</v>
      </c>
      <c r="F189" s="31">
        <f t="shared" ref="F189:G189" si="32">DB($B$189,$C$189,$D$189,F177)</f>
        <v>41.036159999999995</v>
      </c>
      <c r="G189" s="31">
        <f t="shared" si="32"/>
        <v>19.040778239999998</v>
      </c>
      <c r="H189" s="32"/>
      <c r="I189" s="32"/>
      <c r="J189" s="32"/>
      <c r="K189" s="32"/>
      <c r="L189" s="32"/>
      <c r="M189" s="32"/>
      <c r="N189" s="32"/>
      <c r="O189" s="49"/>
    </row>
    <row r="190" spans="1:15">
      <c r="A190" s="88"/>
      <c r="B190" s="78"/>
      <c r="C190" s="78"/>
      <c r="D190" s="78"/>
      <c r="E190" s="83" t="s">
        <v>62</v>
      </c>
      <c r="F190" s="83"/>
      <c r="G190" s="83"/>
      <c r="H190" s="83"/>
      <c r="I190" s="83"/>
      <c r="J190" s="83"/>
      <c r="K190" s="83"/>
      <c r="L190" s="83"/>
      <c r="M190" s="83"/>
      <c r="N190" s="83"/>
      <c r="O190" s="10"/>
    </row>
    <row r="191" spans="1:15" ht="17.25" thickBot="1">
      <c r="A191" s="89"/>
      <c r="B191" s="79"/>
      <c r="C191" s="79"/>
      <c r="D191" s="79"/>
      <c r="E191" s="29">
        <f>B189-E189</f>
        <v>76.559999999999988</v>
      </c>
      <c r="F191" s="29">
        <f>E191-F189</f>
        <v>35.523839999999993</v>
      </c>
      <c r="G191" s="29">
        <f>F191-G189</f>
        <v>16.483061759999995</v>
      </c>
      <c r="H191" s="30"/>
      <c r="I191" s="30"/>
      <c r="J191" s="30"/>
      <c r="K191" s="30"/>
      <c r="L191" s="30"/>
      <c r="M191" s="30"/>
      <c r="N191" s="30"/>
      <c r="O191" s="10"/>
    </row>
    <row r="192" spans="1:15" ht="27" customHeight="1">
      <c r="A192" s="87" t="s">
        <v>66</v>
      </c>
      <c r="B192" s="67">
        <v>150</v>
      </c>
      <c r="C192" s="67">
        <v>15</v>
      </c>
      <c r="D192" s="67">
        <v>10</v>
      </c>
      <c r="E192" s="31">
        <f>DB($B$192,$C$192,$D$192,E177)</f>
        <v>30.9</v>
      </c>
      <c r="F192" s="31">
        <f t="shared" ref="F192:N192" si="33">DB($B$192,$C$192,$D$192,F177)</f>
        <v>24.534599999999998</v>
      </c>
      <c r="G192" s="31">
        <f t="shared" si="33"/>
        <v>19.4804724</v>
      </c>
      <c r="H192" s="31">
        <f t="shared" si="33"/>
        <v>15.4674950856</v>
      </c>
      <c r="I192" s="31">
        <f t="shared" si="33"/>
        <v>12.281191097966399</v>
      </c>
      <c r="J192" s="31">
        <f t="shared" si="33"/>
        <v>9.7512657317853222</v>
      </c>
      <c r="K192" s="31">
        <f t="shared" si="33"/>
        <v>7.7425049910375447</v>
      </c>
      <c r="L192" s="31">
        <f t="shared" si="33"/>
        <v>6.1475489628838105</v>
      </c>
      <c r="M192" s="31">
        <f t="shared" si="33"/>
        <v>4.881153876529746</v>
      </c>
      <c r="N192" s="31">
        <f t="shared" si="33"/>
        <v>3.8756361779646178</v>
      </c>
      <c r="O192" s="49"/>
    </row>
    <row r="193" spans="1:15">
      <c r="A193" s="88"/>
      <c r="B193" s="68"/>
      <c r="C193" s="68"/>
      <c r="D193" s="68"/>
      <c r="E193" s="83" t="s">
        <v>62</v>
      </c>
      <c r="F193" s="83"/>
      <c r="G193" s="83"/>
      <c r="H193" s="83"/>
      <c r="I193" s="83"/>
      <c r="J193" s="83"/>
      <c r="K193" s="83"/>
      <c r="L193" s="83"/>
      <c r="M193" s="83"/>
      <c r="N193" s="83"/>
      <c r="O193" s="10"/>
    </row>
    <row r="194" spans="1:15" ht="17.25" thickBot="1">
      <c r="A194" s="89"/>
      <c r="B194" s="69"/>
      <c r="C194" s="69"/>
      <c r="D194" s="69"/>
      <c r="E194" s="29">
        <f>B192-E192</f>
        <v>119.1</v>
      </c>
      <c r="F194" s="29">
        <f t="shared" ref="F194:N194" si="34">E194-F192</f>
        <v>94.565399999999997</v>
      </c>
      <c r="G194" s="29">
        <f t="shared" si="34"/>
        <v>75.0849276</v>
      </c>
      <c r="H194" s="29">
        <f t="shared" si="34"/>
        <v>59.617432514400001</v>
      </c>
      <c r="I194" s="29">
        <f t="shared" si="34"/>
        <v>47.336241416433602</v>
      </c>
      <c r="J194" s="29">
        <f t="shared" si="34"/>
        <v>37.584975684648278</v>
      </c>
      <c r="K194" s="29">
        <f t="shared" si="34"/>
        <v>29.842470693610732</v>
      </c>
      <c r="L194" s="29">
        <f t="shared" si="34"/>
        <v>23.694921730726922</v>
      </c>
      <c r="M194" s="29">
        <f t="shared" si="34"/>
        <v>18.813767854197174</v>
      </c>
      <c r="N194" s="29">
        <f t="shared" si="34"/>
        <v>14.938131676232556</v>
      </c>
      <c r="O194" s="10"/>
    </row>
    <row r="195" spans="1:15" ht="16.5">
      <c r="A195" s="87" t="s">
        <v>67</v>
      </c>
      <c r="B195" s="67">
        <v>89</v>
      </c>
      <c r="C195" s="67">
        <v>8.9</v>
      </c>
      <c r="D195" s="67">
        <v>3</v>
      </c>
      <c r="E195" s="31">
        <f>DB($B$195,$C$195,$D$195,E177)</f>
        <v>47.704000000000001</v>
      </c>
      <c r="F195" s="31">
        <f t="shared" ref="F195:G195" si="35">DB($B$195,$C$195,$D$195,F177)</f>
        <v>22.134656</v>
      </c>
      <c r="G195" s="31">
        <f t="shared" si="35"/>
        <v>10.270480384000001</v>
      </c>
      <c r="H195" s="32"/>
      <c r="I195" s="32"/>
      <c r="J195" s="32"/>
      <c r="K195" s="32"/>
      <c r="L195" s="32"/>
      <c r="M195" s="32"/>
      <c r="N195" s="32"/>
      <c r="O195" s="49"/>
    </row>
    <row r="196" spans="1:15">
      <c r="A196" s="88"/>
      <c r="B196" s="68"/>
      <c r="C196" s="68"/>
      <c r="D196" s="68"/>
      <c r="E196" s="83" t="s">
        <v>62</v>
      </c>
      <c r="F196" s="83"/>
      <c r="G196" s="83"/>
      <c r="H196" s="83"/>
      <c r="I196" s="83"/>
      <c r="J196" s="83"/>
      <c r="K196" s="83"/>
      <c r="L196" s="83"/>
      <c r="M196" s="83"/>
      <c r="N196" s="83"/>
      <c r="O196" s="10"/>
    </row>
    <row r="197" spans="1:15" ht="17.25" thickBot="1">
      <c r="A197" s="89"/>
      <c r="B197" s="69"/>
      <c r="C197" s="69"/>
      <c r="D197" s="69"/>
      <c r="E197" s="29">
        <f>B195-E195</f>
        <v>41.295999999999999</v>
      </c>
      <c r="F197" s="29">
        <f>E197-F195</f>
        <v>19.161344</v>
      </c>
      <c r="G197" s="29">
        <f>F197-G195</f>
        <v>8.890863615999999</v>
      </c>
      <c r="H197" s="30"/>
      <c r="I197" s="30"/>
      <c r="J197" s="30"/>
      <c r="K197" s="30"/>
      <c r="L197" s="30"/>
      <c r="M197" s="30"/>
      <c r="N197" s="30"/>
      <c r="O197" s="10"/>
    </row>
    <row r="198" spans="1:15" ht="16.5">
      <c r="A198" s="87" t="s">
        <v>68</v>
      </c>
      <c r="B198" s="67">
        <v>43</v>
      </c>
      <c r="C198" s="67">
        <v>4.3</v>
      </c>
      <c r="D198" s="67">
        <v>10</v>
      </c>
      <c r="E198" s="31">
        <f>DB($B$198,$C$198,$D$198,E177)</f>
        <v>8.8579999999999988</v>
      </c>
      <c r="F198" s="31">
        <f t="shared" ref="F198:N198" si="36">DB($B$198,$C$198,$D$198,F177)</f>
        <v>7.0332520000000001</v>
      </c>
      <c r="G198" s="31">
        <f t="shared" si="36"/>
        <v>5.584402088</v>
      </c>
      <c r="H198" s="31">
        <f t="shared" si="36"/>
        <v>4.4340152578719998</v>
      </c>
      <c r="I198" s="31">
        <f t="shared" si="36"/>
        <v>3.5206081147503685</v>
      </c>
      <c r="J198" s="31">
        <f t="shared" si="36"/>
        <v>2.7953628431117927</v>
      </c>
      <c r="K198" s="31">
        <f t="shared" si="36"/>
        <v>2.2195180974307633</v>
      </c>
      <c r="L198" s="31">
        <f t="shared" si="36"/>
        <v>1.7622973693600261</v>
      </c>
      <c r="M198" s="31">
        <f t="shared" si="36"/>
        <v>1.3992641112718607</v>
      </c>
      <c r="N198" s="31">
        <f t="shared" si="36"/>
        <v>1.1110157043498574</v>
      </c>
      <c r="O198" s="49"/>
    </row>
    <row r="199" spans="1:15">
      <c r="A199" s="88"/>
      <c r="B199" s="68"/>
      <c r="C199" s="68"/>
      <c r="D199" s="68"/>
      <c r="E199" s="83" t="s">
        <v>62</v>
      </c>
      <c r="F199" s="83"/>
      <c r="G199" s="83"/>
      <c r="H199" s="83"/>
      <c r="I199" s="83"/>
      <c r="J199" s="83"/>
      <c r="K199" s="83"/>
      <c r="L199" s="83"/>
      <c r="M199" s="83"/>
      <c r="N199" s="83"/>
      <c r="O199" s="10"/>
    </row>
    <row r="200" spans="1:15" ht="17.25" thickBot="1">
      <c r="A200" s="89"/>
      <c r="B200" s="69"/>
      <c r="C200" s="69"/>
      <c r="D200" s="69"/>
      <c r="E200" s="29">
        <f>B198-E198</f>
        <v>34.142000000000003</v>
      </c>
      <c r="F200" s="29">
        <f>E200-F198</f>
        <v>27.108748000000002</v>
      </c>
      <c r="G200" s="29">
        <f t="shared" ref="G200:N200" si="37">F200-G198</f>
        <v>21.524345912000001</v>
      </c>
      <c r="H200" s="29">
        <f t="shared" si="37"/>
        <v>17.090330654128003</v>
      </c>
      <c r="I200" s="29">
        <f t="shared" si="37"/>
        <v>13.569722539377635</v>
      </c>
      <c r="J200" s="29">
        <f t="shared" si="37"/>
        <v>10.774359696265842</v>
      </c>
      <c r="K200" s="29">
        <f t="shared" si="37"/>
        <v>8.554841598835079</v>
      </c>
      <c r="L200" s="29">
        <f t="shared" si="37"/>
        <v>6.7925442294750527</v>
      </c>
      <c r="M200" s="29">
        <f t="shared" si="37"/>
        <v>5.393280118203192</v>
      </c>
      <c r="N200" s="29">
        <f t="shared" si="37"/>
        <v>4.2822644138533343</v>
      </c>
      <c r="O200" s="10"/>
    </row>
    <row r="201" spans="1:15" ht="16.5">
      <c r="A201" s="87" t="s">
        <v>69</v>
      </c>
      <c r="B201" s="67">
        <v>550</v>
      </c>
      <c r="C201" s="67">
        <v>55</v>
      </c>
      <c r="D201" s="67">
        <v>10</v>
      </c>
      <c r="E201" s="31">
        <f>DB($B$201,$C$201,$D$201,E177)</f>
        <v>113.3</v>
      </c>
      <c r="F201" s="31">
        <f t="shared" ref="F201:N201" si="38">DB($B$201,$C$201,$D$201,F177)</f>
        <v>89.960199999999986</v>
      </c>
      <c r="G201" s="31">
        <f t="shared" si="38"/>
        <v>71.428398799999997</v>
      </c>
      <c r="H201" s="31">
        <f t="shared" si="38"/>
        <v>56.714148647199991</v>
      </c>
      <c r="I201" s="31">
        <f t="shared" si="38"/>
        <v>45.031034025876799</v>
      </c>
      <c r="J201" s="31">
        <f t="shared" si="38"/>
        <v>35.754641016546174</v>
      </c>
      <c r="K201" s="31">
        <f t="shared" si="38"/>
        <v>28.389184967137666</v>
      </c>
      <c r="L201" s="31">
        <f t="shared" si="38"/>
        <v>22.541012863907305</v>
      </c>
      <c r="M201" s="31">
        <f t="shared" si="38"/>
        <v>17.897564213942399</v>
      </c>
      <c r="N201" s="31">
        <f t="shared" si="38"/>
        <v>14.210665985870264</v>
      </c>
      <c r="O201" s="49"/>
    </row>
    <row r="202" spans="1:15">
      <c r="A202" s="88"/>
      <c r="B202" s="68"/>
      <c r="C202" s="68"/>
      <c r="D202" s="68"/>
      <c r="E202" s="83" t="s">
        <v>62</v>
      </c>
      <c r="F202" s="83"/>
      <c r="G202" s="83"/>
      <c r="H202" s="83"/>
      <c r="I202" s="83"/>
      <c r="J202" s="83"/>
      <c r="K202" s="83"/>
      <c r="L202" s="83"/>
      <c r="M202" s="83"/>
      <c r="N202" s="83"/>
      <c r="O202" s="10"/>
    </row>
    <row r="203" spans="1:15" ht="17.25" thickBot="1">
      <c r="A203" s="89"/>
      <c r="B203" s="69"/>
      <c r="C203" s="69"/>
      <c r="D203" s="69"/>
      <c r="E203" s="29">
        <f>B201-E201</f>
        <v>436.7</v>
      </c>
      <c r="F203" s="29">
        <f>E203-F201</f>
        <v>346.7398</v>
      </c>
      <c r="G203" s="29">
        <f t="shared" ref="G203:N203" si="39">F203-G201</f>
        <v>275.31140119999998</v>
      </c>
      <c r="H203" s="29">
        <f t="shared" si="39"/>
        <v>218.5972525528</v>
      </c>
      <c r="I203" s="29">
        <f t="shared" si="39"/>
        <v>173.56621852692319</v>
      </c>
      <c r="J203" s="29">
        <f t="shared" si="39"/>
        <v>137.81157751037702</v>
      </c>
      <c r="K203" s="29">
        <f t="shared" si="39"/>
        <v>109.42239254323935</v>
      </c>
      <c r="L203" s="29">
        <f t="shared" si="39"/>
        <v>86.881379679332042</v>
      </c>
      <c r="M203" s="29">
        <f t="shared" si="39"/>
        <v>68.98381546538964</v>
      </c>
      <c r="N203" s="29">
        <f t="shared" si="39"/>
        <v>54.773149479519375</v>
      </c>
      <c r="O203" s="10"/>
    </row>
    <row r="204" spans="1:15" ht="16.5">
      <c r="A204" s="87" t="s">
        <v>70</v>
      </c>
      <c r="B204" s="74">
        <v>300</v>
      </c>
      <c r="C204" s="74">
        <v>30</v>
      </c>
      <c r="D204" s="74">
        <v>10</v>
      </c>
      <c r="E204" s="31">
        <f>DB($B$204,$C$204,$D$204,E177)</f>
        <v>61.8</v>
      </c>
      <c r="F204" s="31">
        <f t="shared" ref="F204:N204" si="40">DB($B$204,$C$204,$D$204,F177)</f>
        <v>49.069199999999995</v>
      </c>
      <c r="G204" s="31">
        <f t="shared" si="40"/>
        <v>38.9609448</v>
      </c>
      <c r="H204" s="31">
        <f t="shared" si="40"/>
        <v>30.934990171199999</v>
      </c>
      <c r="I204" s="31">
        <f t="shared" si="40"/>
        <v>24.562382195932798</v>
      </c>
      <c r="J204" s="31">
        <f t="shared" si="40"/>
        <v>19.502531463570644</v>
      </c>
      <c r="K204" s="31">
        <f t="shared" si="40"/>
        <v>15.485009982075089</v>
      </c>
      <c r="L204" s="31">
        <f t="shared" si="40"/>
        <v>12.295097925767621</v>
      </c>
      <c r="M204" s="31">
        <f t="shared" si="40"/>
        <v>9.7623077530594919</v>
      </c>
      <c r="N204" s="31">
        <f t="shared" si="40"/>
        <v>7.7512723559292356</v>
      </c>
      <c r="O204" s="49"/>
    </row>
    <row r="205" spans="1:15">
      <c r="A205" s="88"/>
      <c r="B205" s="75"/>
      <c r="C205" s="75"/>
      <c r="D205" s="75"/>
      <c r="E205" s="83" t="s">
        <v>62</v>
      </c>
      <c r="F205" s="83"/>
      <c r="G205" s="83"/>
      <c r="H205" s="83"/>
      <c r="I205" s="83"/>
      <c r="J205" s="83"/>
      <c r="K205" s="83"/>
      <c r="L205" s="83"/>
      <c r="M205" s="83"/>
      <c r="N205" s="83"/>
      <c r="O205" s="10"/>
    </row>
    <row r="206" spans="1:15" ht="17.25" thickBot="1">
      <c r="A206" s="89"/>
      <c r="B206" s="76"/>
      <c r="C206" s="76"/>
      <c r="D206" s="76"/>
      <c r="E206" s="29">
        <f>B204-E204</f>
        <v>238.2</v>
      </c>
      <c r="F206" s="29">
        <f>E206-F204</f>
        <v>189.13079999999999</v>
      </c>
      <c r="G206" s="29">
        <f>F206-G204</f>
        <v>150.1698552</v>
      </c>
      <c r="H206" s="29">
        <f t="shared" ref="H206:N206" si="41">G206-H204</f>
        <v>119.2348650288</v>
      </c>
      <c r="I206" s="29">
        <f t="shared" si="41"/>
        <v>94.672482832867203</v>
      </c>
      <c r="J206" s="29">
        <f t="shared" si="41"/>
        <v>75.169951369296555</v>
      </c>
      <c r="K206" s="29">
        <f t="shared" si="41"/>
        <v>59.684941387221464</v>
      </c>
      <c r="L206" s="29">
        <f t="shared" si="41"/>
        <v>47.389843461453843</v>
      </c>
      <c r="M206" s="29">
        <f t="shared" si="41"/>
        <v>37.627535708394348</v>
      </c>
      <c r="N206" s="29">
        <f t="shared" si="41"/>
        <v>29.876263352465113</v>
      </c>
      <c r="O206" s="10"/>
    </row>
    <row r="207" spans="1:15" ht="16.5">
      <c r="A207" s="87" t="s">
        <v>71</v>
      </c>
      <c r="B207" s="74">
        <v>548</v>
      </c>
      <c r="C207" s="74">
        <v>54.8</v>
      </c>
      <c r="D207" s="74">
        <v>3</v>
      </c>
      <c r="E207" s="31">
        <f>DB($B$207,$C$207,$D$207,E177)</f>
        <v>293.72800000000001</v>
      </c>
      <c r="F207" s="31">
        <f t="shared" ref="F207:G207" si="42">DB($B$207,$C$207,$D$207,F177)</f>
        <v>136.28979200000001</v>
      </c>
      <c r="G207" s="31">
        <f t="shared" si="42"/>
        <v>63.238463487999994</v>
      </c>
      <c r="H207" s="32"/>
      <c r="I207" s="32"/>
      <c r="J207" s="32"/>
      <c r="K207" s="32"/>
      <c r="L207" s="32"/>
      <c r="M207" s="32"/>
      <c r="N207" s="32"/>
      <c r="O207" s="49"/>
    </row>
    <row r="208" spans="1:15">
      <c r="A208" s="88"/>
      <c r="B208" s="75"/>
      <c r="C208" s="75"/>
      <c r="D208" s="75"/>
      <c r="E208" s="83" t="s">
        <v>62</v>
      </c>
      <c r="F208" s="83"/>
      <c r="G208" s="83"/>
      <c r="H208" s="83"/>
      <c r="I208" s="83"/>
      <c r="J208" s="83"/>
      <c r="K208" s="83"/>
      <c r="L208" s="83"/>
      <c r="M208" s="83"/>
      <c r="N208" s="83"/>
      <c r="O208" s="10"/>
    </row>
    <row r="209" spans="1:15" ht="17.25" thickBot="1">
      <c r="A209" s="89"/>
      <c r="B209" s="76"/>
      <c r="C209" s="76"/>
      <c r="D209" s="76"/>
      <c r="E209" s="29">
        <f>B207-E207</f>
        <v>254.27199999999999</v>
      </c>
      <c r="F209" s="29">
        <f>E209-F207</f>
        <v>117.98220799999999</v>
      </c>
      <c r="G209" s="29">
        <f>F209-G207</f>
        <v>54.743744511999992</v>
      </c>
      <c r="H209" s="30"/>
      <c r="I209" s="30"/>
      <c r="J209" s="30"/>
      <c r="K209" s="30"/>
      <c r="L209" s="30"/>
      <c r="M209" s="30"/>
      <c r="N209" s="30"/>
      <c r="O209" s="10"/>
    </row>
    <row r="210" spans="1:15" ht="16.5">
      <c r="A210" s="87" t="s">
        <v>72</v>
      </c>
      <c r="B210" s="74">
        <v>70.3</v>
      </c>
      <c r="C210" s="74">
        <v>7.03</v>
      </c>
      <c r="D210" s="74">
        <v>3</v>
      </c>
      <c r="E210" s="31">
        <f>DB($B$210,$C$210,$D$210,E177)</f>
        <v>37.680799999999998</v>
      </c>
      <c r="F210" s="31">
        <f t="shared" ref="F210:G210" si="43">DB($B$210,$C$210,$D$210,F177)</f>
        <v>17.483891200000002</v>
      </c>
      <c r="G210" s="31">
        <f t="shared" si="43"/>
        <v>8.1125255167999981</v>
      </c>
      <c r="H210" s="32"/>
      <c r="I210" s="32"/>
      <c r="J210" s="32"/>
      <c r="K210" s="32"/>
      <c r="L210" s="32"/>
      <c r="M210" s="32"/>
      <c r="N210" s="32"/>
      <c r="O210" s="49"/>
    </row>
    <row r="211" spans="1:15">
      <c r="A211" s="88"/>
      <c r="B211" s="75"/>
      <c r="C211" s="75"/>
      <c r="D211" s="75"/>
      <c r="E211" s="83" t="s">
        <v>62</v>
      </c>
      <c r="F211" s="83"/>
      <c r="G211" s="83"/>
      <c r="H211" s="83"/>
      <c r="I211" s="83"/>
      <c r="J211" s="83"/>
      <c r="K211" s="83"/>
      <c r="L211" s="83"/>
      <c r="M211" s="83"/>
      <c r="N211" s="83"/>
      <c r="O211" s="10"/>
    </row>
    <row r="212" spans="1:15" ht="17.25" thickBot="1">
      <c r="A212" s="89"/>
      <c r="B212" s="76"/>
      <c r="C212" s="76"/>
      <c r="D212" s="76"/>
      <c r="E212" s="29">
        <f>B210-E210</f>
        <v>32.619199999999999</v>
      </c>
      <c r="F212" s="29">
        <f>E212-F210</f>
        <v>15.135308799999997</v>
      </c>
      <c r="G212" s="29">
        <f>F212-G210</f>
        <v>7.022783283199999</v>
      </c>
      <c r="H212" s="30"/>
      <c r="I212" s="30"/>
      <c r="J212" s="30"/>
      <c r="K212" s="30"/>
      <c r="L212" s="30"/>
      <c r="M212" s="30"/>
      <c r="N212" s="30"/>
      <c r="O212" s="10"/>
    </row>
    <row r="213" spans="1:15" ht="27" customHeight="1">
      <c r="A213" s="87" t="s">
        <v>73</v>
      </c>
      <c r="B213" s="74">
        <v>40</v>
      </c>
      <c r="C213" s="74">
        <v>4</v>
      </c>
      <c r="D213" s="74">
        <v>10</v>
      </c>
      <c r="E213" s="31">
        <f>DB($B$213,$C$213,$D$213,E177)</f>
        <v>8.24</v>
      </c>
      <c r="F213" s="31">
        <f t="shared" ref="F213:N213" si="44">DB($B$213,$C$213,$D$213,F177)</f>
        <v>6.542559999999999</v>
      </c>
      <c r="G213" s="31">
        <f t="shared" si="44"/>
        <v>5.1947926399999993</v>
      </c>
      <c r="H213" s="31">
        <f t="shared" si="44"/>
        <v>4.1246653561599995</v>
      </c>
      <c r="I213" s="31">
        <f t="shared" si="44"/>
        <v>3.2749842927910402</v>
      </c>
      <c r="J213" s="31">
        <f t="shared" si="44"/>
        <v>2.6003375284760857</v>
      </c>
      <c r="K213" s="31">
        <f t="shared" si="44"/>
        <v>2.064667997610012</v>
      </c>
      <c r="L213" s="31">
        <f t="shared" si="44"/>
        <v>1.6393463901023495</v>
      </c>
      <c r="M213" s="31">
        <f t="shared" si="44"/>
        <v>1.3016410337412656</v>
      </c>
      <c r="N213" s="31">
        <f t="shared" si="44"/>
        <v>1.0335029807905647</v>
      </c>
      <c r="O213" s="49"/>
    </row>
    <row r="214" spans="1:15">
      <c r="A214" s="88"/>
      <c r="B214" s="75"/>
      <c r="C214" s="75"/>
      <c r="D214" s="75"/>
      <c r="E214" s="83" t="s">
        <v>62</v>
      </c>
      <c r="F214" s="83"/>
      <c r="G214" s="83"/>
      <c r="H214" s="83"/>
      <c r="I214" s="83"/>
      <c r="J214" s="83"/>
      <c r="K214" s="83"/>
      <c r="L214" s="83"/>
      <c r="M214" s="83"/>
      <c r="N214" s="83"/>
      <c r="O214" s="10"/>
    </row>
    <row r="215" spans="1:15" ht="17.25" thickBot="1">
      <c r="A215" s="89"/>
      <c r="B215" s="76"/>
      <c r="C215" s="76"/>
      <c r="D215" s="76"/>
      <c r="E215" s="29">
        <f>B213-E213</f>
        <v>31.759999999999998</v>
      </c>
      <c r="F215" s="29">
        <f>E215-F213</f>
        <v>25.21744</v>
      </c>
      <c r="G215" s="29">
        <f t="shared" ref="G215:N215" si="45">F215-G213</f>
        <v>20.022647360000001</v>
      </c>
      <c r="H215" s="29">
        <f t="shared" si="45"/>
        <v>15.897982003840001</v>
      </c>
      <c r="I215" s="29">
        <f t="shared" si="45"/>
        <v>12.62299771104896</v>
      </c>
      <c r="J215" s="29">
        <f t="shared" si="45"/>
        <v>10.022660182572874</v>
      </c>
      <c r="K215" s="29">
        <f t="shared" si="45"/>
        <v>7.9579921849628619</v>
      </c>
      <c r="L215" s="29">
        <f t="shared" si="45"/>
        <v>6.3186457948605126</v>
      </c>
      <c r="M215" s="29">
        <f t="shared" si="45"/>
        <v>5.0170047611192468</v>
      </c>
      <c r="N215" s="29">
        <f t="shared" si="45"/>
        <v>3.9835017803286821</v>
      </c>
      <c r="O215" s="10"/>
    </row>
    <row r="216" spans="1:15" ht="16.5">
      <c r="A216" s="87" t="s">
        <v>74</v>
      </c>
      <c r="B216" s="74">
        <v>34</v>
      </c>
      <c r="C216" s="74">
        <v>3.4</v>
      </c>
      <c r="D216" s="74">
        <v>3</v>
      </c>
      <c r="E216" s="31">
        <f>DB($B$216,$C$216,$D$216,E177)</f>
        <v>18.224</v>
      </c>
      <c r="F216" s="31">
        <f t="shared" ref="F216:G216" si="46">DB($B$216,$C$216,$D$216,F177)</f>
        <v>8.4559360000000012</v>
      </c>
      <c r="G216" s="31">
        <f t="shared" si="46"/>
        <v>3.9235543039999996</v>
      </c>
      <c r="H216" s="32"/>
      <c r="I216" s="32"/>
      <c r="J216" s="32"/>
      <c r="K216" s="32"/>
      <c r="L216" s="32"/>
      <c r="M216" s="32"/>
      <c r="N216" s="32"/>
      <c r="O216" s="49"/>
    </row>
    <row r="217" spans="1:15">
      <c r="A217" s="88"/>
      <c r="B217" s="75"/>
      <c r="C217" s="75"/>
      <c r="D217" s="75"/>
      <c r="E217" s="83" t="s">
        <v>62</v>
      </c>
      <c r="F217" s="83"/>
      <c r="G217" s="83"/>
      <c r="H217" s="83"/>
      <c r="I217" s="83"/>
      <c r="J217" s="83"/>
      <c r="K217" s="83"/>
      <c r="L217" s="83"/>
      <c r="M217" s="83"/>
      <c r="N217" s="83"/>
      <c r="O217" s="10"/>
    </row>
    <row r="218" spans="1:15" ht="17.25" thickBot="1">
      <c r="A218" s="89"/>
      <c r="B218" s="76"/>
      <c r="C218" s="76"/>
      <c r="D218" s="76"/>
      <c r="E218" s="29">
        <f>B216-E216</f>
        <v>15.776</v>
      </c>
      <c r="F218" s="29">
        <f>E218-F216</f>
        <v>7.3200639999999986</v>
      </c>
      <c r="G218" s="29">
        <f>F218-G216</f>
        <v>3.396509695999999</v>
      </c>
      <c r="H218" s="30"/>
      <c r="I218" s="30"/>
      <c r="J218" s="30"/>
      <c r="K218" s="30"/>
      <c r="L218" s="30"/>
      <c r="M218" s="30"/>
      <c r="N218" s="30"/>
      <c r="O218" s="10"/>
    </row>
    <row r="219" spans="1:15" ht="16.5">
      <c r="A219" s="87" t="s">
        <v>75</v>
      </c>
      <c r="B219" s="67">
        <v>960</v>
      </c>
      <c r="C219" s="67">
        <v>96</v>
      </c>
      <c r="D219" s="67">
        <v>3</v>
      </c>
      <c r="E219" s="31">
        <f>DB($B$219,$C$219,$D$219,E177)</f>
        <v>514.56000000000006</v>
      </c>
      <c r="F219" s="31">
        <f t="shared" ref="F219:G219" si="47">DB($B$219,$C$219,$D$219,F177)</f>
        <v>238.75583999999998</v>
      </c>
      <c r="G219" s="31">
        <f t="shared" si="47"/>
        <v>110.78270975999999</v>
      </c>
      <c r="H219" s="32"/>
      <c r="I219" s="32"/>
      <c r="J219" s="32"/>
      <c r="K219" s="32"/>
      <c r="L219" s="32"/>
      <c r="M219" s="32"/>
      <c r="N219" s="32"/>
      <c r="O219" s="49"/>
    </row>
    <row r="220" spans="1:15">
      <c r="A220" s="88"/>
      <c r="B220" s="68"/>
      <c r="C220" s="68"/>
      <c r="D220" s="68"/>
      <c r="E220" s="83" t="s">
        <v>62</v>
      </c>
      <c r="F220" s="83"/>
      <c r="G220" s="83"/>
      <c r="H220" s="83"/>
      <c r="I220" s="83"/>
      <c r="J220" s="83"/>
      <c r="K220" s="83"/>
      <c r="L220" s="83"/>
      <c r="M220" s="83"/>
      <c r="N220" s="83"/>
      <c r="O220" s="10"/>
    </row>
    <row r="221" spans="1:15" ht="15.75" thickBot="1">
      <c r="A221" s="89"/>
      <c r="B221" s="69"/>
      <c r="C221" s="69"/>
      <c r="D221" s="69"/>
      <c r="E221" s="34">
        <f>B219-E219</f>
        <v>445.43999999999994</v>
      </c>
      <c r="F221" s="34">
        <f>E221-F219</f>
        <v>206.68415999999996</v>
      </c>
      <c r="G221" s="35">
        <f>F221-G219</f>
        <v>95.901450239999974</v>
      </c>
      <c r="H221" s="33"/>
      <c r="I221" s="33"/>
      <c r="J221" s="33"/>
      <c r="K221" s="33"/>
      <c r="L221" s="33"/>
      <c r="M221" s="33"/>
      <c r="N221" s="33"/>
      <c r="O221" s="10"/>
    </row>
    <row r="225" spans="6:16">
      <c r="F225" s="82" t="s">
        <v>76</v>
      </c>
      <c r="G225" s="65">
        <v>2014</v>
      </c>
      <c r="H225" s="65">
        <v>2015</v>
      </c>
      <c r="I225" s="65">
        <v>2016</v>
      </c>
      <c r="J225" s="65">
        <v>2017</v>
      </c>
      <c r="K225" s="65">
        <v>2018</v>
      </c>
      <c r="L225" s="65">
        <v>2019</v>
      </c>
      <c r="M225" s="65">
        <v>2020</v>
      </c>
      <c r="N225" s="65">
        <v>2021</v>
      </c>
      <c r="O225" s="65">
        <v>2022</v>
      </c>
      <c r="P225" s="65">
        <v>2023</v>
      </c>
    </row>
    <row r="226" spans="6:16">
      <c r="F226" s="82"/>
      <c r="G226" s="48">
        <f>E180+E186+E189+E195+E207+E210+E216+E219</f>
        <v>1221.4367999999999</v>
      </c>
      <c r="H226" s="48">
        <f>F180+F186+F189+F195+F207+F210+F216+F219</f>
        <v>566.74667520000003</v>
      </c>
      <c r="I226" s="48">
        <f>G180+G186+G189+G195+G209+G216+G219</f>
        <v>246.36321279999999</v>
      </c>
      <c r="J226" s="48">
        <f t="shared" ref="J226:P226" si="48">H183+H192+H198+H201+H204+H213</f>
        <v>119.82152859644798</v>
      </c>
      <c r="K226" s="48">
        <f t="shared" si="48"/>
        <v>95.138293705579713</v>
      </c>
      <c r="L226" s="48">
        <f t="shared" si="48"/>
        <v>75.539805202230298</v>
      </c>
      <c r="M226" s="48">
        <f t="shared" si="48"/>
        <v>59.978605330570851</v>
      </c>
      <c r="N226" s="48">
        <f t="shared" si="48"/>
        <v>47.623012632473248</v>
      </c>
      <c r="O226" s="48">
        <f t="shared" si="48"/>
        <v>37.812672030183762</v>
      </c>
      <c r="P226" s="48">
        <f t="shared" si="48"/>
        <v>30.023261591965905</v>
      </c>
    </row>
    <row r="231" spans="6:16" ht="16.5" customHeight="1"/>
    <row r="232" spans="6:16" ht="16.5" customHeight="1"/>
    <row r="233" spans="6:16" ht="16.5" customHeight="1"/>
    <row r="235" spans="6:16" ht="16.5" customHeight="1"/>
    <row r="236" spans="6:16" ht="16.5" customHeight="1"/>
    <row r="237" spans="6:16" ht="16.5" customHeight="1"/>
    <row r="238" spans="6:16" ht="16.5" customHeight="1"/>
    <row r="239" spans="6:16" ht="16.5" customHeight="1"/>
    <row r="242" ht="16.5" customHeight="1"/>
    <row r="245" ht="16.5" customHeight="1"/>
  </sheetData>
  <mergeCells count="85">
    <mergeCell ref="A175:N175"/>
    <mergeCell ref="A177:A179"/>
    <mergeCell ref="B177:B179"/>
    <mergeCell ref="C177:C179"/>
    <mergeCell ref="D177:D179"/>
    <mergeCell ref="E178:N178"/>
    <mergeCell ref="A35:G35"/>
    <mergeCell ref="D64:E64"/>
    <mergeCell ref="D65:D66"/>
    <mergeCell ref="A1:H1"/>
    <mergeCell ref="A20:I20"/>
    <mergeCell ref="A2:H2"/>
    <mergeCell ref="A180:A182"/>
    <mergeCell ref="B180:B182"/>
    <mergeCell ref="C180:C182"/>
    <mergeCell ref="D180:D182"/>
    <mergeCell ref="E181:N181"/>
    <mergeCell ref="A183:A185"/>
    <mergeCell ref="A186:A188"/>
    <mergeCell ref="A189:A191"/>
    <mergeCell ref="A192:A194"/>
    <mergeCell ref="A195:A197"/>
    <mergeCell ref="A213:A215"/>
    <mergeCell ref="A216:A218"/>
    <mergeCell ref="A219:A221"/>
    <mergeCell ref="B183:B185"/>
    <mergeCell ref="C183:C185"/>
    <mergeCell ref="B192:B194"/>
    <mergeCell ref="C192:C194"/>
    <mergeCell ref="B201:B203"/>
    <mergeCell ref="C201:C203"/>
    <mergeCell ref="B219:B221"/>
    <mergeCell ref="C219:C221"/>
    <mergeCell ref="A198:A200"/>
    <mergeCell ref="A201:A203"/>
    <mergeCell ref="A204:A206"/>
    <mergeCell ref="A207:A209"/>
    <mergeCell ref="A210:A212"/>
    <mergeCell ref="B216:B218"/>
    <mergeCell ref="C216:C218"/>
    <mergeCell ref="E205:N205"/>
    <mergeCell ref="E208:N208"/>
    <mergeCell ref="E211:N211"/>
    <mergeCell ref="E214:N214"/>
    <mergeCell ref="E217:N217"/>
    <mergeCell ref="B210:B212"/>
    <mergeCell ref="C210:C212"/>
    <mergeCell ref="D210:D212"/>
    <mergeCell ref="B213:B215"/>
    <mergeCell ref="C213:C215"/>
    <mergeCell ref="D213:D215"/>
    <mergeCell ref="B204:B206"/>
    <mergeCell ref="C204:C206"/>
    <mergeCell ref="D204:D206"/>
    <mergeCell ref="J72:O72"/>
    <mergeCell ref="F225:F226"/>
    <mergeCell ref="D216:D218"/>
    <mergeCell ref="D219:D221"/>
    <mergeCell ref="E220:N220"/>
    <mergeCell ref="D201:D203"/>
    <mergeCell ref="E184:N184"/>
    <mergeCell ref="E187:N187"/>
    <mergeCell ref="E190:N190"/>
    <mergeCell ref="E193:N193"/>
    <mergeCell ref="E196:N196"/>
    <mergeCell ref="E199:N199"/>
    <mergeCell ref="E202:N202"/>
    <mergeCell ref="D195:D197"/>
    <mergeCell ref="D198:D200"/>
    <mergeCell ref="D186:D188"/>
    <mergeCell ref="D192:D194"/>
    <mergeCell ref="D183:D185"/>
    <mergeCell ref="O177:O179"/>
    <mergeCell ref="B207:B209"/>
    <mergeCell ref="C207:C209"/>
    <mergeCell ref="D207:D209"/>
    <mergeCell ref="B195:B197"/>
    <mergeCell ref="C195:C197"/>
    <mergeCell ref="B198:B200"/>
    <mergeCell ref="C198:C200"/>
    <mergeCell ref="B186:B188"/>
    <mergeCell ref="C186:C188"/>
    <mergeCell ref="B189:B191"/>
    <mergeCell ref="C189:C191"/>
    <mergeCell ref="D189:D19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7"/>
  <sheetViews>
    <sheetView workbookViewId="0">
      <selection activeCell="J8" sqref="J8"/>
    </sheetView>
  </sheetViews>
  <sheetFormatPr defaultColWidth="11.42578125" defaultRowHeight="15"/>
  <cols>
    <col min="3" max="3" width="24" customWidth="1"/>
  </cols>
  <sheetData>
    <row r="5" spans="2:3" ht="18.75">
      <c r="B5" s="50" t="s">
        <v>60</v>
      </c>
      <c r="C5" s="50" t="s">
        <v>77</v>
      </c>
    </row>
    <row r="6" spans="2:3" ht="15.75">
      <c r="B6" s="2">
        <v>0</v>
      </c>
      <c r="C6" s="57">
        <v>-50000</v>
      </c>
    </row>
    <row r="7" spans="2:3" ht="15.75">
      <c r="B7" s="2">
        <v>1</v>
      </c>
      <c r="C7" s="58">
        <v>-99773.566159669368</v>
      </c>
    </row>
    <row r="8" spans="2:3" ht="15.75">
      <c r="B8" s="2">
        <v>2</v>
      </c>
      <c r="C8" s="58">
        <v>-78714.217905134763</v>
      </c>
    </row>
    <row r="9" spans="2:3" ht="15.75">
      <c r="B9" s="2">
        <v>3</v>
      </c>
      <c r="C9" s="58">
        <v>-121100.57825172364</v>
      </c>
    </row>
    <row r="10" spans="2:3" ht="15.75">
      <c r="B10" s="2">
        <v>4</v>
      </c>
      <c r="C10" s="58">
        <v>-164045.03787080824</v>
      </c>
    </row>
    <row r="11" spans="2:3" ht="15.75">
      <c r="B11" s="2">
        <v>5</v>
      </c>
      <c r="C11" s="58">
        <v>-207655.27652539793</v>
      </c>
    </row>
    <row r="12" spans="2:3" ht="15.75">
      <c r="B12" s="2">
        <v>6</v>
      </c>
      <c r="C12" s="58">
        <v>-252049.50441498493</v>
      </c>
    </row>
    <row r="13" spans="2:3" ht="15.75">
      <c r="B13" s="2">
        <v>7</v>
      </c>
      <c r="C13" s="58">
        <v>-297321.06522249093</v>
      </c>
    </row>
    <row r="14" spans="2:3" ht="15.75">
      <c r="B14" s="2">
        <v>8</v>
      </c>
      <c r="C14" s="58">
        <v>-343574.22205070732</v>
      </c>
    </row>
    <row r="15" spans="2:3" ht="15.75">
      <c r="B15" s="2">
        <v>9</v>
      </c>
      <c r="C15" s="58">
        <v>-370914.60838140803</v>
      </c>
    </row>
    <row r="16" spans="2:3" ht="15.75">
      <c r="B16" s="2">
        <v>10</v>
      </c>
      <c r="C16" s="58">
        <v>-407876.0141864373</v>
      </c>
    </row>
    <row r="17" spans="2:3" ht="21">
      <c r="B17" s="51" t="s">
        <v>78</v>
      </c>
      <c r="C17" s="59">
        <f>NPV(11.83%,C6,C7,C8,C9,C10,C11,C12,C13,C14,C15,C16)</f>
        <v>-1061035.321450114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0" zoomScaleNormal="80" workbookViewId="0">
      <selection activeCell="H20" sqref="H20"/>
    </sheetView>
  </sheetViews>
  <sheetFormatPr defaultColWidth="11.42578125" defaultRowHeight="15"/>
  <cols>
    <col min="3" max="3" width="11" customWidth="1"/>
    <col min="4" max="4" width="17.42578125" customWidth="1"/>
    <col min="5" max="5" width="14.42578125" customWidth="1"/>
    <col min="6" max="6" width="15.85546875" customWidth="1"/>
    <col min="7" max="7" width="16.5703125" customWidth="1"/>
    <col min="8" max="8" width="16" customWidth="1"/>
    <col min="9" max="9" width="15.85546875" customWidth="1"/>
    <col min="10" max="10" width="17.140625" customWidth="1"/>
    <col min="11" max="12" width="16" customWidth="1"/>
    <col min="13" max="13" width="17.28515625" customWidth="1"/>
  </cols>
  <sheetData>
    <row r="1" spans="1:14">
      <c r="A1" s="103" t="s">
        <v>79</v>
      </c>
      <c r="B1" s="103"/>
      <c r="C1" s="103"/>
      <c r="D1" s="65">
        <v>2014</v>
      </c>
      <c r="E1" s="65">
        <v>2015</v>
      </c>
      <c r="F1" s="65">
        <v>2016</v>
      </c>
      <c r="G1" s="65">
        <v>2017</v>
      </c>
      <c r="H1" s="65">
        <v>2018</v>
      </c>
      <c r="I1" s="65">
        <v>2019</v>
      </c>
      <c r="J1" s="65">
        <v>2020</v>
      </c>
      <c r="K1" s="65">
        <v>2021</v>
      </c>
      <c r="L1" s="65">
        <v>2022</v>
      </c>
      <c r="M1" s="65">
        <v>2023</v>
      </c>
    </row>
    <row r="2" spans="1:14">
      <c r="A2" s="99" t="s">
        <v>80</v>
      </c>
      <c r="B2" s="99"/>
      <c r="C2" s="99"/>
      <c r="D2" s="61">
        <v>25624.284000000003</v>
      </c>
      <c r="E2" s="61">
        <v>65106.66750000001</v>
      </c>
      <c r="F2" s="61">
        <v>104589.05100000533</v>
      </c>
      <c r="G2" s="61">
        <v>144071.4345000044</v>
      </c>
      <c r="H2" s="61">
        <v>183553.81800000509</v>
      </c>
      <c r="I2" s="61">
        <v>223036.20150000486</v>
      </c>
      <c r="J2" s="61">
        <v>262518.58500000578</v>
      </c>
      <c r="K2" s="61">
        <v>302000.9685000123</v>
      </c>
      <c r="L2" s="61">
        <v>341483.35200000461</v>
      </c>
      <c r="M2" s="61">
        <v>380965.73550001276</v>
      </c>
      <c r="N2" s="39"/>
    </row>
    <row r="3" spans="1:14">
      <c r="A3" s="103" t="s">
        <v>81</v>
      </c>
      <c r="B3" s="103"/>
      <c r="C3" s="103"/>
      <c r="D3" s="61"/>
      <c r="E3" s="61"/>
      <c r="F3" s="61"/>
      <c r="G3" s="61"/>
      <c r="H3" s="61"/>
      <c r="I3" s="61"/>
      <c r="J3" s="61"/>
      <c r="K3" s="61"/>
      <c r="L3" s="61"/>
      <c r="M3" s="61"/>
      <c r="N3" s="39"/>
    </row>
    <row r="4" spans="1:14">
      <c r="A4" s="99" t="s">
        <v>82</v>
      </c>
      <c r="B4" s="99"/>
      <c r="C4" s="99"/>
      <c r="D4" s="61">
        <v>82338.720000000001</v>
      </c>
      <c r="E4" s="61">
        <v>144092.76</v>
      </c>
      <c r="F4" s="61">
        <v>205846.8000000054</v>
      </c>
      <c r="G4" s="61">
        <v>267600.8400000073</v>
      </c>
      <c r="H4" s="61">
        <v>329354.8800000092</v>
      </c>
      <c r="I4" s="61">
        <v>391108.92000001762</v>
      </c>
      <c r="J4" s="61">
        <v>452862.96000002325</v>
      </c>
      <c r="K4" s="61">
        <v>514617.00000002515</v>
      </c>
      <c r="L4" s="61">
        <v>576371.0400000345</v>
      </c>
      <c r="M4" s="61">
        <v>638125.08000003546</v>
      </c>
      <c r="N4" s="39"/>
    </row>
    <row r="5" spans="1:14">
      <c r="A5" s="60" t="s">
        <v>83</v>
      </c>
      <c r="B5" s="60"/>
      <c r="C5" s="60"/>
      <c r="D5" s="61">
        <v>81739.929999999993</v>
      </c>
      <c r="E5" s="61">
        <v>97042.52</v>
      </c>
      <c r="F5" s="61">
        <v>132745.10999999987</v>
      </c>
      <c r="G5" s="61">
        <v>168447.69999999978</v>
      </c>
      <c r="H5" s="61">
        <v>204150.28999999992</v>
      </c>
      <c r="I5" s="61">
        <v>239852.87999999983</v>
      </c>
      <c r="J5" s="61">
        <v>275555.46999999997</v>
      </c>
      <c r="K5" s="61">
        <v>311258.05999999982</v>
      </c>
      <c r="L5" s="61">
        <v>346960.64999999997</v>
      </c>
      <c r="M5" s="61">
        <v>382663.23999999987</v>
      </c>
      <c r="N5" s="39"/>
    </row>
    <row r="6" spans="1:14">
      <c r="A6" s="60" t="s">
        <v>84</v>
      </c>
      <c r="B6" s="60"/>
      <c r="C6" s="60"/>
      <c r="D6" s="61">
        <v>5915</v>
      </c>
      <c r="E6" s="61">
        <v>5431.101765768306</v>
      </c>
      <c r="F6" s="61">
        <v>4889.9583704270035</v>
      </c>
      <c r="G6" s="61">
        <v>4284.7977114168234</v>
      </c>
      <c r="H6" s="61">
        <v>3608.0465464457393</v>
      </c>
      <c r="I6" s="61">
        <v>2851.2357186585764</v>
      </c>
      <c r="J6" s="61">
        <v>2004.8941699441914</v>
      </c>
      <c r="K6" s="61">
        <v>1058.4304160168954</v>
      </c>
      <c r="L6" s="61"/>
      <c r="M6" s="61"/>
      <c r="N6" s="39"/>
    </row>
    <row r="7" spans="1:14">
      <c r="A7" s="99" t="s">
        <v>85</v>
      </c>
      <c r="B7" s="99"/>
      <c r="C7" s="99"/>
      <c r="D7" s="61">
        <v>1221.4367999999999</v>
      </c>
      <c r="E7" s="61">
        <v>566.74667520000003</v>
      </c>
      <c r="F7" s="61">
        <v>246.36321279999999</v>
      </c>
      <c r="G7" s="61">
        <v>119.82152859644798</v>
      </c>
      <c r="H7" s="61">
        <v>95.138293705579713</v>
      </c>
      <c r="I7" s="61">
        <v>75.539805202230298</v>
      </c>
      <c r="J7" s="61">
        <v>59.978605330570851</v>
      </c>
      <c r="K7" s="61">
        <v>47.623012632473248</v>
      </c>
      <c r="L7" s="61">
        <v>37.812672030183762</v>
      </c>
      <c r="M7" s="61">
        <v>30.023261591965905</v>
      </c>
      <c r="N7" s="39"/>
    </row>
    <row r="8" spans="1:14">
      <c r="A8" s="99" t="s">
        <v>86</v>
      </c>
      <c r="B8" s="99"/>
      <c r="C8" s="99"/>
      <c r="D8" s="61">
        <f>SUM(D4:D7)</f>
        <v>171215.08679999999</v>
      </c>
      <c r="E8" s="61">
        <f t="shared" ref="E8:M8" si="0">SUM(E4:E7)</f>
        <v>247133.12844096834</v>
      </c>
      <c r="F8" s="61">
        <f t="shared" si="0"/>
        <v>343728.23158323229</v>
      </c>
      <c r="G8" s="61">
        <f t="shared" si="0"/>
        <v>440453.15924002038</v>
      </c>
      <c r="H8" s="61">
        <f t="shared" si="0"/>
        <v>537208.35484016035</v>
      </c>
      <c r="I8" s="61">
        <f t="shared" si="0"/>
        <v>633888.57552387833</v>
      </c>
      <c r="J8" s="61">
        <f t="shared" si="0"/>
        <v>730483.30277529801</v>
      </c>
      <c r="K8" s="61">
        <f t="shared" si="0"/>
        <v>826981.11342867429</v>
      </c>
      <c r="L8" s="61">
        <f t="shared" si="0"/>
        <v>923369.50267206458</v>
      </c>
      <c r="M8" s="61">
        <f t="shared" si="0"/>
        <v>1020818.3432616272</v>
      </c>
      <c r="N8" s="39"/>
    </row>
    <row r="9" spans="1:14">
      <c r="A9" s="60" t="s">
        <v>87</v>
      </c>
      <c r="B9" s="60"/>
      <c r="C9" s="60"/>
      <c r="D9" s="61">
        <f>D2-D8</f>
        <v>-145590.80279999998</v>
      </c>
      <c r="E9" s="61">
        <f t="shared" ref="E9:M9" si="1">E2-E8</f>
        <v>-182026.46094096833</v>
      </c>
      <c r="F9" s="61">
        <f t="shared" si="1"/>
        <v>-239139.18058322696</v>
      </c>
      <c r="G9" s="61">
        <f t="shared" si="1"/>
        <v>-296381.72474001598</v>
      </c>
      <c r="H9" s="61">
        <f t="shared" si="1"/>
        <v>-353654.53684015526</v>
      </c>
      <c r="I9" s="61">
        <f t="shared" si="1"/>
        <v>-410852.37402387348</v>
      </c>
      <c r="J9" s="61">
        <f t="shared" si="1"/>
        <v>-467964.71777529223</v>
      </c>
      <c r="K9" s="61">
        <f t="shared" si="1"/>
        <v>-524980.14492866199</v>
      </c>
      <c r="L9" s="61">
        <f t="shared" si="1"/>
        <v>-581886.15067205997</v>
      </c>
      <c r="M9" s="61">
        <f t="shared" si="1"/>
        <v>-639852.60776161449</v>
      </c>
      <c r="N9" s="39"/>
    </row>
    <row r="10" spans="1:14">
      <c r="A10" s="60" t="s">
        <v>88</v>
      </c>
      <c r="B10" s="60"/>
      <c r="C10" s="60"/>
      <c r="D10" s="61">
        <f>D9*15%</f>
        <v>-21838.620419999996</v>
      </c>
      <c r="E10" s="61">
        <f t="shared" ref="E10:M10" si="2">E9*15%</f>
        <v>-27303.969141145248</v>
      </c>
      <c r="F10" s="61">
        <f t="shared" si="2"/>
        <v>-35870.877087484041</v>
      </c>
      <c r="G10" s="61">
        <f t="shared" si="2"/>
        <v>-44457.258711002396</v>
      </c>
      <c r="H10" s="61">
        <f t="shared" si="2"/>
        <v>-53048.180526023287</v>
      </c>
      <c r="I10" s="61">
        <f t="shared" si="2"/>
        <v>-61627.85610358102</v>
      </c>
      <c r="J10" s="61">
        <f t="shared" si="2"/>
        <v>-70194.707666293834</v>
      </c>
      <c r="K10" s="61">
        <f t="shared" si="2"/>
        <v>-78747.021739299293</v>
      </c>
      <c r="L10" s="61">
        <f t="shared" si="2"/>
        <v>-87282.92260080899</v>
      </c>
      <c r="M10" s="61">
        <f t="shared" si="2"/>
        <v>-95977.891164242174</v>
      </c>
      <c r="N10" s="39"/>
    </row>
    <row r="11" spans="1:14">
      <c r="A11" s="60" t="s">
        <v>89</v>
      </c>
      <c r="B11" s="60"/>
      <c r="C11" s="60"/>
      <c r="D11" s="61">
        <f>D9-D10</f>
        <v>-123752.18237999998</v>
      </c>
      <c r="E11" s="61">
        <f t="shared" ref="E11:M11" si="3">E9-E10</f>
        <v>-154722.4917998231</v>
      </c>
      <c r="F11" s="61">
        <f t="shared" si="3"/>
        <v>-203268.3034957429</v>
      </c>
      <c r="G11" s="61">
        <f t="shared" si="3"/>
        <v>-251924.46602901359</v>
      </c>
      <c r="H11" s="61">
        <f t="shared" si="3"/>
        <v>-300606.35631413199</v>
      </c>
      <c r="I11" s="61">
        <f t="shared" si="3"/>
        <v>-349224.51792029245</v>
      </c>
      <c r="J11" s="61">
        <f t="shared" si="3"/>
        <v>-397770.01010899839</v>
      </c>
      <c r="K11" s="61">
        <f t="shared" si="3"/>
        <v>-446233.1231893627</v>
      </c>
      <c r="L11" s="61">
        <f t="shared" si="3"/>
        <v>-494603.22807125095</v>
      </c>
      <c r="M11" s="61">
        <f t="shared" si="3"/>
        <v>-543874.71659737232</v>
      </c>
      <c r="N11" s="39"/>
    </row>
    <row r="12" spans="1:14">
      <c r="A12" s="99" t="s">
        <v>90</v>
      </c>
      <c r="B12" s="99"/>
      <c r="C12" s="99"/>
      <c r="D12" s="61">
        <f>D11*25%</f>
        <v>-30938.045594999996</v>
      </c>
      <c r="E12" s="61">
        <f>E11*25%</f>
        <v>-38680.622949955774</v>
      </c>
      <c r="F12" s="61">
        <f t="shared" ref="F12:M12" si="4">F11*25%</f>
        <v>-50817.075873935726</v>
      </c>
      <c r="G12" s="61">
        <f t="shared" si="4"/>
        <v>-62981.116507253399</v>
      </c>
      <c r="H12" s="61">
        <f t="shared" si="4"/>
        <v>-75151.589078532998</v>
      </c>
      <c r="I12" s="61">
        <f t="shared" si="4"/>
        <v>-87306.129480073112</v>
      </c>
      <c r="J12" s="61">
        <f t="shared" si="4"/>
        <v>-99442.502527249599</v>
      </c>
      <c r="K12" s="61">
        <f t="shared" si="4"/>
        <v>-111558.28079734067</v>
      </c>
      <c r="L12" s="61">
        <f t="shared" si="4"/>
        <v>-123650.80701781274</v>
      </c>
      <c r="M12" s="61">
        <f t="shared" si="4"/>
        <v>-135968.67914934308</v>
      </c>
      <c r="N12" s="39"/>
    </row>
    <row r="13" spans="1:14">
      <c r="A13" s="60" t="s">
        <v>91</v>
      </c>
      <c r="B13" s="60"/>
      <c r="C13" s="60"/>
      <c r="D13" s="61">
        <f>D11-D12</f>
        <v>-92814.136784999981</v>
      </c>
      <c r="E13" s="61">
        <f t="shared" ref="E13:M13" si="5">E11-E12</f>
        <v>-116041.86884986731</v>
      </c>
      <c r="F13" s="61">
        <f t="shared" si="5"/>
        <v>-152451.22762180719</v>
      </c>
      <c r="G13" s="61">
        <f t="shared" si="5"/>
        <v>-188943.34952176019</v>
      </c>
      <c r="H13" s="61">
        <f t="shared" si="5"/>
        <v>-225454.76723559899</v>
      </c>
      <c r="I13" s="61">
        <f t="shared" si="5"/>
        <v>-261918.38844021934</v>
      </c>
      <c r="J13" s="61">
        <f t="shared" si="5"/>
        <v>-298327.50758174877</v>
      </c>
      <c r="K13" s="61">
        <f t="shared" si="5"/>
        <v>-334674.84239202202</v>
      </c>
      <c r="L13" s="61">
        <f t="shared" si="5"/>
        <v>-370952.42105343821</v>
      </c>
      <c r="M13" s="61">
        <f t="shared" si="5"/>
        <v>-407906.03744802927</v>
      </c>
      <c r="N13" s="39"/>
    </row>
    <row r="14" spans="1:14">
      <c r="A14" s="100"/>
      <c r="B14" s="101"/>
      <c r="C14" s="102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39"/>
    </row>
    <row r="15" spans="1:14">
      <c r="A15" s="99" t="s">
        <v>92</v>
      </c>
      <c r="B15" s="99"/>
      <c r="C15" s="99"/>
      <c r="D15" s="61">
        <f>D13-D14</f>
        <v>-92814.136784999981</v>
      </c>
      <c r="E15" s="61">
        <f t="shared" ref="E15" si="6">E13-E14</f>
        <v>-116041.86884986731</v>
      </c>
      <c r="F15" s="61">
        <f t="shared" ref="F15" si="7">F13-F14</f>
        <v>-152451.22762180719</v>
      </c>
      <c r="G15" s="61">
        <f t="shared" ref="G15" si="8">G13-G14</f>
        <v>-188943.34952176019</v>
      </c>
      <c r="H15" s="61">
        <f t="shared" ref="H15" si="9">H13-H14</f>
        <v>-225454.76723559899</v>
      </c>
      <c r="I15" s="61">
        <f t="shared" ref="I15" si="10">I13-I14</f>
        <v>-261918.38844021934</v>
      </c>
      <c r="J15" s="61">
        <f t="shared" ref="J15" si="11">J13-J14</f>
        <v>-298327.50758174877</v>
      </c>
      <c r="K15" s="61">
        <f t="shared" ref="K15" si="12">K13-K14</f>
        <v>-334674.84239202202</v>
      </c>
      <c r="L15" s="61">
        <f t="shared" ref="L15" si="13">L13-L14</f>
        <v>-370952.42105343821</v>
      </c>
      <c r="M15" s="61">
        <f t="shared" ref="M15" si="14">M13-M14</f>
        <v>-407906.03744802927</v>
      </c>
      <c r="N15" s="39"/>
    </row>
    <row r="16" spans="1:14">
      <c r="A16" s="99" t="s">
        <v>93</v>
      </c>
      <c r="B16" s="99"/>
      <c r="C16" s="99"/>
      <c r="D16" s="61">
        <v>1221.4367999999999</v>
      </c>
      <c r="E16" s="61">
        <v>566.74667520000003</v>
      </c>
      <c r="F16" s="61">
        <v>246.36321279999999</v>
      </c>
      <c r="G16" s="61">
        <v>119.82152859644798</v>
      </c>
      <c r="H16" s="61">
        <v>95.138293705579713</v>
      </c>
      <c r="I16" s="61">
        <v>75.539805202230298</v>
      </c>
      <c r="J16" s="61">
        <v>59.978605330570851</v>
      </c>
      <c r="K16" s="61">
        <v>47.623012632473248</v>
      </c>
      <c r="L16" s="61">
        <v>37.812672030183762</v>
      </c>
      <c r="M16" s="61">
        <v>30.023261591965905</v>
      </c>
      <c r="N16" s="39"/>
    </row>
    <row r="17" spans="1:14">
      <c r="A17" s="99" t="s">
        <v>94</v>
      </c>
      <c r="B17" s="99"/>
      <c r="C17" s="99"/>
      <c r="D17" s="61">
        <v>50000</v>
      </c>
      <c r="E17" s="61"/>
      <c r="F17" s="61"/>
      <c r="G17" s="61"/>
      <c r="H17" s="61"/>
      <c r="I17" s="61"/>
      <c r="J17" s="61"/>
      <c r="K17" s="61"/>
      <c r="L17" s="61"/>
      <c r="M17" s="61"/>
      <c r="N17" s="39"/>
    </row>
    <row r="18" spans="1:14">
      <c r="A18" s="99" t="s">
        <v>95</v>
      </c>
      <c r="B18" s="99"/>
      <c r="C18" s="99"/>
      <c r="D18" s="61">
        <v>45909.566912665308</v>
      </c>
      <c r="E18" s="61">
        <v>41335.235591098921</v>
      </c>
      <c r="F18" s="61">
        <v>36219.760874191234</v>
      </c>
      <c r="G18" s="61">
        <v>30499.125498273363</v>
      </c>
      <c r="H18" s="61">
        <v>24101.738957384412</v>
      </c>
      <c r="I18" s="61">
        <v>16947.541588708296</v>
      </c>
      <c r="J18" s="61">
        <v>8947.002671317794</v>
      </c>
      <c r="K18" s="61">
        <v>0</v>
      </c>
      <c r="L18" s="61"/>
      <c r="M18" s="61"/>
      <c r="N18" s="39"/>
    </row>
    <row r="19" spans="1:14">
      <c r="A19" s="99" t="s">
        <v>96</v>
      </c>
      <c r="B19" s="99"/>
      <c r="C19" s="99"/>
      <c r="D19" s="61">
        <v>4090.4330873346926</v>
      </c>
      <c r="E19" s="61">
        <v>4574.3313215663866</v>
      </c>
      <c r="F19" s="61">
        <v>5115.47471690769</v>
      </c>
      <c r="G19" s="61">
        <v>5720.6353759178701</v>
      </c>
      <c r="H19" s="61">
        <v>6397.3865408889524</v>
      </c>
      <c r="I19" s="61">
        <v>7154.1973686761166</v>
      </c>
      <c r="J19" s="61">
        <v>8000.5389173905014</v>
      </c>
      <c r="K19" s="61">
        <v>8947.0026713177976</v>
      </c>
      <c r="L19" s="61"/>
      <c r="M19" s="61"/>
      <c r="N19" s="39"/>
    </row>
    <row r="20" spans="1:14">
      <c r="A20" s="99" t="s">
        <v>97</v>
      </c>
      <c r="B20" s="99"/>
      <c r="C20" s="99"/>
      <c r="D20" s="62">
        <f>D15+D16-D17+D18-D19</f>
        <v>-99773.566159669368</v>
      </c>
      <c r="E20" s="62">
        <f t="shared" ref="E20:M20" si="15">E15+E16-E17+E18-E19</f>
        <v>-78714.217905134763</v>
      </c>
      <c r="F20" s="62">
        <f t="shared" si="15"/>
        <v>-121100.57825172364</v>
      </c>
      <c r="G20" s="62">
        <f t="shared" si="15"/>
        <v>-164045.03787080824</v>
      </c>
      <c r="H20" s="62">
        <f t="shared" si="15"/>
        <v>-207655.27652539793</v>
      </c>
      <c r="I20" s="62">
        <f t="shared" si="15"/>
        <v>-252049.50441498493</v>
      </c>
      <c r="J20" s="62">
        <f t="shared" si="15"/>
        <v>-297321.06522249093</v>
      </c>
      <c r="K20" s="62">
        <f t="shared" si="15"/>
        <v>-343574.22205070732</v>
      </c>
      <c r="L20" s="62">
        <f t="shared" si="15"/>
        <v>-370914.60838140803</v>
      </c>
      <c r="M20" s="62">
        <f t="shared" si="15"/>
        <v>-407876.0141864373</v>
      </c>
      <c r="N20" s="39"/>
    </row>
    <row r="21" spans="1:14"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</row>
  </sheetData>
  <mergeCells count="14">
    <mergeCell ref="A8:C8"/>
    <mergeCell ref="A14:C14"/>
    <mergeCell ref="A1:C1"/>
    <mergeCell ref="A3:C3"/>
    <mergeCell ref="A2:C2"/>
    <mergeCell ref="A4:C4"/>
    <mergeCell ref="A7:C7"/>
    <mergeCell ref="A20:C20"/>
    <mergeCell ref="A12:C12"/>
    <mergeCell ref="A15:C15"/>
    <mergeCell ref="A16:C16"/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workbookViewId="0">
      <selection activeCell="B3" sqref="B3:C15"/>
    </sheetView>
  </sheetViews>
  <sheetFormatPr defaultColWidth="11.42578125" defaultRowHeight="15"/>
  <cols>
    <col min="2" max="2" width="13.28515625" customWidth="1"/>
    <col min="3" max="3" width="24.85546875" customWidth="1"/>
  </cols>
  <sheetData>
    <row r="3" spans="2:3" ht="18.75">
      <c r="B3" s="50" t="s">
        <v>60</v>
      </c>
      <c r="C3" s="50" t="s">
        <v>77</v>
      </c>
    </row>
    <row r="4" spans="2:3" ht="15.75">
      <c r="B4" s="2">
        <v>0</v>
      </c>
      <c r="C4" s="40">
        <v>-50000</v>
      </c>
    </row>
    <row r="5" spans="2:3" ht="15.75">
      <c r="B5" s="2">
        <v>1</v>
      </c>
      <c r="C5" s="53">
        <v>-131458.21</v>
      </c>
    </row>
    <row r="6" spans="2:3" ht="15.75">
      <c r="B6" s="2">
        <v>2</v>
      </c>
      <c r="C6" s="47">
        <v>-141320.59390513477</v>
      </c>
    </row>
    <row r="7" spans="2:3" ht="15.75">
      <c r="B7" s="2">
        <v>3</v>
      </c>
      <c r="C7" s="47">
        <v>-210538.25825172741</v>
      </c>
    </row>
    <row r="8" spans="2:3" ht="15.75">
      <c r="B8" s="2">
        <v>4</v>
      </c>
      <c r="C8" s="47">
        <v>-280314.02187080699</v>
      </c>
    </row>
    <row r="9" spans="2:3" ht="15.75">
      <c r="B9" s="2">
        <v>5</v>
      </c>
      <c r="C9" s="47">
        <v>-350755.56452539255</v>
      </c>
    </row>
    <row r="10" spans="2:3" ht="15.75">
      <c r="B10" s="2">
        <v>6</v>
      </c>
      <c r="C10" s="47">
        <v>-421981.09641499404</v>
      </c>
    </row>
    <row r="11" spans="2:3" ht="15.75">
      <c r="B11" s="2">
        <v>7</v>
      </c>
      <c r="C11" s="47">
        <v>-494083.96122249553</v>
      </c>
    </row>
    <row r="12" spans="2:3" ht="15.75">
      <c r="B12" s="2">
        <v>8</v>
      </c>
      <c r="C12" s="47">
        <v>-567168.4220507167</v>
      </c>
    </row>
    <row r="13" spans="2:3" ht="15.75">
      <c r="B13" s="2">
        <v>9</v>
      </c>
      <c r="C13" s="47">
        <v>-621340.112381413</v>
      </c>
    </row>
    <row r="14" spans="2:3" ht="15.75">
      <c r="B14" s="2">
        <v>10</v>
      </c>
      <c r="C14" s="47">
        <v>-685132.82218644721</v>
      </c>
    </row>
    <row r="15" spans="2:3" ht="21">
      <c r="B15" s="51" t="s">
        <v>98</v>
      </c>
      <c r="C15" s="52" t="e">
        <f>IRR(C4:C14)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</dc:creator>
  <cp:keywords/>
  <dc:description/>
  <cp:lastModifiedBy>kleber Andres Loayza</cp:lastModifiedBy>
  <cp:revision/>
  <dcterms:created xsi:type="dcterms:W3CDTF">2015-07-04T23:08:31Z</dcterms:created>
  <dcterms:modified xsi:type="dcterms:W3CDTF">2015-07-16T02:23:48Z</dcterms:modified>
</cp:coreProperties>
</file>