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3915" firstSheet="15" activeTab="16"/>
  </bookViews>
  <sheets>
    <sheet name="valores activos fijos" sheetId="1" r:id="rId1"/>
    <sheet name="depreciacion" sheetId="2" r:id="rId2"/>
    <sheet name="salario basico" sheetId="3" r:id="rId3"/>
    <sheet name="numero_personal" sheetId="4" r:id="rId4"/>
    <sheet name="depreciacion 3 y 10" sheetId="5" r:id="rId5"/>
    <sheet name="gastos puestos en marcha" sheetId="6" r:id="rId6"/>
    <sheet name="capital trabajo" sheetId="7" r:id="rId7"/>
    <sheet name="personal por producto" sheetId="8" r:id="rId8"/>
    <sheet name="ingresos totales" sheetId="10" r:id="rId9"/>
    <sheet name="inversion total inicial" sheetId="12" r:id="rId10"/>
    <sheet name="valores activos fijos cantidad" sheetId="13" r:id="rId11"/>
    <sheet name="costos totales anuales" sheetId="9" r:id="rId12"/>
    <sheet name="gastos totales" sheetId="11" r:id="rId13"/>
    <sheet name="investigacion demanda" sheetId="14" r:id="rId14"/>
    <sheet name="costos financieros" sheetId="15" r:id="rId15"/>
    <sheet name="costos financieros 100%" sheetId="16" r:id="rId16"/>
    <sheet name="flujo de caja inversionista" sheetId="17" r:id="rId17"/>
    <sheet name="flujo caja inversionista 100%" sheetId="18" r:id="rId18"/>
    <sheet name="van y TIR" sheetId="19" r:id="rId19"/>
    <sheet name="van y TIR 100%" sheetId="20" r:id="rId20"/>
    <sheet name="Tmar" sheetId="21" r:id="rId21"/>
    <sheet name="beta" sheetId="22" r:id="rId22"/>
    <sheet name="depreciacion acti fijo anual" sheetId="23" r:id="rId23"/>
    <sheet name="variables de segmentacion" sheetId="25" r:id="rId24"/>
    <sheet name="beneficios adicionales" sheetId="24" r:id="rId25"/>
    <sheet name="Competencia directa" sheetId="26" r:id="rId26"/>
    <sheet name="competidores" sheetId="27" r:id="rId27"/>
  </sheets>
  <calcPr calcId="145621"/>
</workbook>
</file>

<file path=xl/calcChain.xml><?xml version="1.0" encoding="utf-8"?>
<calcChain xmlns="http://schemas.openxmlformats.org/spreadsheetml/2006/main">
  <c r="F28" i="17" l="1"/>
  <c r="G28" i="17"/>
  <c r="I22" i="17"/>
  <c r="G22" i="17"/>
  <c r="G21" i="17"/>
  <c r="G19" i="17"/>
  <c r="G17" i="17"/>
  <c r="M27" i="23" l="1"/>
  <c r="Y35" i="11" l="1"/>
  <c r="D16" i="27" l="1"/>
  <c r="D15" i="27"/>
  <c r="D14" i="27"/>
  <c r="D13" i="27"/>
  <c r="D12" i="27"/>
  <c r="D11" i="27"/>
  <c r="D10" i="27"/>
  <c r="D9" i="27"/>
  <c r="C8" i="27"/>
  <c r="D8" i="27" s="1"/>
  <c r="D7" i="27"/>
  <c r="D6" i="27"/>
  <c r="D17" i="27" s="1"/>
  <c r="F18" i="24"/>
  <c r="F17" i="24"/>
  <c r="F16" i="24"/>
  <c r="F15" i="24"/>
  <c r="F14" i="24"/>
  <c r="F13" i="24"/>
  <c r="F12" i="24"/>
  <c r="G11" i="24"/>
  <c r="F11" i="24"/>
  <c r="AY108" i="23"/>
  <c r="AY110" i="23" s="1"/>
  <c r="AX108" i="23"/>
  <c r="AX110" i="23" s="1"/>
  <c r="AW108" i="23"/>
  <c r="AW110" i="23" s="1"/>
  <c r="AV108" i="23"/>
  <c r="AV110" i="23" s="1"/>
  <c r="AU108" i="23"/>
  <c r="AU110" i="23" s="1"/>
  <c r="AT108" i="23"/>
  <c r="AT110" i="23" s="1"/>
  <c r="AS108" i="23"/>
  <c r="AS110" i="23" s="1"/>
  <c r="AR108" i="23"/>
  <c r="AR110" i="23" s="1"/>
  <c r="AQ108" i="23"/>
  <c r="AQ110" i="23" s="1"/>
  <c r="AP108" i="23"/>
  <c r="AP110" i="23" s="1"/>
  <c r="AY107" i="23"/>
  <c r="AY109" i="23" s="1"/>
  <c r="AX107" i="23"/>
  <c r="AX109" i="23" s="1"/>
  <c r="AW107" i="23"/>
  <c r="AW109" i="23" s="1"/>
  <c r="AV107" i="23"/>
  <c r="AV109" i="23" s="1"/>
  <c r="AU107" i="23"/>
  <c r="AU109" i="23" s="1"/>
  <c r="AT107" i="23"/>
  <c r="AT109" i="23" s="1"/>
  <c r="AS107" i="23"/>
  <c r="AS109" i="23" s="1"/>
  <c r="AR107" i="23"/>
  <c r="AR109" i="23" s="1"/>
  <c r="AQ107" i="23"/>
  <c r="AQ109" i="23" s="1"/>
  <c r="AP107" i="23"/>
  <c r="AP109" i="23" s="1"/>
  <c r="H69" i="23"/>
  <c r="I66" i="23"/>
  <c r="I69" i="23" s="1"/>
  <c r="I63" i="23"/>
  <c r="J63" i="23" s="1"/>
  <c r="I60" i="23"/>
  <c r="J60" i="23" s="1"/>
  <c r="I57" i="23"/>
  <c r="J57" i="23" s="1"/>
  <c r="I54" i="23"/>
  <c r="J54" i="23" s="1"/>
  <c r="I51" i="23"/>
  <c r="J51" i="23" s="1"/>
  <c r="I48" i="23"/>
  <c r="J48" i="23" s="1"/>
  <c r="I45" i="23"/>
  <c r="J45" i="23" s="1"/>
  <c r="I42" i="23"/>
  <c r="J42" i="23" s="1"/>
  <c r="I39" i="23"/>
  <c r="J39" i="23" s="1"/>
  <c r="I36" i="23"/>
  <c r="J36" i="23" s="1"/>
  <c r="I33" i="23"/>
  <c r="J33" i="23" s="1"/>
  <c r="I30" i="23"/>
  <c r="J30" i="23" s="1"/>
  <c r="I27" i="23"/>
  <c r="J27" i="23" s="1"/>
  <c r="V22" i="23"/>
  <c r="V24" i="23" s="1"/>
  <c r="U22" i="23"/>
  <c r="U24" i="23" s="1"/>
  <c r="T22" i="23"/>
  <c r="T24" i="23" s="1"/>
  <c r="S22" i="23"/>
  <c r="S24" i="23" s="1"/>
  <c r="R22" i="23"/>
  <c r="R24" i="23" s="1"/>
  <c r="Q22" i="23"/>
  <c r="Q24" i="23" s="1"/>
  <c r="P22" i="23"/>
  <c r="P24" i="23" s="1"/>
  <c r="O22" i="23"/>
  <c r="O24" i="23" s="1"/>
  <c r="N22" i="23"/>
  <c r="N24" i="23" s="1"/>
  <c r="M22" i="23"/>
  <c r="M24" i="23" s="1"/>
  <c r="V21" i="23"/>
  <c r="V23" i="23" s="1"/>
  <c r="U21" i="23"/>
  <c r="U23" i="23" s="1"/>
  <c r="T21" i="23"/>
  <c r="T23" i="23" s="1"/>
  <c r="S21" i="23"/>
  <c r="S23" i="23" s="1"/>
  <c r="R21" i="23"/>
  <c r="R23" i="23" s="1"/>
  <c r="Q21" i="23"/>
  <c r="Q23" i="23" s="1"/>
  <c r="P21" i="23"/>
  <c r="P23" i="23" s="1"/>
  <c r="O21" i="23"/>
  <c r="O23" i="23" s="1"/>
  <c r="N21" i="23"/>
  <c r="N23" i="23" s="1"/>
  <c r="M21" i="23"/>
  <c r="M23" i="23" s="1"/>
  <c r="V13" i="23"/>
  <c r="U13" i="23"/>
  <c r="T13" i="23"/>
  <c r="S13" i="23"/>
  <c r="R13" i="23"/>
  <c r="Q13" i="23"/>
  <c r="P13" i="23"/>
  <c r="O13" i="23"/>
  <c r="N13" i="23"/>
  <c r="M13" i="23"/>
  <c r="V11" i="23"/>
  <c r="U11" i="23"/>
  <c r="T11" i="23"/>
  <c r="S11" i="23"/>
  <c r="R11" i="23"/>
  <c r="Q11" i="23"/>
  <c r="P11" i="23"/>
  <c r="O11" i="23"/>
  <c r="N11" i="23"/>
  <c r="M11" i="23"/>
  <c r="E8" i="22"/>
  <c r="D8" i="22"/>
  <c r="D9" i="22" s="1"/>
  <c r="B3" i="21" s="1"/>
  <c r="B6" i="21" s="1"/>
  <c r="G13" i="21" s="1"/>
  <c r="T25" i="20"/>
  <c r="Z36" i="20" s="1"/>
  <c r="T25" i="19"/>
  <c r="Z36" i="19" s="1"/>
  <c r="P25" i="17"/>
  <c r="O25" i="17"/>
  <c r="P12" i="17"/>
  <c r="O12" i="17"/>
  <c r="U12" i="16"/>
  <c r="U10" i="16"/>
  <c r="U12" i="15"/>
  <c r="U10" i="15"/>
  <c r="O30" i="14"/>
  <c r="Q29" i="14"/>
  <c r="P29" i="14"/>
  <c r="K21" i="14"/>
  <c r="V17" i="14"/>
  <c r="U17" i="14"/>
  <c r="T17" i="14"/>
  <c r="G17" i="14"/>
  <c r="F17" i="14"/>
  <c r="E17" i="14"/>
  <c r="H17" i="14" s="1"/>
  <c r="O15" i="14"/>
  <c r="P10" i="14"/>
  <c r="H22" i="13"/>
  <c r="H21" i="13"/>
  <c r="H20" i="13"/>
  <c r="H19" i="13"/>
  <c r="H18" i="13"/>
  <c r="H17" i="13"/>
  <c r="H14" i="13"/>
  <c r="H13" i="13"/>
  <c r="H12" i="13"/>
  <c r="O61" i="11"/>
  <c r="O60" i="11"/>
  <c r="O59" i="11"/>
  <c r="O58" i="11"/>
  <c r="O57" i="11"/>
  <c r="O56" i="11"/>
  <c r="O55" i="11"/>
  <c r="O54" i="11"/>
  <c r="X44" i="11"/>
  <c r="X43" i="11"/>
  <c r="Y43" i="11" s="1"/>
  <c r="Z43" i="11" s="1"/>
  <c r="AA43" i="11" s="1"/>
  <c r="AB43" i="11" s="1"/>
  <c r="AC43" i="11" s="1"/>
  <c r="AD43" i="11" s="1"/>
  <c r="AE43" i="11" s="1"/>
  <c r="AF43" i="11" s="1"/>
  <c r="AG43" i="11" s="1"/>
  <c r="AH43" i="11" s="1"/>
  <c r="X42" i="11"/>
  <c r="C42" i="11"/>
  <c r="C49" i="11" s="1"/>
  <c r="X41" i="11"/>
  <c r="X39" i="11"/>
  <c r="X38" i="11"/>
  <c r="D38" i="11"/>
  <c r="X37" i="11"/>
  <c r="D37" i="11"/>
  <c r="X36" i="11"/>
  <c r="D36" i="11"/>
  <c r="X35" i="11"/>
  <c r="D35" i="11"/>
  <c r="D34" i="11"/>
  <c r="E33" i="11"/>
  <c r="D33" i="11"/>
  <c r="D10" i="11"/>
  <c r="B65" i="10"/>
  <c r="B64" i="10"/>
  <c r="B63" i="10"/>
  <c r="B62" i="10"/>
  <c r="C61" i="10"/>
  <c r="B61" i="10"/>
  <c r="B60" i="10"/>
  <c r="C59" i="10"/>
  <c r="B59" i="10"/>
  <c r="C58" i="10"/>
  <c r="B58" i="10"/>
  <c r="C57" i="10"/>
  <c r="B57" i="10"/>
  <c r="B56" i="10"/>
  <c r="B55" i="10"/>
  <c r="C54" i="10"/>
  <c r="B54" i="10"/>
  <c r="C53" i="10"/>
  <c r="B53" i="10"/>
  <c r="C52" i="10"/>
  <c r="B52" i="10"/>
  <c r="C51" i="10"/>
  <c r="B51" i="10"/>
  <c r="C50" i="10"/>
  <c r="B50" i="10"/>
  <c r="B48" i="10"/>
  <c r="B47" i="10"/>
  <c r="B46" i="10"/>
  <c r="B45" i="10"/>
  <c r="B44" i="10"/>
  <c r="B43" i="10"/>
  <c r="B42" i="10"/>
  <c r="B41" i="10"/>
  <c r="B40" i="10"/>
  <c r="C39" i="10"/>
  <c r="B39" i="10"/>
  <c r="B38" i="10"/>
  <c r="C37" i="10"/>
  <c r="B37" i="10"/>
  <c r="B36" i="10"/>
  <c r="B35" i="10"/>
  <c r="B34" i="10"/>
  <c r="B33" i="10"/>
  <c r="B32" i="10"/>
  <c r="B31" i="10"/>
  <c r="B30" i="10"/>
  <c r="C29" i="10"/>
  <c r="B29" i="10"/>
  <c r="B28" i="10"/>
  <c r="B27" i="10"/>
  <c r="B26" i="10"/>
  <c r="B25" i="10"/>
  <c r="B24" i="10"/>
  <c r="B23" i="10"/>
  <c r="C22" i="10"/>
  <c r="B22" i="10"/>
  <c r="B21" i="10"/>
  <c r="B20" i="10"/>
  <c r="B19" i="10"/>
  <c r="B18" i="10"/>
  <c r="Y17" i="10"/>
  <c r="B17" i="10"/>
  <c r="AK16" i="10"/>
  <c r="AJ16" i="10"/>
  <c r="AI16" i="10"/>
  <c r="AH16" i="10"/>
  <c r="AG16" i="10"/>
  <c r="AF16" i="10"/>
  <c r="AE16" i="10"/>
  <c r="AD16" i="10"/>
  <c r="AC16" i="10"/>
  <c r="AB16" i="10"/>
  <c r="C16" i="10"/>
  <c r="B16" i="10"/>
  <c r="B15" i="10"/>
  <c r="B14" i="10"/>
  <c r="P13" i="10"/>
  <c r="Y26" i="10" s="1"/>
  <c r="B13" i="10"/>
  <c r="P12" i="10"/>
  <c r="Y25" i="10" s="1"/>
  <c r="B12" i="10"/>
  <c r="P11" i="10"/>
  <c r="Y24" i="10" s="1"/>
  <c r="C11" i="10"/>
  <c r="B11" i="10"/>
  <c r="P10" i="10"/>
  <c r="Y23" i="10" s="1"/>
  <c r="B10" i="10"/>
  <c r="P9" i="10"/>
  <c r="Y22" i="10" s="1"/>
  <c r="B9" i="10"/>
  <c r="P8" i="10"/>
  <c r="Y21" i="10" s="1"/>
  <c r="B8" i="10"/>
  <c r="P7" i="10"/>
  <c r="Y20" i="10" s="1"/>
  <c r="C7" i="10"/>
  <c r="B7" i="10"/>
  <c r="Q6" i="10"/>
  <c r="P6" i="10"/>
  <c r="Y19" i="10" s="1"/>
  <c r="C88" i="9"/>
  <c r="C63" i="10" s="1"/>
  <c r="C87" i="9"/>
  <c r="C62" i="10" s="1"/>
  <c r="C81" i="9"/>
  <c r="C56" i="10" s="1"/>
  <c r="C80" i="9"/>
  <c r="C55" i="10" s="1"/>
  <c r="C72" i="9"/>
  <c r="C47" i="10" s="1"/>
  <c r="C71" i="9"/>
  <c r="C46" i="10" s="1"/>
  <c r="C70" i="9"/>
  <c r="C45" i="10" s="1"/>
  <c r="C69" i="9"/>
  <c r="C44" i="10" s="1"/>
  <c r="C68" i="9"/>
  <c r="C43" i="10" s="1"/>
  <c r="C67" i="9"/>
  <c r="C42" i="10" s="1"/>
  <c r="C66" i="9"/>
  <c r="C41" i="10" s="1"/>
  <c r="C65" i="9"/>
  <c r="C40" i="10" s="1"/>
  <c r="C63" i="9"/>
  <c r="C60" i="9"/>
  <c r="C35" i="10" s="1"/>
  <c r="C59" i="9"/>
  <c r="C34" i="10" s="1"/>
  <c r="C58" i="9"/>
  <c r="C33" i="10" s="1"/>
  <c r="C57" i="9"/>
  <c r="C32" i="10" s="1"/>
  <c r="C56" i="9"/>
  <c r="C31" i="10" s="1"/>
  <c r="C54" i="9"/>
  <c r="C30" i="10" s="1"/>
  <c r="C51" i="9"/>
  <c r="C27" i="10" s="1"/>
  <c r="C50" i="9"/>
  <c r="C26" i="10" s="1"/>
  <c r="AF49" i="9"/>
  <c r="AE49" i="9"/>
  <c r="AD49" i="9"/>
  <c r="AC49" i="9"/>
  <c r="AB49" i="9"/>
  <c r="AA49" i="9"/>
  <c r="Z49" i="9"/>
  <c r="Y49" i="9"/>
  <c r="X49" i="9"/>
  <c r="W49" i="9"/>
  <c r="C49" i="9"/>
  <c r="C25" i="10" s="1"/>
  <c r="C48" i="9"/>
  <c r="C24" i="10" s="1"/>
  <c r="C46" i="9"/>
  <c r="C23" i="10" s="1"/>
  <c r="C43" i="9"/>
  <c r="C20" i="10" s="1"/>
  <c r="C42" i="9"/>
  <c r="C41" i="9"/>
  <c r="C19" i="10" s="1"/>
  <c r="C40" i="9"/>
  <c r="C18" i="10" s="1"/>
  <c r="C38" i="9"/>
  <c r="C17" i="10" s="1"/>
  <c r="C35" i="9"/>
  <c r="C14" i="10" s="1"/>
  <c r="C34" i="9"/>
  <c r="C13" i="10" s="1"/>
  <c r="C32" i="9"/>
  <c r="C12" i="10" s="1"/>
  <c r="C29" i="9"/>
  <c r="C9" i="10" s="1"/>
  <c r="C28" i="9"/>
  <c r="C8" i="10" s="1"/>
  <c r="AF12" i="9"/>
  <c r="AE12" i="9"/>
  <c r="AD12" i="9"/>
  <c r="AC12" i="9"/>
  <c r="AB12" i="9"/>
  <c r="AA12" i="9"/>
  <c r="Z12" i="9"/>
  <c r="Y12" i="9"/>
  <c r="X12" i="9"/>
  <c r="W12" i="9"/>
  <c r="E11" i="9"/>
  <c r="AB17" i="10" s="1"/>
  <c r="S110" i="8"/>
  <c r="J59" i="11" s="1"/>
  <c r="R110" i="8"/>
  <c r="I59" i="11" s="1"/>
  <c r="J92" i="8"/>
  <c r="R112" i="8" s="1"/>
  <c r="I61" i="11" s="1"/>
  <c r="I92" i="8"/>
  <c r="Q112" i="8" s="1"/>
  <c r="H61" i="11" s="1"/>
  <c r="H92" i="8"/>
  <c r="P112" i="8" s="1"/>
  <c r="G61" i="11" s="1"/>
  <c r="G92" i="8"/>
  <c r="O112" i="8" s="1"/>
  <c r="F61" i="11" s="1"/>
  <c r="F92" i="8"/>
  <c r="N112" i="8" s="1"/>
  <c r="E61" i="11" s="1"/>
  <c r="K91" i="8"/>
  <c r="S112" i="8" s="1"/>
  <c r="J61" i="11" s="1"/>
  <c r="K90" i="8"/>
  <c r="S111" i="8" s="1"/>
  <c r="J60" i="11" s="1"/>
  <c r="J90" i="8"/>
  <c r="R111" i="8" s="1"/>
  <c r="I60" i="11" s="1"/>
  <c r="I89" i="8"/>
  <c r="I90" i="8" s="1"/>
  <c r="Q111" i="8" s="1"/>
  <c r="H60" i="11" s="1"/>
  <c r="H89" i="8"/>
  <c r="H90" i="8" s="1"/>
  <c r="P111" i="8" s="1"/>
  <c r="G60" i="11" s="1"/>
  <c r="F89" i="8"/>
  <c r="F90" i="8" s="1"/>
  <c r="N111" i="8" s="1"/>
  <c r="E60" i="11" s="1"/>
  <c r="I88" i="8"/>
  <c r="Q110" i="8" s="1"/>
  <c r="H59" i="11" s="1"/>
  <c r="H88" i="8"/>
  <c r="P110" i="8" s="1"/>
  <c r="G59" i="11" s="1"/>
  <c r="G88" i="8"/>
  <c r="O110" i="8" s="1"/>
  <c r="F59" i="11" s="1"/>
  <c r="F88" i="8"/>
  <c r="N110" i="8" s="1"/>
  <c r="E59" i="11" s="1"/>
  <c r="Q83" i="8"/>
  <c r="K83" i="8"/>
  <c r="J83" i="8"/>
  <c r="I83" i="8"/>
  <c r="H83" i="8"/>
  <c r="G83" i="8"/>
  <c r="F83" i="8"/>
  <c r="M82" i="8"/>
  <c r="L82" i="8"/>
  <c r="K82" i="8"/>
  <c r="J82" i="8"/>
  <c r="I82" i="8"/>
  <c r="H82" i="8"/>
  <c r="G82" i="8"/>
  <c r="F82" i="8"/>
  <c r="O81" i="8"/>
  <c r="N81" i="8"/>
  <c r="L81" i="8"/>
  <c r="M81" i="8" s="1"/>
  <c r="G81" i="8" s="1"/>
  <c r="K81" i="8"/>
  <c r="J81" i="8"/>
  <c r="I81" i="8"/>
  <c r="H81" i="8"/>
  <c r="F81" i="8"/>
  <c r="O80" i="8"/>
  <c r="K80" i="8"/>
  <c r="J80" i="8"/>
  <c r="I80" i="8"/>
  <c r="H80" i="8"/>
  <c r="G80" i="8"/>
  <c r="F80" i="8"/>
  <c r="O79" i="8"/>
  <c r="N79" i="8"/>
  <c r="M79" i="8"/>
  <c r="K79" i="8"/>
  <c r="J79" i="8"/>
  <c r="I79" i="8"/>
  <c r="H79" i="8"/>
  <c r="G79" i="8"/>
  <c r="F79" i="8"/>
  <c r="O78" i="8"/>
  <c r="N78" i="8"/>
  <c r="M78" i="8"/>
  <c r="K78" i="8"/>
  <c r="J78" i="8"/>
  <c r="I78" i="8"/>
  <c r="H78" i="8"/>
  <c r="G78" i="8"/>
  <c r="F78" i="8"/>
  <c r="O77" i="8"/>
  <c r="M77" i="8"/>
  <c r="K77" i="8"/>
  <c r="J77" i="8"/>
  <c r="I77" i="8"/>
  <c r="H77" i="8"/>
  <c r="G77" i="8"/>
  <c r="F77" i="8"/>
  <c r="O76" i="8"/>
  <c r="M76" i="8"/>
  <c r="K76" i="8"/>
  <c r="J76" i="8"/>
  <c r="I76" i="8"/>
  <c r="H76" i="8"/>
  <c r="G76" i="8"/>
  <c r="F76" i="8"/>
  <c r="K75" i="8"/>
  <c r="J75" i="8"/>
  <c r="I75" i="8"/>
  <c r="H75" i="8"/>
  <c r="G75" i="8"/>
  <c r="F75" i="8"/>
  <c r="O74" i="8"/>
  <c r="K74" i="8"/>
  <c r="J74" i="8"/>
  <c r="I74" i="8"/>
  <c r="H74" i="8"/>
  <c r="G74" i="8"/>
  <c r="F74" i="8"/>
  <c r="O73" i="8"/>
  <c r="K73" i="8"/>
  <c r="J73" i="8"/>
  <c r="I73" i="8"/>
  <c r="H73" i="8"/>
  <c r="G73" i="8"/>
  <c r="F73" i="8"/>
  <c r="N72" i="8"/>
  <c r="K72" i="8"/>
  <c r="J72" i="8"/>
  <c r="I72" i="8"/>
  <c r="H72" i="8"/>
  <c r="G72" i="8"/>
  <c r="F72" i="8"/>
  <c r="N71" i="8"/>
  <c r="K71" i="8"/>
  <c r="J71" i="8"/>
  <c r="I71" i="8"/>
  <c r="H71" i="8"/>
  <c r="G71" i="8"/>
  <c r="F71" i="8"/>
  <c r="M70" i="8"/>
  <c r="K70" i="8"/>
  <c r="J70" i="8"/>
  <c r="I70" i="8"/>
  <c r="H70" i="8"/>
  <c r="G70" i="8"/>
  <c r="F70" i="8"/>
  <c r="O69" i="8"/>
  <c r="L69" i="8"/>
  <c r="M69" i="8" s="1"/>
  <c r="G69" i="8" s="1"/>
  <c r="G84" i="8" s="1"/>
  <c r="G85" i="8" s="1"/>
  <c r="O109" i="8" s="1"/>
  <c r="F58" i="11" s="1"/>
  <c r="K69" i="8"/>
  <c r="K84" i="8" s="1"/>
  <c r="K85" i="8" s="1"/>
  <c r="S109" i="8" s="1"/>
  <c r="J58" i="11" s="1"/>
  <c r="J69" i="8"/>
  <c r="J84" i="8" s="1"/>
  <c r="J85" i="8" s="1"/>
  <c r="R109" i="8" s="1"/>
  <c r="I58" i="11" s="1"/>
  <c r="I69" i="8"/>
  <c r="I84" i="8" s="1"/>
  <c r="I85" i="8" s="1"/>
  <c r="Q109" i="8" s="1"/>
  <c r="H58" i="11" s="1"/>
  <c r="H69" i="8"/>
  <c r="H84" i="8" s="1"/>
  <c r="H85" i="8" s="1"/>
  <c r="P109" i="8" s="1"/>
  <c r="G58" i="11" s="1"/>
  <c r="F69" i="8"/>
  <c r="F84" i="8" s="1"/>
  <c r="F85" i="8" s="1"/>
  <c r="N109" i="8" s="1"/>
  <c r="E58" i="11" s="1"/>
  <c r="K58" i="11" s="1"/>
  <c r="J15" i="10" s="1"/>
  <c r="J65" i="8"/>
  <c r="J66" i="8" s="1"/>
  <c r="R107" i="8" s="1"/>
  <c r="I56" i="11" s="1"/>
  <c r="K64" i="8"/>
  <c r="K65" i="8" s="1"/>
  <c r="K66" i="8" s="1"/>
  <c r="S107" i="8" s="1"/>
  <c r="J56" i="11" s="1"/>
  <c r="G63" i="8"/>
  <c r="F63" i="8"/>
  <c r="I62" i="8"/>
  <c r="H62" i="8"/>
  <c r="F62" i="8"/>
  <c r="G62" i="8" s="1"/>
  <c r="I61" i="8"/>
  <c r="I60" i="8"/>
  <c r="H60" i="8"/>
  <c r="F60" i="8"/>
  <c r="G60" i="8" s="1"/>
  <c r="I59" i="8"/>
  <c r="H59" i="8"/>
  <c r="F59" i="8"/>
  <c r="G59" i="8" s="1"/>
  <c r="I58" i="8"/>
  <c r="G58" i="8"/>
  <c r="I57" i="8"/>
  <c r="H56" i="8"/>
  <c r="G55" i="8"/>
  <c r="I54" i="8"/>
  <c r="I65" i="8" s="1"/>
  <c r="I66" i="8" s="1"/>
  <c r="Q107" i="8" s="1"/>
  <c r="H56" i="11" s="1"/>
  <c r="H54" i="8"/>
  <c r="H65" i="8" s="1"/>
  <c r="H66" i="8" s="1"/>
  <c r="P107" i="8" s="1"/>
  <c r="G56" i="11" s="1"/>
  <c r="F54" i="8"/>
  <c r="F65" i="8" s="1"/>
  <c r="F66" i="8" s="1"/>
  <c r="N107" i="8" s="1"/>
  <c r="E56" i="11" s="1"/>
  <c r="J50" i="8"/>
  <c r="J51" i="8" s="1"/>
  <c r="R108" i="8" s="1"/>
  <c r="I57" i="11" s="1"/>
  <c r="K49" i="8"/>
  <c r="K50" i="8" s="1"/>
  <c r="K51" i="8" s="1"/>
  <c r="S108" i="8" s="1"/>
  <c r="J57" i="11" s="1"/>
  <c r="I48" i="8"/>
  <c r="F48" i="8"/>
  <c r="I47" i="8"/>
  <c r="H47" i="8"/>
  <c r="F47" i="8"/>
  <c r="G47" i="8" s="1"/>
  <c r="I46" i="8"/>
  <c r="G46" i="8"/>
  <c r="I45" i="8"/>
  <c r="I44" i="8"/>
  <c r="I50" i="8" s="1"/>
  <c r="I51" i="8" s="1"/>
  <c r="Q108" i="8" s="1"/>
  <c r="H57" i="11" s="1"/>
  <c r="H43" i="8"/>
  <c r="G42" i="8"/>
  <c r="H41" i="8"/>
  <c r="H50" i="8" s="1"/>
  <c r="H51" i="8" s="1"/>
  <c r="P108" i="8" s="1"/>
  <c r="G57" i="11" s="1"/>
  <c r="F41" i="8"/>
  <c r="F50" i="8" s="1"/>
  <c r="F51" i="8" s="1"/>
  <c r="N108" i="8" s="1"/>
  <c r="E57" i="11" s="1"/>
  <c r="J37" i="8"/>
  <c r="J38" i="8" s="1"/>
  <c r="R106" i="8" s="1"/>
  <c r="I55" i="11" s="1"/>
  <c r="K36" i="8"/>
  <c r="K37" i="8" s="1"/>
  <c r="K38" i="8" s="1"/>
  <c r="S106" i="8" s="1"/>
  <c r="J55" i="11" s="1"/>
  <c r="F35" i="8"/>
  <c r="I34" i="8"/>
  <c r="H34" i="8"/>
  <c r="F34" i="8"/>
  <c r="G34" i="8" s="1"/>
  <c r="I33" i="8"/>
  <c r="H33" i="8"/>
  <c r="F33" i="8"/>
  <c r="G33" i="8" s="1"/>
  <c r="I32" i="8"/>
  <c r="G32" i="8"/>
  <c r="I31" i="8"/>
  <c r="I37" i="8" s="1"/>
  <c r="I38" i="8" s="1"/>
  <c r="Q106" i="8" s="1"/>
  <c r="H55" i="11" s="1"/>
  <c r="H30" i="8"/>
  <c r="G29" i="8"/>
  <c r="H28" i="8"/>
  <c r="H37" i="8" s="1"/>
  <c r="H38" i="8" s="1"/>
  <c r="P106" i="8" s="1"/>
  <c r="G55" i="11" s="1"/>
  <c r="F28" i="8"/>
  <c r="F37" i="8" s="1"/>
  <c r="F38" i="8" s="1"/>
  <c r="N106" i="8" s="1"/>
  <c r="E55" i="11" s="1"/>
  <c r="J24" i="8"/>
  <c r="J25" i="8" s="1"/>
  <c r="R105" i="8" s="1"/>
  <c r="I54" i="11" s="1"/>
  <c r="K23" i="8"/>
  <c r="K24" i="8" s="1"/>
  <c r="K25" i="8" s="1"/>
  <c r="S105" i="8" s="1"/>
  <c r="J54" i="11" s="1"/>
  <c r="I22" i="8"/>
  <c r="H22" i="8"/>
  <c r="F22" i="8"/>
  <c r="G22" i="8" s="1"/>
  <c r="I21" i="8"/>
  <c r="G21" i="8"/>
  <c r="I20" i="8"/>
  <c r="I24" i="8" s="1"/>
  <c r="I25" i="8" s="1"/>
  <c r="Q105" i="8" s="1"/>
  <c r="H54" i="11" s="1"/>
  <c r="H19" i="8"/>
  <c r="G18" i="8"/>
  <c r="H17" i="8"/>
  <c r="H24" i="8" s="1"/>
  <c r="H25" i="8" s="1"/>
  <c r="P105" i="8" s="1"/>
  <c r="G54" i="11" s="1"/>
  <c r="F17" i="8"/>
  <c r="F24" i="8" s="1"/>
  <c r="F25" i="8" s="1"/>
  <c r="N105" i="8" s="1"/>
  <c r="E54" i="11" s="1"/>
  <c r="K14" i="8"/>
  <c r="S104" i="8" s="1"/>
  <c r="J53" i="11" s="1"/>
  <c r="J14" i="8"/>
  <c r="R104" i="8" s="1"/>
  <c r="I53" i="11" s="1"/>
  <c r="I13" i="8"/>
  <c r="I14" i="8" s="1"/>
  <c r="Q104" i="8" s="1"/>
  <c r="H53" i="11" s="1"/>
  <c r="H12" i="8"/>
  <c r="G11" i="8"/>
  <c r="H10" i="8"/>
  <c r="H13" i="8" s="1"/>
  <c r="H14" i="8" s="1"/>
  <c r="P104" i="8" s="1"/>
  <c r="G53" i="11" s="1"/>
  <c r="F10" i="8"/>
  <c r="F13" i="8" s="1"/>
  <c r="F14" i="8" s="1"/>
  <c r="N104" i="8" s="1"/>
  <c r="E53" i="11" s="1"/>
  <c r="N48" i="7"/>
  <c r="E34" i="7"/>
  <c r="E31" i="7"/>
  <c r="E30" i="7"/>
  <c r="E35" i="7" s="1"/>
  <c r="E44" i="7" s="1"/>
  <c r="E14" i="7"/>
  <c r="H13" i="7"/>
  <c r="G13" i="7"/>
  <c r="F13" i="7"/>
  <c r="H12" i="7"/>
  <c r="G12" i="7"/>
  <c r="F12" i="7"/>
  <c r="E11" i="7"/>
  <c r="E19" i="7" s="1"/>
  <c r="E45" i="7" s="1"/>
  <c r="I52" i="6"/>
  <c r="H51" i="6"/>
  <c r="B51" i="6"/>
  <c r="H50" i="6"/>
  <c r="H49" i="6"/>
  <c r="H48" i="6"/>
  <c r="H53" i="6" s="1"/>
  <c r="I47" i="6"/>
  <c r="H47" i="6"/>
  <c r="BK46" i="6"/>
  <c r="AD36" i="6"/>
  <c r="AE36" i="6" s="1"/>
  <c r="AC36" i="6"/>
  <c r="BJ35" i="6"/>
  <c r="Z33" i="6"/>
  <c r="BS28" i="6"/>
  <c r="BR28" i="6"/>
  <c r="BQ28" i="6"/>
  <c r="BP28" i="6"/>
  <c r="BO28" i="6"/>
  <c r="BN28" i="6"/>
  <c r="BM28" i="6"/>
  <c r="BL28" i="6"/>
  <c r="BK28" i="6"/>
  <c r="BJ28" i="6"/>
  <c r="E26" i="6"/>
  <c r="BK25" i="6"/>
  <c r="AW19" i="6"/>
  <c r="AH33" i="11" s="1"/>
  <c r="AV19" i="6"/>
  <c r="AG33" i="11" s="1"/>
  <c r="AU19" i="6"/>
  <c r="AF33" i="11" s="1"/>
  <c r="AT19" i="6"/>
  <c r="AE33" i="11" s="1"/>
  <c r="AS19" i="6"/>
  <c r="AD33" i="11" s="1"/>
  <c r="AR19" i="6"/>
  <c r="AC33" i="11" s="1"/>
  <c r="AQ19" i="6"/>
  <c r="AB33" i="11" s="1"/>
  <c r="AP19" i="6"/>
  <c r="AA33" i="11" s="1"/>
  <c r="AO19" i="6"/>
  <c r="Q59" i="11" s="1"/>
  <c r="AN19" i="6"/>
  <c r="P59" i="11" s="1"/>
  <c r="AW18" i="6"/>
  <c r="AV18" i="6"/>
  <c r="AU18" i="6"/>
  <c r="AT18" i="6"/>
  <c r="AS18" i="6"/>
  <c r="AR18" i="6"/>
  <c r="AQ18" i="6"/>
  <c r="AP18" i="6"/>
  <c r="AO18" i="6"/>
  <c r="Q58" i="11" s="1"/>
  <c r="AN18" i="6"/>
  <c r="P58" i="11" s="1"/>
  <c r="AW14" i="6"/>
  <c r="AV14" i="6"/>
  <c r="AU14" i="6"/>
  <c r="AT14" i="6"/>
  <c r="AS14" i="6"/>
  <c r="AR14" i="6"/>
  <c r="AQ14" i="6"/>
  <c r="AP14" i="6"/>
  <c r="AO14" i="6"/>
  <c r="Q54" i="11" s="1"/>
  <c r="AN14" i="6"/>
  <c r="P54" i="11" s="1"/>
  <c r="E14" i="6"/>
  <c r="I27" i="5"/>
  <c r="I15" i="5"/>
  <c r="C38" i="10" l="1"/>
  <c r="C73" i="9"/>
  <c r="Y42" i="11"/>
  <c r="Y44" i="11"/>
  <c r="AW20" i="6"/>
  <c r="AH34" i="11" s="1"/>
  <c r="AV20" i="6"/>
  <c r="AG34" i="11" s="1"/>
  <c r="AU20" i="6"/>
  <c r="AF34" i="11" s="1"/>
  <c r="AT20" i="6"/>
  <c r="AE34" i="11" s="1"/>
  <c r="AS20" i="6"/>
  <c r="AD34" i="11" s="1"/>
  <c r="AR20" i="6"/>
  <c r="AC34" i="11" s="1"/>
  <c r="AQ20" i="6"/>
  <c r="AB34" i="11" s="1"/>
  <c r="AP20" i="6"/>
  <c r="AA34" i="11" s="1"/>
  <c r="AO20" i="6"/>
  <c r="AN20" i="6"/>
  <c r="E46" i="7"/>
  <c r="BL25" i="6"/>
  <c r="BK35" i="6"/>
  <c r="BL46" i="6"/>
  <c r="G10" i="8"/>
  <c r="G13" i="8" s="1"/>
  <c r="G14" i="8" s="1"/>
  <c r="O104" i="8" s="1"/>
  <c r="F53" i="11" s="1"/>
  <c r="G17" i="8"/>
  <c r="G24" i="8" s="1"/>
  <c r="G25" i="8" s="1"/>
  <c r="O105" i="8" s="1"/>
  <c r="F54" i="11" s="1"/>
  <c r="K54" i="11" s="1"/>
  <c r="J8" i="10" s="1"/>
  <c r="G28" i="8"/>
  <c r="G37" i="8" s="1"/>
  <c r="G38" i="8" s="1"/>
  <c r="O106" i="8" s="1"/>
  <c r="F55" i="11" s="1"/>
  <c r="K55" i="11" s="1"/>
  <c r="J9" i="10" s="1"/>
  <c r="G41" i="8"/>
  <c r="G50" i="8" s="1"/>
  <c r="G51" i="8" s="1"/>
  <c r="O108" i="8" s="1"/>
  <c r="F57" i="11" s="1"/>
  <c r="K57" i="11" s="1"/>
  <c r="J10" i="10" s="1"/>
  <c r="G54" i="8"/>
  <c r="G65" i="8" s="1"/>
  <c r="G66" i="8" s="1"/>
  <c r="O107" i="8" s="1"/>
  <c r="F56" i="11" s="1"/>
  <c r="K56" i="11" s="1"/>
  <c r="J11" i="10" s="1"/>
  <c r="G89" i="8"/>
  <c r="G90" i="8" s="1"/>
  <c r="O111" i="8" s="1"/>
  <c r="F60" i="11" s="1"/>
  <c r="K92" i="8"/>
  <c r="F11" i="9"/>
  <c r="E14" i="9"/>
  <c r="E15" i="9"/>
  <c r="E16" i="9"/>
  <c r="E17" i="9"/>
  <c r="E18" i="9"/>
  <c r="E19" i="9"/>
  <c r="E64" i="9" s="1"/>
  <c r="E23" i="9"/>
  <c r="E24" i="9"/>
  <c r="E25" i="9"/>
  <c r="E28" i="9"/>
  <c r="E29" i="9"/>
  <c r="C30" i="9"/>
  <c r="E32" i="9"/>
  <c r="E34" i="9"/>
  <c r="E35" i="9"/>
  <c r="C36" i="9"/>
  <c r="C15" i="10" s="1"/>
  <c r="I8" i="10" s="1"/>
  <c r="E38" i="9"/>
  <c r="E40" i="9"/>
  <c r="E41" i="9"/>
  <c r="E42" i="9"/>
  <c r="E43" i="9"/>
  <c r="C44" i="9"/>
  <c r="C21" i="10" s="1"/>
  <c r="I9" i="10" s="1"/>
  <c r="E46" i="9"/>
  <c r="E48" i="9"/>
  <c r="E49" i="9"/>
  <c r="E50" i="9"/>
  <c r="E51" i="9"/>
  <c r="C52" i="9"/>
  <c r="C28" i="10" s="1"/>
  <c r="I10" i="10" s="1"/>
  <c r="E54" i="9"/>
  <c r="E56" i="9"/>
  <c r="E57" i="9"/>
  <c r="E58" i="9"/>
  <c r="E59" i="9"/>
  <c r="E60" i="9"/>
  <c r="C61" i="9"/>
  <c r="C36" i="10" s="1"/>
  <c r="I11" i="10" s="1"/>
  <c r="E63" i="9"/>
  <c r="E65" i="9"/>
  <c r="E66" i="9"/>
  <c r="E67" i="9"/>
  <c r="E68" i="9"/>
  <c r="E69" i="9"/>
  <c r="E70" i="9"/>
  <c r="E71" i="9"/>
  <c r="E72" i="9"/>
  <c r="C48" i="10"/>
  <c r="I15" i="10" s="1"/>
  <c r="E80" i="9"/>
  <c r="E81" i="9"/>
  <c r="C85" i="9"/>
  <c r="C60" i="10" s="1"/>
  <c r="I12" i="10" s="1"/>
  <c r="E87" i="9"/>
  <c r="E88" i="9"/>
  <c r="C89" i="9"/>
  <c r="C64" i="10" s="1"/>
  <c r="G6" i="18"/>
  <c r="G6" i="17"/>
  <c r="H6" i="18"/>
  <c r="H6" i="17"/>
  <c r="I6" i="18"/>
  <c r="I6" i="17"/>
  <c r="J6" i="18"/>
  <c r="J6" i="17"/>
  <c r="K6" i="18"/>
  <c r="K6" i="17"/>
  <c r="L6" i="18"/>
  <c r="L6" i="17"/>
  <c r="M6" i="18"/>
  <c r="M6" i="17"/>
  <c r="N6" i="18"/>
  <c r="N6" i="17"/>
  <c r="O6" i="18"/>
  <c r="O6" i="17"/>
  <c r="P6" i="18"/>
  <c r="P6" i="17"/>
  <c r="D75" i="11"/>
  <c r="D73" i="11"/>
  <c r="M12" i="23" s="1"/>
  <c r="E10" i="11"/>
  <c r="D15" i="11"/>
  <c r="Y36" i="11" s="1"/>
  <c r="D16" i="11"/>
  <c r="D17" i="11"/>
  <c r="D18" i="11"/>
  <c r="D19" i="11"/>
  <c r="D20" i="11"/>
  <c r="D23" i="11"/>
  <c r="D24" i="11"/>
  <c r="Y24" i="11"/>
  <c r="D25" i="11"/>
  <c r="Y32" i="11"/>
  <c r="Z32" i="11" s="1"/>
  <c r="AA32" i="11" s="1"/>
  <c r="AB32" i="11" s="1"/>
  <c r="AC32" i="11" s="1"/>
  <c r="AD32" i="11" s="1"/>
  <c r="AE32" i="11" s="1"/>
  <c r="AF32" i="11" s="1"/>
  <c r="AG32" i="11" s="1"/>
  <c r="AH32" i="11" s="1"/>
  <c r="Y33" i="11"/>
  <c r="Z33" i="11"/>
  <c r="AL101" i="11"/>
  <c r="G17" i="24" s="1"/>
  <c r="AL100" i="11"/>
  <c r="G16" i="24" s="1"/>
  <c r="AL99" i="11"/>
  <c r="G15" i="24" s="1"/>
  <c r="AL98" i="11"/>
  <c r="G14" i="24" s="1"/>
  <c r="AL97" i="11"/>
  <c r="G13" i="24" s="1"/>
  <c r="AL96" i="11"/>
  <c r="G12" i="24" s="1"/>
  <c r="Y41" i="11"/>
  <c r="Z41" i="11" s="1"/>
  <c r="AA41" i="11" s="1"/>
  <c r="AB41" i="11" s="1"/>
  <c r="AC41" i="11" s="1"/>
  <c r="AD41" i="11" s="1"/>
  <c r="AE41" i="11" s="1"/>
  <c r="AF41" i="11" s="1"/>
  <c r="AG41" i="11" s="1"/>
  <c r="AH41" i="11" s="1"/>
  <c r="C43" i="11"/>
  <c r="D39" i="11" s="1"/>
  <c r="C44" i="11"/>
  <c r="D40" i="11" s="1"/>
  <c r="C45" i="11"/>
  <c r="D41" i="11" s="1"/>
  <c r="V36" i="23"/>
  <c r="V37" i="23" s="1"/>
  <c r="U36" i="23"/>
  <c r="T36" i="23"/>
  <c r="S36" i="23"/>
  <c r="S37" i="23" s="1"/>
  <c r="T37" i="23" s="1"/>
  <c r="U37" i="23" s="1"/>
  <c r="R36" i="23"/>
  <c r="Q36" i="23"/>
  <c r="P36" i="23"/>
  <c r="P37" i="23" s="1"/>
  <c r="Q37" i="23" s="1"/>
  <c r="R37" i="23" s="1"/>
  <c r="O36" i="23"/>
  <c r="N36" i="23"/>
  <c r="M36" i="23"/>
  <c r="M37" i="23" s="1"/>
  <c r="N37" i="23" s="1"/>
  <c r="O37" i="23" s="1"/>
  <c r="V39" i="23"/>
  <c r="U39" i="23"/>
  <c r="T39" i="23"/>
  <c r="S39" i="23"/>
  <c r="R39" i="23"/>
  <c r="Q39" i="23"/>
  <c r="P39" i="23"/>
  <c r="O39" i="23"/>
  <c r="N39" i="23"/>
  <c r="M39" i="23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V42" i="23"/>
  <c r="V43" i="23" s="1"/>
  <c r="U42" i="23"/>
  <c r="T42" i="23"/>
  <c r="S42" i="23"/>
  <c r="S43" i="23" s="1"/>
  <c r="T43" i="23" s="1"/>
  <c r="U43" i="23" s="1"/>
  <c r="R42" i="23"/>
  <c r="Q42" i="23"/>
  <c r="P42" i="23"/>
  <c r="P43" i="23" s="1"/>
  <c r="Q43" i="23" s="1"/>
  <c r="R43" i="23" s="1"/>
  <c r="O42" i="23"/>
  <c r="N42" i="23"/>
  <c r="M42" i="23"/>
  <c r="M43" i="23" s="1"/>
  <c r="N43" i="23" s="1"/>
  <c r="O43" i="23" s="1"/>
  <c r="V48" i="23"/>
  <c r="U48" i="23"/>
  <c r="T48" i="23"/>
  <c r="S48" i="23"/>
  <c r="R48" i="23"/>
  <c r="Q48" i="23"/>
  <c r="P48" i="23"/>
  <c r="O48" i="23"/>
  <c r="N48" i="23"/>
  <c r="M48" i="23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V51" i="23"/>
  <c r="U51" i="23"/>
  <c r="T51" i="23"/>
  <c r="S51" i="23"/>
  <c r="R51" i="23"/>
  <c r="Q51" i="23"/>
  <c r="P51" i="23"/>
  <c r="O51" i="23"/>
  <c r="N51" i="23"/>
  <c r="M51" i="23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V54" i="23"/>
  <c r="V55" i="23" s="1"/>
  <c r="U54" i="23"/>
  <c r="T54" i="23"/>
  <c r="S54" i="23"/>
  <c r="S55" i="23" s="1"/>
  <c r="T55" i="23" s="1"/>
  <c r="U55" i="23" s="1"/>
  <c r="R54" i="23"/>
  <c r="Q54" i="23"/>
  <c r="P54" i="23"/>
  <c r="P55" i="23" s="1"/>
  <c r="Q55" i="23" s="1"/>
  <c r="R55" i="23" s="1"/>
  <c r="O54" i="23"/>
  <c r="N54" i="23"/>
  <c r="M54" i="23"/>
  <c r="M55" i="23" s="1"/>
  <c r="N55" i="23" s="1"/>
  <c r="O55" i="23" s="1"/>
  <c r="V57" i="23"/>
  <c r="V58" i="23" s="1"/>
  <c r="U57" i="23"/>
  <c r="T57" i="23"/>
  <c r="S57" i="23"/>
  <c r="S58" i="23" s="1"/>
  <c r="T58" i="23" s="1"/>
  <c r="U58" i="23" s="1"/>
  <c r="R57" i="23"/>
  <c r="Q57" i="23"/>
  <c r="P57" i="23"/>
  <c r="P58" i="23" s="1"/>
  <c r="Q58" i="23" s="1"/>
  <c r="R58" i="23" s="1"/>
  <c r="O57" i="23"/>
  <c r="N57" i="23"/>
  <c r="M57" i="23"/>
  <c r="M58" i="23" s="1"/>
  <c r="N58" i="23" s="1"/>
  <c r="O58" i="23" s="1"/>
  <c r="V60" i="23"/>
  <c r="U60" i="23"/>
  <c r="T60" i="23"/>
  <c r="S60" i="23"/>
  <c r="R60" i="23"/>
  <c r="Q60" i="23"/>
  <c r="P60" i="23"/>
  <c r="O60" i="23"/>
  <c r="N60" i="23"/>
  <c r="M60" i="23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V63" i="23"/>
  <c r="V64" i="23" s="1"/>
  <c r="U63" i="23"/>
  <c r="T63" i="23"/>
  <c r="S63" i="23"/>
  <c r="S64" i="23" s="1"/>
  <c r="T64" i="23" s="1"/>
  <c r="U64" i="23" s="1"/>
  <c r="R63" i="23"/>
  <c r="Q63" i="23"/>
  <c r="P63" i="23"/>
  <c r="P64" i="23" s="1"/>
  <c r="Q64" i="23" s="1"/>
  <c r="R64" i="23" s="1"/>
  <c r="O63" i="23"/>
  <c r="N63" i="23"/>
  <c r="M63" i="23"/>
  <c r="M64" i="23" s="1"/>
  <c r="N64" i="23" s="1"/>
  <c r="O64" i="23" s="1"/>
  <c r="J66" i="23"/>
  <c r="J69" i="23"/>
  <c r="Z44" i="11" l="1"/>
  <c r="Z42" i="11"/>
  <c r="E73" i="9"/>
  <c r="Y39" i="11"/>
  <c r="Y38" i="11"/>
  <c r="Y37" i="11"/>
  <c r="AL104" i="11"/>
  <c r="K61" i="11"/>
  <c r="J14" i="10" s="1"/>
  <c r="AL103" i="11"/>
  <c r="K59" i="11"/>
  <c r="J12" i="10" s="1"/>
  <c r="AL102" i="11"/>
  <c r="G18" i="24" s="1"/>
  <c r="K60" i="11"/>
  <c r="J13" i="10" s="1"/>
  <c r="V66" i="23"/>
  <c r="V67" i="23" s="1"/>
  <c r="U66" i="23"/>
  <c r="T66" i="23"/>
  <c r="S66" i="23"/>
  <c r="S67" i="23" s="1"/>
  <c r="T67" i="23" s="1"/>
  <c r="U67" i="23" s="1"/>
  <c r="R66" i="23"/>
  <c r="Q66" i="23"/>
  <c r="P66" i="23"/>
  <c r="P67" i="23" s="1"/>
  <c r="Q67" i="23" s="1"/>
  <c r="R67" i="23" s="1"/>
  <c r="O66" i="23"/>
  <c r="N66" i="23"/>
  <c r="M66" i="23"/>
  <c r="M67" i="23" s="1"/>
  <c r="N67" i="23" s="1"/>
  <c r="O67" i="23" s="1"/>
  <c r="D26" i="11"/>
  <c r="D21" i="11"/>
  <c r="E75" i="11"/>
  <c r="E73" i="11"/>
  <c r="N12" i="23" s="1"/>
  <c r="E25" i="11"/>
  <c r="Z24" i="11"/>
  <c r="E24" i="11"/>
  <c r="E23" i="11"/>
  <c r="E26" i="11" s="1"/>
  <c r="E20" i="11"/>
  <c r="E19" i="11"/>
  <c r="E18" i="11"/>
  <c r="E17" i="11"/>
  <c r="E16" i="11"/>
  <c r="E15" i="11"/>
  <c r="F10" i="11"/>
  <c r="P9" i="20"/>
  <c r="P9" i="19"/>
  <c r="O9" i="20"/>
  <c r="O9" i="19"/>
  <c r="N9" i="20"/>
  <c r="N9" i="19"/>
  <c r="M9" i="20"/>
  <c r="M9" i="19"/>
  <c r="L9" i="20"/>
  <c r="L9" i="19"/>
  <c r="K9" i="20"/>
  <c r="K9" i="19"/>
  <c r="J9" i="20"/>
  <c r="J9" i="19"/>
  <c r="I9" i="20"/>
  <c r="I9" i="19"/>
  <c r="H9" i="20"/>
  <c r="H9" i="19"/>
  <c r="G9" i="20"/>
  <c r="G9" i="19"/>
  <c r="E89" i="9"/>
  <c r="E61" i="9"/>
  <c r="E52" i="9"/>
  <c r="E44" i="9"/>
  <c r="E36" i="9"/>
  <c r="C10" i="10"/>
  <c r="I7" i="10" s="1"/>
  <c r="C90" i="9"/>
  <c r="C65" i="10" s="1"/>
  <c r="I13" i="10" s="1"/>
  <c r="E30" i="9"/>
  <c r="E84" i="9"/>
  <c r="E83" i="9"/>
  <c r="E82" i="9"/>
  <c r="E79" i="9"/>
  <c r="E78" i="9"/>
  <c r="E77" i="9"/>
  <c r="E76" i="9"/>
  <c r="E85" i="9" s="1"/>
  <c r="E26" i="9"/>
  <c r="W38" i="9"/>
  <c r="W26" i="9"/>
  <c r="W18" i="9"/>
  <c r="W44" i="9"/>
  <c r="W45" i="9" s="1"/>
  <c r="W37" i="9"/>
  <c r="W25" i="9"/>
  <c r="W17" i="9"/>
  <c r="W36" i="9"/>
  <c r="W39" i="9" s="1"/>
  <c r="W24" i="9"/>
  <c r="W27" i="9" s="1"/>
  <c r="W16" i="9"/>
  <c r="W19" i="9" s="1"/>
  <c r="W31" i="9"/>
  <c r="W32" i="9" s="1"/>
  <c r="E20" i="9"/>
  <c r="AC17" i="10"/>
  <c r="F25" i="9"/>
  <c r="F24" i="9"/>
  <c r="F23" i="9"/>
  <c r="F19" i="9"/>
  <c r="F18" i="9"/>
  <c r="F17" i="9"/>
  <c r="F16" i="9"/>
  <c r="F15" i="9"/>
  <c r="F14" i="9"/>
  <c r="G11" i="9"/>
  <c r="E68" i="11"/>
  <c r="N7" i="23" s="1"/>
  <c r="D68" i="11"/>
  <c r="M7" i="23" s="1"/>
  <c r="BM46" i="6"/>
  <c r="BL35" i="6"/>
  <c r="BM25" i="6"/>
  <c r="D71" i="11"/>
  <c r="M10" i="23" s="1"/>
  <c r="D70" i="11"/>
  <c r="M9" i="23" s="1"/>
  <c r="D69" i="11"/>
  <c r="M8" i="23" s="1"/>
  <c r="K53" i="11"/>
  <c r="J7" i="10" s="1"/>
  <c r="D67" i="11"/>
  <c r="P60" i="11"/>
  <c r="Y34" i="11"/>
  <c r="Q60" i="11"/>
  <c r="Z34" i="11"/>
  <c r="AA44" i="11" l="1"/>
  <c r="AA42" i="11"/>
  <c r="Z36" i="11"/>
  <c r="Z35" i="11"/>
  <c r="Z37" i="11"/>
  <c r="Z38" i="11"/>
  <c r="Z39" i="11"/>
  <c r="M6" i="23"/>
  <c r="D76" i="11"/>
  <c r="BM35" i="6"/>
  <c r="BN25" i="6"/>
  <c r="BN46" i="6"/>
  <c r="AD17" i="10"/>
  <c r="G25" i="9"/>
  <c r="G24" i="9"/>
  <c r="G23" i="9"/>
  <c r="G19" i="9"/>
  <c r="G18" i="9"/>
  <c r="G17" i="9"/>
  <c r="G16" i="9"/>
  <c r="G15" i="9"/>
  <c r="G14" i="9"/>
  <c r="H11" i="9"/>
  <c r="I11" i="9"/>
  <c r="F20" i="9"/>
  <c r="F28" i="9"/>
  <c r="F29" i="9"/>
  <c r="X31" i="9"/>
  <c r="X32" i="9" s="1"/>
  <c r="F32" i="9"/>
  <c r="F34" i="9"/>
  <c r="F35" i="9"/>
  <c r="X36" i="9"/>
  <c r="X24" i="9"/>
  <c r="X16" i="9"/>
  <c r="F38" i="9"/>
  <c r="F40" i="9"/>
  <c r="F41" i="9"/>
  <c r="F42" i="9"/>
  <c r="F43" i="9"/>
  <c r="X44" i="9"/>
  <c r="X45" i="9" s="1"/>
  <c r="X37" i="9"/>
  <c r="X25" i="9"/>
  <c r="X17" i="9"/>
  <c r="F54" i="9"/>
  <c r="F56" i="9"/>
  <c r="F57" i="9"/>
  <c r="F58" i="9"/>
  <c r="F59" i="9"/>
  <c r="F60" i="9"/>
  <c r="X38" i="9"/>
  <c r="X26" i="9"/>
  <c r="X18" i="9"/>
  <c r="F46" i="9"/>
  <c r="F48" i="9"/>
  <c r="F49" i="9"/>
  <c r="F50" i="9"/>
  <c r="F51" i="9"/>
  <c r="F64" i="9"/>
  <c r="F63" i="9"/>
  <c r="F65" i="9"/>
  <c r="F66" i="9"/>
  <c r="F67" i="9"/>
  <c r="F68" i="9"/>
  <c r="F69" i="9"/>
  <c r="F70" i="9"/>
  <c r="F71" i="9"/>
  <c r="F72" i="9"/>
  <c r="F84" i="9"/>
  <c r="F83" i="9"/>
  <c r="F82" i="9"/>
  <c r="F79" i="9"/>
  <c r="F78" i="9"/>
  <c r="F77" i="9"/>
  <c r="F76" i="9"/>
  <c r="F26" i="9"/>
  <c r="F80" i="9"/>
  <c r="F81" i="9"/>
  <c r="F87" i="9"/>
  <c r="F88" i="9"/>
  <c r="S31" i="9"/>
  <c r="S32" i="9" s="1"/>
  <c r="F16" i="7" s="1"/>
  <c r="S16" i="9"/>
  <c r="S24" i="9"/>
  <c r="S36" i="9"/>
  <c r="S17" i="9"/>
  <c r="S25" i="9"/>
  <c r="S37" i="9"/>
  <c r="S44" i="9"/>
  <c r="S45" i="9" s="1"/>
  <c r="F18" i="7" s="1"/>
  <c r="I48" i="6" s="1"/>
  <c r="S18" i="9"/>
  <c r="S26" i="9"/>
  <c r="S38" i="9"/>
  <c r="F26" i="7"/>
  <c r="F27" i="7"/>
  <c r="F28" i="7"/>
  <c r="F29" i="7"/>
  <c r="F32" i="7"/>
  <c r="F33" i="7"/>
  <c r="E90" i="9"/>
  <c r="F75" i="11"/>
  <c r="F73" i="11"/>
  <c r="O12" i="23" s="1"/>
  <c r="F25" i="11"/>
  <c r="AA24" i="11"/>
  <c r="F24" i="11"/>
  <c r="F23" i="11"/>
  <c r="F26" i="11" s="1"/>
  <c r="F20" i="11"/>
  <c r="F19" i="11"/>
  <c r="F18" i="11"/>
  <c r="F17" i="11"/>
  <c r="F16" i="11"/>
  <c r="F15" i="11"/>
  <c r="G10" i="11"/>
  <c r="H10" i="11"/>
  <c r="E21" i="11"/>
  <c r="E67" i="11"/>
  <c r="E69" i="11"/>
  <c r="N8" i="23" s="1"/>
  <c r="E70" i="11"/>
  <c r="N9" i="23" s="1"/>
  <c r="E71" i="11"/>
  <c r="N10" i="23" s="1"/>
  <c r="AC44" i="11" l="1"/>
  <c r="AC42" i="11"/>
  <c r="AB44" i="11"/>
  <c r="AB42" i="11"/>
  <c r="AA36" i="11"/>
  <c r="AA35" i="11"/>
  <c r="AA37" i="11"/>
  <c r="AA38" i="11"/>
  <c r="AA39" i="11"/>
  <c r="N6" i="23"/>
  <c r="E76" i="11"/>
  <c r="H75" i="11"/>
  <c r="H73" i="11"/>
  <c r="Q12" i="23" s="1"/>
  <c r="H25" i="11"/>
  <c r="AC24" i="11"/>
  <c r="H24" i="11"/>
  <c r="H23" i="11"/>
  <c r="H26" i="11" s="1"/>
  <c r="H20" i="11"/>
  <c r="H19" i="11"/>
  <c r="H18" i="11"/>
  <c r="H17" i="11"/>
  <c r="H16" i="11"/>
  <c r="H15" i="11"/>
  <c r="G75" i="11"/>
  <c r="G73" i="11"/>
  <c r="P12" i="23" s="1"/>
  <c r="G25" i="11"/>
  <c r="AB24" i="11"/>
  <c r="G24" i="11"/>
  <c r="G23" i="11"/>
  <c r="G26" i="11" s="1"/>
  <c r="G20" i="11"/>
  <c r="G19" i="11"/>
  <c r="G18" i="11"/>
  <c r="G17" i="11"/>
  <c r="G16" i="11"/>
  <c r="G15" i="11"/>
  <c r="I10" i="11"/>
  <c r="F21" i="11"/>
  <c r="F67" i="11"/>
  <c r="F69" i="11"/>
  <c r="O8" i="23" s="1"/>
  <c r="F70" i="11"/>
  <c r="O9" i="23" s="1"/>
  <c r="F71" i="11"/>
  <c r="O10" i="23" s="1"/>
  <c r="F68" i="11"/>
  <c r="O7" i="23" s="1"/>
  <c r="G11" i="18"/>
  <c r="G10" i="17"/>
  <c r="S39" i="9"/>
  <c r="F17" i="7" s="1"/>
  <c r="S27" i="9"/>
  <c r="F15" i="7" s="1"/>
  <c r="I50" i="6" s="1"/>
  <c r="S19" i="9"/>
  <c r="F14" i="7" s="1"/>
  <c r="I49" i="6" s="1"/>
  <c r="F89" i="9"/>
  <c r="F85" i="9"/>
  <c r="F73" i="9"/>
  <c r="F52" i="9"/>
  <c r="F61" i="9"/>
  <c r="F44" i="9"/>
  <c r="X19" i="9"/>
  <c r="X27" i="9"/>
  <c r="X39" i="9"/>
  <c r="F36" i="9"/>
  <c r="F30" i="9"/>
  <c r="F90" i="9" s="1"/>
  <c r="AF17" i="10"/>
  <c r="I25" i="9"/>
  <c r="I24" i="9"/>
  <c r="I23" i="9"/>
  <c r="I19" i="9"/>
  <c r="I18" i="9"/>
  <c r="I17" i="9"/>
  <c r="I16" i="9"/>
  <c r="I15" i="9"/>
  <c r="I14" i="9"/>
  <c r="AE17" i="10"/>
  <c r="H25" i="9"/>
  <c r="H24" i="9"/>
  <c r="H23" i="9"/>
  <c r="H19" i="9"/>
  <c r="H18" i="9"/>
  <c r="H17" i="9"/>
  <c r="H16" i="9"/>
  <c r="H15" i="9"/>
  <c r="H14" i="9"/>
  <c r="J11" i="9"/>
  <c r="G20" i="9"/>
  <c r="G28" i="9"/>
  <c r="G29" i="9"/>
  <c r="Y31" i="9"/>
  <c r="Y32" i="9" s="1"/>
  <c r="G32" i="9"/>
  <c r="G34" i="9"/>
  <c r="G35" i="9"/>
  <c r="Y36" i="9"/>
  <c r="Y24" i="9"/>
  <c r="Y16" i="9"/>
  <c r="G38" i="9"/>
  <c r="G40" i="9"/>
  <c r="G41" i="9"/>
  <c r="G42" i="9"/>
  <c r="G43" i="9"/>
  <c r="Y44" i="9"/>
  <c r="Y45" i="9" s="1"/>
  <c r="Y37" i="9"/>
  <c r="Y25" i="9"/>
  <c r="Y17" i="9"/>
  <c r="G54" i="9"/>
  <c r="G56" i="9"/>
  <c r="G57" i="9"/>
  <c r="G58" i="9"/>
  <c r="G59" i="9"/>
  <c r="G60" i="9"/>
  <c r="Y38" i="9"/>
  <c r="Y26" i="9"/>
  <c r="Y18" i="9"/>
  <c r="G46" i="9"/>
  <c r="G48" i="9"/>
  <c r="G49" i="9"/>
  <c r="G50" i="9"/>
  <c r="G51" i="9"/>
  <c r="G64" i="9"/>
  <c r="G63" i="9"/>
  <c r="G65" i="9"/>
  <c r="G66" i="9"/>
  <c r="G67" i="9"/>
  <c r="G68" i="9"/>
  <c r="G69" i="9"/>
  <c r="G70" i="9"/>
  <c r="G71" i="9"/>
  <c r="G72" i="9"/>
  <c r="G84" i="9"/>
  <c r="G83" i="9"/>
  <c r="G82" i="9"/>
  <c r="G79" i="9"/>
  <c r="G78" i="9"/>
  <c r="G77" i="9"/>
  <c r="G76" i="9"/>
  <c r="G26" i="9"/>
  <c r="G80" i="9"/>
  <c r="G81" i="9"/>
  <c r="F34" i="7"/>
  <c r="F31" i="7"/>
  <c r="F30" i="7"/>
  <c r="F35" i="7" s="1"/>
  <c r="F44" i="7" s="1"/>
  <c r="G87" i="9"/>
  <c r="G88" i="9"/>
  <c r="BO46" i="6"/>
  <c r="BN35" i="6"/>
  <c r="BO25" i="6"/>
  <c r="M14" i="23"/>
  <c r="G15" i="13"/>
  <c r="H15" i="13" s="1"/>
  <c r="G11" i="13"/>
  <c r="G10" i="13"/>
  <c r="H10" i="13" s="1"/>
  <c r="G9" i="13"/>
  <c r="BJ48" i="6"/>
  <c r="BJ49" i="6" s="1"/>
  <c r="BJ30" i="6"/>
  <c r="AD44" i="11" l="1"/>
  <c r="AD42" i="11"/>
  <c r="AB36" i="11"/>
  <c r="AB35" i="11"/>
  <c r="AB37" i="11"/>
  <c r="AB38" i="11"/>
  <c r="AB39" i="11"/>
  <c r="AC36" i="11"/>
  <c r="AC35" i="11"/>
  <c r="AC37" i="11"/>
  <c r="AC38" i="11"/>
  <c r="AC39" i="11"/>
  <c r="BJ33" i="6"/>
  <c r="BJ36" i="6" s="1"/>
  <c r="BJ32" i="6"/>
  <c r="BJ37" i="6" s="1"/>
  <c r="BJ39" i="6" s="1"/>
  <c r="BJ31" i="6"/>
  <c r="BJ34" i="6" s="1"/>
  <c r="BJ38" i="6" s="1"/>
  <c r="Y30" i="11"/>
  <c r="AN16" i="6"/>
  <c r="P56" i="11" s="1"/>
  <c r="H9" i="13"/>
  <c r="AC25" i="6"/>
  <c r="AD25" i="6" s="1"/>
  <c r="G16" i="13"/>
  <c r="H16" i="13" s="1"/>
  <c r="H11" i="13"/>
  <c r="M68" i="23"/>
  <c r="M65" i="23"/>
  <c r="M62" i="23"/>
  <c r="M59" i="23"/>
  <c r="M56" i="23"/>
  <c r="M53" i="23"/>
  <c r="M50" i="23"/>
  <c r="M44" i="23"/>
  <c r="M41" i="23"/>
  <c r="M38" i="23"/>
  <c r="M30" i="23"/>
  <c r="M31" i="23" s="1"/>
  <c r="M33" i="23"/>
  <c r="M34" i="23" s="1"/>
  <c r="M45" i="23"/>
  <c r="M46" i="23" s="1"/>
  <c r="BO35" i="6"/>
  <c r="BP25" i="6"/>
  <c r="BP46" i="6"/>
  <c r="G89" i="9"/>
  <c r="G85" i="9"/>
  <c r="G73" i="9"/>
  <c r="G52" i="9"/>
  <c r="G61" i="9"/>
  <c r="G44" i="9"/>
  <c r="Y19" i="9"/>
  <c r="Y27" i="9"/>
  <c r="Y39" i="9"/>
  <c r="G36" i="9"/>
  <c r="G30" i="9"/>
  <c r="G90" i="9" s="1"/>
  <c r="F10" i="7"/>
  <c r="F11" i="7"/>
  <c r="AG17" i="10"/>
  <c r="J25" i="9"/>
  <c r="J24" i="9"/>
  <c r="J23" i="9"/>
  <c r="J19" i="9"/>
  <c r="J18" i="9"/>
  <c r="J17" i="9"/>
  <c r="J16" i="9"/>
  <c r="J15" i="9"/>
  <c r="J14" i="9"/>
  <c r="K11" i="9"/>
  <c r="H20" i="9"/>
  <c r="H28" i="9"/>
  <c r="H29" i="9"/>
  <c r="Z31" i="9"/>
  <c r="Z32" i="9" s="1"/>
  <c r="T31" i="9"/>
  <c r="T32" i="9" s="1"/>
  <c r="G16" i="7" s="1"/>
  <c r="H32" i="9"/>
  <c r="H34" i="9"/>
  <c r="H35" i="9"/>
  <c r="Z36" i="9"/>
  <c r="T36" i="9"/>
  <c r="Z24" i="9"/>
  <c r="T24" i="9"/>
  <c r="Z16" i="9"/>
  <c r="T16" i="9"/>
  <c r="H38" i="9"/>
  <c r="H40" i="9"/>
  <c r="H41" i="9"/>
  <c r="H42" i="9"/>
  <c r="H43" i="9"/>
  <c r="Z44" i="9"/>
  <c r="Z45" i="9" s="1"/>
  <c r="T44" i="9"/>
  <c r="T45" i="9" s="1"/>
  <c r="G18" i="7" s="1"/>
  <c r="Z37" i="9"/>
  <c r="T37" i="9"/>
  <c r="Z25" i="9"/>
  <c r="T25" i="9"/>
  <c r="Z17" i="9"/>
  <c r="T17" i="9"/>
  <c r="H54" i="9"/>
  <c r="H56" i="9"/>
  <c r="H57" i="9"/>
  <c r="H58" i="9"/>
  <c r="H59" i="9"/>
  <c r="H60" i="9"/>
  <c r="Z38" i="9"/>
  <c r="T38" i="9"/>
  <c r="Z26" i="9"/>
  <c r="T26" i="9"/>
  <c r="Z18" i="9"/>
  <c r="T18" i="9"/>
  <c r="H46" i="9"/>
  <c r="H48" i="9"/>
  <c r="H49" i="9"/>
  <c r="H50" i="9"/>
  <c r="H51" i="9"/>
  <c r="H64" i="9"/>
  <c r="H63" i="9"/>
  <c r="H65" i="9"/>
  <c r="H66" i="9"/>
  <c r="H67" i="9"/>
  <c r="H68" i="9"/>
  <c r="H69" i="9"/>
  <c r="H70" i="9"/>
  <c r="H71" i="9"/>
  <c r="H72" i="9"/>
  <c r="H84" i="9"/>
  <c r="H83" i="9"/>
  <c r="H82" i="9"/>
  <c r="H79" i="9"/>
  <c r="H78" i="9"/>
  <c r="H77" i="9"/>
  <c r="H76" i="9"/>
  <c r="H26" i="9"/>
  <c r="G33" i="7"/>
  <c r="G32" i="7"/>
  <c r="G29" i="7"/>
  <c r="G28" i="7"/>
  <c r="G27" i="7"/>
  <c r="G26" i="7"/>
  <c r="H34" i="7"/>
  <c r="G30" i="7"/>
  <c r="G31" i="7"/>
  <c r="G34" i="7"/>
  <c r="H80" i="9"/>
  <c r="H81" i="9"/>
  <c r="H87" i="9"/>
  <c r="H88" i="9"/>
  <c r="L11" i="9"/>
  <c r="I20" i="9"/>
  <c r="I28" i="9"/>
  <c r="I29" i="9"/>
  <c r="AA31" i="9"/>
  <c r="AA32" i="9" s="1"/>
  <c r="I32" i="9"/>
  <c r="I34" i="9"/>
  <c r="I35" i="9"/>
  <c r="AA36" i="9"/>
  <c r="AA24" i="9"/>
  <c r="AA16" i="9"/>
  <c r="I38" i="9"/>
  <c r="I40" i="9"/>
  <c r="I41" i="9"/>
  <c r="I42" i="9"/>
  <c r="I43" i="9"/>
  <c r="AA44" i="9"/>
  <c r="AA45" i="9" s="1"/>
  <c r="AA37" i="9"/>
  <c r="AA25" i="9"/>
  <c r="AA17" i="9"/>
  <c r="I54" i="9"/>
  <c r="I56" i="9"/>
  <c r="I57" i="9"/>
  <c r="I58" i="9"/>
  <c r="I59" i="9"/>
  <c r="I60" i="9"/>
  <c r="AA38" i="9"/>
  <c r="AA26" i="9"/>
  <c r="AA18" i="9"/>
  <c r="I46" i="9"/>
  <c r="I48" i="9"/>
  <c r="I49" i="9"/>
  <c r="I50" i="9"/>
  <c r="I51" i="9"/>
  <c r="I64" i="9"/>
  <c r="I63" i="9"/>
  <c r="I65" i="9"/>
  <c r="I66" i="9"/>
  <c r="I67" i="9"/>
  <c r="I68" i="9"/>
  <c r="I69" i="9"/>
  <c r="I70" i="9"/>
  <c r="I71" i="9"/>
  <c r="I72" i="9"/>
  <c r="I84" i="9"/>
  <c r="I83" i="9"/>
  <c r="I82" i="9"/>
  <c r="I79" i="9"/>
  <c r="I78" i="9"/>
  <c r="I77" i="9"/>
  <c r="I76" i="9"/>
  <c r="I26" i="9"/>
  <c r="I80" i="9"/>
  <c r="I81" i="9"/>
  <c r="I87" i="9"/>
  <c r="I88" i="9"/>
  <c r="H11" i="18"/>
  <c r="H10" i="17"/>
  <c r="O6" i="23"/>
  <c r="F76" i="11"/>
  <c r="I75" i="11"/>
  <c r="I73" i="11"/>
  <c r="R12" i="23" s="1"/>
  <c r="I25" i="11"/>
  <c r="AD24" i="11"/>
  <c r="I24" i="11"/>
  <c r="I23" i="11"/>
  <c r="I26" i="11" s="1"/>
  <c r="I20" i="11"/>
  <c r="I19" i="11"/>
  <c r="I18" i="11"/>
  <c r="I17" i="11"/>
  <c r="I16" i="11"/>
  <c r="I15" i="11"/>
  <c r="J10" i="11"/>
  <c r="G21" i="11"/>
  <c r="G67" i="11"/>
  <c r="G69" i="11"/>
  <c r="P8" i="23" s="1"/>
  <c r="G70" i="11"/>
  <c r="P9" i="23" s="1"/>
  <c r="G71" i="11"/>
  <c r="P10" i="23" s="1"/>
  <c r="G68" i="11"/>
  <c r="P7" i="23" s="1"/>
  <c r="K10" i="11"/>
  <c r="H21" i="11"/>
  <c r="H67" i="11"/>
  <c r="H69" i="11"/>
  <c r="Q8" i="23" s="1"/>
  <c r="H70" i="11"/>
  <c r="Q9" i="23" s="1"/>
  <c r="H71" i="11"/>
  <c r="Q10" i="23" s="1"/>
  <c r="H68" i="11"/>
  <c r="Q7" i="23" s="1"/>
  <c r="N14" i="23"/>
  <c r="BK48" i="6"/>
  <c r="BK49" i="6" s="1"/>
  <c r="BK30" i="6"/>
  <c r="AF44" i="11" l="1"/>
  <c r="AF42" i="11"/>
  <c r="AE44" i="11"/>
  <c r="AE42" i="11"/>
  <c r="AD36" i="11"/>
  <c r="AD35" i="11"/>
  <c r="AD37" i="11"/>
  <c r="AD38" i="11"/>
  <c r="AD39" i="11"/>
  <c r="BK32" i="6"/>
  <c r="BK37" i="6" s="1"/>
  <c r="BK39" i="6" s="1"/>
  <c r="BK31" i="6"/>
  <c r="BK34" i="6" s="1"/>
  <c r="BK38" i="6" s="1"/>
  <c r="BK33" i="6"/>
  <c r="BK36" i="6" s="1"/>
  <c r="BK40" i="6" s="1"/>
  <c r="Z30" i="11"/>
  <c r="AO16" i="6"/>
  <c r="Q56" i="11" s="1"/>
  <c r="N68" i="23"/>
  <c r="N65" i="23"/>
  <c r="N62" i="23"/>
  <c r="N59" i="23"/>
  <c r="N56" i="23"/>
  <c r="N53" i="23"/>
  <c r="N50" i="23"/>
  <c r="N44" i="23"/>
  <c r="N41" i="23"/>
  <c r="N38" i="23"/>
  <c r="Q6" i="23"/>
  <c r="H76" i="11"/>
  <c r="K75" i="11"/>
  <c r="K73" i="11"/>
  <c r="T12" i="23" s="1"/>
  <c r="K25" i="11"/>
  <c r="AF24" i="11"/>
  <c r="K24" i="11"/>
  <c r="K23" i="11"/>
  <c r="K26" i="11" s="1"/>
  <c r="K20" i="11"/>
  <c r="K19" i="11"/>
  <c r="K18" i="11"/>
  <c r="K17" i="11"/>
  <c r="K16" i="11"/>
  <c r="K15" i="11"/>
  <c r="P6" i="23"/>
  <c r="G76" i="11"/>
  <c r="J75" i="11"/>
  <c r="J73" i="11"/>
  <c r="S12" i="23" s="1"/>
  <c r="J25" i="11"/>
  <c r="AE24" i="11"/>
  <c r="J24" i="11"/>
  <c r="J23" i="11"/>
  <c r="J26" i="11" s="1"/>
  <c r="J20" i="11"/>
  <c r="J19" i="11"/>
  <c r="J18" i="11"/>
  <c r="J17" i="11"/>
  <c r="J16" i="11"/>
  <c r="J15" i="11"/>
  <c r="L10" i="11"/>
  <c r="I21" i="11"/>
  <c r="I67" i="11"/>
  <c r="I69" i="11"/>
  <c r="R8" i="23" s="1"/>
  <c r="I70" i="11"/>
  <c r="R9" i="23" s="1"/>
  <c r="I71" i="11"/>
  <c r="R10" i="23" s="1"/>
  <c r="I68" i="11"/>
  <c r="R7" i="23" s="1"/>
  <c r="O14" i="23"/>
  <c r="BL48" i="6"/>
  <c r="BL49" i="6" s="1"/>
  <c r="BL30" i="6"/>
  <c r="I89" i="9"/>
  <c r="I85" i="9"/>
  <c r="I73" i="9"/>
  <c r="I52" i="9"/>
  <c r="I61" i="9"/>
  <c r="I44" i="9"/>
  <c r="AA19" i="9"/>
  <c r="AA27" i="9"/>
  <c r="AA39" i="9"/>
  <c r="I36" i="9"/>
  <c r="I30" i="9"/>
  <c r="I90" i="9" s="1"/>
  <c r="AI17" i="10"/>
  <c r="L25" i="9"/>
  <c r="L24" i="9"/>
  <c r="L23" i="9"/>
  <c r="L19" i="9"/>
  <c r="L18" i="9"/>
  <c r="L17" i="9"/>
  <c r="L16" i="9"/>
  <c r="L15" i="9"/>
  <c r="L14" i="9"/>
  <c r="H89" i="9"/>
  <c r="G35" i="7"/>
  <c r="G44" i="7" s="1"/>
  <c r="H85" i="9"/>
  <c r="H73" i="9"/>
  <c r="H52" i="9"/>
  <c r="H61" i="9"/>
  <c r="H44" i="9"/>
  <c r="T19" i="9"/>
  <c r="G14" i="7" s="1"/>
  <c r="Z19" i="9"/>
  <c r="T27" i="9"/>
  <c r="G15" i="7" s="1"/>
  <c r="Z27" i="9"/>
  <c r="T39" i="9"/>
  <c r="G17" i="7" s="1"/>
  <c r="Z39" i="9"/>
  <c r="H36" i="9"/>
  <c r="H30" i="9"/>
  <c r="H90" i="9" s="1"/>
  <c r="AH17" i="10"/>
  <c r="K25" i="9"/>
  <c r="K24" i="9"/>
  <c r="K23" i="9"/>
  <c r="K19" i="9"/>
  <c r="K18" i="9"/>
  <c r="K17" i="9"/>
  <c r="K16" i="9"/>
  <c r="K15" i="9"/>
  <c r="K14" i="9"/>
  <c r="M11" i="9"/>
  <c r="J20" i="9"/>
  <c r="G10" i="7" s="1"/>
  <c r="J28" i="9"/>
  <c r="J29" i="9"/>
  <c r="AB31" i="9"/>
  <c r="AB32" i="9" s="1"/>
  <c r="J32" i="9"/>
  <c r="J34" i="9"/>
  <c r="J35" i="9"/>
  <c r="AB36" i="9"/>
  <c r="AB24" i="9"/>
  <c r="AB16" i="9"/>
  <c r="J38" i="9"/>
  <c r="J40" i="9"/>
  <c r="J41" i="9"/>
  <c r="J42" i="9"/>
  <c r="J43" i="9"/>
  <c r="AB44" i="9"/>
  <c r="AB45" i="9" s="1"/>
  <c r="AB37" i="9"/>
  <c r="AB25" i="9"/>
  <c r="AB17" i="9"/>
  <c r="J54" i="9"/>
  <c r="J56" i="9"/>
  <c r="J57" i="9"/>
  <c r="J58" i="9"/>
  <c r="J59" i="9"/>
  <c r="J60" i="9"/>
  <c r="AB38" i="9"/>
  <c r="AB26" i="9"/>
  <c r="AB18" i="9"/>
  <c r="J46" i="9"/>
  <c r="J48" i="9"/>
  <c r="J49" i="9"/>
  <c r="J50" i="9"/>
  <c r="J51" i="9"/>
  <c r="J64" i="9"/>
  <c r="J63" i="9"/>
  <c r="J65" i="9"/>
  <c r="J66" i="9"/>
  <c r="J67" i="9"/>
  <c r="J68" i="9"/>
  <c r="J69" i="9"/>
  <c r="J70" i="9"/>
  <c r="J71" i="9"/>
  <c r="J72" i="9"/>
  <c r="J84" i="9"/>
  <c r="J83" i="9"/>
  <c r="J82" i="9"/>
  <c r="J79" i="9"/>
  <c r="J78" i="9"/>
  <c r="J77" i="9"/>
  <c r="J76" i="9"/>
  <c r="J26" i="9"/>
  <c r="J80" i="9"/>
  <c r="J81" i="9"/>
  <c r="J87" i="9"/>
  <c r="J88" i="9"/>
  <c r="F19" i="7"/>
  <c r="F45" i="7" s="1"/>
  <c r="F46" i="7" s="1"/>
  <c r="F8" i="12" s="1"/>
  <c r="I51" i="6"/>
  <c r="I53" i="6" s="1"/>
  <c r="I11" i="18"/>
  <c r="I10" i="17"/>
  <c r="BQ46" i="6"/>
  <c r="BP35" i="6"/>
  <c r="BQ25" i="6"/>
  <c r="N45" i="23"/>
  <c r="N46" i="23" s="1"/>
  <c r="O45" i="23"/>
  <c r="N33" i="23"/>
  <c r="N34" i="23" s="1"/>
  <c r="O33" i="23"/>
  <c r="N30" i="23"/>
  <c r="N31" i="23" s="1"/>
  <c r="O30" i="23"/>
  <c r="M69" i="23"/>
  <c r="M28" i="23"/>
  <c r="N27" i="23"/>
  <c r="N69" i="23" s="1"/>
  <c r="O27" i="23"/>
  <c r="O69" i="23" s="1"/>
  <c r="M32" i="23"/>
  <c r="M35" i="23"/>
  <c r="M47" i="23"/>
  <c r="AW17" i="6"/>
  <c r="AV17" i="6"/>
  <c r="AU17" i="6"/>
  <c r="AT17" i="6"/>
  <c r="AS17" i="6"/>
  <c r="AR17" i="6"/>
  <c r="AQ17" i="6"/>
  <c r="AP17" i="6"/>
  <c r="AO17" i="6"/>
  <c r="Q57" i="11" s="1"/>
  <c r="AN17" i="6"/>
  <c r="H23" i="13"/>
  <c r="F7" i="12" s="1"/>
  <c r="BJ40" i="6"/>
  <c r="AG44" i="11" l="1"/>
  <c r="AG42" i="11"/>
  <c r="AE36" i="11"/>
  <c r="AE35" i="11"/>
  <c r="AE37" i="11"/>
  <c r="AE38" i="11"/>
  <c r="AE39" i="11"/>
  <c r="AF36" i="11"/>
  <c r="AF35" i="11"/>
  <c r="AF37" i="11"/>
  <c r="AF38" i="11"/>
  <c r="AF39" i="11"/>
  <c r="O31" i="23"/>
  <c r="N32" i="23"/>
  <c r="O34" i="23"/>
  <c r="N35" i="23"/>
  <c r="O46" i="23"/>
  <c r="N47" i="23"/>
  <c r="Y29" i="11"/>
  <c r="AN15" i="6"/>
  <c r="P57" i="11"/>
  <c r="Y31" i="11"/>
  <c r="Z31" i="11" s="1"/>
  <c r="AA31" i="11" s="1"/>
  <c r="AB31" i="11" s="1"/>
  <c r="AC31" i="11" s="1"/>
  <c r="AD31" i="11" s="1"/>
  <c r="AE31" i="11" s="1"/>
  <c r="AF31" i="11" s="1"/>
  <c r="AG31" i="11" s="1"/>
  <c r="AH31" i="11" s="1"/>
  <c r="I14" i="18"/>
  <c r="I24" i="18" s="1"/>
  <c r="I13" i="17"/>
  <c r="H14" i="18"/>
  <c r="H24" i="18" s="1"/>
  <c r="H13" i="17"/>
  <c r="H22" i="17" s="1"/>
  <c r="M70" i="23"/>
  <c r="N28" i="23"/>
  <c r="M29" i="23"/>
  <c r="M71" i="23" s="1"/>
  <c r="G14" i="18"/>
  <c r="G24" i="18" s="1"/>
  <c r="G13" i="17"/>
  <c r="BQ35" i="6"/>
  <c r="BR25" i="6"/>
  <c r="BR46" i="6"/>
  <c r="F28" i="18"/>
  <c r="F26" i="17"/>
  <c r="J89" i="9"/>
  <c r="J85" i="9"/>
  <c r="J73" i="9"/>
  <c r="J52" i="9"/>
  <c r="J61" i="9"/>
  <c r="J44" i="9"/>
  <c r="AB19" i="9"/>
  <c r="AB27" i="9"/>
  <c r="AB39" i="9"/>
  <c r="J36" i="9"/>
  <c r="J30" i="9"/>
  <c r="J90" i="9" s="1"/>
  <c r="AJ17" i="10"/>
  <c r="M25" i="9"/>
  <c r="M24" i="9"/>
  <c r="M23" i="9"/>
  <c r="M19" i="9"/>
  <c r="M18" i="9"/>
  <c r="M17" i="9"/>
  <c r="M16" i="9"/>
  <c r="M15" i="9"/>
  <c r="M14" i="9"/>
  <c r="N11" i="9"/>
  <c r="K20" i="9"/>
  <c r="K28" i="9"/>
  <c r="K29" i="9"/>
  <c r="AC31" i="9"/>
  <c r="AC32" i="9" s="1"/>
  <c r="U31" i="9"/>
  <c r="U32" i="9" s="1"/>
  <c r="H16" i="7" s="1"/>
  <c r="K32" i="9"/>
  <c r="K34" i="9"/>
  <c r="K35" i="9"/>
  <c r="AC36" i="9"/>
  <c r="U36" i="9"/>
  <c r="AC24" i="9"/>
  <c r="U24" i="9"/>
  <c r="AC16" i="9"/>
  <c r="U16" i="9"/>
  <c r="K38" i="9"/>
  <c r="K40" i="9"/>
  <c r="K41" i="9"/>
  <c r="K42" i="9"/>
  <c r="K43" i="9"/>
  <c r="AC44" i="9"/>
  <c r="AC45" i="9" s="1"/>
  <c r="U44" i="9"/>
  <c r="U45" i="9" s="1"/>
  <c r="H18" i="7" s="1"/>
  <c r="AC37" i="9"/>
  <c r="U37" i="9"/>
  <c r="AC25" i="9"/>
  <c r="U25" i="9"/>
  <c r="AC17" i="9"/>
  <c r="U17" i="9"/>
  <c r="K54" i="9"/>
  <c r="K56" i="9"/>
  <c r="K57" i="9"/>
  <c r="K58" i="9"/>
  <c r="K59" i="9"/>
  <c r="K60" i="9"/>
  <c r="AC38" i="9"/>
  <c r="U38" i="9"/>
  <c r="AC26" i="9"/>
  <c r="U26" i="9"/>
  <c r="AC18" i="9"/>
  <c r="U18" i="9"/>
  <c r="K46" i="9"/>
  <c r="K48" i="9"/>
  <c r="K49" i="9"/>
  <c r="K50" i="9"/>
  <c r="K51" i="9"/>
  <c r="K64" i="9"/>
  <c r="K63" i="9"/>
  <c r="K65" i="9"/>
  <c r="K66" i="9"/>
  <c r="K67" i="9"/>
  <c r="K68" i="9"/>
  <c r="K69" i="9"/>
  <c r="K70" i="9"/>
  <c r="K71" i="9"/>
  <c r="K72" i="9"/>
  <c r="K84" i="9"/>
  <c r="K83" i="9"/>
  <c r="K82" i="9"/>
  <c r="K79" i="9"/>
  <c r="K78" i="9"/>
  <c r="K77" i="9"/>
  <c r="K76" i="9"/>
  <c r="K26" i="9"/>
  <c r="H33" i="7"/>
  <c r="H32" i="7"/>
  <c r="H29" i="7"/>
  <c r="H28" i="7"/>
  <c r="H27" i="7"/>
  <c r="H26" i="7"/>
  <c r="H31" i="7"/>
  <c r="H30" i="7"/>
  <c r="K80" i="9"/>
  <c r="K81" i="9"/>
  <c r="K87" i="9"/>
  <c r="K88" i="9"/>
  <c r="G11" i="7"/>
  <c r="G19" i="7" s="1"/>
  <c r="G45" i="7" s="1"/>
  <c r="G46" i="7" s="1"/>
  <c r="J11" i="18"/>
  <c r="J10" i="17"/>
  <c r="L20" i="9"/>
  <c r="L28" i="9"/>
  <c r="L29" i="9"/>
  <c r="AD31" i="9"/>
  <c r="AD32" i="9" s="1"/>
  <c r="L32" i="9"/>
  <c r="L34" i="9"/>
  <c r="L35" i="9"/>
  <c r="AD36" i="9"/>
  <c r="AD24" i="9"/>
  <c r="AD16" i="9"/>
  <c r="L38" i="9"/>
  <c r="L40" i="9"/>
  <c r="L41" i="9"/>
  <c r="L42" i="9"/>
  <c r="L43" i="9"/>
  <c r="AD44" i="9"/>
  <c r="AD45" i="9" s="1"/>
  <c r="AD37" i="9"/>
  <c r="AD25" i="9"/>
  <c r="AD17" i="9"/>
  <c r="L54" i="9"/>
  <c r="L56" i="9"/>
  <c r="L57" i="9"/>
  <c r="L58" i="9"/>
  <c r="L59" i="9"/>
  <c r="L60" i="9"/>
  <c r="AD38" i="9"/>
  <c r="AD26" i="9"/>
  <c r="AD18" i="9"/>
  <c r="L46" i="9"/>
  <c r="L48" i="9"/>
  <c r="L49" i="9"/>
  <c r="L50" i="9"/>
  <c r="L51" i="9"/>
  <c r="L64" i="9"/>
  <c r="L63" i="9"/>
  <c r="L65" i="9"/>
  <c r="L66" i="9"/>
  <c r="L67" i="9"/>
  <c r="L68" i="9"/>
  <c r="L69" i="9"/>
  <c r="L70" i="9"/>
  <c r="L71" i="9"/>
  <c r="L72" i="9"/>
  <c r="L84" i="9"/>
  <c r="L83" i="9"/>
  <c r="L82" i="9"/>
  <c r="L79" i="9"/>
  <c r="L78" i="9"/>
  <c r="L77" i="9"/>
  <c r="L76" i="9"/>
  <c r="L26" i="9"/>
  <c r="L80" i="9"/>
  <c r="L81" i="9"/>
  <c r="L87" i="9"/>
  <c r="L88" i="9"/>
  <c r="K11" i="18"/>
  <c r="K10" i="17"/>
  <c r="BL32" i="6"/>
  <c r="BL37" i="6" s="1"/>
  <c r="BL39" i="6" s="1"/>
  <c r="BL31" i="6"/>
  <c r="BL34" i="6" s="1"/>
  <c r="BL38" i="6" s="1"/>
  <c r="BL33" i="6"/>
  <c r="BL36" i="6" s="1"/>
  <c r="BL40" i="6" s="1"/>
  <c r="AA30" i="11"/>
  <c r="AP16" i="6"/>
  <c r="O68" i="23"/>
  <c r="O65" i="23"/>
  <c r="O62" i="23"/>
  <c r="O59" i="23"/>
  <c r="O56" i="23"/>
  <c r="O53" i="23"/>
  <c r="O50" i="23"/>
  <c r="O47" i="23"/>
  <c r="O44" i="23"/>
  <c r="O41" i="23"/>
  <c r="O38" i="23"/>
  <c r="O35" i="23"/>
  <c r="O32" i="23"/>
  <c r="R6" i="23"/>
  <c r="I76" i="11"/>
  <c r="L75" i="11"/>
  <c r="L73" i="11"/>
  <c r="U12" i="23" s="1"/>
  <c r="L25" i="11"/>
  <c r="AG24" i="11"/>
  <c r="L24" i="11"/>
  <c r="L23" i="11"/>
  <c r="L26" i="11" s="1"/>
  <c r="L20" i="11"/>
  <c r="L19" i="11"/>
  <c r="L18" i="11"/>
  <c r="L17" i="11"/>
  <c r="L16" i="11"/>
  <c r="L15" i="11"/>
  <c r="M10" i="11"/>
  <c r="J21" i="11"/>
  <c r="J67" i="11"/>
  <c r="J69" i="11"/>
  <c r="S8" i="23" s="1"/>
  <c r="J70" i="11"/>
  <c r="S9" i="23" s="1"/>
  <c r="J71" i="11"/>
  <c r="S10" i="23" s="1"/>
  <c r="J68" i="11"/>
  <c r="S7" i="23" s="1"/>
  <c r="P14" i="23"/>
  <c r="BM48" i="6"/>
  <c r="BM49" i="6" s="1"/>
  <c r="BM30" i="6"/>
  <c r="K21" i="11"/>
  <c r="K67" i="11"/>
  <c r="K69" i="11"/>
  <c r="T8" i="23" s="1"/>
  <c r="K70" i="11"/>
  <c r="T9" i="23" s="1"/>
  <c r="K71" i="11"/>
  <c r="T10" i="23" s="1"/>
  <c r="K68" i="11"/>
  <c r="T7" i="23" s="1"/>
  <c r="Q14" i="23"/>
  <c r="BN48" i="6"/>
  <c r="BN49" i="6" s="1"/>
  <c r="BN30" i="6"/>
  <c r="P33" i="23"/>
  <c r="P34" i="23" s="1"/>
  <c r="P27" i="23"/>
  <c r="Z29" i="11"/>
  <c r="Z45" i="11" s="1"/>
  <c r="AO15" i="6"/>
  <c r="AH44" i="11" l="1"/>
  <c r="AH42" i="11"/>
  <c r="AG36" i="11"/>
  <c r="AG35" i="11"/>
  <c r="AG37" i="11"/>
  <c r="AG38" i="11"/>
  <c r="AG39" i="11"/>
  <c r="I28" i="18"/>
  <c r="I26" i="17"/>
  <c r="Q55" i="11"/>
  <c r="AO21" i="6"/>
  <c r="Q61" i="11" s="1"/>
  <c r="H12" i="18"/>
  <c r="H11" i="17"/>
  <c r="P28" i="23"/>
  <c r="BN32" i="6"/>
  <c r="BN37" i="6" s="1"/>
  <c r="BN39" i="6" s="1"/>
  <c r="BN31" i="6"/>
  <c r="BN34" i="6" s="1"/>
  <c r="BN38" i="6" s="1"/>
  <c r="BN33" i="6"/>
  <c r="BN36" i="6" s="1"/>
  <c r="BN40" i="6" s="1"/>
  <c r="AC30" i="11"/>
  <c r="AR16" i="6"/>
  <c r="Q68" i="23"/>
  <c r="Q65" i="23"/>
  <c r="Q62" i="23"/>
  <c r="Q59" i="23"/>
  <c r="Q56" i="23"/>
  <c r="Q53" i="23"/>
  <c r="Q50" i="23"/>
  <c r="Q44" i="23"/>
  <c r="Q41" i="23"/>
  <c r="Q38" i="23"/>
  <c r="T6" i="23"/>
  <c r="K76" i="11"/>
  <c r="BM32" i="6"/>
  <c r="BM37" i="6" s="1"/>
  <c r="BM39" i="6" s="1"/>
  <c r="BM31" i="6"/>
  <c r="BM34" i="6" s="1"/>
  <c r="BM38" i="6" s="1"/>
  <c r="BM33" i="6"/>
  <c r="BM36" i="6" s="1"/>
  <c r="BM40" i="6" s="1"/>
  <c r="AB30" i="11"/>
  <c r="AQ16" i="6"/>
  <c r="P68" i="23"/>
  <c r="P65" i="23"/>
  <c r="P62" i="23"/>
  <c r="P59" i="23"/>
  <c r="P56" i="23"/>
  <c r="P53" i="23"/>
  <c r="P50" i="23"/>
  <c r="P44" i="23"/>
  <c r="P41" i="23"/>
  <c r="P38" i="23"/>
  <c r="P35" i="23"/>
  <c r="P29" i="23"/>
  <c r="P45" i="23"/>
  <c r="Q45" i="23"/>
  <c r="P30" i="23"/>
  <c r="P69" i="23" s="1"/>
  <c r="Q30" i="23"/>
  <c r="S6" i="23"/>
  <c r="J76" i="11"/>
  <c r="M75" i="11"/>
  <c r="M73" i="11"/>
  <c r="V12" i="23" s="1"/>
  <c r="M25" i="11"/>
  <c r="AH24" i="11"/>
  <c r="M24" i="11"/>
  <c r="M23" i="11"/>
  <c r="M26" i="11" s="1"/>
  <c r="M20" i="11"/>
  <c r="M19" i="11"/>
  <c r="M18" i="11"/>
  <c r="M17" i="11"/>
  <c r="M16" i="11"/>
  <c r="M15" i="11"/>
  <c r="L21" i="11"/>
  <c r="L67" i="11"/>
  <c r="L69" i="11"/>
  <c r="U8" i="23" s="1"/>
  <c r="L70" i="11"/>
  <c r="U9" i="23" s="1"/>
  <c r="L71" i="11"/>
  <c r="U10" i="23" s="1"/>
  <c r="L68" i="11"/>
  <c r="U7" i="23" s="1"/>
  <c r="R14" i="23"/>
  <c r="BO48" i="6"/>
  <c r="BO49" i="6" s="1"/>
  <c r="BO30" i="6"/>
  <c r="Q33" i="23"/>
  <c r="Q34" i="23" s="1"/>
  <c r="Q27" i="23"/>
  <c r="Q69" i="23" s="1"/>
  <c r="AA29" i="11"/>
  <c r="AA45" i="11" s="1"/>
  <c r="AP15" i="6"/>
  <c r="AP21" i="6" s="1"/>
  <c r="L89" i="9"/>
  <c r="L85" i="9"/>
  <c r="L73" i="9"/>
  <c r="L52" i="9"/>
  <c r="L61" i="9"/>
  <c r="L44" i="9"/>
  <c r="AD19" i="9"/>
  <c r="AD27" i="9"/>
  <c r="AD39" i="9"/>
  <c r="L36" i="9"/>
  <c r="L30" i="9"/>
  <c r="L90" i="9" s="1"/>
  <c r="K89" i="9"/>
  <c r="H35" i="7"/>
  <c r="H44" i="7" s="1"/>
  <c r="K85" i="9"/>
  <c r="K73" i="9"/>
  <c r="K52" i="9"/>
  <c r="K61" i="9"/>
  <c r="K44" i="9"/>
  <c r="U19" i="9"/>
  <c r="H14" i="7" s="1"/>
  <c r="AC19" i="9"/>
  <c r="U27" i="9"/>
  <c r="H15" i="7" s="1"/>
  <c r="AC27" i="9"/>
  <c r="U39" i="9"/>
  <c r="H17" i="7" s="1"/>
  <c r="AC39" i="9"/>
  <c r="K36" i="9"/>
  <c r="K30" i="9"/>
  <c r="K90" i="9" s="1"/>
  <c r="AK17" i="10"/>
  <c r="N25" i="9"/>
  <c r="N24" i="9"/>
  <c r="N23" i="9"/>
  <c r="N19" i="9"/>
  <c r="N18" i="9"/>
  <c r="N17" i="9"/>
  <c r="N16" i="9"/>
  <c r="N15" i="9"/>
  <c r="N14" i="9"/>
  <c r="M20" i="9"/>
  <c r="H10" i="7" s="1"/>
  <c r="M28" i="9"/>
  <c r="M29" i="9"/>
  <c r="AE31" i="9"/>
  <c r="AE32" i="9" s="1"/>
  <c r="M32" i="9"/>
  <c r="M34" i="9"/>
  <c r="M35" i="9"/>
  <c r="AE36" i="9"/>
  <c r="AE24" i="9"/>
  <c r="AE16" i="9"/>
  <c r="M38" i="9"/>
  <c r="M40" i="9"/>
  <c r="M41" i="9"/>
  <c r="M42" i="9"/>
  <c r="M43" i="9"/>
  <c r="AE44" i="9"/>
  <c r="AE45" i="9" s="1"/>
  <c r="AE37" i="9"/>
  <c r="AE25" i="9"/>
  <c r="AE17" i="9"/>
  <c r="M54" i="9"/>
  <c r="M56" i="9"/>
  <c r="M57" i="9"/>
  <c r="M58" i="9"/>
  <c r="M59" i="9"/>
  <c r="M60" i="9"/>
  <c r="AE38" i="9"/>
  <c r="AE26" i="9"/>
  <c r="AE18" i="9"/>
  <c r="M46" i="9"/>
  <c r="M48" i="9"/>
  <c r="M49" i="9"/>
  <c r="M50" i="9"/>
  <c r="M51" i="9"/>
  <c r="M64" i="9"/>
  <c r="M63" i="9"/>
  <c r="M65" i="9"/>
  <c r="M66" i="9"/>
  <c r="M67" i="9"/>
  <c r="M68" i="9"/>
  <c r="M69" i="9"/>
  <c r="M70" i="9"/>
  <c r="M71" i="9"/>
  <c r="M72" i="9"/>
  <c r="M84" i="9"/>
  <c r="M83" i="9"/>
  <c r="M82" i="9"/>
  <c r="M79" i="9"/>
  <c r="M78" i="9"/>
  <c r="M77" i="9"/>
  <c r="M76" i="9"/>
  <c r="M26" i="9"/>
  <c r="M80" i="9"/>
  <c r="M81" i="9"/>
  <c r="M87" i="9"/>
  <c r="M88" i="9"/>
  <c r="L11" i="18"/>
  <c r="L10" i="17"/>
  <c r="BS46" i="6"/>
  <c r="BR35" i="6"/>
  <c r="BS25" i="6"/>
  <c r="G13" i="20"/>
  <c r="G13" i="19"/>
  <c r="N70" i="23"/>
  <c r="O28" i="23"/>
  <c r="N29" i="23"/>
  <c r="N71" i="23" s="1"/>
  <c r="P55" i="11"/>
  <c r="AN21" i="6"/>
  <c r="Y45" i="11"/>
  <c r="P46" i="23"/>
  <c r="Q46" i="23" s="1"/>
  <c r="P31" i="23"/>
  <c r="Q31" i="23" s="1"/>
  <c r="AH36" i="11" l="1"/>
  <c r="AH35" i="11"/>
  <c r="AH37" i="11"/>
  <c r="AH38" i="11"/>
  <c r="AH39" i="11"/>
  <c r="Q35" i="23"/>
  <c r="J14" i="18"/>
  <c r="J24" i="18" s="1"/>
  <c r="J13" i="17"/>
  <c r="J22" i="17" s="1"/>
  <c r="G12" i="18"/>
  <c r="G11" i="17"/>
  <c r="F9" i="12"/>
  <c r="F10" i="12" s="1"/>
  <c r="P61" i="11"/>
  <c r="H13" i="20"/>
  <c r="H13" i="19"/>
  <c r="O70" i="23"/>
  <c r="O29" i="23"/>
  <c r="O71" i="23" s="1"/>
  <c r="BS35" i="6"/>
  <c r="M89" i="9"/>
  <c r="M85" i="9"/>
  <c r="M73" i="9"/>
  <c r="M52" i="9"/>
  <c r="M61" i="9"/>
  <c r="M44" i="9"/>
  <c r="AE19" i="9"/>
  <c r="AE27" i="9"/>
  <c r="AE39" i="9"/>
  <c r="M36" i="9"/>
  <c r="M30" i="9"/>
  <c r="M90" i="9" s="1"/>
  <c r="N20" i="9"/>
  <c r="N28" i="9"/>
  <c r="N29" i="9"/>
  <c r="AF31" i="9"/>
  <c r="AF32" i="9" s="1"/>
  <c r="N32" i="9"/>
  <c r="N34" i="9"/>
  <c r="N35" i="9"/>
  <c r="AF36" i="9"/>
  <c r="AF24" i="9"/>
  <c r="AF16" i="9"/>
  <c r="N42" i="9"/>
  <c r="N38" i="9"/>
  <c r="N40" i="9"/>
  <c r="N41" i="9"/>
  <c r="N43" i="9"/>
  <c r="AF44" i="9"/>
  <c r="AF45" i="9" s="1"/>
  <c r="AF37" i="9"/>
  <c r="AF25" i="9"/>
  <c r="AF17" i="9"/>
  <c r="N54" i="9"/>
  <c r="N56" i="9"/>
  <c r="N57" i="9"/>
  <c r="N58" i="9"/>
  <c r="N59" i="9"/>
  <c r="N60" i="9"/>
  <c r="AF38" i="9"/>
  <c r="AF26" i="9"/>
  <c r="AF18" i="9"/>
  <c r="N46" i="9"/>
  <c r="N48" i="9"/>
  <c r="N49" i="9"/>
  <c r="N50" i="9"/>
  <c r="N51" i="9"/>
  <c r="N64" i="9"/>
  <c r="N63" i="9"/>
  <c r="N65" i="9"/>
  <c r="N66" i="9"/>
  <c r="N67" i="9"/>
  <c r="N68" i="9"/>
  <c r="N69" i="9"/>
  <c r="N70" i="9"/>
  <c r="N71" i="9"/>
  <c r="N72" i="9"/>
  <c r="N84" i="9"/>
  <c r="N83" i="9"/>
  <c r="N82" i="9"/>
  <c r="N79" i="9"/>
  <c r="N78" i="9"/>
  <c r="N77" i="9"/>
  <c r="N76" i="9"/>
  <c r="N26" i="9"/>
  <c r="N80" i="9"/>
  <c r="N81" i="9"/>
  <c r="N87" i="9"/>
  <c r="N88" i="9"/>
  <c r="H11" i="7"/>
  <c r="H19" i="7" s="1"/>
  <c r="H45" i="7" s="1"/>
  <c r="H46" i="7" s="1"/>
  <c r="M11" i="18"/>
  <c r="M10" i="17"/>
  <c r="N11" i="18"/>
  <c r="N10" i="17"/>
  <c r="I12" i="18"/>
  <c r="I11" i="17"/>
  <c r="K14" i="18"/>
  <c r="K24" i="18" s="1"/>
  <c r="K13" i="17"/>
  <c r="K22" i="17" s="1"/>
  <c r="BO32" i="6"/>
  <c r="BO37" i="6" s="1"/>
  <c r="BO39" i="6" s="1"/>
  <c r="BO31" i="6"/>
  <c r="BO34" i="6" s="1"/>
  <c r="BO38" i="6" s="1"/>
  <c r="BO33" i="6"/>
  <c r="BO36" i="6" s="1"/>
  <c r="BO40" i="6" s="1"/>
  <c r="AD30" i="11"/>
  <c r="AS16" i="6"/>
  <c r="R68" i="23"/>
  <c r="R65" i="23"/>
  <c r="R62" i="23"/>
  <c r="R59" i="23"/>
  <c r="R56" i="23"/>
  <c r="R53" i="23"/>
  <c r="R50" i="23"/>
  <c r="R44" i="23"/>
  <c r="R41" i="23"/>
  <c r="R38" i="23"/>
  <c r="U6" i="23"/>
  <c r="L76" i="11"/>
  <c r="M21" i="11"/>
  <c r="M67" i="11"/>
  <c r="M69" i="11"/>
  <c r="V8" i="23" s="1"/>
  <c r="M70" i="11"/>
  <c r="V9" i="23" s="1"/>
  <c r="M71" i="11"/>
  <c r="V10" i="23" s="1"/>
  <c r="M68" i="11"/>
  <c r="V7" i="23" s="1"/>
  <c r="S14" i="23"/>
  <c r="BP48" i="6"/>
  <c r="BP49" i="6" s="1"/>
  <c r="BP30" i="6"/>
  <c r="S30" i="23"/>
  <c r="R30" i="23"/>
  <c r="R31" i="23" s="1"/>
  <c r="S45" i="23"/>
  <c r="R45" i="23"/>
  <c r="R46" i="23" s="1"/>
  <c r="R33" i="23"/>
  <c r="R34" i="23" s="1"/>
  <c r="R35" i="23" s="1"/>
  <c r="R27" i="23"/>
  <c r="R69" i="23" s="1"/>
  <c r="P32" i="23"/>
  <c r="P47" i="23"/>
  <c r="AB29" i="11"/>
  <c r="AB45" i="11" s="1"/>
  <c r="AQ15" i="6"/>
  <c r="AQ21" i="6" s="1"/>
  <c r="T14" i="23"/>
  <c r="BQ48" i="6"/>
  <c r="BQ49" i="6" s="1"/>
  <c r="BQ30" i="6"/>
  <c r="S33" i="23"/>
  <c r="S34" i="23" s="1"/>
  <c r="S27" i="23"/>
  <c r="Q32" i="23"/>
  <c r="Q47" i="23"/>
  <c r="AC29" i="11"/>
  <c r="AC45" i="11" s="1"/>
  <c r="AR15" i="6"/>
  <c r="AR21" i="6" s="1"/>
  <c r="P70" i="23"/>
  <c r="Q28" i="23"/>
  <c r="P71" i="23" l="1"/>
  <c r="J13" i="20"/>
  <c r="J13" i="19"/>
  <c r="S46" i="23"/>
  <c r="R47" i="23"/>
  <c r="S31" i="23"/>
  <c r="R32" i="23"/>
  <c r="L28" i="18"/>
  <c r="P29" i="18" s="1"/>
  <c r="L26" i="17"/>
  <c r="P27" i="17" s="1"/>
  <c r="Q70" i="23"/>
  <c r="R28" i="23"/>
  <c r="Q29" i="23"/>
  <c r="Q71" i="23" s="1"/>
  <c r="K12" i="18"/>
  <c r="K11" i="17"/>
  <c r="S69" i="23"/>
  <c r="S28" i="23"/>
  <c r="BQ32" i="6"/>
  <c r="BQ37" i="6" s="1"/>
  <c r="BQ39" i="6" s="1"/>
  <c r="BQ31" i="6"/>
  <c r="BQ34" i="6" s="1"/>
  <c r="BQ38" i="6" s="1"/>
  <c r="BQ33" i="6"/>
  <c r="BQ36" i="6" s="1"/>
  <c r="BQ40" i="6" s="1"/>
  <c r="AF30" i="11"/>
  <c r="AU16" i="6"/>
  <c r="T68" i="23"/>
  <c r="T65" i="23"/>
  <c r="T62" i="23"/>
  <c r="T59" i="23"/>
  <c r="T56" i="23"/>
  <c r="T53" i="23"/>
  <c r="T50" i="23"/>
  <c r="T44" i="23"/>
  <c r="T41" i="23"/>
  <c r="T38" i="23"/>
  <c r="J12" i="18"/>
  <c r="J11" i="17"/>
  <c r="L14" i="18"/>
  <c r="L24" i="18" s="1"/>
  <c r="L13" i="17"/>
  <c r="L22" i="17" s="1"/>
  <c r="T45" i="23"/>
  <c r="T30" i="23"/>
  <c r="BP32" i="6"/>
  <c r="BP37" i="6" s="1"/>
  <c r="BP39" i="6" s="1"/>
  <c r="BP31" i="6"/>
  <c r="BP34" i="6" s="1"/>
  <c r="BP38" i="6" s="1"/>
  <c r="BP33" i="6"/>
  <c r="BP36" i="6" s="1"/>
  <c r="BP40" i="6" s="1"/>
  <c r="AE30" i="11"/>
  <c r="AT16" i="6"/>
  <c r="S68" i="23"/>
  <c r="S65" i="23"/>
  <c r="S62" i="23"/>
  <c r="S59" i="23"/>
  <c r="S56" i="23"/>
  <c r="S53" i="23"/>
  <c r="S50" i="23"/>
  <c r="S47" i="23"/>
  <c r="S44" i="23"/>
  <c r="S41" i="23"/>
  <c r="S38" i="23"/>
  <c r="S35" i="23"/>
  <c r="S32" i="23"/>
  <c r="S29" i="23"/>
  <c r="S71" i="23" s="1"/>
  <c r="V6" i="23"/>
  <c r="M76" i="11"/>
  <c r="U14" i="23"/>
  <c r="BR48" i="6"/>
  <c r="BR49" i="6" s="1"/>
  <c r="BR30" i="6"/>
  <c r="T33" i="23"/>
  <c r="T34" i="23" s="1"/>
  <c r="T27" i="23"/>
  <c r="T69" i="23" s="1"/>
  <c r="AD29" i="11"/>
  <c r="AD45" i="11" s="1"/>
  <c r="AS15" i="6"/>
  <c r="AS21" i="6" s="1"/>
  <c r="N89" i="9"/>
  <c r="N85" i="9"/>
  <c r="N73" i="9"/>
  <c r="N52" i="9"/>
  <c r="N61" i="9"/>
  <c r="N44" i="9"/>
  <c r="AF19" i="9"/>
  <c r="AF27" i="9"/>
  <c r="AF39" i="9"/>
  <c r="N36" i="9"/>
  <c r="N30" i="9"/>
  <c r="N90" i="9" s="1"/>
  <c r="O11" i="18"/>
  <c r="O10" i="17"/>
  <c r="I13" i="20"/>
  <c r="I13" i="19"/>
  <c r="L53" i="11"/>
  <c r="K7" i="10" s="1"/>
  <c r="L7" i="10" s="1"/>
  <c r="M7" i="10" s="1"/>
  <c r="Q7" i="10" s="1"/>
  <c r="L54" i="11"/>
  <c r="K8" i="10" s="1"/>
  <c r="L8" i="10" s="1"/>
  <c r="M8" i="10" s="1"/>
  <c r="Q8" i="10" s="1"/>
  <c r="L55" i="11"/>
  <c r="K9" i="10" s="1"/>
  <c r="L9" i="10" s="1"/>
  <c r="M9" i="10" s="1"/>
  <c r="Q9" i="10" s="1"/>
  <c r="L56" i="11"/>
  <c r="K10" i="10" s="1"/>
  <c r="L10" i="10" s="1"/>
  <c r="M10" i="10" s="1"/>
  <c r="Q10" i="10" s="1"/>
  <c r="L57" i="11"/>
  <c r="K11" i="10" s="1"/>
  <c r="L11" i="10" s="1"/>
  <c r="M11" i="10" s="1"/>
  <c r="Q11" i="10" s="1"/>
  <c r="L58" i="11"/>
  <c r="K15" i="10" s="1"/>
  <c r="L15" i="10" s="1"/>
  <c r="M15" i="10" s="1"/>
  <c r="Q15" i="10" s="1"/>
  <c r="L60" i="11"/>
  <c r="K13" i="10" s="1"/>
  <c r="L13" i="10" s="1"/>
  <c r="M13" i="10" s="1"/>
  <c r="Q13" i="10" s="1"/>
  <c r="L61" i="11"/>
  <c r="K14" i="10" s="1"/>
  <c r="L14" i="10" s="1"/>
  <c r="M14" i="10" s="1"/>
  <c r="Q14" i="10" s="1"/>
  <c r="L59" i="11"/>
  <c r="K12" i="10" s="1"/>
  <c r="L12" i="10" s="1"/>
  <c r="M12" i="10" s="1"/>
  <c r="Q12" i="10" s="1"/>
  <c r="U6" i="16"/>
  <c r="U7" i="16" s="1"/>
  <c r="U5" i="16"/>
  <c r="F25" i="18" s="1"/>
  <c r="U6" i="15"/>
  <c r="U7" i="15" s="1"/>
  <c r="U5" i="15"/>
  <c r="F23" i="17" s="1"/>
  <c r="T35" i="23" l="1"/>
  <c r="F11" i="19"/>
  <c r="F15" i="19" s="1"/>
  <c r="F24" i="17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D22" i="15"/>
  <c r="C22" i="15"/>
  <c r="H21" i="15"/>
  <c r="U13" i="15"/>
  <c r="F11" i="20"/>
  <c r="F15" i="20" s="1"/>
  <c r="F26" i="18"/>
  <c r="F30" i="18" s="1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D22" i="16"/>
  <c r="C22" i="16"/>
  <c r="H21" i="16"/>
  <c r="U13" i="16"/>
  <c r="R12" i="10"/>
  <c r="S12" i="10" s="1"/>
  <c r="T12" i="10" s="1"/>
  <c r="Z25" i="10" s="1"/>
  <c r="R14" i="10"/>
  <c r="S14" i="10" s="1"/>
  <c r="T14" i="10" s="1"/>
  <c r="Z27" i="10" s="1"/>
  <c r="R13" i="10"/>
  <c r="S13" i="10" s="1"/>
  <c r="T13" i="10" s="1"/>
  <c r="Z26" i="10" s="1"/>
  <c r="R15" i="10"/>
  <c r="S15" i="10" s="1"/>
  <c r="T15" i="10" s="1"/>
  <c r="Z28" i="10" s="1"/>
  <c r="R11" i="10"/>
  <c r="S11" i="10" s="1"/>
  <c r="T11" i="10" s="1"/>
  <c r="Z24" i="10" s="1"/>
  <c r="R10" i="10"/>
  <c r="S10" i="10" s="1"/>
  <c r="T10" i="10" s="1"/>
  <c r="Z23" i="10" s="1"/>
  <c r="R9" i="10"/>
  <c r="S9" i="10" s="1"/>
  <c r="T9" i="10" s="1"/>
  <c r="Z22" i="10" s="1"/>
  <c r="R8" i="10"/>
  <c r="S8" i="10" s="1"/>
  <c r="T8" i="10" s="1"/>
  <c r="Z21" i="10" s="1"/>
  <c r="R7" i="10"/>
  <c r="S7" i="10" s="1"/>
  <c r="T7" i="10" s="1"/>
  <c r="Z20" i="10" s="1"/>
  <c r="P11" i="18"/>
  <c r="P10" i="17"/>
  <c r="L12" i="18"/>
  <c r="L11" i="17"/>
  <c r="N14" i="18"/>
  <c r="N24" i="18" s="1"/>
  <c r="N13" i="17"/>
  <c r="N22" i="17" s="1"/>
  <c r="BR32" i="6"/>
  <c r="BR37" i="6" s="1"/>
  <c r="BR39" i="6" s="1"/>
  <c r="BR31" i="6"/>
  <c r="BR34" i="6" s="1"/>
  <c r="BR38" i="6" s="1"/>
  <c r="BR33" i="6"/>
  <c r="BR36" i="6" s="1"/>
  <c r="BR40" i="6" s="1"/>
  <c r="AG30" i="11"/>
  <c r="AV16" i="6"/>
  <c r="U68" i="23"/>
  <c r="U65" i="23"/>
  <c r="U62" i="23"/>
  <c r="U59" i="23"/>
  <c r="U56" i="23"/>
  <c r="U53" i="23"/>
  <c r="U50" i="23"/>
  <c r="U44" i="23"/>
  <c r="U41" i="23"/>
  <c r="U38" i="23"/>
  <c r="V14" i="23"/>
  <c r="BS48" i="6"/>
  <c r="BS49" i="6" s="1"/>
  <c r="BS30" i="6"/>
  <c r="U33" i="23"/>
  <c r="U34" i="23" s="1"/>
  <c r="U35" i="23" s="1"/>
  <c r="U27" i="23"/>
  <c r="M13" i="20"/>
  <c r="M13" i="19"/>
  <c r="AE29" i="11"/>
  <c r="AE45" i="11" s="1"/>
  <c r="AT15" i="6"/>
  <c r="AT21" i="6" s="1"/>
  <c r="V30" i="23"/>
  <c r="U30" i="23"/>
  <c r="V45" i="23"/>
  <c r="U45" i="23"/>
  <c r="V33" i="23"/>
  <c r="V34" i="23" s="1"/>
  <c r="V27" i="23"/>
  <c r="AF29" i="11"/>
  <c r="AF45" i="11" s="1"/>
  <c r="AU15" i="6"/>
  <c r="AU21" i="6" s="1"/>
  <c r="S70" i="23"/>
  <c r="T28" i="23"/>
  <c r="M14" i="18"/>
  <c r="M24" i="18" s="1"/>
  <c r="M13" i="17"/>
  <c r="M22" i="17" s="1"/>
  <c r="K13" i="20"/>
  <c r="K13" i="19"/>
  <c r="R70" i="23"/>
  <c r="R29" i="23"/>
  <c r="R71" i="23" s="1"/>
  <c r="T31" i="23"/>
  <c r="T46" i="23"/>
  <c r="Z29" i="10" l="1"/>
  <c r="AK20" i="10"/>
  <c r="AJ20" i="10"/>
  <c r="AI20" i="10"/>
  <c r="AH20" i="10"/>
  <c r="AG20" i="10"/>
  <c r="AF20" i="10"/>
  <c r="AE20" i="10"/>
  <c r="AD20" i="10"/>
  <c r="AC20" i="10"/>
  <c r="AB20" i="10"/>
  <c r="AK21" i="10"/>
  <c r="AJ21" i="10"/>
  <c r="AI21" i="10"/>
  <c r="AH21" i="10"/>
  <c r="AG21" i="10"/>
  <c r="AF21" i="10"/>
  <c r="AE21" i="10"/>
  <c r="AD21" i="10"/>
  <c r="AC21" i="10"/>
  <c r="AB21" i="10"/>
  <c r="AK22" i="10"/>
  <c r="AJ22" i="10"/>
  <c r="AI22" i="10"/>
  <c r="AH22" i="10"/>
  <c r="AG22" i="10"/>
  <c r="AF22" i="10"/>
  <c r="AE22" i="10"/>
  <c r="AD22" i="10"/>
  <c r="AC22" i="10"/>
  <c r="AB22" i="10"/>
  <c r="AK23" i="10"/>
  <c r="AJ23" i="10"/>
  <c r="AI23" i="10"/>
  <c r="AH23" i="10"/>
  <c r="AG23" i="10"/>
  <c r="AF23" i="10"/>
  <c r="AE23" i="10"/>
  <c r="AD23" i="10"/>
  <c r="AC23" i="10"/>
  <c r="AB23" i="10"/>
  <c r="AK24" i="10"/>
  <c r="AJ24" i="10"/>
  <c r="AI24" i="10"/>
  <c r="AH24" i="10"/>
  <c r="AG24" i="10"/>
  <c r="AF24" i="10"/>
  <c r="AE24" i="10"/>
  <c r="AD24" i="10"/>
  <c r="AC24" i="10"/>
  <c r="AB24" i="10"/>
  <c r="AK28" i="10"/>
  <c r="AJ28" i="10"/>
  <c r="AI28" i="10"/>
  <c r="AH28" i="10"/>
  <c r="AG28" i="10"/>
  <c r="AF28" i="10"/>
  <c r="AE28" i="10"/>
  <c r="AD28" i="10"/>
  <c r="AC28" i="10"/>
  <c r="AB28" i="10"/>
  <c r="AK26" i="10"/>
  <c r="AJ26" i="10"/>
  <c r="AI26" i="10"/>
  <c r="AH26" i="10"/>
  <c r="AG26" i="10"/>
  <c r="AF26" i="10"/>
  <c r="AE26" i="10"/>
  <c r="AD26" i="10"/>
  <c r="AC26" i="10"/>
  <c r="AB26" i="10"/>
  <c r="AK27" i="10"/>
  <c r="AJ27" i="10"/>
  <c r="AI27" i="10"/>
  <c r="AH27" i="10"/>
  <c r="AG27" i="10"/>
  <c r="AF27" i="10"/>
  <c r="AE27" i="10"/>
  <c r="AD27" i="10"/>
  <c r="AC27" i="10"/>
  <c r="AB27" i="10"/>
  <c r="AK25" i="10"/>
  <c r="AJ25" i="10"/>
  <c r="AI25" i="10"/>
  <c r="AH25" i="10"/>
  <c r="AG25" i="10"/>
  <c r="AF25" i="10"/>
  <c r="AE25" i="10"/>
  <c r="AD25" i="10"/>
  <c r="AC25" i="10"/>
  <c r="AB25" i="10"/>
  <c r="U46" i="23"/>
  <c r="T47" i="23"/>
  <c r="U31" i="23"/>
  <c r="T32" i="23"/>
  <c r="L13" i="20"/>
  <c r="L13" i="19"/>
  <c r="T70" i="23"/>
  <c r="U28" i="23"/>
  <c r="T29" i="23"/>
  <c r="T71" i="23" s="1"/>
  <c r="N12" i="18"/>
  <c r="N11" i="17"/>
  <c r="V69" i="23"/>
  <c r="V28" i="23"/>
  <c r="M12" i="18"/>
  <c r="M11" i="17"/>
  <c r="U69" i="23"/>
  <c r="BS32" i="6"/>
  <c r="BS37" i="6" s="1"/>
  <c r="BS39" i="6" s="1"/>
  <c r="BS31" i="6"/>
  <c r="BS34" i="6" s="1"/>
  <c r="BS38" i="6" s="1"/>
  <c r="BS33" i="6"/>
  <c r="BS36" i="6" s="1"/>
  <c r="BS40" i="6" s="1"/>
  <c r="AH30" i="11"/>
  <c r="AW16" i="6"/>
  <c r="V68" i="23"/>
  <c r="V65" i="23"/>
  <c r="V62" i="23"/>
  <c r="V59" i="23"/>
  <c r="V56" i="23"/>
  <c r="V53" i="23"/>
  <c r="V50" i="23"/>
  <c r="V44" i="23"/>
  <c r="V41" i="23"/>
  <c r="V38" i="23"/>
  <c r="V35" i="23"/>
  <c r="V29" i="23"/>
  <c r="AG29" i="11"/>
  <c r="AG45" i="11" s="1"/>
  <c r="AV15" i="6"/>
  <c r="AV21" i="6" s="1"/>
  <c r="C142" i="16"/>
  <c r="I33" i="16"/>
  <c r="H22" i="16"/>
  <c r="E22" i="16"/>
  <c r="I45" i="16"/>
  <c r="Q32" i="16" s="1"/>
  <c r="H27" i="18" s="1"/>
  <c r="I57" i="16"/>
  <c r="Q33" i="16" s="1"/>
  <c r="I27" i="18" s="1"/>
  <c r="I69" i="16"/>
  <c r="Q34" i="16" s="1"/>
  <c r="J27" i="18" s="1"/>
  <c r="I81" i="16"/>
  <c r="Q35" i="16" s="1"/>
  <c r="K27" i="18" s="1"/>
  <c r="I93" i="16"/>
  <c r="Q36" i="16" s="1"/>
  <c r="L27" i="18" s="1"/>
  <c r="I105" i="16"/>
  <c r="Q37" i="16" s="1"/>
  <c r="M27" i="18" s="1"/>
  <c r="I117" i="16"/>
  <c r="Q38" i="16" s="1"/>
  <c r="N27" i="18" s="1"/>
  <c r="I129" i="16"/>
  <c r="Q39" i="16" s="1"/>
  <c r="O27" i="18" s="1"/>
  <c r="I141" i="16"/>
  <c r="Q40" i="16" s="1"/>
  <c r="P27" i="18" s="1"/>
  <c r="C118" i="15"/>
  <c r="I33" i="15"/>
  <c r="H22" i="15"/>
  <c r="E22" i="15"/>
  <c r="I45" i="15"/>
  <c r="Q32" i="15" s="1"/>
  <c r="H25" i="17" s="1"/>
  <c r="I57" i="15"/>
  <c r="Q33" i="15" s="1"/>
  <c r="I25" i="17" s="1"/>
  <c r="I69" i="15"/>
  <c r="Q34" i="15" s="1"/>
  <c r="J25" i="17" s="1"/>
  <c r="I81" i="15"/>
  <c r="Q35" i="15" s="1"/>
  <c r="K25" i="17" s="1"/>
  <c r="I93" i="15"/>
  <c r="Q36" i="15" s="1"/>
  <c r="L25" i="17" s="1"/>
  <c r="I105" i="15"/>
  <c r="Q37" i="15" s="1"/>
  <c r="M25" i="17" s="1"/>
  <c r="I117" i="15"/>
  <c r="Q38" i="15" s="1"/>
  <c r="N25" i="17" s="1"/>
  <c r="E23" i="15" l="1"/>
  <c r="D23" i="15"/>
  <c r="F22" i="15"/>
  <c r="I118" i="15"/>
  <c r="Q31" i="15"/>
  <c r="G25" i="17" s="1"/>
  <c r="E23" i="16"/>
  <c r="D23" i="16"/>
  <c r="F22" i="16"/>
  <c r="I143" i="16"/>
  <c r="I142" i="16"/>
  <c r="Q31" i="16"/>
  <c r="G27" i="18" s="1"/>
  <c r="O12" i="18"/>
  <c r="O11" i="17"/>
  <c r="AH29" i="11"/>
  <c r="AH45" i="11" s="1"/>
  <c r="AW15" i="6"/>
  <c r="AW21" i="6" s="1"/>
  <c r="O14" i="18"/>
  <c r="O24" i="18" s="1"/>
  <c r="O13" i="17"/>
  <c r="O22" i="17" s="1"/>
  <c r="P14" i="18"/>
  <c r="P24" i="18" s="1"/>
  <c r="P13" i="17"/>
  <c r="P22" i="17" s="1"/>
  <c r="N13" i="20"/>
  <c r="N13" i="19"/>
  <c r="U70" i="23"/>
  <c r="U29" i="23"/>
  <c r="V31" i="23"/>
  <c r="V32" i="23" s="1"/>
  <c r="U32" i="23"/>
  <c r="V46" i="23"/>
  <c r="V47" i="23" s="1"/>
  <c r="U47" i="23"/>
  <c r="AB29" i="10"/>
  <c r="AC29" i="10"/>
  <c r="AD29" i="10"/>
  <c r="AE29" i="10"/>
  <c r="AF29" i="10"/>
  <c r="AG29" i="10"/>
  <c r="AH29" i="10"/>
  <c r="AI29" i="10"/>
  <c r="AJ29" i="10"/>
  <c r="AK29" i="10"/>
  <c r="V71" i="23" l="1"/>
  <c r="P13" i="20"/>
  <c r="P13" i="19"/>
  <c r="P8" i="18"/>
  <c r="P8" i="17"/>
  <c r="O8" i="18"/>
  <c r="O8" i="17"/>
  <c r="N8" i="18"/>
  <c r="N8" i="17"/>
  <c r="M8" i="18"/>
  <c r="M8" i="17"/>
  <c r="L8" i="18"/>
  <c r="L8" i="17"/>
  <c r="K8" i="18"/>
  <c r="K8" i="17"/>
  <c r="J8" i="18"/>
  <c r="J8" i="17"/>
  <c r="I8" i="18"/>
  <c r="I8" i="17"/>
  <c r="H8" i="18"/>
  <c r="H8" i="17"/>
  <c r="G8" i="18"/>
  <c r="G8" i="17"/>
  <c r="U71" i="23"/>
  <c r="V70" i="23"/>
  <c r="P12" i="18"/>
  <c r="P11" i="17"/>
  <c r="P14" i="17" s="1"/>
  <c r="O14" i="17"/>
  <c r="G22" i="16"/>
  <c r="H23" i="16"/>
  <c r="F23" i="16"/>
  <c r="E24" i="16"/>
  <c r="D24" i="16"/>
  <c r="G22" i="15"/>
  <c r="H23" i="15"/>
  <c r="F23" i="15"/>
  <c r="E24" i="15"/>
  <c r="D24" i="15"/>
  <c r="H24" i="15" l="1"/>
  <c r="F24" i="15"/>
  <c r="E25" i="15"/>
  <c r="D25" i="15"/>
  <c r="G23" i="15"/>
  <c r="G24" i="15" s="1"/>
  <c r="H24" i="16"/>
  <c r="F24" i="16"/>
  <c r="E25" i="16"/>
  <c r="D25" i="16"/>
  <c r="G23" i="16"/>
  <c r="G24" i="16" s="1"/>
  <c r="O13" i="20"/>
  <c r="O13" i="19"/>
  <c r="O15" i="17"/>
  <c r="P15" i="17"/>
  <c r="P16" i="17" l="1"/>
  <c r="P17" i="17" s="1"/>
  <c r="O16" i="17"/>
  <c r="O17" i="17" s="1"/>
  <c r="H25" i="16"/>
  <c r="F25" i="16"/>
  <c r="G25" i="16" s="1"/>
  <c r="E26" i="16"/>
  <c r="D26" i="16"/>
  <c r="H25" i="15"/>
  <c r="F25" i="15"/>
  <c r="G25" i="15" s="1"/>
  <c r="E26" i="15"/>
  <c r="D26" i="15"/>
  <c r="O18" i="17" l="1"/>
  <c r="O19" i="17" s="1"/>
  <c r="O21" i="17" s="1"/>
  <c r="O28" i="17" s="1"/>
  <c r="O12" i="19" s="1"/>
  <c r="O15" i="19" s="1"/>
  <c r="P18" i="17"/>
  <c r="P19" i="17" s="1"/>
  <c r="P21" i="17" s="1"/>
  <c r="P28" i="17" s="1"/>
  <c r="P12" i="19" s="1"/>
  <c r="P15" i="19" s="1"/>
  <c r="H26" i="15"/>
  <c r="F26" i="15"/>
  <c r="G26" i="15" s="1"/>
  <c r="E27" i="15"/>
  <c r="D27" i="15"/>
  <c r="H26" i="16"/>
  <c r="F26" i="16"/>
  <c r="G26" i="16" s="1"/>
  <c r="E27" i="16"/>
  <c r="D27" i="16"/>
  <c r="H27" i="16" l="1"/>
  <c r="F27" i="16"/>
  <c r="G27" i="16" s="1"/>
  <c r="E28" i="16"/>
  <c r="D28" i="16"/>
  <c r="H27" i="15"/>
  <c r="F27" i="15"/>
  <c r="G27" i="15" s="1"/>
  <c r="E28" i="15"/>
  <c r="D28" i="15"/>
  <c r="H28" i="15" l="1"/>
  <c r="F28" i="15"/>
  <c r="G28" i="15" s="1"/>
  <c r="E29" i="15"/>
  <c r="D29" i="15"/>
  <c r="H28" i="16"/>
  <c r="F28" i="16"/>
  <c r="G28" i="16" s="1"/>
  <c r="E29" i="16"/>
  <c r="D29" i="16"/>
  <c r="H29" i="16" l="1"/>
  <c r="F29" i="16"/>
  <c r="G29" i="16" s="1"/>
  <c r="E30" i="16"/>
  <c r="D30" i="16"/>
  <c r="H29" i="15"/>
  <c r="F29" i="15"/>
  <c r="G29" i="15" s="1"/>
  <c r="E30" i="15"/>
  <c r="D30" i="15"/>
  <c r="H30" i="15" l="1"/>
  <c r="F30" i="15"/>
  <c r="G30" i="15" s="1"/>
  <c r="E31" i="15"/>
  <c r="D31" i="15"/>
  <c r="H30" i="16"/>
  <c r="F30" i="16"/>
  <c r="G30" i="16" s="1"/>
  <c r="E31" i="16"/>
  <c r="D31" i="16"/>
  <c r="H31" i="16" l="1"/>
  <c r="F31" i="16"/>
  <c r="G31" i="16" s="1"/>
  <c r="E32" i="16"/>
  <c r="D32" i="16"/>
  <c r="H31" i="15"/>
  <c r="F31" i="15"/>
  <c r="G31" i="15" s="1"/>
  <c r="E32" i="15"/>
  <c r="D32" i="15"/>
  <c r="H32" i="15" l="1"/>
  <c r="F32" i="15"/>
  <c r="G32" i="15" s="1"/>
  <c r="E33" i="15"/>
  <c r="D33" i="15"/>
  <c r="H32" i="16"/>
  <c r="F32" i="16"/>
  <c r="G32" i="16" s="1"/>
  <c r="E33" i="16"/>
  <c r="D33" i="16"/>
  <c r="H33" i="16" l="1"/>
  <c r="N33" i="16" s="1"/>
  <c r="V31" i="16" s="1"/>
  <c r="F33" i="16"/>
  <c r="L33" i="16" s="1"/>
  <c r="T31" i="16" s="1"/>
  <c r="J33" i="16"/>
  <c r="R31" i="16" s="1"/>
  <c r="G13" i="18" s="1"/>
  <c r="G15" i="18" s="1"/>
  <c r="G17" i="18" s="1"/>
  <c r="E34" i="16"/>
  <c r="D34" i="16"/>
  <c r="K33" i="16"/>
  <c r="S31" i="16" s="1"/>
  <c r="H33" i="15"/>
  <c r="N33" i="15" s="1"/>
  <c r="V31" i="15" s="1"/>
  <c r="F33" i="15"/>
  <c r="L33" i="15" s="1"/>
  <c r="T31" i="15" s="1"/>
  <c r="J33" i="15"/>
  <c r="R31" i="15" s="1"/>
  <c r="G12" i="17" s="1"/>
  <c r="G14" i="17" s="1"/>
  <c r="G15" i="17" s="1"/>
  <c r="E34" i="15"/>
  <c r="D34" i="15"/>
  <c r="K33" i="15"/>
  <c r="S31" i="15" s="1"/>
  <c r="H34" i="15" l="1"/>
  <c r="F34" i="15"/>
  <c r="E35" i="15"/>
  <c r="D35" i="15"/>
  <c r="G16" i="17"/>
  <c r="H34" i="16"/>
  <c r="F34" i="16"/>
  <c r="E35" i="16"/>
  <c r="D35" i="16"/>
  <c r="G18" i="18"/>
  <c r="G19" i="18" s="1"/>
  <c r="G33" i="15"/>
  <c r="G33" i="16"/>
  <c r="G20" i="18" l="1"/>
  <c r="G21" i="18" s="1"/>
  <c r="G23" i="18" s="1"/>
  <c r="G30" i="18" s="1"/>
  <c r="G12" i="20" s="1"/>
  <c r="G15" i="20" s="1"/>
  <c r="G18" i="17"/>
  <c r="G12" i="19" s="1"/>
  <c r="G15" i="19" s="1"/>
  <c r="G34" i="16"/>
  <c r="M33" i="16"/>
  <c r="U31" i="16" s="1"/>
  <c r="G34" i="15"/>
  <c r="M33" i="15"/>
  <c r="U31" i="15" s="1"/>
  <c r="H35" i="16"/>
  <c r="F35" i="16"/>
  <c r="E36" i="16"/>
  <c r="D36" i="16"/>
  <c r="H35" i="15"/>
  <c r="F35" i="15"/>
  <c r="E36" i="15"/>
  <c r="D36" i="15"/>
  <c r="H36" i="15" l="1"/>
  <c r="F36" i="15"/>
  <c r="E37" i="15"/>
  <c r="D37" i="15"/>
  <c r="H36" i="16"/>
  <c r="F36" i="16"/>
  <c r="E37" i="16"/>
  <c r="D37" i="16"/>
  <c r="G35" i="15"/>
  <c r="G36" i="15" s="1"/>
  <c r="G35" i="16"/>
  <c r="G36" i="16" s="1"/>
  <c r="H37" i="16" l="1"/>
  <c r="F37" i="16"/>
  <c r="G37" i="16" s="1"/>
  <c r="E38" i="16"/>
  <c r="D38" i="16"/>
  <c r="H37" i="15"/>
  <c r="F37" i="15"/>
  <c r="G37" i="15" s="1"/>
  <c r="E38" i="15"/>
  <c r="D38" i="15"/>
  <c r="H38" i="15" l="1"/>
  <c r="F38" i="15"/>
  <c r="E39" i="15"/>
  <c r="D39" i="15"/>
  <c r="H38" i="16"/>
  <c r="F38" i="16"/>
  <c r="E39" i="16"/>
  <c r="D39" i="16"/>
  <c r="H39" i="16" l="1"/>
  <c r="F39" i="16"/>
  <c r="E40" i="16"/>
  <c r="D40" i="16"/>
  <c r="H39" i="15"/>
  <c r="F39" i="15"/>
  <c r="E40" i="15"/>
  <c r="D40" i="15"/>
  <c r="G38" i="16"/>
  <c r="G38" i="15"/>
  <c r="G39" i="15" l="1"/>
  <c r="G39" i="16"/>
  <c r="H40" i="15"/>
  <c r="F40" i="15"/>
  <c r="E41" i="15"/>
  <c r="D41" i="15"/>
  <c r="H40" i="16"/>
  <c r="F40" i="16"/>
  <c r="E41" i="16"/>
  <c r="D41" i="16"/>
  <c r="H41" i="16" l="1"/>
  <c r="F41" i="16"/>
  <c r="E42" i="16"/>
  <c r="D42" i="16"/>
  <c r="H41" i="15"/>
  <c r="F41" i="15"/>
  <c r="E42" i="15"/>
  <c r="D42" i="15"/>
  <c r="G40" i="16"/>
  <c r="G40" i="15"/>
  <c r="G41" i="15" l="1"/>
  <c r="G41" i="16"/>
  <c r="H42" i="15"/>
  <c r="F42" i="15"/>
  <c r="E43" i="15"/>
  <c r="D43" i="15"/>
  <c r="H42" i="16"/>
  <c r="F42" i="16"/>
  <c r="E43" i="16"/>
  <c r="D43" i="16"/>
  <c r="H43" i="16" l="1"/>
  <c r="F43" i="16"/>
  <c r="E44" i="16"/>
  <c r="D44" i="16"/>
  <c r="H43" i="15"/>
  <c r="F43" i="15"/>
  <c r="E44" i="15"/>
  <c r="D44" i="15"/>
  <c r="G42" i="16"/>
  <c r="G43" i="16" s="1"/>
  <c r="G42" i="15"/>
  <c r="G43" i="15" s="1"/>
  <c r="H44" i="15" l="1"/>
  <c r="F44" i="15"/>
  <c r="G44" i="15" s="1"/>
  <c r="E45" i="15"/>
  <c r="D45" i="15"/>
  <c r="H44" i="16"/>
  <c r="F44" i="16"/>
  <c r="G44" i="16" s="1"/>
  <c r="E45" i="16"/>
  <c r="D45" i="16"/>
  <c r="H45" i="16" l="1"/>
  <c r="N45" i="16" s="1"/>
  <c r="V32" i="16" s="1"/>
  <c r="F45" i="16"/>
  <c r="L45" i="16" s="1"/>
  <c r="T32" i="16" s="1"/>
  <c r="J45" i="16"/>
  <c r="R32" i="16" s="1"/>
  <c r="H13" i="18" s="1"/>
  <c r="H15" i="18" s="1"/>
  <c r="H17" i="18" s="1"/>
  <c r="E46" i="16"/>
  <c r="D46" i="16"/>
  <c r="K45" i="16"/>
  <c r="S32" i="16" s="1"/>
  <c r="H45" i="15"/>
  <c r="N45" i="15" s="1"/>
  <c r="V32" i="15" s="1"/>
  <c r="F45" i="15"/>
  <c r="L45" i="15" s="1"/>
  <c r="T32" i="15" s="1"/>
  <c r="J45" i="15"/>
  <c r="R32" i="15" s="1"/>
  <c r="H12" i="17" s="1"/>
  <c r="H14" i="17" s="1"/>
  <c r="H15" i="17" s="1"/>
  <c r="E46" i="15"/>
  <c r="D46" i="15"/>
  <c r="K45" i="15"/>
  <c r="S32" i="15" s="1"/>
  <c r="H46" i="15" l="1"/>
  <c r="F46" i="15"/>
  <c r="E47" i="15"/>
  <c r="D47" i="15"/>
  <c r="H16" i="17"/>
  <c r="H17" i="17" s="1"/>
  <c r="H46" i="16"/>
  <c r="F46" i="16"/>
  <c r="E47" i="16"/>
  <c r="D47" i="16"/>
  <c r="H18" i="18"/>
  <c r="H19" i="18" s="1"/>
  <c r="G45" i="15"/>
  <c r="G45" i="16"/>
  <c r="H20" i="18" l="1"/>
  <c r="H21" i="18" s="1"/>
  <c r="H23" i="18" s="1"/>
  <c r="H30" i="18" s="1"/>
  <c r="H12" i="20" s="1"/>
  <c r="H15" i="20" s="1"/>
  <c r="H18" i="17"/>
  <c r="H19" i="17" s="1"/>
  <c r="H21" i="17" s="1"/>
  <c r="H28" i="17" s="1"/>
  <c r="H12" i="19" s="1"/>
  <c r="H15" i="19" s="1"/>
  <c r="G46" i="16"/>
  <c r="M45" i="16"/>
  <c r="U32" i="16" s="1"/>
  <c r="G46" i="15"/>
  <c r="M45" i="15"/>
  <c r="U32" i="15" s="1"/>
  <c r="H47" i="16"/>
  <c r="F47" i="16"/>
  <c r="E48" i="16"/>
  <c r="D48" i="16"/>
  <c r="H47" i="15"/>
  <c r="F47" i="15"/>
  <c r="E48" i="15"/>
  <c r="D48" i="15"/>
  <c r="H48" i="15" l="1"/>
  <c r="F48" i="15"/>
  <c r="E49" i="15"/>
  <c r="D49" i="15"/>
  <c r="H48" i="16"/>
  <c r="F48" i="16"/>
  <c r="E49" i="16"/>
  <c r="D49" i="16"/>
  <c r="G47" i="15"/>
  <c r="G48" i="15" s="1"/>
  <c r="G47" i="16"/>
  <c r="G48" i="16" s="1"/>
  <c r="H49" i="16" l="1"/>
  <c r="F49" i="16"/>
  <c r="G49" i="16" s="1"/>
  <c r="E50" i="16"/>
  <c r="D50" i="16"/>
  <c r="H49" i="15"/>
  <c r="F49" i="15"/>
  <c r="G49" i="15" s="1"/>
  <c r="E50" i="15"/>
  <c r="D50" i="15"/>
  <c r="H50" i="15" l="1"/>
  <c r="F50" i="15"/>
  <c r="E51" i="15"/>
  <c r="D51" i="15"/>
  <c r="H50" i="16"/>
  <c r="F50" i="16"/>
  <c r="E51" i="16"/>
  <c r="D51" i="16"/>
  <c r="H51" i="16" l="1"/>
  <c r="F51" i="16"/>
  <c r="E52" i="16"/>
  <c r="D52" i="16"/>
  <c r="H51" i="15"/>
  <c r="F51" i="15"/>
  <c r="E52" i="15"/>
  <c r="D52" i="15"/>
  <c r="G50" i="16"/>
  <c r="G50" i="15"/>
  <c r="G51" i="15" l="1"/>
  <c r="G51" i="16"/>
  <c r="H52" i="15"/>
  <c r="F52" i="15"/>
  <c r="E53" i="15"/>
  <c r="D53" i="15"/>
  <c r="H52" i="16"/>
  <c r="F52" i="16"/>
  <c r="E53" i="16"/>
  <c r="D53" i="16"/>
  <c r="H53" i="16" l="1"/>
  <c r="F53" i="16"/>
  <c r="E54" i="16"/>
  <c r="D54" i="16"/>
  <c r="H53" i="15"/>
  <c r="F53" i="15"/>
  <c r="E54" i="15"/>
  <c r="D54" i="15"/>
  <c r="G52" i="16"/>
  <c r="G52" i="15"/>
  <c r="G53" i="15" l="1"/>
  <c r="G53" i="16"/>
  <c r="H54" i="15"/>
  <c r="F54" i="15"/>
  <c r="E55" i="15"/>
  <c r="D55" i="15"/>
  <c r="H54" i="16"/>
  <c r="F54" i="16"/>
  <c r="E55" i="16"/>
  <c r="D55" i="16"/>
  <c r="H55" i="16" l="1"/>
  <c r="F55" i="16"/>
  <c r="E56" i="16"/>
  <c r="D56" i="16"/>
  <c r="H55" i="15"/>
  <c r="F55" i="15"/>
  <c r="E56" i="15"/>
  <c r="D56" i="15"/>
  <c r="G54" i="16"/>
  <c r="G55" i="16" s="1"/>
  <c r="G54" i="15"/>
  <c r="G55" i="15" s="1"/>
  <c r="H56" i="15" l="1"/>
  <c r="F56" i="15"/>
  <c r="G56" i="15" s="1"/>
  <c r="E57" i="15"/>
  <c r="D57" i="15"/>
  <c r="H56" i="16"/>
  <c r="F56" i="16"/>
  <c r="G56" i="16" s="1"/>
  <c r="E57" i="16"/>
  <c r="D57" i="16"/>
  <c r="H57" i="16" l="1"/>
  <c r="N57" i="16" s="1"/>
  <c r="V33" i="16" s="1"/>
  <c r="F57" i="16"/>
  <c r="L57" i="16" s="1"/>
  <c r="T33" i="16" s="1"/>
  <c r="J57" i="16"/>
  <c r="R33" i="16" s="1"/>
  <c r="I13" i="18" s="1"/>
  <c r="I15" i="18" s="1"/>
  <c r="I17" i="18" s="1"/>
  <c r="E58" i="16"/>
  <c r="D58" i="16"/>
  <c r="K57" i="16"/>
  <c r="S33" i="16" s="1"/>
  <c r="H57" i="15"/>
  <c r="N57" i="15" s="1"/>
  <c r="V33" i="15" s="1"/>
  <c r="F57" i="15"/>
  <c r="L57" i="15" s="1"/>
  <c r="T33" i="15" s="1"/>
  <c r="J57" i="15"/>
  <c r="R33" i="15" s="1"/>
  <c r="I12" i="17" s="1"/>
  <c r="I14" i="17" s="1"/>
  <c r="I15" i="17" s="1"/>
  <c r="E58" i="15"/>
  <c r="D58" i="15"/>
  <c r="K57" i="15"/>
  <c r="S33" i="15" s="1"/>
  <c r="H58" i="15" l="1"/>
  <c r="F58" i="15"/>
  <c r="E59" i="15"/>
  <c r="D59" i="15"/>
  <c r="I16" i="17"/>
  <c r="I17" i="17" s="1"/>
  <c r="H58" i="16"/>
  <c r="F58" i="16"/>
  <c r="E59" i="16"/>
  <c r="D59" i="16"/>
  <c r="I18" i="18"/>
  <c r="I19" i="18" s="1"/>
  <c r="G57" i="15"/>
  <c r="G57" i="16"/>
  <c r="I20" i="18" l="1"/>
  <c r="I21" i="18" s="1"/>
  <c r="I23" i="18" s="1"/>
  <c r="I30" i="18" s="1"/>
  <c r="I12" i="20" s="1"/>
  <c r="I15" i="20" s="1"/>
  <c r="I18" i="17"/>
  <c r="I19" i="17" s="1"/>
  <c r="I21" i="17" s="1"/>
  <c r="I28" i="17" s="1"/>
  <c r="I12" i="19" s="1"/>
  <c r="I15" i="19" s="1"/>
  <c r="G58" i="16"/>
  <c r="M57" i="16"/>
  <c r="U33" i="16" s="1"/>
  <c r="G58" i="15"/>
  <c r="M57" i="15"/>
  <c r="U33" i="15" s="1"/>
  <c r="H59" i="16"/>
  <c r="F59" i="16"/>
  <c r="E60" i="16"/>
  <c r="D60" i="16"/>
  <c r="H59" i="15"/>
  <c r="F59" i="15"/>
  <c r="E60" i="15"/>
  <c r="D60" i="15"/>
  <c r="H60" i="15" l="1"/>
  <c r="F60" i="15"/>
  <c r="E61" i="15"/>
  <c r="D61" i="15"/>
  <c r="H60" i="16"/>
  <c r="F60" i="16"/>
  <c r="E61" i="16"/>
  <c r="D61" i="16"/>
  <c r="G59" i="15"/>
  <c r="G60" i="15" s="1"/>
  <c r="G59" i="16"/>
  <c r="G60" i="16" s="1"/>
  <c r="H61" i="16" l="1"/>
  <c r="F61" i="16"/>
  <c r="G61" i="16" s="1"/>
  <c r="E62" i="16"/>
  <c r="D62" i="16"/>
  <c r="H61" i="15"/>
  <c r="F61" i="15"/>
  <c r="G61" i="15" s="1"/>
  <c r="E62" i="15"/>
  <c r="D62" i="15"/>
  <c r="H62" i="15" l="1"/>
  <c r="F62" i="15"/>
  <c r="E63" i="15"/>
  <c r="D63" i="15"/>
  <c r="H62" i="16"/>
  <c r="F62" i="16"/>
  <c r="E63" i="16"/>
  <c r="D63" i="16"/>
  <c r="H63" i="16" l="1"/>
  <c r="F63" i="16"/>
  <c r="E64" i="16"/>
  <c r="D64" i="16"/>
  <c r="H63" i="15"/>
  <c r="F63" i="15"/>
  <c r="E64" i="15"/>
  <c r="D64" i="15"/>
  <c r="G62" i="16"/>
  <c r="G62" i="15"/>
  <c r="G63" i="15" l="1"/>
  <c r="G63" i="16"/>
  <c r="H64" i="15"/>
  <c r="F64" i="15"/>
  <c r="E65" i="15"/>
  <c r="D65" i="15"/>
  <c r="H64" i="16"/>
  <c r="F64" i="16"/>
  <c r="E65" i="16"/>
  <c r="D65" i="16"/>
  <c r="H65" i="16" l="1"/>
  <c r="F65" i="16"/>
  <c r="E66" i="16"/>
  <c r="D66" i="16"/>
  <c r="H65" i="15"/>
  <c r="F65" i="15"/>
  <c r="E66" i="15"/>
  <c r="D66" i="15"/>
  <c r="G64" i="16"/>
  <c r="G64" i="15"/>
  <c r="G65" i="15" l="1"/>
  <c r="G65" i="16"/>
  <c r="H66" i="15"/>
  <c r="F66" i="15"/>
  <c r="E67" i="15"/>
  <c r="D67" i="15"/>
  <c r="H66" i="16"/>
  <c r="F66" i="16"/>
  <c r="E67" i="16"/>
  <c r="D67" i="16"/>
  <c r="H67" i="16" l="1"/>
  <c r="F67" i="16"/>
  <c r="E68" i="16"/>
  <c r="D68" i="16"/>
  <c r="H67" i="15"/>
  <c r="F67" i="15"/>
  <c r="E68" i="15"/>
  <c r="D68" i="15"/>
  <c r="G66" i="16"/>
  <c r="G67" i="16" s="1"/>
  <c r="G66" i="15"/>
  <c r="G67" i="15" s="1"/>
  <c r="H68" i="15" l="1"/>
  <c r="F68" i="15"/>
  <c r="G68" i="15" s="1"/>
  <c r="E69" i="15"/>
  <c r="D69" i="15"/>
  <c r="H68" i="16"/>
  <c r="F68" i="16"/>
  <c r="G68" i="16" s="1"/>
  <c r="E69" i="16"/>
  <c r="D69" i="16"/>
  <c r="H69" i="16" l="1"/>
  <c r="N69" i="16" s="1"/>
  <c r="V34" i="16" s="1"/>
  <c r="F69" i="16"/>
  <c r="L69" i="16" s="1"/>
  <c r="T34" i="16" s="1"/>
  <c r="J69" i="16"/>
  <c r="R34" i="16" s="1"/>
  <c r="J13" i="18" s="1"/>
  <c r="J15" i="18" s="1"/>
  <c r="J17" i="18" s="1"/>
  <c r="E70" i="16"/>
  <c r="D70" i="16"/>
  <c r="K69" i="16"/>
  <c r="S34" i="16" s="1"/>
  <c r="H69" i="15"/>
  <c r="N69" i="15" s="1"/>
  <c r="V34" i="15" s="1"/>
  <c r="F69" i="15"/>
  <c r="L69" i="15" s="1"/>
  <c r="T34" i="15" s="1"/>
  <c r="J69" i="15"/>
  <c r="R34" i="15" s="1"/>
  <c r="J12" i="17" s="1"/>
  <c r="J14" i="17" s="1"/>
  <c r="J15" i="17" s="1"/>
  <c r="E70" i="15"/>
  <c r="D70" i="15"/>
  <c r="K69" i="15"/>
  <c r="S34" i="15" s="1"/>
  <c r="H70" i="15" l="1"/>
  <c r="F70" i="15"/>
  <c r="E71" i="15"/>
  <c r="D71" i="15"/>
  <c r="J16" i="17"/>
  <c r="J17" i="17" s="1"/>
  <c r="H70" i="16"/>
  <c r="F70" i="16"/>
  <c r="E71" i="16"/>
  <c r="D71" i="16"/>
  <c r="J18" i="18"/>
  <c r="J19" i="18" s="1"/>
  <c r="G69" i="15"/>
  <c r="G69" i="16"/>
  <c r="J20" i="18" l="1"/>
  <c r="J21" i="18" s="1"/>
  <c r="J23" i="18" s="1"/>
  <c r="J30" i="18" s="1"/>
  <c r="J12" i="20" s="1"/>
  <c r="J15" i="20" s="1"/>
  <c r="J18" i="17"/>
  <c r="J19" i="17" s="1"/>
  <c r="J21" i="17" s="1"/>
  <c r="J28" i="17" s="1"/>
  <c r="J12" i="19" s="1"/>
  <c r="J15" i="19" s="1"/>
  <c r="G70" i="16"/>
  <c r="M69" i="16"/>
  <c r="U34" i="16" s="1"/>
  <c r="G70" i="15"/>
  <c r="M69" i="15"/>
  <c r="U34" i="15" s="1"/>
  <c r="H71" i="16"/>
  <c r="F71" i="16"/>
  <c r="E72" i="16"/>
  <c r="D72" i="16"/>
  <c r="H71" i="15"/>
  <c r="F71" i="15"/>
  <c r="E72" i="15"/>
  <c r="D72" i="15"/>
  <c r="H72" i="15" l="1"/>
  <c r="F72" i="15"/>
  <c r="E73" i="15"/>
  <c r="D73" i="15"/>
  <c r="H72" i="16"/>
  <c r="F72" i="16"/>
  <c r="E73" i="16"/>
  <c r="D73" i="16"/>
  <c r="G71" i="15"/>
  <c r="G72" i="15" s="1"/>
  <c r="G71" i="16"/>
  <c r="G72" i="16" s="1"/>
  <c r="H73" i="16" l="1"/>
  <c r="F73" i="16"/>
  <c r="G73" i="16" s="1"/>
  <c r="E74" i="16"/>
  <c r="D74" i="16"/>
  <c r="H73" i="15"/>
  <c r="F73" i="15"/>
  <c r="G73" i="15" s="1"/>
  <c r="E74" i="15"/>
  <c r="D74" i="15"/>
  <c r="H74" i="15" l="1"/>
  <c r="F74" i="15"/>
  <c r="E75" i="15"/>
  <c r="D75" i="15"/>
  <c r="H74" i="16"/>
  <c r="F74" i="16"/>
  <c r="E75" i="16"/>
  <c r="D75" i="16"/>
  <c r="H75" i="16" l="1"/>
  <c r="F75" i="16"/>
  <c r="E76" i="16"/>
  <c r="D76" i="16"/>
  <c r="H75" i="15"/>
  <c r="F75" i="15"/>
  <c r="E76" i="15"/>
  <c r="D76" i="15"/>
  <c r="G74" i="16"/>
  <c r="G74" i="15"/>
  <c r="G75" i="15" l="1"/>
  <c r="G75" i="16"/>
  <c r="H76" i="15"/>
  <c r="F76" i="15"/>
  <c r="E77" i="15"/>
  <c r="D77" i="15"/>
  <c r="H76" i="16"/>
  <c r="F76" i="16"/>
  <c r="E77" i="16"/>
  <c r="D77" i="16"/>
  <c r="H77" i="16" l="1"/>
  <c r="F77" i="16"/>
  <c r="E78" i="16"/>
  <c r="D78" i="16"/>
  <c r="H77" i="15"/>
  <c r="F77" i="15"/>
  <c r="E78" i="15"/>
  <c r="D78" i="15"/>
  <c r="G76" i="16"/>
  <c r="G76" i="15"/>
  <c r="G77" i="15" l="1"/>
  <c r="G77" i="16"/>
  <c r="H78" i="15"/>
  <c r="F78" i="15"/>
  <c r="E79" i="15"/>
  <c r="D79" i="15"/>
  <c r="H78" i="16"/>
  <c r="F78" i="16"/>
  <c r="E79" i="16"/>
  <c r="D79" i="16"/>
  <c r="H79" i="16" l="1"/>
  <c r="F79" i="16"/>
  <c r="E80" i="16"/>
  <c r="D80" i="16"/>
  <c r="H79" i="15"/>
  <c r="F79" i="15"/>
  <c r="E80" i="15"/>
  <c r="D80" i="15"/>
  <c r="G78" i="16"/>
  <c r="G79" i="16" s="1"/>
  <c r="G78" i="15"/>
  <c r="G79" i="15" s="1"/>
  <c r="H80" i="15" l="1"/>
  <c r="F80" i="15"/>
  <c r="G80" i="15" s="1"/>
  <c r="E81" i="15"/>
  <c r="D81" i="15"/>
  <c r="H80" i="16"/>
  <c r="F80" i="16"/>
  <c r="G80" i="16" s="1"/>
  <c r="E81" i="16"/>
  <c r="D81" i="16"/>
  <c r="H81" i="16" l="1"/>
  <c r="N81" i="16" s="1"/>
  <c r="V35" i="16" s="1"/>
  <c r="F81" i="16"/>
  <c r="L81" i="16" s="1"/>
  <c r="T35" i="16" s="1"/>
  <c r="J81" i="16"/>
  <c r="R35" i="16" s="1"/>
  <c r="K13" i="18" s="1"/>
  <c r="K15" i="18" s="1"/>
  <c r="K17" i="18" s="1"/>
  <c r="E82" i="16"/>
  <c r="D82" i="16"/>
  <c r="K81" i="16"/>
  <c r="S35" i="16" s="1"/>
  <c r="H81" i="15"/>
  <c r="N81" i="15" s="1"/>
  <c r="V35" i="15" s="1"/>
  <c r="F81" i="15"/>
  <c r="L81" i="15" s="1"/>
  <c r="T35" i="15" s="1"/>
  <c r="J81" i="15"/>
  <c r="R35" i="15" s="1"/>
  <c r="K12" i="17" s="1"/>
  <c r="K14" i="17" s="1"/>
  <c r="K15" i="17" s="1"/>
  <c r="E82" i="15"/>
  <c r="D82" i="15"/>
  <c r="K81" i="15"/>
  <c r="S35" i="15" s="1"/>
  <c r="H82" i="15" l="1"/>
  <c r="F82" i="15"/>
  <c r="E83" i="15"/>
  <c r="D83" i="15"/>
  <c r="K16" i="17"/>
  <c r="K17" i="17" s="1"/>
  <c r="H82" i="16"/>
  <c r="F82" i="16"/>
  <c r="E83" i="16"/>
  <c r="D83" i="16"/>
  <c r="K18" i="18"/>
  <c r="K19" i="18" s="1"/>
  <c r="G81" i="15"/>
  <c r="G81" i="16"/>
  <c r="K20" i="18" l="1"/>
  <c r="K21" i="18" s="1"/>
  <c r="K23" i="18" s="1"/>
  <c r="K30" i="18" s="1"/>
  <c r="K12" i="20" s="1"/>
  <c r="K15" i="20" s="1"/>
  <c r="K18" i="17"/>
  <c r="K19" i="17" s="1"/>
  <c r="K21" i="17" s="1"/>
  <c r="K28" i="17" s="1"/>
  <c r="K12" i="19" s="1"/>
  <c r="K15" i="19" s="1"/>
  <c r="G82" i="16"/>
  <c r="M81" i="16"/>
  <c r="U35" i="16" s="1"/>
  <c r="G82" i="15"/>
  <c r="M81" i="15"/>
  <c r="U35" i="15" s="1"/>
  <c r="H83" i="16"/>
  <c r="F83" i="16"/>
  <c r="E84" i="16"/>
  <c r="D84" i="16"/>
  <c r="H83" i="15"/>
  <c r="F83" i="15"/>
  <c r="E84" i="15"/>
  <c r="D84" i="15"/>
  <c r="H84" i="15" l="1"/>
  <c r="F84" i="15"/>
  <c r="E85" i="15"/>
  <c r="D85" i="15"/>
  <c r="H84" i="16"/>
  <c r="F84" i="16"/>
  <c r="E85" i="16"/>
  <c r="D85" i="16"/>
  <c r="G83" i="15"/>
  <c r="G84" i="15" s="1"/>
  <c r="G83" i="16"/>
  <c r="G84" i="16" s="1"/>
  <c r="H85" i="16" l="1"/>
  <c r="F85" i="16"/>
  <c r="G85" i="16" s="1"/>
  <c r="E86" i="16"/>
  <c r="D86" i="16"/>
  <c r="H85" i="15"/>
  <c r="F85" i="15"/>
  <c r="G85" i="15" s="1"/>
  <c r="E86" i="15"/>
  <c r="D86" i="15"/>
  <c r="H86" i="15" l="1"/>
  <c r="F86" i="15"/>
  <c r="E87" i="15"/>
  <c r="D87" i="15"/>
  <c r="H86" i="16"/>
  <c r="F86" i="16"/>
  <c r="E87" i="16"/>
  <c r="D87" i="16"/>
  <c r="H87" i="16" l="1"/>
  <c r="F87" i="16"/>
  <c r="E88" i="16"/>
  <c r="D88" i="16"/>
  <c r="H87" i="15"/>
  <c r="F87" i="15"/>
  <c r="E88" i="15"/>
  <c r="D88" i="15"/>
  <c r="G86" i="16"/>
  <c r="G86" i="15"/>
  <c r="G87" i="15" l="1"/>
  <c r="G87" i="16"/>
  <c r="H88" i="15"/>
  <c r="F88" i="15"/>
  <c r="E89" i="15"/>
  <c r="D89" i="15"/>
  <c r="H88" i="16"/>
  <c r="F88" i="16"/>
  <c r="E89" i="16"/>
  <c r="D89" i="16"/>
  <c r="H89" i="16" l="1"/>
  <c r="F89" i="16"/>
  <c r="E90" i="16"/>
  <c r="D90" i="16"/>
  <c r="H89" i="15"/>
  <c r="F89" i="15"/>
  <c r="E90" i="15"/>
  <c r="D90" i="15"/>
  <c r="G88" i="16"/>
  <c r="G88" i="15"/>
  <c r="G89" i="15" l="1"/>
  <c r="G89" i="16"/>
  <c r="H90" i="15"/>
  <c r="F90" i="15"/>
  <c r="E91" i="15"/>
  <c r="D91" i="15"/>
  <c r="H90" i="16"/>
  <c r="F90" i="16"/>
  <c r="E91" i="16"/>
  <c r="D91" i="16"/>
  <c r="H91" i="16" l="1"/>
  <c r="F91" i="16"/>
  <c r="E92" i="16"/>
  <c r="D92" i="16"/>
  <c r="H91" i="15"/>
  <c r="F91" i="15"/>
  <c r="E92" i="15"/>
  <c r="D92" i="15"/>
  <c r="G90" i="16"/>
  <c r="G91" i="16" s="1"/>
  <c r="G90" i="15"/>
  <c r="G91" i="15" s="1"/>
  <c r="H92" i="15" l="1"/>
  <c r="F92" i="15"/>
  <c r="G92" i="15" s="1"/>
  <c r="E93" i="15"/>
  <c r="D93" i="15"/>
  <c r="H92" i="16"/>
  <c r="F92" i="16"/>
  <c r="G92" i="16" s="1"/>
  <c r="E93" i="16"/>
  <c r="D93" i="16"/>
  <c r="H93" i="16" l="1"/>
  <c r="N93" i="16" s="1"/>
  <c r="V36" i="16" s="1"/>
  <c r="F93" i="16"/>
  <c r="L93" i="16" s="1"/>
  <c r="T36" i="16" s="1"/>
  <c r="J93" i="16"/>
  <c r="R36" i="16" s="1"/>
  <c r="L13" i="18" s="1"/>
  <c r="L15" i="18" s="1"/>
  <c r="L17" i="18" s="1"/>
  <c r="E94" i="16"/>
  <c r="D94" i="16"/>
  <c r="K93" i="16"/>
  <c r="S36" i="16" s="1"/>
  <c r="H93" i="15"/>
  <c r="N93" i="15" s="1"/>
  <c r="V36" i="15" s="1"/>
  <c r="F93" i="15"/>
  <c r="L93" i="15" s="1"/>
  <c r="T36" i="15" s="1"/>
  <c r="J93" i="15"/>
  <c r="R36" i="15" s="1"/>
  <c r="L12" i="17" s="1"/>
  <c r="L14" i="17" s="1"/>
  <c r="L15" i="17" s="1"/>
  <c r="E94" i="15"/>
  <c r="D94" i="15"/>
  <c r="K93" i="15"/>
  <c r="S36" i="15" s="1"/>
  <c r="H94" i="15" l="1"/>
  <c r="F94" i="15"/>
  <c r="E95" i="15"/>
  <c r="D95" i="15"/>
  <c r="L16" i="17"/>
  <c r="L17" i="17" s="1"/>
  <c r="H94" i="16"/>
  <c r="F94" i="16"/>
  <c r="E95" i="16"/>
  <c r="D95" i="16"/>
  <c r="L18" i="18"/>
  <c r="L19" i="18" s="1"/>
  <c r="G93" i="15"/>
  <c r="G93" i="16"/>
  <c r="L20" i="18" l="1"/>
  <c r="L21" i="18" s="1"/>
  <c r="L23" i="18" s="1"/>
  <c r="L30" i="18" s="1"/>
  <c r="L12" i="20" s="1"/>
  <c r="L15" i="20" s="1"/>
  <c r="L18" i="17"/>
  <c r="L19" i="17" s="1"/>
  <c r="L21" i="17" s="1"/>
  <c r="L28" i="17" s="1"/>
  <c r="L12" i="19" s="1"/>
  <c r="L15" i="19" s="1"/>
  <c r="G94" i="16"/>
  <c r="M93" i="16"/>
  <c r="U36" i="16" s="1"/>
  <c r="G94" i="15"/>
  <c r="M93" i="15"/>
  <c r="U36" i="15" s="1"/>
  <c r="H95" i="16"/>
  <c r="F95" i="16"/>
  <c r="E96" i="16"/>
  <c r="D96" i="16"/>
  <c r="H95" i="15"/>
  <c r="F95" i="15"/>
  <c r="E96" i="15"/>
  <c r="D96" i="15"/>
  <c r="H96" i="15" l="1"/>
  <c r="F96" i="15"/>
  <c r="E97" i="15"/>
  <c r="D97" i="15"/>
  <c r="H96" i="16"/>
  <c r="F96" i="16"/>
  <c r="E97" i="16"/>
  <c r="D97" i="16"/>
  <c r="G95" i="15"/>
  <c r="G96" i="15" s="1"/>
  <c r="G95" i="16"/>
  <c r="G96" i="16" s="1"/>
  <c r="H97" i="16" l="1"/>
  <c r="F97" i="16"/>
  <c r="G97" i="16" s="1"/>
  <c r="E98" i="16"/>
  <c r="D98" i="16"/>
  <c r="H97" i="15"/>
  <c r="F97" i="15"/>
  <c r="G97" i="15" s="1"/>
  <c r="E98" i="15"/>
  <c r="D98" i="15"/>
  <c r="H98" i="15" l="1"/>
  <c r="F98" i="15"/>
  <c r="E99" i="15"/>
  <c r="D99" i="15"/>
  <c r="H98" i="16"/>
  <c r="F98" i="16"/>
  <c r="E99" i="16"/>
  <c r="D99" i="16"/>
  <c r="H99" i="16" l="1"/>
  <c r="F99" i="16"/>
  <c r="E100" i="16"/>
  <c r="D100" i="16"/>
  <c r="H99" i="15"/>
  <c r="F99" i="15"/>
  <c r="E100" i="15"/>
  <c r="D100" i="15"/>
  <c r="G98" i="16"/>
  <c r="G98" i="15"/>
  <c r="G99" i="15" l="1"/>
  <c r="G99" i="16"/>
  <c r="H100" i="15"/>
  <c r="F100" i="15"/>
  <c r="E101" i="15"/>
  <c r="D101" i="15"/>
  <c r="H100" i="16"/>
  <c r="F100" i="16"/>
  <c r="E101" i="16"/>
  <c r="D101" i="16"/>
  <c r="H101" i="16" l="1"/>
  <c r="F101" i="16"/>
  <c r="E102" i="16"/>
  <c r="D102" i="16"/>
  <c r="H101" i="15"/>
  <c r="F101" i="15"/>
  <c r="E102" i="15"/>
  <c r="D102" i="15"/>
  <c r="G100" i="16"/>
  <c r="G100" i="15"/>
  <c r="G101" i="15" l="1"/>
  <c r="G101" i="16"/>
  <c r="H102" i="15"/>
  <c r="F102" i="15"/>
  <c r="E103" i="15"/>
  <c r="D103" i="15"/>
  <c r="H102" i="16"/>
  <c r="F102" i="16"/>
  <c r="E103" i="16"/>
  <c r="D103" i="16"/>
  <c r="H103" i="16" l="1"/>
  <c r="F103" i="16"/>
  <c r="E104" i="16"/>
  <c r="D104" i="16"/>
  <c r="H103" i="15"/>
  <c r="F103" i="15"/>
  <c r="E104" i="15"/>
  <c r="D104" i="15"/>
  <c r="G102" i="16"/>
  <c r="G103" i="16" s="1"/>
  <c r="G102" i="15"/>
  <c r="G103" i="15" s="1"/>
  <c r="H104" i="15" l="1"/>
  <c r="F104" i="15"/>
  <c r="G104" i="15" s="1"/>
  <c r="E105" i="15"/>
  <c r="D105" i="15"/>
  <c r="H104" i="16"/>
  <c r="F104" i="16"/>
  <c r="G104" i="16" s="1"/>
  <c r="E105" i="16"/>
  <c r="D105" i="16"/>
  <c r="H105" i="16" l="1"/>
  <c r="N105" i="16" s="1"/>
  <c r="V37" i="16" s="1"/>
  <c r="F105" i="16"/>
  <c r="L105" i="16" s="1"/>
  <c r="T37" i="16" s="1"/>
  <c r="J105" i="16"/>
  <c r="R37" i="16" s="1"/>
  <c r="M13" i="18" s="1"/>
  <c r="M15" i="18" s="1"/>
  <c r="M17" i="18" s="1"/>
  <c r="E106" i="16"/>
  <c r="D106" i="16"/>
  <c r="K105" i="16"/>
  <c r="S37" i="16" s="1"/>
  <c r="H105" i="15"/>
  <c r="N105" i="15" s="1"/>
  <c r="V37" i="15" s="1"/>
  <c r="F105" i="15"/>
  <c r="L105" i="15" s="1"/>
  <c r="T37" i="15" s="1"/>
  <c r="J105" i="15"/>
  <c r="R37" i="15" s="1"/>
  <c r="M12" i="17" s="1"/>
  <c r="M14" i="17" s="1"/>
  <c r="M15" i="17" s="1"/>
  <c r="E106" i="15"/>
  <c r="D106" i="15"/>
  <c r="K105" i="15"/>
  <c r="S37" i="15" s="1"/>
  <c r="H106" i="15" l="1"/>
  <c r="F106" i="15"/>
  <c r="E107" i="15"/>
  <c r="D107" i="15"/>
  <c r="M16" i="17"/>
  <c r="M17" i="17" s="1"/>
  <c r="H106" i="16"/>
  <c r="F106" i="16"/>
  <c r="E107" i="16"/>
  <c r="D107" i="16"/>
  <c r="M18" i="18"/>
  <c r="M19" i="18" s="1"/>
  <c r="G105" i="15"/>
  <c r="G105" i="16"/>
  <c r="M20" i="18" l="1"/>
  <c r="M21" i="18" s="1"/>
  <c r="M23" i="18" s="1"/>
  <c r="M30" i="18" s="1"/>
  <c r="M12" i="20" s="1"/>
  <c r="M15" i="20" s="1"/>
  <c r="M18" i="17"/>
  <c r="M19" i="17" s="1"/>
  <c r="M21" i="17" s="1"/>
  <c r="M28" i="17" s="1"/>
  <c r="M12" i="19" s="1"/>
  <c r="M15" i="19" s="1"/>
  <c r="G106" i="16"/>
  <c r="M105" i="16"/>
  <c r="U37" i="16" s="1"/>
  <c r="G106" i="15"/>
  <c r="M105" i="15"/>
  <c r="U37" i="15" s="1"/>
  <c r="H107" i="16"/>
  <c r="F107" i="16"/>
  <c r="E108" i="16"/>
  <c r="D108" i="16"/>
  <c r="H107" i="15"/>
  <c r="F107" i="15"/>
  <c r="E108" i="15"/>
  <c r="D108" i="15"/>
  <c r="H108" i="15" l="1"/>
  <c r="F108" i="15"/>
  <c r="E109" i="15"/>
  <c r="D109" i="15"/>
  <c r="H108" i="16"/>
  <c r="F108" i="16"/>
  <c r="E109" i="16"/>
  <c r="D109" i="16"/>
  <c r="G107" i="15"/>
  <c r="G108" i="15" s="1"/>
  <c r="G107" i="16"/>
  <c r="G108" i="16" s="1"/>
  <c r="H109" i="16" l="1"/>
  <c r="F109" i="16"/>
  <c r="G109" i="16" s="1"/>
  <c r="E110" i="16"/>
  <c r="D110" i="16"/>
  <c r="H109" i="15"/>
  <c r="F109" i="15"/>
  <c r="G109" i="15" s="1"/>
  <c r="E110" i="15"/>
  <c r="D110" i="15"/>
  <c r="H110" i="15" l="1"/>
  <c r="F110" i="15"/>
  <c r="E111" i="15"/>
  <c r="D111" i="15"/>
  <c r="H110" i="16"/>
  <c r="F110" i="16"/>
  <c r="E111" i="16"/>
  <c r="D111" i="16"/>
  <c r="H111" i="16" l="1"/>
  <c r="F111" i="16"/>
  <c r="E112" i="16"/>
  <c r="D112" i="16"/>
  <c r="H111" i="15"/>
  <c r="F111" i="15"/>
  <c r="E112" i="15"/>
  <c r="D112" i="15"/>
  <c r="G110" i="16"/>
  <c r="G110" i="15"/>
  <c r="G111" i="15" l="1"/>
  <c r="G111" i="16"/>
  <c r="H112" i="15"/>
  <c r="F112" i="15"/>
  <c r="E113" i="15"/>
  <c r="D113" i="15"/>
  <c r="H112" i="16"/>
  <c r="F112" i="16"/>
  <c r="E113" i="16"/>
  <c r="D113" i="16"/>
  <c r="H113" i="16" l="1"/>
  <c r="F113" i="16"/>
  <c r="E114" i="16"/>
  <c r="D114" i="16"/>
  <c r="H113" i="15"/>
  <c r="F113" i="15"/>
  <c r="E114" i="15"/>
  <c r="D114" i="15"/>
  <c r="G112" i="16"/>
  <c r="G112" i="15"/>
  <c r="G113" i="15" l="1"/>
  <c r="G113" i="16"/>
  <c r="H114" i="15"/>
  <c r="F114" i="15"/>
  <c r="E115" i="15"/>
  <c r="D115" i="15"/>
  <c r="H114" i="16"/>
  <c r="F114" i="16"/>
  <c r="E115" i="16"/>
  <c r="D115" i="16"/>
  <c r="H115" i="16" l="1"/>
  <c r="F115" i="16"/>
  <c r="E116" i="16"/>
  <c r="D116" i="16"/>
  <c r="H115" i="15"/>
  <c r="F115" i="15"/>
  <c r="E116" i="15"/>
  <c r="D116" i="15"/>
  <c r="G114" i="16"/>
  <c r="G115" i="16" s="1"/>
  <c r="G114" i="15"/>
  <c r="G115" i="15" s="1"/>
  <c r="H116" i="15" l="1"/>
  <c r="F116" i="15"/>
  <c r="G116" i="15" s="1"/>
  <c r="E117" i="15"/>
  <c r="D117" i="15"/>
  <c r="H116" i="16"/>
  <c r="F116" i="16"/>
  <c r="G116" i="16" s="1"/>
  <c r="E117" i="16"/>
  <c r="D117" i="16"/>
  <c r="H117" i="16" l="1"/>
  <c r="N117" i="16" s="1"/>
  <c r="V38" i="16" s="1"/>
  <c r="F117" i="16"/>
  <c r="L117" i="16" s="1"/>
  <c r="T38" i="16" s="1"/>
  <c r="J117" i="16"/>
  <c r="R38" i="16" s="1"/>
  <c r="N13" i="18" s="1"/>
  <c r="N15" i="18" s="1"/>
  <c r="N17" i="18" s="1"/>
  <c r="E142" i="16"/>
  <c r="D142" i="16"/>
  <c r="E118" i="16"/>
  <c r="D118" i="16"/>
  <c r="K117" i="16"/>
  <c r="S38" i="16" s="1"/>
  <c r="H117" i="15"/>
  <c r="N117" i="15" s="1"/>
  <c r="V38" i="15" s="1"/>
  <c r="F117" i="15"/>
  <c r="L117" i="15" s="1"/>
  <c r="T38" i="15" s="1"/>
  <c r="J117" i="15"/>
  <c r="R38" i="15" s="1"/>
  <c r="N12" i="17" s="1"/>
  <c r="N14" i="17" s="1"/>
  <c r="N15" i="17" s="1"/>
  <c r="E118" i="15"/>
  <c r="D118" i="15"/>
  <c r="K117" i="15"/>
  <c r="S38" i="15" s="1"/>
  <c r="H118" i="15" l="1"/>
  <c r="F118" i="15"/>
  <c r="N16" i="17"/>
  <c r="N17" i="17" s="1"/>
  <c r="H118" i="16"/>
  <c r="F118" i="16"/>
  <c r="E119" i="16"/>
  <c r="D119" i="16"/>
  <c r="H142" i="16"/>
  <c r="F142" i="16"/>
  <c r="N18" i="18"/>
  <c r="N19" i="18" s="1"/>
  <c r="G117" i="15"/>
  <c r="G117" i="16"/>
  <c r="N20" i="18" l="1"/>
  <c r="N21" i="18" s="1"/>
  <c r="N23" i="18" s="1"/>
  <c r="N30" i="18" s="1"/>
  <c r="N12" i="20" s="1"/>
  <c r="N15" i="20" s="1"/>
  <c r="N18" i="17"/>
  <c r="N19" i="17" s="1"/>
  <c r="N21" i="17" s="1"/>
  <c r="N28" i="17" s="1"/>
  <c r="N12" i="19" s="1"/>
  <c r="N15" i="19" s="1"/>
  <c r="G142" i="16"/>
  <c r="G118" i="16"/>
  <c r="M117" i="16"/>
  <c r="U38" i="16" s="1"/>
  <c r="G118" i="15"/>
  <c r="M117" i="15"/>
  <c r="U38" i="15" s="1"/>
  <c r="H119" i="16"/>
  <c r="F119" i="16"/>
  <c r="E120" i="16"/>
  <c r="D120" i="16"/>
  <c r="Z37" i="19" l="1"/>
  <c r="Z38" i="19" s="1"/>
  <c r="T27" i="19"/>
  <c r="T29" i="19" s="1"/>
  <c r="AC37" i="19"/>
  <c r="AC38" i="19" s="1"/>
  <c r="AB37" i="19"/>
  <c r="AB38" i="19" s="1"/>
  <c r="AA37" i="19"/>
  <c r="AA38" i="19" s="1"/>
  <c r="Y37" i="19"/>
  <c r="Y38" i="19" s="1"/>
  <c r="X37" i="19"/>
  <c r="X38" i="19" s="1"/>
  <c r="G17" i="19"/>
  <c r="H120" i="16"/>
  <c r="F120" i="16"/>
  <c r="E121" i="16"/>
  <c r="D121" i="16"/>
  <c r="G119" i="16"/>
  <c r="G120" i="16" s="1"/>
  <c r="H121" i="16" l="1"/>
  <c r="F121" i="16"/>
  <c r="G121" i="16" s="1"/>
  <c r="E122" i="16"/>
  <c r="D122" i="16"/>
  <c r="H122" i="16" l="1"/>
  <c r="F122" i="16"/>
  <c r="E123" i="16"/>
  <c r="D123" i="16"/>
  <c r="H123" i="16" l="1"/>
  <c r="F123" i="16"/>
  <c r="E124" i="16"/>
  <c r="D124" i="16"/>
  <c r="G122" i="16"/>
  <c r="G123" i="16" l="1"/>
  <c r="H124" i="16"/>
  <c r="F124" i="16"/>
  <c r="E125" i="16"/>
  <c r="D125" i="16"/>
  <c r="H125" i="16" l="1"/>
  <c r="F125" i="16"/>
  <c r="E126" i="16"/>
  <c r="D126" i="16"/>
  <c r="G124" i="16"/>
  <c r="G125" i="16" l="1"/>
  <c r="H126" i="16"/>
  <c r="F126" i="16"/>
  <c r="E127" i="16"/>
  <c r="D127" i="16"/>
  <c r="H127" i="16" l="1"/>
  <c r="F127" i="16"/>
  <c r="E128" i="16"/>
  <c r="D128" i="16"/>
  <c r="G126" i="16"/>
  <c r="G127" i="16" s="1"/>
  <c r="H128" i="16" l="1"/>
  <c r="F128" i="16"/>
  <c r="G128" i="16" s="1"/>
  <c r="E129" i="16"/>
  <c r="D129" i="16"/>
  <c r="H129" i="16" l="1"/>
  <c r="N129" i="16" s="1"/>
  <c r="V39" i="16" s="1"/>
  <c r="F129" i="16"/>
  <c r="L129" i="16" s="1"/>
  <c r="T39" i="16" s="1"/>
  <c r="J129" i="16"/>
  <c r="R39" i="16" s="1"/>
  <c r="O13" i="18" s="1"/>
  <c r="O15" i="18" s="1"/>
  <c r="O17" i="18" s="1"/>
  <c r="E130" i="16"/>
  <c r="D130" i="16"/>
  <c r="K129" i="16"/>
  <c r="S39" i="16" s="1"/>
  <c r="H130" i="16" l="1"/>
  <c r="F130" i="16"/>
  <c r="E131" i="16"/>
  <c r="D131" i="16"/>
  <c r="O18" i="18"/>
  <c r="O19" i="18" s="1"/>
  <c r="G129" i="16"/>
  <c r="O20" i="18" l="1"/>
  <c r="O21" i="18" s="1"/>
  <c r="O23" i="18" s="1"/>
  <c r="O30" i="18" s="1"/>
  <c r="O12" i="20" s="1"/>
  <c r="O15" i="20" s="1"/>
  <c r="G130" i="16"/>
  <c r="M129" i="16"/>
  <c r="U39" i="16" s="1"/>
  <c r="H131" i="16"/>
  <c r="F131" i="16"/>
  <c r="E132" i="16"/>
  <c r="D132" i="16"/>
  <c r="H132" i="16" l="1"/>
  <c r="F132" i="16"/>
  <c r="E133" i="16"/>
  <c r="D133" i="16"/>
  <c r="G131" i="16"/>
  <c r="G132" i="16" s="1"/>
  <c r="H133" i="16" l="1"/>
  <c r="F133" i="16"/>
  <c r="G133" i="16" s="1"/>
  <c r="E134" i="16"/>
  <c r="D134" i="16"/>
  <c r="H134" i="16" l="1"/>
  <c r="F134" i="16"/>
  <c r="E135" i="16"/>
  <c r="D135" i="16"/>
  <c r="H135" i="16" l="1"/>
  <c r="F135" i="16"/>
  <c r="E136" i="16"/>
  <c r="D136" i="16"/>
  <c r="G134" i="16"/>
  <c r="G135" i="16" l="1"/>
  <c r="H136" i="16"/>
  <c r="F136" i="16"/>
  <c r="E137" i="16"/>
  <c r="D137" i="16"/>
  <c r="H137" i="16" l="1"/>
  <c r="F137" i="16"/>
  <c r="E138" i="16"/>
  <c r="D138" i="16"/>
  <c r="G136" i="16"/>
  <c r="G137" i="16" l="1"/>
  <c r="H138" i="16"/>
  <c r="F138" i="16"/>
  <c r="E139" i="16"/>
  <c r="D139" i="16"/>
  <c r="H139" i="16" l="1"/>
  <c r="F139" i="16"/>
  <c r="E140" i="16"/>
  <c r="D140" i="16"/>
  <c r="G138" i="16"/>
  <c r="G139" i="16" s="1"/>
  <c r="H140" i="16" l="1"/>
  <c r="F140" i="16"/>
  <c r="G140" i="16" s="1"/>
  <c r="E141" i="16"/>
  <c r="K141" i="16" s="1"/>
  <c r="S40" i="16" s="1"/>
  <c r="D141" i="16"/>
  <c r="H141" i="16" l="1"/>
  <c r="N141" i="16" s="1"/>
  <c r="V40" i="16" s="1"/>
  <c r="F141" i="16"/>
  <c r="L141" i="16" s="1"/>
  <c r="T40" i="16" s="1"/>
  <c r="J141" i="16"/>
  <c r="R40" i="16" s="1"/>
  <c r="P13" i="18" s="1"/>
  <c r="P15" i="18" s="1"/>
  <c r="P17" i="18" s="1"/>
  <c r="P18" i="18" l="1"/>
  <c r="P19" i="18" s="1"/>
  <c r="G141" i="16"/>
  <c r="M141" i="16" s="1"/>
  <c r="U40" i="16" s="1"/>
  <c r="P20" i="18" l="1"/>
  <c r="P21" i="18" s="1"/>
  <c r="P23" i="18" s="1"/>
  <c r="P30" i="18" s="1"/>
  <c r="P12" i="20" s="1"/>
  <c r="P15" i="20" s="1"/>
  <c r="Z37" i="20" l="1"/>
  <c r="Z38" i="20" s="1"/>
  <c r="T27" i="20"/>
  <c r="T29" i="20" s="1"/>
  <c r="AC37" i="20"/>
  <c r="AC38" i="20" s="1"/>
  <c r="AB37" i="20"/>
  <c r="AB38" i="20" s="1"/>
  <c r="AA37" i="20"/>
  <c r="AA38" i="20" s="1"/>
  <c r="Y37" i="20"/>
  <c r="Y38" i="20" s="1"/>
  <c r="X37" i="20"/>
  <c r="X38" i="20" s="1"/>
  <c r="G17" i="20"/>
</calcChain>
</file>

<file path=xl/sharedStrings.xml><?xml version="1.0" encoding="utf-8"?>
<sst xmlns="http://schemas.openxmlformats.org/spreadsheetml/2006/main" count="1159" uniqueCount="504">
  <si>
    <t>Equipamiento</t>
  </si>
  <si>
    <t>valor</t>
  </si>
  <si>
    <t>Referencia</t>
  </si>
  <si>
    <t>computador 
(monitor, teclado, mouse, Pc)</t>
  </si>
  <si>
    <t>http://articulo.mercadolibre.com.ec/MEC-403755320-computador-g2030-30-ideal-para-tu-cyber-casa-u-oficina-_JM</t>
  </si>
  <si>
    <t>Mesa por computador</t>
  </si>
  <si>
    <t>http://articulo.mercadolibre.com.ec/MEC-403581562-mesa-escritorio-pc-platinum-mod-424-linea-oficina-caja-_JM</t>
  </si>
  <si>
    <t>UPS Regulador</t>
  </si>
  <si>
    <t>http://articulo.mercadolibre.com.ec/MEC-403594753-regulador-de-voltaje-forza-fvr-1211b-1200va-600w-110v-_JM</t>
  </si>
  <si>
    <t>Impresora wifi</t>
  </si>
  <si>
    <t>http://articulo.mercadolibre.com.ec/MEC-403732847-impresora-multifuncion-epson-xp300-wifi-_JM</t>
  </si>
  <si>
    <t>Mesa para Reuniones de 
presentacion</t>
  </si>
  <si>
    <t>http://articulo.mercadolibre.com.ec/MEC-403453689-vendo-mesa-redonda-de-reunion-_JM</t>
  </si>
  <si>
    <t>telefono Ip</t>
  </si>
  <si>
    <t>http://articulo.mercadolibre.com.ec/MEC-403828119-telefono-ip-sip-fanvil-c56p-certificado-elastix-_JM</t>
  </si>
  <si>
    <t>silla de oficina</t>
  </si>
  <si>
    <t>http://articulo.mercadolibre.com.ec/MEC-403525218-sillas-giratorias-sillones-elegantes-oficina-hogar-economica-_JM</t>
  </si>
  <si>
    <t>Aire Acondicionado split</t>
  </si>
  <si>
    <t>http://articulo.mercadolibre.com.ec/MEC-403459621-aire-acond-split-lg-12000-btu-cr-sincaneria-sj122cd-sc-_JM</t>
  </si>
  <si>
    <t>Muebles</t>
  </si>
  <si>
    <t>http://articulo.mercadolibre.com.ec/MEC-403756110-juego-de-sala-lounge-299-_JM</t>
  </si>
  <si>
    <t>Proyector</t>
  </si>
  <si>
    <t>http://articulo.mercadolibre.com.ec/MEC-403602433-proyector-epson-s12-2800-lum-usb-vga-3lcdmaletingarantia-_JM</t>
  </si>
  <si>
    <t>Camaras Ip</t>
  </si>
  <si>
    <t>http://articulo.mercadolibre.com.ec/MEC-403449251-camara-ip-inalambrica-wifi-dia-y-noche-audio-bidereccional-_JM</t>
  </si>
  <si>
    <t>Adornos oficina</t>
  </si>
  <si>
    <t>Router Wifi</t>
  </si>
  <si>
    <t>Servidores</t>
  </si>
  <si>
    <t>Hosting y Dominios</t>
  </si>
  <si>
    <t>% depreciacion</t>
  </si>
  <si>
    <t>tiempo de vida(años)</t>
  </si>
  <si>
    <t>computador (monitor, teclado, mouse, Pc)</t>
  </si>
  <si>
    <t>Mesa para Reuniones de presentacion</t>
  </si>
  <si>
    <t>http://repositorio.ute.edu.ec/bitstream/123456789/6841/26/17990_9.pdf</t>
  </si>
  <si>
    <t>Cargo</t>
  </si>
  <si>
    <t>Base Salarial</t>
  </si>
  <si>
    <t>Desarrollador Web Junior</t>
  </si>
  <si>
    <t>Desarrollador Web Sénior y supervisor</t>
  </si>
  <si>
    <t>Diseñador Web Junior</t>
  </si>
  <si>
    <t>Diseñador Grafico</t>
  </si>
  <si>
    <t>Técnico en computadoras y redes</t>
  </si>
  <si>
    <t>Secretaria</t>
  </si>
  <si>
    <t>Personal Call Center</t>
  </si>
  <si>
    <t>Contadora</t>
  </si>
  <si>
    <t>Ing Marketing</t>
  </si>
  <si>
    <t>Luz eléctrica</t>
  </si>
  <si>
    <t>Agua</t>
  </si>
  <si>
    <t>Teléfono</t>
  </si>
  <si>
    <t>Internet</t>
  </si>
  <si>
    <t>arriendo</t>
  </si>
  <si>
    <t>Salarios Personal</t>
  </si>
  <si>
    <t>Total</t>
  </si>
  <si>
    <t>tiempo de vida(3 años)</t>
  </si>
  <si>
    <t>Valor</t>
  </si>
  <si>
    <t>Tiempo de vida(10 años)</t>
  </si>
  <si>
    <t>Capital de Trabajo</t>
  </si>
  <si>
    <t>Costos Mensuales</t>
  </si>
  <si>
    <t>Hosting</t>
  </si>
  <si>
    <t>http://www.godaddy.com/hosting/web-hosting-new.aspx</t>
  </si>
  <si>
    <t>Dominios</t>
  </si>
  <si>
    <t>http://www.grupotvcable.com.ec/grupo/corporativos</t>
  </si>
  <si>
    <t>Crecimiento Anual 
Luz electrica</t>
  </si>
  <si>
    <t>Almacenamiento de datos Web</t>
  </si>
  <si>
    <t>https://www.dropbox.com/business/buy</t>
  </si>
  <si>
    <t>Crecimiento Anual 
agua potable</t>
  </si>
  <si>
    <t>Gastos en 
Marcha</t>
  </si>
  <si>
    <t>Crecimiento Anual</t>
  </si>
  <si>
    <t>Luz</t>
  </si>
  <si>
    <t>demanda total</t>
  </si>
  <si>
    <t>Pronostico inicial</t>
  </si>
  <si>
    <t>Telefono</t>
  </si>
  <si>
    <t>Crecimiento telefonia</t>
  </si>
  <si>
    <t>Arriendo</t>
  </si>
  <si>
    <t>Publicidad</t>
  </si>
  <si>
    <t>referencia</t>
  </si>
  <si>
    <t>http://mx.answers.yahoo.com/question/index?qid=20090812085353AAFQtL1</t>
  </si>
  <si>
    <t>Licencia Adobe Creative Cloud Membership</t>
  </si>
  <si>
    <t>valor mensual Telefonia</t>
  </si>
  <si>
    <t>cantidad Telefonos</t>
  </si>
  <si>
    <t>valor total mensual</t>
  </si>
  <si>
    <t>Caracteristicas</t>
  </si>
  <si>
    <t>valor kw/h</t>
  </si>
  <si>
    <t>kw usados por servidor</t>
  </si>
  <si>
    <t>kw usados por computador</t>
  </si>
  <si>
    <t>kw usados por una bombilla</t>
  </si>
  <si>
    <t>kw usados por impresora</t>
  </si>
  <si>
    <t>Cantidad Computadoras</t>
  </si>
  <si>
    <t>Cantidad Impresoras</t>
  </si>
  <si>
    <t>Cantidad Bombillas</t>
  </si>
  <si>
    <t>Valor computador por hora</t>
  </si>
  <si>
    <t>Valor Impresora por hora</t>
  </si>
  <si>
    <t>Crecimiento Luz Electrica</t>
  </si>
  <si>
    <t>Valor Servidor Mensual</t>
  </si>
  <si>
    <t>tasa crecimiento anual</t>
  </si>
  <si>
    <t>www.conelec.gob.ec/images/documentos/PME0920CAP5.pdf‎</t>
  </si>
  <si>
    <t>Valor Computador Mensual</t>
  </si>
  <si>
    <t>Valor bombilla por hora</t>
  </si>
  <si>
    <t>Valor Impresora Mensual</t>
  </si>
  <si>
    <t>Valor Bombilla Mensual</t>
  </si>
  <si>
    <t>Valor Total anual</t>
  </si>
  <si>
    <t>valor m³</t>
  </si>
  <si>
    <t>m³ usados por persona</t>
  </si>
  <si>
    <t>Publicidad en las principales redes sociales</t>
  </si>
  <si>
    <t>cantidad personas</t>
  </si>
  <si>
    <t>Posicionamiento web $0,8 diario por palabra clave</t>
  </si>
  <si>
    <t>valor total anual</t>
  </si>
  <si>
    <t>Publicidad Periodico digitales</t>
  </si>
  <si>
    <t>Publicidad Periodico Provincial</t>
  </si>
  <si>
    <t>http://tecnologia.comohacerpara.com/m/n1691/como-conocer-el-consumo-de-mi-computadora.html</t>
  </si>
  <si>
    <t>Costos</t>
  </si>
  <si>
    <t>mensulaes</t>
  </si>
  <si>
    <t>(0 - 3 años)</t>
  </si>
  <si>
    <t>(3 -6 años)</t>
  </si>
  <si>
    <t>(6 -9 años)</t>
  </si>
  <si>
    <t>(Go Daddy Hosting, 2013)</t>
  </si>
  <si>
    <t>http://www.godaddy.com/es/hosting/web-hosting-new.aspx?isc=gtnila43</t>
  </si>
  <si>
    <t>Dominio</t>
  </si>
  <si>
    <t> (Adobe Planes, 2013)</t>
  </si>
  <si>
    <t>https://creative.adobe.com/plans</t>
  </si>
  <si>
    <t> (Dropbox Precios, 2013)</t>
  </si>
  <si>
    <t>https://www.dropbox.com/business/pricing</t>
  </si>
  <si>
    <t> (Google AdWord, 2013)</t>
  </si>
  <si>
    <t>https://adwords.google.com/cm/CampaignMgmt?__u=6374155850&amp;__c=2251610930#n.CAMPAIGNSETTINGS&amp;app=cm</t>
  </si>
  <si>
    <t>(El universo Publicidad, 2013) </t>
  </si>
  <si>
    <t>http://www.eluniverso.com/publicidad/tarifas.htm</t>
  </si>
  <si>
    <t>Email Marketing Empresarial 500 suscriptores</t>
  </si>
  <si>
    <t> (Email Marketing Publicidad, 2013)</t>
  </si>
  <si>
    <t>http://mailchimp.com/pricing/growing-business/</t>
  </si>
  <si>
    <t>Email Marketing Empresarial 1000 suscriptores</t>
  </si>
  <si>
    <t>(Facebook Costos, 2013)</t>
  </si>
  <si>
    <t>mensuales</t>
  </si>
  <si>
    <t>Switch</t>
  </si>
  <si>
    <t>(Switch Precio, 2013)</t>
  </si>
  <si>
    <t>http://articulo.mercadolibre.com.ec/MEC-403544967-switch-tp-link-24-ports-10100mbps-tl-sf1024-_JM</t>
  </si>
  <si>
    <t>Patch Panel</t>
  </si>
  <si>
    <t> (Patch Panel, 2013)</t>
  </si>
  <si>
    <t>http://www.compuzone.com.ec/producto.php?prodcod=502</t>
  </si>
  <si>
    <t>Caja Cable Utp</t>
  </si>
  <si>
    <t>(Caja Cable Utp, 2013)</t>
  </si>
  <si>
    <t>http://articulo.mercadolibre.com.ec/MEC-403862863-caja-cable-utp-categoria-5e-305m-color-gris-red-cyber-hogar-_JM</t>
  </si>
  <si>
    <t>Ponchadora</t>
  </si>
  <si>
    <t> (Ponchadora, 2013)</t>
  </si>
  <si>
    <t>http://articulo.mercadolibre.com.ec/MEC-403628473-ponchadora-profesional-para-rj-45-rj-11-rj-12-con-cortadora-_JM</t>
  </si>
  <si>
    <t>Punto toma red rj45 (10 puntos red)</t>
  </si>
  <si>
    <t> (Punto toma red, 2013)</t>
  </si>
  <si>
    <t>http://articulo.mercadolibre.com.ec/MEC-403810324-faceplate-de-1-toma-para-jack-de-redes-rj-45-_JM</t>
  </si>
  <si>
    <t>Cajetin Rj45 (10 puntos red)</t>
  </si>
  <si>
    <t> (cajetin Rj45, 2013)</t>
  </si>
  <si>
    <t>http://articulo.mercadolibre.com.ec/MEC-403676823-cajetin-con-jack-rj-45-categoria-5e-_JM</t>
  </si>
  <si>
    <t>Router Firewall</t>
  </si>
  <si>
    <t> (Router Firewall, 2013)</t>
  </si>
  <si>
    <t>http://articulo.mercadolibre.com.ec/MEC-403702915-router-wireless-n-cisco-rv110w-wifi-tuneles-vpn-firewall-_JM</t>
  </si>
  <si>
    <t>Rack Switch</t>
  </si>
  <si>
    <t> (Rack Switch, 2013)</t>
  </si>
  <si>
    <t>http://articulo.mercadolibre.com.ec/MEC-403674492-rack-abierto-de-piso-encapsulado-36ur-72plg-beaucoup-i-1044-_JM</t>
  </si>
  <si>
    <t>Servidor</t>
  </si>
  <si>
    <t>(Servidor IBM, 2013)</t>
  </si>
  <si>
    <t>Costo Mensual</t>
  </si>
  <si>
    <t>Capital Trabajo Tangible</t>
  </si>
  <si>
    <t>Inversion Total Inicial</t>
  </si>
  <si>
    <t>Valor Mensual</t>
  </si>
  <si>
    <t>Capital Trabajo Intangible</t>
  </si>
  <si>
    <t>Inversion Activos Fijo</t>
  </si>
  <si>
    <t>Inversion Capital Trabajo</t>
  </si>
  <si>
    <t>Gastos puestos en Marcha</t>
  </si>
  <si>
    <t>Total Inversion Inicial</t>
  </si>
  <si>
    <t>Participacion Productos 
/ personal mensual</t>
  </si>
  <si>
    <t>Desarrollador 
Web Junior</t>
  </si>
  <si>
    <t>Desarrollador Web 
Sénior y supervisor</t>
  </si>
  <si>
    <t>Técnico en computadoras 
y redes</t>
  </si>
  <si>
    <t>Consultor Web</t>
  </si>
  <si>
    <t>Plan Personal</t>
  </si>
  <si>
    <t>Diseño y desarrollo del sitio 
web a la medida</t>
  </si>
  <si>
    <t>Monitoreo y asistencia 24-7</t>
  </si>
  <si>
    <t>3 temas personales</t>
  </si>
  <si>
    <t>Total Plan Personal</t>
  </si>
  <si>
    <t>Total Plan Personal anual</t>
  </si>
  <si>
    <t>Plan Empresarial - Económico</t>
  </si>
  <si>
    <t>100 temas comerciales</t>
  </si>
  <si>
    <t>Banners en Diarios digitales principales 
mensualmente 1 vez al mes.</t>
  </si>
  <si>
    <t>Email Marketing Empresarial 
500 suscriptores</t>
  </si>
  <si>
    <t>App Mobile Android</t>
  </si>
  <si>
    <t>Consultoria Web</t>
  </si>
  <si>
    <t>Total Plan - Económico</t>
  </si>
  <si>
    <t>Total Plan - Económico anual</t>
  </si>
  <si>
    <t>Plan Empresarial - Estándar</t>
  </si>
  <si>
    <t>Email Marketing Empresarial 
1000 suscriptores</t>
  </si>
  <si>
    <t>App Mobile Android.</t>
  </si>
  <si>
    <t>App Mobile iOS.</t>
  </si>
  <si>
    <t>posicionamiento web</t>
  </si>
  <si>
    <t>Total Plan - Estándar</t>
  </si>
  <si>
    <t>Total Plan - Estándar anual</t>
  </si>
  <si>
    <t>Plan Empresarial - Ropa y tecnologia</t>
  </si>
  <si>
    <t>Diseño de Logo e identidad corporativa, 
donde se actualizara anualmente</t>
  </si>
  <si>
    <t>Plan Empresarial - Premium</t>
  </si>
  <si>
    <t>300 temas comerciales</t>
  </si>
  <si>
    <t>Banners en Diarios digitales principales 
mensualmente 1 vez a la semana.</t>
  </si>
  <si>
    <t>Publicidad en las principales 
redes sociales</t>
  </si>
  <si>
    <t>Creación de páginas en 
redes sociales</t>
  </si>
  <si>
    <t>Total Plan - Premium</t>
  </si>
  <si>
    <t>Total Plan - Premium anual</t>
  </si>
  <si>
    <t>Plan Empresarial - a la medida</t>
  </si>
  <si>
    <t>%</t>
  </si>
  <si>
    <t>Diseño y desarrollo del sitio
 web a la medida</t>
  </si>
  <si>
    <t>Banners en Diarios digitales 
principales (1 vez al mes).</t>
  </si>
  <si>
    <t>Banners en Diarios digitales 
principales mensualmente 
1 vez a la semana.</t>
  </si>
  <si>
    <t>Total Plan -  a la medida</t>
  </si>
  <si>
    <t>Total Plan - a la medida anual</t>
  </si>
  <si>
    <t>Servicio de redes de datos</t>
  </si>
  <si>
    <t>Servicio de redes de datos anual</t>
  </si>
  <si>
    <t>Software web como servicio</t>
  </si>
  <si>
    <t>Software web como servicio anual</t>
  </si>
  <si>
    <t>Resumenes Totales Anuales</t>
  </si>
  <si>
    <t>Desarrollador Web
 Junior</t>
  </si>
  <si>
    <t>Diseñador Web 
Junior</t>
  </si>
  <si>
    <t>Técnico en computadoras
 y redes</t>
  </si>
  <si>
    <t>consultor web</t>
  </si>
  <si>
    <t>Consultoria web</t>
  </si>
  <si>
    <t>.</t>
  </si>
  <si>
    <t>Demanda</t>
  </si>
  <si>
    <t>Participacion Productos</t>
  </si>
  <si>
    <t>Participacion Productos Principales</t>
  </si>
  <si>
    <t>Inversion Palabras Claves anuales</t>
  </si>
  <si>
    <t>Planes específicos para empresas de Ropa y tecnologia</t>
  </si>
  <si>
    <t>Planes  a la medida</t>
  </si>
  <si>
    <t>Total Productos Principales</t>
  </si>
  <si>
    <t>Participacion Productos Adicionales</t>
  </si>
  <si>
    <t>Inversion Publicidad periodicos digitales</t>
  </si>
  <si>
    <t>(3 - 6 años)</t>
  </si>
  <si>
    <t>Total Productos Adicionales</t>
  </si>
  <si>
    <t>Costos variables Plan Personal</t>
  </si>
  <si>
    <t>Unitario</t>
  </si>
  <si>
    <t>hosting</t>
  </si>
  <si>
    <t>dominio</t>
  </si>
  <si>
    <t>Costo total Plan Personal</t>
  </si>
  <si>
    <t>Email  500 suscriptores</t>
  </si>
  <si>
    <t>Costos variables Plan Empresarial - Económico</t>
  </si>
  <si>
    <t>Plan Empresarial - Economico</t>
  </si>
  <si>
    <t>Email 1000 suscriptores</t>
  </si>
  <si>
    <t>Costo total Plan Empresarial - Económico</t>
  </si>
  <si>
    <t>Costos variables Plan Empresarial - Estándar</t>
  </si>
  <si>
    <t>Banners en Diarios digitales principales (1 vez al mes).</t>
  </si>
  <si>
    <t>Posicionamiento Web 2 palabras claves</t>
  </si>
  <si>
    <t>Publicidad Redes Sociales</t>
  </si>
  <si>
    <t>Costo total Plan Empresarial - Estándar</t>
  </si>
  <si>
    <t>Costos variables Plan Empresarial - Ropa y tecnologia</t>
  </si>
  <si>
    <t>Costos variables Plan Empresarial - Premium</t>
  </si>
  <si>
    <t>Banners en Diarios digitales principales (1 vez al semana).</t>
  </si>
  <si>
    <t>Posicionamiento Web 4 palabras claves</t>
  </si>
  <si>
    <t>Costo total Plan Empresarial - Premium</t>
  </si>
  <si>
    <t>Costos variables Plan a medida</t>
  </si>
  <si>
    <t>Costo total Plan a medida</t>
  </si>
  <si>
    <t>Costos variables Servicio Redes Datos</t>
  </si>
  <si>
    <t>Punto toma red rj45</t>
  </si>
  <si>
    <t>Cajetin Rj45</t>
  </si>
  <si>
    <t>Costo total Servicio Redes Datos</t>
  </si>
  <si>
    <t>Costo total Software web como servicio</t>
  </si>
  <si>
    <t>Total Consumo insumos Planes anual</t>
  </si>
  <si>
    <t>margen</t>
  </si>
  <si>
    <t>Precios Planes</t>
  </si>
  <si>
    <t>Costo Insumos</t>
  </si>
  <si>
    <t>Gasto Personal</t>
  </si>
  <si>
    <t>Gastos Basicos</t>
  </si>
  <si>
    <t>Costo Total anual</t>
  </si>
  <si>
    <t>Costo Total mensual</t>
  </si>
  <si>
    <t>Margen 0.5%</t>
  </si>
  <si>
    <t>Precio mensual</t>
  </si>
  <si>
    <t>Precio anual</t>
  </si>
  <si>
    <t>Plan Empresarial - Estandar</t>
  </si>
  <si>
    <t>Servicio Redes Datos</t>
  </si>
  <si>
    <t>Software Web como Servicio</t>
  </si>
  <si>
    <t>Plan a la medida</t>
  </si>
  <si>
    <t>Ingresos por ventas</t>
  </si>
  <si>
    <t>Precio individual</t>
  </si>
  <si>
    <t>% distribucion demanda</t>
  </si>
  <si>
    <t>Total Ingreso por ventas anual</t>
  </si>
  <si>
    <t>Total productos principales</t>
  </si>
  <si>
    <t>Luz electrica</t>
  </si>
  <si>
    <t>publicidad</t>
  </si>
  <si>
    <t>Desarrollador Web 
Junior</t>
  </si>
  <si>
    <t>Técnico en 
computadoras y redes</t>
  </si>
  <si>
    <t>Resumenes Gastos Totales Anuales</t>
  </si>
  <si>
    <t>Consultor web</t>
  </si>
  <si>
    <t>Gastos 
Personal 
Anual</t>
  </si>
  <si>
    <t>Gastos Basico Anual</t>
  </si>
  <si>
    <t>Productos</t>
  </si>
  <si>
    <t>Beneficios Adicionales(aistencia 24/7)</t>
  </si>
  <si>
    <t>Valores</t>
  </si>
  <si>
    <t>Cantidad</t>
  </si>
  <si>
    <t>Adornos Oficina</t>
  </si>
  <si>
    <t>Totales</t>
  </si>
  <si>
    <t>Tienda</t>
  </si>
  <si>
    <t>Personas</t>
  </si>
  <si>
    <t>ropa</t>
  </si>
  <si>
    <t>Tecnologia</t>
  </si>
  <si>
    <t>Electrodomesticos</t>
  </si>
  <si>
    <t>tecnologia</t>
  </si>
  <si>
    <t>electrodomesticos</t>
  </si>
  <si>
    <t>machala</t>
  </si>
  <si>
    <t>santa rosa</t>
  </si>
  <si>
    <t>pasaje</t>
  </si>
  <si>
    <t>portovelo</t>
  </si>
  <si>
    <t>Electromesticos</t>
  </si>
  <si>
    <t>zaruma</t>
  </si>
  <si>
    <t>balsas</t>
  </si>
  <si>
    <t>marcabeli</t>
  </si>
  <si>
    <t>lajas</t>
  </si>
  <si>
    <t>arenillas</t>
  </si>
  <si>
    <t>huaquillas</t>
  </si>
  <si>
    <t>Promedio</t>
  </si>
  <si>
    <t>Variables Tabla Amortizacion</t>
  </si>
  <si>
    <t>Banco:</t>
  </si>
  <si>
    <t>Banco 
Pacifico</t>
  </si>
  <si>
    <t>Porcentaje 
Distribucion</t>
  </si>
  <si>
    <t>Inversion</t>
  </si>
  <si>
    <t>Prestamo</t>
  </si>
  <si>
    <t>MONTO:</t>
  </si>
  <si>
    <t>PLAZO  (Años):</t>
  </si>
  <si>
    <t>PAGOS CADA (Dias):</t>
  </si>
  <si>
    <t>N° DIVIDENDOS:</t>
  </si>
  <si>
    <t>INTERES ANUAL (%):</t>
  </si>
  <si>
    <t>INTERES MENSUAL (%):</t>
  </si>
  <si>
    <t>Cuota</t>
  </si>
  <si>
    <t>TABLA DE AMORTIZACION MENSUAL</t>
  </si>
  <si>
    <t>Periodos</t>
  </si>
  <si>
    <t>Amortizacion</t>
  </si>
  <si>
    <t>Intereses</t>
  </si>
  <si>
    <t>Reducido</t>
  </si>
  <si>
    <t>Dividendos</t>
  </si>
  <si>
    <t>Div. Acum.</t>
  </si>
  <si>
    <t>Pago</t>
  </si>
  <si>
    <t>Amortización</t>
  </si>
  <si>
    <t>Total anual</t>
  </si>
  <si>
    <t>`</t>
  </si>
  <si>
    <t>Inversion propia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</si>
  <si>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</si>
  <si>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</si>
  <si>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</si>
  <si>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</si>
  <si>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</si>
  <si>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</si>
  <si>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</si>
  <si>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</si>
  <si>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</si>
  <si>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</si>
  <si>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</si>
  <si>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</si>
  <si>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</si>
  <si>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</si>
  <si>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</si>
  <si>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</si>
  <si>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</si>
  <si>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Prestamo</t>
  </si>
  <si>
    <t>(-) Capital de Trabajo</t>
  </si>
  <si>
    <t>(+) Recuperación Capital de Trabj.</t>
  </si>
  <si>
    <t>(=) Flujo Caja del Inversionista</t>
  </si>
  <si>
    <t>TASA INTERNA DE RETORNO FINANCIERA (TIR)</t>
  </si>
  <si>
    <t>DESCRIPCION</t>
  </si>
  <si>
    <t>TOTAL DE INVERSION</t>
  </si>
  <si>
    <t>FLUJO OPERACIONAL</t>
  </si>
  <si>
    <t>VALOR EN LIBROS</t>
  </si>
  <si>
    <t>FLUJO NETO</t>
  </si>
  <si>
    <t>TIR</t>
  </si>
  <si>
    <t>VALOR PRESENTE NETO: VPN</t>
  </si>
  <si>
    <t>TMAR</t>
  </si>
  <si>
    <t>VPN=</t>
  </si>
  <si>
    <t>VAN =</t>
  </si>
  <si>
    <t>VPN</t>
  </si>
  <si>
    <t>VAN</t>
  </si>
  <si>
    <t>CAPM</t>
  </si>
  <si>
    <t>Tasa Libre de Riesgo (Tesoro de EEUU)</t>
  </si>
  <si>
    <t>Rf</t>
  </si>
  <si>
    <t>Riesgo del Sector Tecnologico</t>
  </si>
  <si>
    <t>β</t>
  </si>
  <si>
    <t>Rentabilidad del Mercado</t>
  </si>
  <si>
    <t>Rm</t>
  </si>
  <si>
    <t>Riesgo País</t>
  </si>
  <si>
    <t>rp</t>
  </si>
  <si>
    <t>Rentabilidad exigida del capital propio</t>
  </si>
  <si>
    <t>ke</t>
  </si>
  <si>
    <t>Ke=</t>
  </si>
  <si>
    <r>
      <t>[Rf+[E(Rm)-(Rf)]</t>
    </r>
    <r>
      <rPr>
        <b/>
        <sz val="8"/>
        <color rgb="FFFFFFFF"/>
        <rFont val="Symbol"/>
        <family val="1"/>
        <charset val="2"/>
      </rPr>
      <t>b]+</t>
    </r>
    <r>
      <rPr>
        <b/>
        <sz val="8"/>
        <color rgb="FFFFFFFF"/>
        <rFont val="Calibri"/>
        <family val="2"/>
        <charset val="1"/>
      </rPr>
      <t>Rp</t>
    </r>
  </si>
  <si>
    <t>Empresa comparable</t>
  </si>
  <si>
    <t>Beta</t>
  </si>
  <si>
    <t>Nivel de endeudamiento  (DLM)</t>
  </si>
  <si>
    <t>Impuesto</t>
  </si>
  <si>
    <t>Bonos del tesoro a 5 AÑOS</t>
  </si>
  <si>
    <t>Rentab Mcdo</t>
  </si>
  <si>
    <t>GOOGLE Inc.</t>
  </si>
  <si>
    <t>Web.com</t>
  </si>
  <si>
    <t>Rackspace Hosting, Inc.</t>
  </si>
  <si>
    <t>Apple Inc.</t>
  </si>
  <si>
    <t>Microsoft Corporation (MSFT)</t>
  </si>
  <si>
    <t>Beta desapalancada</t>
  </si>
  <si>
    <t>Calculo</t>
  </si>
  <si>
    <t>Equipo</t>
  </si>
  <si>
    <t>Costo</t>
  </si>
  <si>
    <t>Valor 
Residual</t>
  </si>
  <si>
    <t>Importe 
Depreciable</t>
  </si>
  <si>
    <t>Tiempo 
vida</t>
  </si>
  <si>
    <t>Computador
Desktop</t>
  </si>
  <si>
    <t>Dep anual</t>
  </si>
  <si>
    <t>Dep acuml.</t>
  </si>
  <si>
    <t>Valor Libros</t>
  </si>
  <si>
    <t>Mesa por 
computador</t>
  </si>
  <si>
    <t>UPS 
Regulador</t>
  </si>
  <si>
    <t>Impresora 
wifi</t>
  </si>
  <si>
    <t>Mesa de 
Reuniones</t>
  </si>
  <si>
    <t>Telefono Ip</t>
  </si>
  <si>
    <t>Silla 
de oficina</t>
  </si>
  <si>
    <t>Aire
split</t>
  </si>
  <si>
    <t>Camaras 
Ip</t>
  </si>
  <si>
    <t>Adornos 
Oficina</t>
  </si>
  <si>
    <t>Router 
Wifi</t>
  </si>
  <si>
    <t>Total Dep anual</t>
  </si>
  <si>
    <t>Total Dep Acum</t>
  </si>
  <si>
    <t>Variables</t>
  </si>
  <si>
    <t>vida util 3 años</t>
  </si>
  <si>
    <t>vida util 10 años</t>
  </si>
  <si>
    <t>periodo de 
depreciacion 3 años</t>
  </si>
  <si>
    <t>periodo de 
depreciacion 10 años</t>
  </si>
  <si>
    <t>suma  vida util activo 3 años</t>
  </si>
  <si>
    <t>suma  vida util activo 10 años</t>
  </si>
  <si>
    <t>Porcentaje Depreciacion asignado 3 años</t>
  </si>
  <si>
    <t>Porcentaje Depreciacion asignado 10 años</t>
  </si>
  <si>
    <t>Variables Geograficas</t>
  </si>
  <si>
    <t>Pais</t>
  </si>
  <si>
    <t>Ecuador</t>
  </si>
  <si>
    <t>Provincia</t>
  </si>
  <si>
    <t>El Oro</t>
  </si>
  <si>
    <t>Poblacion
Empresarial</t>
  </si>
  <si>
    <t>Variables Demograficas</t>
  </si>
  <si>
    <t>Tiempo de vida Empresarial</t>
  </si>
  <si>
    <t>Al menos 3 años</t>
  </si>
  <si>
    <t>Actividad Empresarial</t>
  </si>
  <si>
    <t>Venta de articulos para personas</t>
  </si>
  <si>
    <t>que esten entre los 18 y 34 años, ademas que sean de corta duracion como ropa, tecnologia o electrodomesticos</t>
  </si>
  <si>
    <t>Ganancia neta mensual</t>
  </si>
  <si>
    <t>$5000 en adelante</t>
  </si>
  <si>
    <t>Estatus SocioEconomico</t>
  </si>
  <si>
    <t>clase media - alta</t>
  </si>
  <si>
    <t>Cultura</t>
  </si>
  <si>
    <t>Variables psicograficas</t>
  </si>
  <si>
    <t>Valores Empresariales</t>
  </si>
  <si>
    <t>Crecimiento, Innovacion</t>
  </si>
  <si>
    <t>Empresa</t>
  </si>
  <si>
    <t>Precio</t>
  </si>
  <si>
    <t>creativosecuador</t>
  </si>
  <si>
    <t>Ecuador – Guayaquil</t>
  </si>
  <si>
    <t>Programacion Web</t>
  </si>
  <si>
    <t>Administrador de contenidos</t>
  </si>
  <si>
    <t>Posicionamiento web</t>
  </si>
  <si>
    <t>Ecommerce</t>
  </si>
  <si>
    <t>blackbox</t>
  </si>
  <si>
    <t>Ecuador – Quito</t>
  </si>
  <si>
    <t>Diseño Web.</t>
  </si>
  <si>
    <t>Paginas Web</t>
  </si>
  <si>
    <t>Análisis de contenido web</t>
  </si>
  <si>
    <t>paginaswebecuador</t>
  </si>
  <si>
    <t>Diseño Grafico</t>
  </si>
  <si>
    <t>Investigacion de Mercado.</t>
  </si>
  <si>
    <t>misitio-web</t>
  </si>
  <si>
    <t>Desarrollo de Software</t>
  </si>
  <si>
    <t>marketing online</t>
  </si>
  <si>
    <t>aaconsulting</t>
  </si>
  <si>
    <t>comunity managment</t>
  </si>
  <si>
    <t>consultoria digital</t>
  </si>
  <si>
    <t>webagencydesign</t>
  </si>
  <si>
    <t>Ecuador – Salinas</t>
  </si>
  <si>
    <t>Desarrollo de Sitios Web</t>
  </si>
  <si>
    <t>Comercio Electronico</t>
  </si>
  <si>
    <t>Desarrollo Aplicaciones mobiles</t>
  </si>
  <si>
    <t>geeks</t>
  </si>
  <si>
    <t>Consultoria y estrategia Web</t>
  </si>
  <si>
    <t>Marketing digital</t>
  </si>
  <si>
    <t>agencialaika</t>
  </si>
  <si>
    <t>Social Media Marketing</t>
  </si>
  <si>
    <t>Branding</t>
  </si>
  <si>
    <t>Sitios Web</t>
  </si>
  <si>
    <t>notuslink</t>
  </si>
  <si>
    <t>Estrategia Planificacion Digital</t>
  </si>
  <si>
    <t>Campañas redes sociales</t>
  </si>
  <si>
    <t>comunadigital</t>
  </si>
  <si>
    <t>daganet</t>
  </si>
  <si>
    <t>Email Marketing</t>
  </si>
  <si>
    <t>Hosting Gratuito</t>
  </si>
  <si>
    <t>clientes</t>
  </si>
  <si>
    <t>Creativosecuador</t>
  </si>
  <si>
    <t>Blackbox</t>
  </si>
  <si>
    <t>Paginaswebecuador</t>
  </si>
  <si>
    <t>Misitio-web</t>
  </si>
  <si>
    <t>Aaconsulting</t>
  </si>
  <si>
    <t>Webagencydesign</t>
  </si>
  <si>
    <t>Geeks</t>
  </si>
  <si>
    <t>Aagencia laika</t>
  </si>
  <si>
    <t>Notuslink</t>
  </si>
  <si>
    <t>Comunadigital</t>
  </si>
  <si>
    <t>Daganet</t>
  </si>
  <si>
    <t>Participacion</t>
  </si>
  <si>
    <t>Empresas</t>
  </si>
  <si>
    <t>TOTAL</t>
  </si>
  <si>
    <t>por pedido</t>
  </si>
  <si>
    <t>Ciudad</t>
  </si>
  <si>
    <t>Sueldo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</si>
</sst>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0"/>
  </numFmts>
  <fonts count="1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8"/>
      <color rgb="FFFFFFFF"/>
      <name val="Symbol"/>
      <family val="1"/>
      <charset val="2"/>
    </font>
    <font>
      <b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A7EBB"/>
      </patternFill>
    </fill>
  </fills>
  <borders count="2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thin">
        <color rgb="FF4F81BD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medium">
        <color rgb="FF4F81BD"/>
      </left>
      <right style="thin">
        <color auto="1"/>
      </right>
      <top style="medium">
        <color rgb="FF4F81BD"/>
      </top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n">
        <color auto="1"/>
      </bottom>
      <diagonal/>
    </border>
    <border>
      <left/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/>
      <diagonal/>
    </border>
  </borders>
  <cellStyleXfs count="3">
    <xf numFmtId="0" fontId="0" fillId="0" borderId="0"/>
    <xf numFmtId="9" fontId="18" fillId="0" borderId="0" applyBorder="0" applyProtection="0"/>
    <xf numFmtId="0" fontId="2" fillId="0" borderId="0" applyBorder="0" applyProtection="0"/>
  </cellStyleXfs>
  <cellXfs count="158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2" applyFont="1" applyBorder="1" applyAlignment="1" applyProtection="1"/>
    <xf numFmtId="9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/>
    <xf numFmtId="0" fontId="0" fillId="0" borderId="1" xfId="0" applyFont="1" applyBorder="1"/>
    <xf numFmtId="0" fontId="5" fillId="2" borderId="3" xfId="0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1" fontId="9" fillId="0" borderId="3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vertical="center" wrapText="1"/>
    </xf>
    <xf numFmtId="1" fontId="11" fillId="0" borderId="3" xfId="0" applyNumberFormat="1" applyFont="1" applyBorder="1" applyAlignment="1">
      <alignment vertical="center" wrapText="1"/>
    </xf>
    <xf numFmtId="0" fontId="12" fillId="0" borderId="0" xfId="0" applyFont="1" applyAlignment="1">
      <alignment wrapText="1"/>
    </xf>
    <xf numFmtId="10" fontId="0" fillId="0" borderId="0" xfId="0" applyNumberFormat="1"/>
    <xf numFmtId="0" fontId="8" fillId="2" borderId="3" xfId="0" applyFont="1" applyFill="1" applyBorder="1" applyAlignment="1">
      <alignment vertical="center" wrapText="1"/>
    </xf>
    <xf numFmtId="0" fontId="12" fillId="0" borderId="0" xfId="0" applyFont="1"/>
    <xf numFmtId="9" fontId="13" fillId="0" borderId="0" xfId="0" applyNumberFormat="1" applyFont="1"/>
    <xf numFmtId="0" fontId="14" fillId="0" borderId="3" xfId="0" applyFont="1" applyBorder="1" applyAlignment="1">
      <alignment vertical="center" wrapText="1"/>
    </xf>
    <xf numFmtId="2" fontId="9" fillId="0" borderId="3" xfId="0" applyNumberFormat="1" applyFont="1" applyBorder="1" applyAlignment="1">
      <alignment horizontal="right" vertical="center" wrapText="1"/>
    </xf>
    <xf numFmtId="0" fontId="13" fillId="0" borderId="0" xfId="0" applyFont="1"/>
    <xf numFmtId="10" fontId="13" fillId="0" borderId="0" xfId="0" applyNumberFormat="1" applyFont="1"/>
    <xf numFmtId="0" fontId="3" fillId="2" borderId="4" xfId="0" applyFont="1" applyFill="1" applyBorder="1"/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3" fillId="2" borderId="0" xfId="0" applyFont="1" applyFill="1" applyBorder="1"/>
    <xf numFmtId="164" fontId="9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1" fontId="9" fillId="0" borderId="3" xfId="0" applyNumberFormat="1" applyFont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2" fontId="9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right" vertical="center" wrapText="1"/>
    </xf>
    <xf numFmtId="0" fontId="13" fillId="0" borderId="3" xfId="1" applyNumberFormat="1" applyFont="1" applyBorder="1" applyAlignment="1" applyProtection="1">
      <alignment horizontal="right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9" fontId="14" fillId="0" borderId="3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4" fillId="0" borderId="0" xfId="0" applyFont="1"/>
    <xf numFmtId="0" fontId="9" fillId="0" borderId="0" xfId="0" applyFont="1"/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1" fontId="9" fillId="0" borderId="5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/>
    <xf numFmtId="9" fontId="9" fillId="0" borderId="6" xfId="1" applyFont="1" applyBorder="1" applyAlignment="1" applyProtection="1">
      <alignment vertical="center" wrapText="1"/>
    </xf>
    <xf numFmtId="9" fontId="9" fillId="0" borderId="8" xfId="1" applyFont="1" applyBorder="1" applyAlignment="1" applyProtection="1">
      <alignment vertical="center" wrapText="1"/>
    </xf>
    <xf numFmtId="9" fontId="9" fillId="0" borderId="3" xfId="1" applyFont="1" applyBorder="1" applyAlignment="1" applyProtection="1">
      <alignment horizontal="right" vertical="center" wrapText="1"/>
    </xf>
    <xf numFmtId="0" fontId="8" fillId="2" borderId="6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vertical="center" wrapText="1"/>
    </xf>
    <xf numFmtId="2" fontId="0" fillId="0" borderId="0" xfId="0" applyNumberFormat="1"/>
    <xf numFmtId="2" fontId="9" fillId="0" borderId="5" xfId="0" applyNumberFormat="1" applyFont="1" applyBorder="1" applyAlignment="1">
      <alignment horizontal="right" vertical="center" wrapText="1"/>
    </xf>
    <xf numFmtId="2" fontId="9" fillId="0" borderId="5" xfId="0" applyNumberFormat="1" applyFont="1" applyBorder="1" applyAlignment="1">
      <alignment vertical="center" wrapText="1"/>
    </xf>
    <xf numFmtId="2" fontId="14" fillId="0" borderId="3" xfId="0" applyNumberFormat="1" applyFont="1" applyBorder="1" applyAlignment="1">
      <alignment vertical="center" wrapText="1"/>
    </xf>
    <xf numFmtId="0" fontId="15" fillId="2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right" vertical="center" wrapText="1"/>
    </xf>
    <xf numFmtId="0" fontId="13" fillId="0" borderId="3" xfId="0" applyFont="1" applyBorder="1" applyAlignment="1">
      <alignment vertical="center" wrapText="1"/>
    </xf>
    <xf numFmtId="1" fontId="13" fillId="0" borderId="3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horizontal="right" vertical="center" wrapText="1"/>
    </xf>
    <xf numFmtId="1" fontId="13" fillId="0" borderId="3" xfId="0" applyNumberFormat="1" applyFont="1" applyBorder="1" applyAlignment="1">
      <alignment vertical="center" wrapText="1"/>
    </xf>
    <xf numFmtId="9" fontId="13" fillId="0" borderId="3" xfId="1" applyFont="1" applyBorder="1" applyAlignment="1" applyProtection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165" fontId="0" fillId="0" borderId="0" xfId="0" applyNumberFormat="1"/>
    <xf numFmtId="2" fontId="8" fillId="2" borderId="3" xfId="0" applyNumberFormat="1" applyFont="1" applyFill="1" applyBorder="1" applyAlignment="1">
      <alignment horizontal="right" vertical="center"/>
    </xf>
    <xf numFmtId="0" fontId="15" fillId="2" borderId="3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vertical="center" wrapText="1"/>
    </xf>
    <xf numFmtId="164" fontId="13" fillId="0" borderId="0" xfId="0" applyNumberFormat="1" applyFont="1"/>
    <xf numFmtId="0" fontId="14" fillId="0" borderId="0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1" fontId="5" fillId="2" borderId="3" xfId="0" applyNumberFormat="1" applyFont="1" applyFill="1" applyBorder="1" applyAlignment="1">
      <alignment horizontal="right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right" vertical="center"/>
    </xf>
    <xf numFmtId="0" fontId="3" fillId="2" borderId="12" xfId="0" applyFont="1" applyFill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1" fillId="0" borderId="13" xfId="0" applyFont="1" applyBorder="1"/>
    <xf numFmtId="2" fontId="12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1" fontId="14" fillId="0" borderId="3" xfId="0" applyNumberFormat="1" applyFont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4" fontId="14" fillId="0" borderId="3" xfId="0" applyNumberFormat="1" applyFont="1" applyBorder="1" applyAlignment="1">
      <alignment vertical="center" wrapText="1"/>
    </xf>
    <xf numFmtId="10" fontId="14" fillId="0" borderId="3" xfId="0" applyNumberFormat="1" applyFont="1" applyBorder="1" applyAlignment="1">
      <alignment vertical="center" wrapText="1"/>
    </xf>
    <xf numFmtId="2" fontId="8" fillId="2" borderId="3" xfId="0" applyNumberFormat="1" applyFont="1" applyFill="1" applyBorder="1" applyAlignment="1">
      <alignment vertical="center"/>
    </xf>
    <xf numFmtId="166" fontId="14" fillId="0" borderId="3" xfId="0" applyNumberFormat="1" applyFont="1" applyBorder="1" applyAlignment="1">
      <alignment vertical="center" wrapText="1"/>
    </xf>
    <xf numFmtId="10" fontId="0" fillId="0" borderId="0" xfId="1" applyNumberFormat="1" applyFont="1" applyBorder="1" applyAlignment="1" applyProtection="1"/>
    <xf numFmtId="0" fontId="12" fillId="0" borderId="5" xfId="0" applyFont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2" fontId="7" fillId="0" borderId="3" xfId="0" applyNumberFormat="1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0" fillId="0" borderId="0" xfId="0" applyFont="1" applyBorder="1"/>
    <xf numFmtId="0" fontId="0" fillId="0" borderId="13" xfId="0" applyFont="1" applyBorder="1"/>
    <xf numFmtId="0" fontId="12" fillId="0" borderId="17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Font="1" applyBorder="1"/>
    <xf numFmtId="10" fontId="18" fillId="0" borderId="3" xfId="1" applyNumberFormat="1" applyBorder="1"/>
    <xf numFmtId="2" fontId="9" fillId="0" borderId="3" xfId="0" applyNumberFormat="1" applyFont="1" applyBorder="1" applyAlignment="1">
      <alignment horizontal="left" vertical="center" wrapText="1"/>
    </xf>
    <xf numFmtId="0" fontId="14" fillId="0" borderId="11" xfId="0" applyFont="1" applyBorder="1" applyAlignment="1"/>
    <xf numFmtId="0" fontId="3" fillId="2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9" fontId="9" fillId="0" borderId="7" xfId="1" applyFont="1" applyBorder="1" applyAlignment="1" applyProtection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Sensibilidad VAN vs TMAR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'van y TIR'!$W$38</c:f>
              <c:strCache>
                <c:ptCount val="1"/>
                <c:pt idx="0">
                  <c:v>VAN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2"/>
          </c:marker>
          <c:xVal>
            <c:numRef>
              <c:f>'van y TIR'!$X$36:$AC$36</c:f>
              <c:numCache>
                <c:formatCode>0%</c:formatCode>
                <c:ptCount val="6"/>
                <c:pt idx="0">
                  <c:v>0.05</c:v>
                </c:pt>
                <c:pt idx="1">
                  <c:v>0.1</c:v>
                </c:pt>
                <c:pt idx="2" formatCode="0.00%">
                  <c:v>0.15744313728389947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'van y TIR'!$X$38:$AC$38</c:f>
              <c:numCache>
                <c:formatCode>0.00%</c:formatCode>
                <c:ptCount val="6"/>
                <c:pt idx="0" formatCode="0.00">
                  <c:v>347615.65860018384</c:v>
                </c:pt>
                <c:pt idx="1">
                  <c:v>192587.41912213332</c:v>
                </c:pt>
                <c:pt idx="2" formatCode="0.00">
                  <c:v>84957.935411823841</c:v>
                </c:pt>
                <c:pt idx="3" formatCode="General">
                  <c:v>34540.835250951488</c:v>
                </c:pt>
                <c:pt idx="4">
                  <c:v>-5032.2104517641574</c:v>
                </c:pt>
                <c:pt idx="5" formatCode="0.00">
                  <c:v>-30856.618549632076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7552"/>
        <c:axId val="148009344"/>
      </c:scatterChart>
      <c:valAx>
        <c:axId val="148007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8009344"/>
        <c:crossesAt val="0"/>
        <c:crossBetween val="midCat"/>
      </c:valAx>
      <c:valAx>
        <c:axId val="148009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800755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Sensibilidad VAN vs TMAR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'van y TIR 100%'!$W$38</c:f>
              <c:strCache>
                <c:ptCount val="1"/>
                <c:pt idx="0">
                  <c:v>VAN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2"/>
          </c:marker>
          <c:xVal>
            <c:numRef>
              <c:f>'van y TIR 100%'!$X$36:$AC$36</c:f>
              <c:numCache>
                <c:formatCode>0%</c:formatCode>
                <c:ptCount val="6"/>
                <c:pt idx="0">
                  <c:v>0.05</c:v>
                </c:pt>
                <c:pt idx="1">
                  <c:v>0.1</c:v>
                </c:pt>
                <c:pt idx="2" formatCode="0.00%">
                  <c:v>0.15744313728389947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'van y TIR 100%'!$X$38:$AC$38</c:f>
              <c:numCache>
                <c:formatCode>0.00%</c:formatCode>
                <c:ptCount val="6"/>
                <c:pt idx="0" formatCode="0.00">
                  <c:v>337650.91599524656</c:v>
                </c:pt>
                <c:pt idx="1">
                  <c:v>191441.19706666342</c:v>
                </c:pt>
                <c:pt idx="2" formatCode="0.00">
                  <c:v>91014.485534365987</c:v>
                </c:pt>
                <c:pt idx="3" formatCode="General">
                  <c:v>44578.057591223114</c:v>
                </c:pt>
                <c:pt idx="4">
                  <c:v>8663.968715104791</c:v>
                </c:pt>
                <c:pt idx="5" formatCode="0.00">
                  <c:v>-14296.797614681147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2544"/>
        <c:axId val="149294080"/>
      </c:scatterChart>
      <c:valAx>
        <c:axId val="149292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9294080"/>
        <c:crossesAt val="0"/>
        <c:crossBetween val="midCat"/>
      </c:valAx>
      <c:valAx>
        <c:axId val="149294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929254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competidores!$D$5</c:f>
              <c:strCache>
                <c:ptCount val="1"/>
                <c:pt idx="0">
                  <c:v>Participacion</c:v>
                </c:pt>
              </c:strCache>
            </c:strRef>
          </c:tx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competidores!$B$6:$B$16</c:f>
              <c:strCache>
                <c:ptCount val="11"/>
                <c:pt idx="0">
                  <c:v>Creativosecuador</c:v>
                </c:pt>
                <c:pt idx="1">
                  <c:v>Blackbox</c:v>
                </c:pt>
                <c:pt idx="2">
                  <c:v>Paginaswebecuador</c:v>
                </c:pt>
                <c:pt idx="3">
                  <c:v>Misitio-web</c:v>
                </c:pt>
                <c:pt idx="4">
                  <c:v>Aaconsulting</c:v>
                </c:pt>
                <c:pt idx="5">
                  <c:v>Webagencydesign</c:v>
                </c:pt>
                <c:pt idx="6">
                  <c:v>Geeks</c:v>
                </c:pt>
                <c:pt idx="7">
                  <c:v>Aagencia laika</c:v>
                </c:pt>
                <c:pt idx="8">
                  <c:v>Notuslink</c:v>
                </c:pt>
                <c:pt idx="9">
                  <c:v>Comunadigital</c:v>
                </c:pt>
                <c:pt idx="10">
                  <c:v>Daganet</c:v>
                </c:pt>
              </c:strCache>
            </c:strRef>
          </c:cat>
          <c:val>
            <c:numRef>
              <c:f>competidores!$D$6:$D$16</c:f>
              <c:numCache>
                <c:formatCode>0.00%</c:formatCode>
                <c:ptCount val="11"/>
                <c:pt idx="0">
                  <c:v>7.5614366729678641E-3</c:v>
                </c:pt>
                <c:pt idx="1">
                  <c:v>5.6710775047258983E-3</c:v>
                </c:pt>
                <c:pt idx="2">
                  <c:v>7.5141776937618143E-2</c:v>
                </c:pt>
                <c:pt idx="3">
                  <c:v>2.8355387523629491E-3</c:v>
                </c:pt>
                <c:pt idx="4">
                  <c:v>2.835538752362949E-2</c:v>
                </c:pt>
                <c:pt idx="5">
                  <c:v>1.2759924385633271E-2</c:v>
                </c:pt>
                <c:pt idx="6">
                  <c:v>1.8431001890359167E-2</c:v>
                </c:pt>
                <c:pt idx="7">
                  <c:v>1.5595463137996219E-2</c:v>
                </c:pt>
                <c:pt idx="8">
                  <c:v>2.3156899810964082E-2</c:v>
                </c:pt>
                <c:pt idx="9">
                  <c:v>8.9792060491493391E-3</c:v>
                </c:pt>
                <c:pt idx="10">
                  <c:v>6.6162570888468808E-3</c:v>
                </c:pt>
              </c:numCache>
            </c:numRef>
          </c:val>
        </c:ser>
        <c:ser>
          <c:idx val="0"/>
          <c:order val="0"/>
          <c:tx>
            <c:strRef>
              <c:f>competidores!$C$5</c:f>
              <c:strCache>
                <c:ptCount val="1"/>
                <c:pt idx="0">
                  <c:v>clientes</c:v>
                </c:pt>
              </c:strCache>
            </c:strRef>
          </c:tx>
          <c:explosion val="25"/>
          <c:cat>
            <c:strRef>
              <c:f>competidores!$B$6:$B$16</c:f>
              <c:strCache>
                <c:ptCount val="11"/>
                <c:pt idx="0">
                  <c:v>Creativosecuador</c:v>
                </c:pt>
                <c:pt idx="1">
                  <c:v>Blackbox</c:v>
                </c:pt>
                <c:pt idx="2">
                  <c:v>Paginaswebecuador</c:v>
                </c:pt>
                <c:pt idx="3">
                  <c:v>Misitio-web</c:v>
                </c:pt>
                <c:pt idx="4">
                  <c:v>Aaconsulting</c:v>
                </c:pt>
                <c:pt idx="5">
                  <c:v>Webagencydesign</c:v>
                </c:pt>
                <c:pt idx="6">
                  <c:v>Geeks</c:v>
                </c:pt>
                <c:pt idx="7">
                  <c:v>Aagencia laika</c:v>
                </c:pt>
                <c:pt idx="8">
                  <c:v>Notuslink</c:v>
                </c:pt>
                <c:pt idx="9">
                  <c:v>Comunadigital</c:v>
                </c:pt>
                <c:pt idx="10">
                  <c:v>Daganet</c:v>
                </c:pt>
              </c:strCache>
            </c:strRef>
          </c:cat>
          <c:val>
            <c:numRef>
              <c:f>competidores!$C$6:$C$16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603360</xdr:colOff>
      <xdr:row>40</xdr:row>
      <xdr:rowOff>130680</xdr:rowOff>
    </xdr:from>
    <xdr:to>
      <xdr:col>28</xdr:col>
      <xdr:colOff>382680</xdr:colOff>
      <xdr:row>55</xdr:row>
      <xdr:rowOff>15120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603360</xdr:colOff>
      <xdr:row>40</xdr:row>
      <xdr:rowOff>130680</xdr:rowOff>
    </xdr:from>
    <xdr:to>
      <xdr:col>28</xdr:col>
      <xdr:colOff>382680</xdr:colOff>
      <xdr:row>55</xdr:row>
      <xdr:rowOff>15120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4762</xdr:rowOff>
    </xdr:from>
    <xdr:to>
      <xdr:col>9</xdr:col>
      <xdr:colOff>228600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ticulo.mercadolibre.com.ec/MEC-403459621-aire-acond-split-lg-12000-btu-cr-sincaneria-sj122cd-sc-_JM" TargetMode="External"/><Relationship Id="rId3" Type="http://schemas.openxmlformats.org/officeDocument/2006/relationships/hyperlink" Target="http://articulo.mercadolibre.com.ec/MEC-403594753-regulador-de-voltaje-forza-fvr-1211b-1200va-600w-110v-_JM" TargetMode="External"/><Relationship Id="rId7" Type="http://schemas.openxmlformats.org/officeDocument/2006/relationships/hyperlink" Target="http://articulo.mercadolibre.com.ec/MEC-403525218-sillas-giratorias-sillones-elegantes-oficina-hogar-economica-_JM" TargetMode="External"/><Relationship Id="rId2" Type="http://schemas.openxmlformats.org/officeDocument/2006/relationships/hyperlink" Target="http://articulo.mercadolibre.com.ec/MEC-403581562-mesa-escritorio-pc-platinum-mod-424-linea-oficina-caja-_JM" TargetMode="External"/><Relationship Id="rId1" Type="http://schemas.openxmlformats.org/officeDocument/2006/relationships/hyperlink" Target="http://articulo.mercadolibre.com.ec/MEC-403755320-computador-g2030-30-ideal-para-tu-cyber-casa-u-oficina-_JM" TargetMode="External"/><Relationship Id="rId6" Type="http://schemas.openxmlformats.org/officeDocument/2006/relationships/hyperlink" Target="http://articulo.mercadolibre.com.ec/MEC-403828119-telefono-ip-sip-fanvil-c56p-certificado-elastix-_JM" TargetMode="External"/><Relationship Id="rId11" Type="http://schemas.openxmlformats.org/officeDocument/2006/relationships/hyperlink" Target="http://articulo.mercadolibre.com.ec/MEC-403449251-camara-ip-inalambrica-wifi-dia-y-noche-audio-bidereccional-_JM" TargetMode="External"/><Relationship Id="rId5" Type="http://schemas.openxmlformats.org/officeDocument/2006/relationships/hyperlink" Target="http://articulo.mercadolibre.com.ec/MEC-403453689-vendo-mesa-redonda-de-reunion-_JM" TargetMode="External"/><Relationship Id="rId10" Type="http://schemas.openxmlformats.org/officeDocument/2006/relationships/hyperlink" Target="http://articulo.mercadolibre.com.ec/MEC-403602433-proyector-epson-s12-2800-lum-usb-vga-3lcdmaletingarantia-_JM" TargetMode="External"/><Relationship Id="rId4" Type="http://schemas.openxmlformats.org/officeDocument/2006/relationships/hyperlink" Target="http://articulo.mercadolibre.com.ec/MEC-403732847-impresora-multifuncion-epson-xp300-wifi-_JM" TargetMode="External"/><Relationship Id="rId9" Type="http://schemas.openxmlformats.org/officeDocument/2006/relationships/hyperlink" Target="http://articulo.mercadolibre.com.ec/MEC-403756110-juego-de-sala-lounge-299-_J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ecnologia.comohacerpara.com/m/n1691/como-conocer-el-consumo-de-mi-computadora.html" TargetMode="External"/><Relationship Id="rId2" Type="http://schemas.openxmlformats.org/officeDocument/2006/relationships/hyperlink" Target="http://www.conelec.gob.ec/images/documentos/PME0920CAP5.pdf&#8206;" TargetMode="External"/><Relationship Id="rId1" Type="http://schemas.openxmlformats.org/officeDocument/2006/relationships/hyperlink" Target="http://www.conelec.gob.ec/images/documentos/PME0920CAP5.pdf&#8206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puzone.com.ec/producto.php?prodcod=502" TargetMode="External"/><Relationship Id="rId13" Type="http://schemas.openxmlformats.org/officeDocument/2006/relationships/hyperlink" Target="http://articulo.mercadolibre.com.ec/MEC-403702915-router-wireless-n-cisco-rv110w-wifi-tuneles-vpn-firewall-_JM" TargetMode="External"/><Relationship Id="rId3" Type="http://schemas.openxmlformats.org/officeDocument/2006/relationships/hyperlink" Target="https://www.dropbox.com/business/pricing" TargetMode="External"/><Relationship Id="rId7" Type="http://schemas.openxmlformats.org/officeDocument/2006/relationships/hyperlink" Target="http://articulo.mercadolibre.com.ec/MEC-403544967-switch-tp-link-24-ports-10100mbps-tl-sf1024-_JM" TargetMode="External"/><Relationship Id="rId12" Type="http://schemas.openxmlformats.org/officeDocument/2006/relationships/hyperlink" Target="http://articulo.mercadolibre.com.ec/MEC-403676823-cajetin-con-jack-rj-45-categoria-5e-_JM" TargetMode="External"/><Relationship Id="rId2" Type="http://schemas.openxmlformats.org/officeDocument/2006/relationships/hyperlink" Target="https://creative.adobe.com/plans" TargetMode="External"/><Relationship Id="rId1" Type="http://schemas.openxmlformats.org/officeDocument/2006/relationships/hyperlink" Target="http://www.godaddy.com/es/hosting/web-hosting-new.aspx?isc=gtnila43" TargetMode="External"/><Relationship Id="rId6" Type="http://schemas.openxmlformats.org/officeDocument/2006/relationships/hyperlink" Target="http://mailchimp.com/pricing/growing-business/" TargetMode="External"/><Relationship Id="rId11" Type="http://schemas.openxmlformats.org/officeDocument/2006/relationships/hyperlink" Target="http://articulo.mercadolibre.com.ec/MEC-403810324-faceplate-de-1-toma-para-jack-de-redes-rj-45-_JM" TargetMode="External"/><Relationship Id="rId5" Type="http://schemas.openxmlformats.org/officeDocument/2006/relationships/hyperlink" Target="http://www.eluniverso.com/publicidad/tarifas.htm" TargetMode="External"/><Relationship Id="rId10" Type="http://schemas.openxmlformats.org/officeDocument/2006/relationships/hyperlink" Target="http://articulo.mercadolibre.com.ec/MEC-403628473-ponchadora-profesional-para-rj-45-rj-11-rj-12-con-cortadora-_JM" TargetMode="External"/><Relationship Id="rId4" Type="http://schemas.openxmlformats.org/officeDocument/2006/relationships/hyperlink" Target="https://adwords.google.com/cm/CampaignMgmt?__u=6374155850&amp;__c=2251610930" TargetMode="External"/><Relationship Id="rId9" Type="http://schemas.openxmlformats.org/officeDocument/2006/relationships/hyperlink" Target="http://articulo.mercadolibre.com.ec/MEC-403862863-caja-cable-utp-categoria-5e-305m-color-gris-red-cyber-hogar-_JM" TargetMode="External"/><Relationship Id="rId14" Type="http://schemas.openxmlformats.org/officeDocument/2006/relationships/hyperlink" Target="http://articulo.mercadolibre.com.ec/MEC-403674492-rack-abierto-de-piso-encapsulado-36ur-72plg-beaucoup-i-1044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G11:J26"/>
  <sheetViews>
    <sheetView topLeftCell="A9" zoomScaleNormal="100" workbookViewId="0">
      <selection activeCell="C32" sqref="C32"/>
    </sheetView>
  </sheetViews>
  <sheetFormatPr baseColWidth="10" defaultColWidth="9.140625" defaultRowHeight="15" x14ac:dyDescent="0.25"/>
  <cols>
    <col min="1" max="6" width="11.42578125"/>
    <col min="7" max="7" width="32.42578125"/>
    <col min="8" max="8" width="11.42578125"/>
    <col min="9" max="9" width="12.7109375"/>
    <col min="10" max="1025" width="11.42578125"/>
  </cols>
  <sheetData>
    <row r="11" spans="7:10" x14ac:dyDescent="0.25">
      <c r="G11" s="1" t="s">
        <v>0</v>
      </c>
      <c r="H11" s="1" t="s">
        <v>1</v>
      </c>
      <c r="I11" s="1" t="s">
        <v>2</v>
      </c>
    </row>
    <row r="12" spans="7:10" ht="27" customHeight="1" x14ac:dyDescent="0.25">
      <c r="G12" s="2" t="s">
        <v>3</v>
      </c>
      <c r="H12">
        <v>395</v>
      </c>
      <c r="J12" s="3" t="s">
        <v>4</v>
      </c>
    </row>
    <row r="13" spans="7:10" x14ac:dyDescent="0.25">
      <c r="G13" t="s">
        <v>5</v>
      </c>
      <c r="H13">
        <v>79</v>
      </c>
      <c r="J13" s="3" t="s">
        <v>6</v>
      </c>
    </row>
    <row r="14" spans="7:10" x14ac:dyDescent="0.25">
      <c r="G14" t="s">
        <v>7</v>
      </c>
      <c r="H14">
        <v>17.5</v>
      </c>
      <c r="J14" s="3" t="s">
        <v>8</v>
      </c>
    </row>
    <row r="15" spans="7:10" x14ac:dyDescent="0.25">
      <c r="G15" t="s">
        <v>9</v>
      </c>
      <c r="H15">
        <v>165</v>
      </c>
      <c r="J15" s="3" t="s">
        <v>10</v>
      </c>
    </row>
    <row r="16" spans="7:10" ht="30" x14ac:dyDescent="0.25">
      <c r="G16" s="2" t="s">
        <v>11</v>
      </c>
      <c r="H16">
        <v>150</v>
      </c>
      <c r="J16" s="3" t="s">
        <v>12</v>
      </c>
    </row>
    <row r="17" spans="7:10" x14ac:dyDescent="0.25">
      <c r="G17" t="s">
        <v>13</v>
      </c>
      <c r="H17">
        <v>89</v>
      </c>
      <c r="J17" s="3" t="s">
        <v>14</v>
      </c>
    </row>
    <row r="18" spans="7:10" x14ac:dyDescent="0.25">
      <c r="G18" t="s">
        <v>15</v>
      </c>
      <c r="H18">
        <v>43</v>
      </c>
      <c r="J18" s="3" t="s">
        <v>16</v>
      </c>
    </row>
    <row r="19" spans="7:10" x14ac:dyDescent="0.25">
      <c r="G19" t="s">
        <v>17</v>
      </c>
      <c r="H19">
        <v>550</v>
      </c>
      <c r="J19" s="3" t="s">
        <v>18</v>
      </c>
    </row>
    <row r="20" spans="7:10" x14ac:dyDescent="0.25">
      <c r="G20" t="s">
        <v>19</v>
      </c>
      <c r="H20">
        <v>299.99</v>
      </c>
      <c r="J20" s="3" t="s">
        <v>20</v>
      </c>
    </row>
    <row r="21" spans="7:10" x14ac:dyDescent="0.25">
      <c r="G21" t="s">
        <v>21</v>
      </c>
      <c r="H21">
        <v>547.99</v>
      </c>
      <c r="J21" s="3" t="s">
        <v>22</v>
      </c>
    </row>
    <row r="22" spans="7:10" x14ac:dyDescent="0.25">
      <c r="G22" t="s">
        <v>23</v>
      </c>
      <c r="H22">
        <v>70.3</v>
      </c>
      <c r="J22" s="3" t="s">
        <v>24</v>
      </c>
    </row>
    <row r="23" spans="7:10" x14ac:dyDescent="0.25">
      <c r="G23" t="s">
        <v>25</v>
      </c>
    </row>
    <row r="24" spans="7:10" x14ac:dyDescent="0.25">
      <c r="G24" t="s">
        <v>26</v>
      </c>
    </row>
    <row r="25" spans="7:10" x14ac:dyDescent="0.25">
      <c r="G25" t="s">
        <v>27</v>
      </c>
    </row>
    <row r="26" spans="7:10" x14ac:dyDescent="0.25">
      <c r="G26" t="s">
        <v>28</v>
      </c>
    </row>
  </sheetData>
  <hyperlinks>
    <hyperlink ref="J12" r:id="rId1"/>
    <hyperlink ref="J13" r:id="rId2"/>
    <hyperlink ref="J14" r:id="rId3"/>
    <hyperlink ref="J15" r:id="rId4"/>
    <hyperlink ref="J16" r:id="rId5"/>
    <hyperlink ref="J17" r:id="rId6"/>
    <hyperlink ref="J18" r:id="rId7"/>
    <hyperlink ref="J19" r:id="rId8"/>
    <hyperlink ref="J20" r:id="rId9"/>
    <hyperlink ref="J21" r:id="rId10"/>
    <hyperlink ref="J22" r:id="rId1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6:F15"/>
  <sheetViews>
    <sheetView zoomScaleNormal="100" workbookViewId="0">
      <selection activeCell="F8" sqref="F8"/>
    </sheetView>
  </sheetViews>
  <sheetFormatPr baseColWidth="10" defaultColWidth="9.140625" defaultRowHeight="15" x14ac:dyDescent="0.25"/>
  <cols>
    <col min="1" max="4" width="11.42578125"/>
    <col min="5" max="5" width="24.140625"/>
    <col min="6" max="1025" width="11.42578125"/>
  </cols>
  <sheetData>
    <row r="6" spans="5:6" x14ac:dyDescent="0.25">
      <c r="E6" s="38" t="s">
        <v>159</v>
      </c>
      <c r="F6" s="41" t="s">
        <v>287</v>
      </c>
    </row>
    <row r="7" spans="5:6" x14ac:dyDescent="0.25">
      <c r="E7" s="42" t="s">
        <v>162</v>
      </c>
      <c r="F7" s="93">
        <f>'valores activos fijos cantidad'!H23</f>
        <v>7047.08</v>
      </c>
    </row>
    <row r="8" spans="5:6" x14ac:dyDescent="0.25">
      <c r="E8" s="42" t="s">
        <v>163</v>
      </c>
      <c r="F8" s="94">
        <f>'capital trabajo'!F46</f>
        <v>30597.853999999999</v>
      </c>
    </row>
    <row r="9" spans="5:6" x14ac:dyDescent="0.25">
      <c r="E9" s="42" t="s">
        <v>164</v>
      </c>
      <c r="F9" s="94">
        <f>'gastos puestos en marcha'!AN21</f>
        <v>8837.408159999999</v>
      </c>
    </row>
    <row r="10" spans="5:6" x14ac:dyDescent="0.25">
      <c r="E10" s="45" t="s">
        <v>165</v>
      </c>
      <c r="F10" s="94">
        <f>SUM(F7:F9)</f>
        <v>46482.34216</v>
      </c>
    </row>
    <row r="15" spans="5:6" x14ac:dyDescent="0.25">
      <c r="E15" s="38"/>
      <c r="F15" s="4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8:N43"/>
  <sheetViews>
    <sheetView zoomScaleNormal="100" workbookViewId="0">
      <selection activeCell="E10" sqref="E10"/>
    </sheetView>
  </sheetViews>
  <sheetFormatPr baseColWidth="10" defaultColWidth="9.140625" defaultRowHeight="15" x14ac:dyDescent="0.25"/>
  <cols>
    <col min="1" max="4" width="11.42578125"/>
    <col min="5" max="5" width="29.7109375"/>
    <col min="6" max="6" width="9.85546875"/>
    <col min="7" max="1025" width="11.42578125"/>
  </cols>
  <sheetData>
    <row r="8" spans="5:14" x14ac:dyDescent="0.25">
      <c r="E8" s="5" t="s">
        <v>0</v>
      </c>
      <c r="F8" s="95" t="s">
        <v>1</v>
      </c>
      <c r="G8" s="95" t="s">
        <v>288</v>
      </c>
      <c r="H8" s="95" t="s">
        <v>51</v>
      </c>
    </row>
    <row r="9" spans="5:14" ht="30" x14ac:dyDescent="0.25">
      <c r="E9" s="96" t="s">
        <v>3</v>
      </c>
      <c r="F9" s="96">
        <v>395</v>
      </c>
      <c r="G9" s="97">
        <f>'gastos totales'!D76</f>
        <v>5</v>
      </c>
      <c r="H9" s="96">
        <f t="shared" ref="H9:H15" si="0">F9*G9</f>
        <v>1975</v>
      </c>
      <c r="M9" s="96"/>
      <c r="N9" s="96"/>
    </row>
    <row r="10" spans="5:14" x14ac:dyDescent="0.25">
      <c r="E10" s="96" t="s">
        <v>5</v>
      </c>
      <c r="F10" s="96">
        <v>79</v>
      </c>
      <c r="G10" s="97">
        <f>'gastos totales'!D76</f>
        <v>5</v>
      </c>
      <c r="H10" s="96">
        <f t="shared" si="0"/>
        <v>395</v>
      </c>
      <c r="M10" s="96"/>
      <c r="N10" s="96"/>
    </row>
    <row r="11" spans="5:14" x14ac:dyDescent="0.25">
      <c r="E11" s="96" t="s">
        <v>7</v>
      </c>
      <c r="F11" s="96">
        <v>17.5</v>
      </c>
      <c r="G11" s="97">
        <f>'gastos totales'!D76</f>
        <v>5</v>
      </c>
      <c r="H11" s="96">
        <f t="shared" si="0"/>
        <v>87.5</v>
      </c>
      <c r="M11" s="96"/>
      <c r="N11" s="96"/>
    </row>
    <row r="12" spans="5:14" x14ac:dyDescent="0.25">
      <c r="E12" s="96" t="s">
        <v>9</v>
      </c>
      <c r="F12" s="96">
        <v>165</v>
      </c>
      <c r="G12" s="96">
        <v>2</v>
      </c>
      <c r="H12" s="96">
        <f t="shared" si="0"/>
        <v>330</v>
      </c>
      <c r="M12" s="96"/>
      <c r="N12" s="96"/>
    </row>
    <row r="13" spans="5:14" ht="30" x14ac:dyDescent="0.25">
      <c r="E13" s="96" t="s">
        <v>11</v>
      </c>
      <c r="F13" s="96">
        <v>150</v>
      </c>
      <c r="G13" s="96">
        <v>2</v>
      </c>
      <c r="H13" s="96">
        <f t="shared" si="0"/>
        <v>300</v>
      </c>
      <c r="M13" s="96"/>
      <c r="N13" s="96"/>
    </row>
    <row r="14" spans="5:14" x14ac:dyDescent="0.25">
      <c r="E14" s="96" t="s">
        <v>13</v>
      </c>
      <c r="F14" s="96">
        <v>89</v>
      </c>
      <c r="G14" s="96">
        <v>2</v>
      </c>
      <c r="H14" s="96">
        <f t="shared" si="0"/>
        <v>178</v>
      </c>
      <c r="M14" s="96"/>
      <c r="N14" s="96"/>
    </row>
    <row r="15" spans="5:14" x14ac:dyDescent="0.25">
      <c r="E15" s="96" t="s">
        <v>15</v>
      </c>
      <c r="F15" s="96">
        <v>43</v>
      </c>
      <c r="G15" s="97">
        <f>'gastos totales'!D76</f>
        <v>5</v>
      </c>
      <c r="H15" s="96">
        <f t="shared" si="0"/>
        <v>215</v>
      </c>
      <c r="M15" s="96"/>
      <c r="N15" s="96"/>
    </row>
    <row r="16" spans="5:14" x14ac:dyDescent="0.25">
      <c r="E16" s="96" t="s">
        <v>17</v>
      </c>
      <c r="F16" s="96">
        <v>550</v>
      </c>
      <c r="G16" s="96">
        <f>ROUND(G11/6,0)</f>
        <v>1</v>
      </c>
      <c r="H16" s="96">
        <f>(F16*G16)</f>
        <v>550</v>
      </c>
      <c r="M16" s="96"/>
      <c r="N16" s="96"/>
    </row>
    <row r="17" spans="5:14" x14ac:dyDescent="0.25">
      <c r="E17" s="96" t="s">
        <v>19</v>
      </c>
      <c r="F17" s="96">
        <v>299.99</v>
      </c>
      <c r="G17" s="96">
        <v>1</v>
      </c>
      <c r="H17" s="96">
        <f t="shared" ref="H17:H22" si="1">F17*G17</f>
        <v>299.99</v>
      </c>
      <c r="M17" s="96"/>
      <c r="N17" s="96"/>
    </row>
    <row r="18" spans="5:14" x14ac:dyDescent="0.25">
      <c r="E18" s="96" t="s">
        <v>21</v>
      </c>
      <c r="F18" s="96">
        <v>547.99</v>
      </c>
      <c r="G18" s="96">
        <v>1</v>
      </c>
      <c r="H18" s="96">
        <f t="shared" si="1"/>
        <v>547.99</v>
      </c>
      <c r="M18" s="96"/>
      <c r="N18" s="96"/>
    </row>
    <row r="19" spans="5:14" x14ac:dyDescent="0.25">
      <c r="E19" s="96" t="s">
        <v>23</v>
      </c>
      <c r="F19" s="96">
        <v>70.3</v>
      </c>
      <c r="G19" s="96">
        <v>2</v>
      </c>
      <c r="H19" s="96">
        <f t="shared" si="1"/>
        <v>140.6</v>
      </c>
      <c r="M19" s="96"/>
      <c r="N19" s="96"/>
    </row>
    <row r="20" spans="5:14" x14ac:dyDescent="0.25">
      <c r="E20" s="96" t="s">
        <v>289</v>
      </c>
      <c r="F20" s="96">
        <v>40</v>
      </c>
      <c r="G20" s="96">
        <v>1</v>
      </c>
      <c r="H20" s="96">
        <f t="shared" si="1"/>
        <v>40</v>
      </c>
      <c r="M20" s="96"/>
      <c r="N20" s="96"/>
    </row>
    <row r="21" spans="5:14" x14ac:dyDescent="0.25">
      <c r="E21" s="96" t="s">
        <v>26</v>
      </c>
      <c r="F21" s="96">
        <v>34</v>
      </c>
      <c r="G21" s="96">
        <v>2</v>
      </c>
      <c r="H21" s="96">
        <f t="shared" si="1"/>
        <v>68</v>
      </c>
      <c r="M21" s="96"/>
      <c r="N21" s="96"/>
    </row>
    <row r="22" spans="5:14" x14ac:dyDescent="0.25">
      <c r="E22" s="96" t="s">
        <v>27</v>
      </c>
      <c r="F22" s="96">
        <v>960</v>
      </c>
      <c r="G22" s="96">
        <v>2</v>
      </c>
      <c r="H22" s="96">
        <f t="shared" si="1"/>
        <v>1920</v>
      </c>
    </row>
    <row r="23" spans="5:14" x14ac:dyDescent="0.25">
      <c r="E23" s="96" t="s">
        <v>290</v>
      </c>
      <c r="F23" s="96"/>
      <c r="G23" s="96"/>
      <c r="H23" s="96">
        <f>SUM(H9:H22)</f>
        <v>7047.08</v>
      </c>
    </row>
    <row r="27" spans="5:14" x14ac:dyDescent="0.25">
      <c r="E27" s="98"/>
      <c r="J27" s="5" t="s">
        <v>0</v>
      </c>
      <c r="K27" s="95" t="s">
        <v>1</v>
      </c>
    </row>
    <row r="28" spans="5:14" ht="75" x14ac:dyDescent="0.25">
      <c r="J28" s="96" t="s">
        <v>3</v>
      </c>
      <c r="K28">
        <v>4740</v>
      </c>
      <c r="L28">
        <v>4740</v>
      </c>
    </row>
    <row r="29" spans="5:14" ht="45" x14ac:dyDescent="0.25">
      <c r="J29" s="96" t="s">
        <v>5</v>
      </c>
      <c r="K29">
        <v>948</v>
      </c>
      <c r="L29">
        <v>948</v>
      </c>
    </row>
    <row r="30" spans="5:14" ht="30" x14ac:dyDescent="0.25">
      <c r="J30" s="96" t="s">
        <v>7</v>
      </c>
      <c r="K30">
        <v>210</v>
      </c>
      <c r="L30">
        <v>210</v>
      </c>
    </row>
    <row r="31" spans="5:14" ht="30" x14ac:dyDescent="0.25">
      <c r="J31" s="96" t="s">
        <v>9</v>
      </c>
      <c r="K31">
        <v>330</v>
      </c>
      <c r="L31">
        <v>330</v>
      </c>
    </row>
    <row r="32" spans="5:14" ht="75" x14ac:dyDescent="0.25">
      <c r="J32" s="96" t="s">
        <v>11</v>
      </c>
      <c r="K32">
        <v>150</v>
      </c>
      <c r="L32">
        <v>150</v>
      </c>
    </row>
    <row r="33" spans="10:12" x14ac:dyDescent="0.25">
      <c r="J33" s="96" t="s">
        <v>13</v>
      </c>
      <c r="K33">
        <v>178</v>
      </c>
      <c r="L33">
        <v>178</v>
      </c>
    </row>
    <row r="34" spans="10:12" ht="30" x14ac:dyDescent="0.25">
      <c r="J34" s="96" t="s">
        <v>15</v>
      </c>
      <c r="K34">
        <v>516</v>
      </c>
      <c r="L34">
        <v>516</v>
      </c>
    </row>
    <row r="35" spans="10:12" ht="45" x14ac:dyDescent="0.25">
      <c r="J35" s="96" t="s">
        <v>17</v>
      </c>
      <c r="K35">
        <v>1100</v>
      </c>
      <c r="L35">
        <v>1100</v>
      </c>
    </row>
    <row r="36" spans="10:12" x14ac:dyDescent="0.25">
      <c r="J36" s="96" t="s">
        <v>19</v>
      </c>
      <c r="K36">
        <v>299.99</v>
      </c>
      <c r="L36">
        <v>299.99</v>
      </c>
    </row>
    <row r="37" spans="10:12" x14ac:dyDescent="0.25">
      <c r="J37" s="96" t="s">
        <v>21</v>
      </c>
      <c r="K37">
        <v>547.99</v>
      </c>
      <c r="L37">
        <v>547.99</v>
      </c>
    </row>
    <row r="38" spans="10:12" x14ac:dyDescent="0.25">
      <c r="J38" s="96" t="s">
        <v>23</v>
      </c>
      <c r="K38">
        <v>140.6</v>
      </c>
      <c r="L38">
        <v>140.6</v>
      </c>
    </row>
    <row r="39" spans="10:12" ht="30" x14ac:dyDescent="0.25">
      <c r="J39" s="96" t="s">
        <v>289</v>
      </c>
      <c r="K39">
        <v>40</v>
      </c>
      <c r="L39">
        <v>40</v>
      </c>
    </row>
    <row r="40" spans="10:12" x14ac:dyDescent="0.25">
      <c r="J40" s="96" t="s">
        <v>26</v>
      </c>
      <c r="K40">
        <v>68</v>
      </c>
      <c r="L40">
        <v>68</v>
      </c>
    </row>
    <row r="41" spans="10:12" x14ac:dyDescent="0.25">
      <c r="J41" s="96"/>
    </row>
    <row r="42" spans="10:12" x14ac:dyDescent="0.25">
      <c r="J42" s="96" t="s">
        <v>27</v>
      </c>
      <c r="K42">
        <v>1920</v>
      </c>
      <c r="L42">
        <v>1920</v>
      </c>
    </row>
    <row r="43" spans="10:12" x14ac:dyDescent="0.25">
      <c r="J43" s="96" t="s">
        <v>290</v>
      </c>
      <c r="K43" s="9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AU90"/>
  <sheetViews>
    <sheetView topLeftCell="A7" zoomScaleNormal="100" workbookViewId="0">
      <selection activeCell="B10" sqref="B10:L10"/>
    </sheetView>
  </sheetViews>
  <sheetFormatPr baseColWidth="10" defaultColWidth="9.140625" defaultRowHeight="15" x14ac:dyDescent="0.25"/>
  <cols>
    <col min="1" max="1" width="11.42578125"/>
    <col min="2" max="2" width="38.85546875"/>
    <col min="3" max="4" width="6.5703125"/>
    <col min="5" max="9" width="7.42578125"/>
    <col min="10" max="10" width="8.28515625"/>
    <col min="11" max="11" width="8.85546875"/>
    <col min="12" max="12" width="7.42578125"/>
    <col min="13" max="13" width="8.5703125"/>
    <col min="14" max="14" width="9.42578125"/>
    <col min="15" max="15" width="11.42578125"/>
    <col min="16" max="16" width="17.5703125"/>
    <col min="17" max="17" width="6.140625"/>
    <col min="18" max="18" width="27.5703125"/>
    <col min="19" max="19" width="7.85546875"/>
    <col min="20" max="20" width="8.140625"/>
    <col min="21" max="1025" width="11.42578125"/>
  </cols>
  <sheetData>
    <row r="1" spans="2:32" x14ac:dyDescent="0.25">
      <c r="F1" t="s">
        <v>218</v>
      </c>
    </row>
    <row r="9" spans="2:32" x14ac:dyDescent="0.25">
      <c r="P9" s="1" t="s">
        <v>66</v>
      </c>
      <c r="Q9" s="4">
        <v>0.7</v>
      </c>
    </row>
    <row r="10" spans="2:32" x14ac:dyDescent="0.25">
      <c r="B10" s="55"/>
      <c r="C10" s="56"/>
      <c r="D10" s="56"/>
      <c r="E10" s="15">
        <v>2014</v>
      </c>
      <c r="F10" s="15">
        <v>2015</v>
      </c>
      <c r="G10" s="15">
        <v>2016</v>
      </c>
      <c r="H10" s="15">
        <v>2017</v>
      </c>
      <c r="I10" s="15">
        <v>2018</v>
      </c>
      <c r="J10" s="15">
        <v>2019</v>
      </c>
      <c r="K10" s="15">
        <v>2020</v>
      </c>
      <c r="L10" s="15">
        <v>2021</v>
      </c>
      <c r="M10" s="15">
        <v>2022</v>
      </c>
      <c r="N10" s="15">
        <v>2023</v>
      </c>
      <c r="P10" s="1" t="s">
        <v>68</v>
      </c>
      <c r="Q10">
        <v>929</v>
      </c>
    </row>
    <row r="11" spans="2:32" x14ac:dyDescent="0.25">
      <c r="B11" s="24" t="s">
        <v>219</v>
      </c>
      <c r="C11" s="57"/>
      <c r="D11" s="57"/>
      <c r="E11" s="58">
        <f>ROUND(Q10*$Q$11,0)</f>
        <v>4</v>
      </c>
      <c r="F11" s="57">
        <f>ROUND(E11+(E11*$Q$9),0)</f>
        <v>7</v>
      </c>
      <c r="G11" s="57">
        <f>ROUND(F11+(F11*$Q$9),0)</f>
        <v>12</v>
      </c>
      <c r="H11" s="37">
        <f t="shared" ref="H11:N11" si="0">TREND(E11:G11,E10:G10,H10)</f>
        <v>15.66666666666697</v>
      </c>
      <c r="I11" s="37">
        <f t="shared" si="0"/>
        <v>20.222222222224445</v>
      </c>
      <c r="J11" s="37">
        <f t="shared" si="0"/>
        <v>24.185185185187947</v>
      </c>
      <c r="K11" s="37">
        <f t="shared" si="0"/>
        <v>28.543209876548644</v>
      </c>
      <c r="L11" s="37">
        <f t="shared" si="0"/>
        <v>32.637860082311818</v>
      </c>
      <c r="M11" s="37">
        <f t="shared" si="0"/>
        <v>36.908093278472734</v>
      </c>
      <c r="N11" s="37">
        <f t="shared" si="0"/>
        <v>41.061271147700609</v>
      </c>
      <c r="O11" s="59"/>
      <c r="P11" t="s">
        <v>69</v>
      </c>
      <c r="Q11" s="20">
        <v>4.0000000000000001E-3</v>
      </c>
    </row>
    <row r="12" spans="2:32" ht="15.75" customHeight="1" x14ac:dyDescent="0.25">
      <c r="B12" s="15" t="s">
        <v>220</v>
      </c>
      <c r="C12" s="130" t="s">
        <v>202</v>
      </c>
      <c r="D12" s="130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9"/>
      <c r="W12" s="21">
        <f t="shared" ref="W12:AF12" si="1">$E$10</f>
        <v>2014</v>
      </c>
      <c r="X12" s="21">
        <f t="shared" si="1"/>
        <v>2014</v>
      </c>
      <c r="Y12" s="21">
        <f t="shared" si="1"/>
        <v>2014</v>
      </c>
      <c r="Z12" s="21">
        <f t="shared" si="1"/>
        <v>2014</v>
      </c>
      <c r="AA12" s="21">
        <f t="shared" si="1"/>
        <v>2014</v>
      </c>
      <c r="AB12" s="21">
        <f t="shared" si="1"/>
        <v>2014</v>
      </c>
      <c r="AC12" s="21">
        <f t="shared" si="1"/>
        <v>2014</v>
      </c>
      <c r="AD12" s="21">
        <f t="shared" si="1"/>
        <v>2014</v>
      </c>
      <c r="AE12" s="21">
        <f t="shared" si="1"/>
        <v>2014</v>
      </c>
      <c r="AF12" s="21">
        <f t="shared" si="1"/>
        <v>2014</v>
      </c>
    </row>
    <row r="13" spans="2:32" x14ac:dyDescent="0.25">
      <c r="B13" s="24" t="s">
        <v>221</v>
      </c>
      <c r="C13" s="131"/>
      <c r="D13" s="131"/>
      <c r="E13" s="58"/>
      <c r="F13" s="57"/>
      <c r="G13" s="58"/>
      <c r="H13" s="57"/>
      <c r="I13" s="58"/>
      <c r="J13" s="57"/>
      <c r="K13" s="58"/>
      <c r="L13" s="57"/>
      <c r="M13" s="58"/>
      <c r="N13" s="57"/>
      <c r="O13" s="59"/>
    </row>
    <row r="14" spans="2:32" x14ac:dyDescent="0.25">
      <c r="B14" s="24" t="s">
        <v>171</v>
      </c>
      <c r="C14" s="131">
        <v>0.1</v>
      </c>
      <c r="D14" s="131"/>
      <c r="E14" s="16">
        <f t="shared" ref="E14:N19" si="2">E$11*$C14</f>
        <v>0.4</v>
      </c>
      <c r="F14" s="16">
        <f t="shared" si="2"/>
        <v>0.70000000000000007</v>
      </c>
      <c r="G14" s="16">
        <f t="shared" si="2"/>
        <v>1.2000000000000002</v>
      </c>
      <c r="H14" s="16">
        <f t="shared" si="2"/>
        <v>1.5666666666666971</v>
      </c>
      <c r="I14" s="16">
        <f t="shared" si="2"/>
        <v>2.0222222222224446</v>
      </c>
      <c r="J14" s="16">
        <f t="shared" si="2"/>
        <v>2.4185185185187947</v>
      </c>
      <c r="K14" s="16">
        <f t="shared" si="2"/>
        <v>2.8543209876548645</v>
      </c>
      <c r="L14" s="16">
        <f t="shared" si="2"/>
        <v>3.263786008231182</v>
      </c>
      <c r="M14" s="16">
        <f t="shared" si="2"/>
        <v>3.6908093278472736</v>
      </c>
      <c r="N14" s="16">
        <f t="shared" si="2"/>
        <v>4.1061271147700609</v>
      </c>
      <c r="O14" s="59"/>
    </row>
    <row r="15" spans="2:32" x14ac:dyDescent="0.25">
      <c r="B15" s="24" t="s">
        <v>177</v>
      </c>
      <c r="C15" s="131">
        <v>0.2</v>
      </c>
      <c r="D15" s="131"/>
      <c r="E15" s="16">
        <f t="shared" si="2"/>
        <v>0.8</v>
      </c>
      <c r="F15" s="16">
        <f t="shared" si="2"/>
        <v>1.4000000000000001</v>
      </c>
      <c r="G15" s="16">
        <f t="shared" si="2"/>
        <v>2.4000000000000004</v>
      </c>
      <c r="H15" s="16">
        <f t="shared" si="2"/>
        <v>3.1333333333333941</v>
      </c>
      <c r="I15" s="16">
        <f t="shared" si="2"/>
        <v>4.0444444444448893</v>
      </c>
      <c r="J15" s="16">
        <f t="shared" si="2"/>
        <v>4.8370370370375895</v>
      </c>
      <c r="K15" s="16">
        <f t="shared" si="2"/>
        <v>5.7086419753097291</v>
      </c>
      <c r="L15" s="16">
        <f t="shared" si="2"/>
        <v>6.5275720164623641</v>
      </c>
      <c r="M15" s="16">
        <f t="shared" si="2"/>
        <v>7.3816186556945471</v>
      </c>
      <c r="N15" s="16">
        <f t="shared" si="2"/>
        <v>8.2122542295401217</v>
      </c>
      <c r="O15" s="59"/>
      <c r="R15" s="15" t="s">
        <v>222</v>
      </c>
      <c r="S15" s="15" t="s">
        <v>111</v>
      </c>
      <c r="T15" s="15" t="s">
        <v>112</v>
      </c>
      <c r="U15" s="15" t="s">
        <v>113</v>
      </c>
    </row>
    <row r="16" spans="2:32" x14ac:dyDescent="0.25">
      <c r="B16" s="24" t="s">
        <v>185</v>
      </c>
      <c r="C16" s="131">
        <v>0.1</v>
      </c>
      <c r="D16" s="131"/>
      <c r="E16" s="16">
        <f t="shared" si="2"/>
        <v>0.4</v>
      </c>
      <c r="F16" s="16">
        <f t="shared" si="2"/>
        <v>0.70000000000000007</v>
      </c>
      <c r="G16" s="16">
        <f t="shared" si="2"/>
        <v>1.2000000000000002</v>
      </c>
      <c r="H16" s="16">
        <f t="shared" si="2"/>
        <v>1.5666666666666971</v>
      </c>
      <c r="I16" s="16">
        <f t="shared" si="2"/>
        <v>2.0222222222224446</v>
      </c>
      <c r="J16" s="16">
        <f t="shared" si="2"/>
        <v>2.4185185185187947</v>
      </c>
      <c r="K16" s="16">
        <f t="shared" si="2"/>
        <v>2.8543209876548645</v>
      </c>
      <c r="L16" s="16">
        <f t="shared" si="2"/>
        <v>3.263786008231182</v>
      </c>
      <c r="M16" s="16">
        <f t="shared" si="2"/>
        <v>3.6908093278472736</v>
      </c>
      <c r="N16" s="16">
        <f t="shared" si="2"/>
        <v>4.1061271147700609</v>
      </c>
      <c r="O16" s="59"/>
      <c r="R16" s="15" t="s">
        <v>185</v>
      </c>
      <c r="S16" s="60">
        <f>(E16+F16+G16)*2</f>
        <v>4.6000000000000005</v>
      </c>
      <c r="T16" s="60">
        <f>(H16+I16+J16)*2</f>
        <v>12.014814814815873</v>
      </c>
      <c r="U16" s="60">
        <f>(K16+L16+M16)*2</f>
        <v>19.617832647466642</v>
      </c>
      <c r="W16" s="61">
        <f t="shared" ref="W16:AF16" si="3">E16*2</f>
        <v>0.8</v>
      </c>
      <c r="X16" s="61">
        <f t="shared" si="3"/>
        <v>1.4000000000000001</v>
      </c>
      <c r="Y16" s="61">
        <f t="shared" si="3"/>
        <v>2.4000000000000004</v>
      </c>
      <c r="Z16" s="61">
        <f t="shared" si="3"/>
        <v>3.1333333333333941</v>
      </c>
      <c r="AA16" s="61">
        <f t="shared" si="3"/>
        <v>4.0444444444448893</v>
      </c>
      <c r="AB16" s="61">
        <f t="shared" si="3"/>
        <v>4.8370370370375895</v>
      </c>
      <c r="AC16" s="61">
        <f t="shared" si="3"/>
        <v>5.7086419753097291</v>
      </c>
      <c r="AD16" s="61">
        <f t="shared" si="3"/>
        <v>6.5275720164623641</v>
      </c>
      <c r="AE16" s="61">
        <f t="shared" si="3"/>
        <v>7.3816186556945471</v>
      </c>
      <c r="AF16" s="61">
        <f t="shared" si="3"/>
        <v>8.2122542295401217</v>
      </c>
    </row>
    <row r="17" spans="2:47" x14ac:dyDescent="0.25">
      <c r="B17" s="24" t="s">
        <v>194</v>
      </c>
      <c r="C17" s="131">
        <v>0.05</v>
      </c>
      <c r="D17" s="131"/>
      <c r="E17" s="16">
        <f t="shared" si="2"/>
        <v>0.2</v>
      </c>
      <c r="F17" s="16">
        <f t="shared" si="2"/>
        <v>0.35000000000000003</v>
      </c>
      <c r="G17" s="16">
        <f t="shared" si="2"/>
        <v>0.60000000000000009</v>
      </c>
      <c r="H17" s="16">
        <f t="shared" si="2"/>
        <v>0.78333333333334854</v>
      </c>
      <c r="I17" s="16">
        <f t="shared" si="2"/>
        <v>1.0111111111112223</v>
      </c>
      <c r="J17" s="16">
        <f t="shared" si="2"/>
        <v>1.2092592592593974</v>
      </c>
      <c r="K17" s="16">
        <f t="shared" si="2"/>
        <v>1.4271604938274323</v>
      </c>
      <c r="L17" s="16">
        <f t="shared" si="2"/>
        <v>1.631893004115591</v>
      </c>
      <c r="M17" s="16">
        <f t="shared" si="2"/>
        <v>1.8454046639236368</v>
      </c>
      <c r="N17" s="16">
        <f t="shared" si="2"/>
        <v>2.0530635573850304</v>
      </c>
      <c r="R17" s="15" t="s">
        <v>194</v>
      </c>
      <c r="S17" s="60">
        <f>(E17+F17+G17)*4</f>
        <v>4.6000000000000005</v>
      </c>
      <c r="T17" s="60">
        <f>(H17+I17+J17)*4</f>
        <v>12.014814814815873</v>
      </c>
      <c r="U17" s="60">
        <f>(K17+L17+M17)*2</f>
        <v>9.808916323733321</v>
      </c>
      <c r="W17" s="61">
        <f t="shared" ref="W17:AF17" si="4">E17*4</f>
        <v>0.8</v>
      </c>
      <c r="X17" s="61">
        <f t="shared" si="4"/>
        <v>1.4000000000000001</v>
      </c>
      <c r="Y17" s="61">
        <f t="shared" si="4"/>
        <v>2.4000000000000004</v>
      </c>
      <c r="Z17" s="61">
        <f t="shared" si="4"/>
        <v>3.1333333333333941</v>
      </c>
      <c r="AA17" s="61">
        <f t="shared" si="4"/>
        <v>4.0444444444448893</v>
      </c>
      <c r="AB17" s="61">
        <f t="shared" si="4"/>
        <v>4.8370370370375895</v>
      </c>
      <c r="AC17" s="61">
        <f t="shared" si="4"/>
        <v>5.7086419753097291</v>
      </c>
      <c r="AD17" s="61">
        <f t="shared" si="4"/>
        <v>6.5275720164623641</v>
      </c>
      <c r="AE17" s="61">
        <f t="shared" si="4"/>
        <v>7.3816186556945471</v>
      </c>
      <c r="AF17" s="61">
        <f t="shared" si="4"/>
        <v>8.2122542295401217</v>
      </c>
      <c r="AT17" s="62">
        <v>0.1</v>
      </c>
      <c r="AU17" s="63"/>
    </row>
    <row r="18" spans="2:47" x14ac:dyDescent="0.25">
      <c r="B18" s="24" t="s">
        <v>223</v>
      </c>
      <c r="C18" s="131">
        <v>0.4</v>
      </c>
      <c r="D18" s="131"/>
      <c r="E18" s="16">
        <f t="shared" si="2"/>
        <v>1.6</v>
      </c>
      <c r="F18" s="16">
        <f t="shared" si="2"/>
        <v>2.8000000000000003</v>
      </c>
      <c r="G18" s="16">
        <f t="shared" si="2"/>
        <v>4.8000000000000007</v>
      </c>
      <c r="H18" s="16">
        <f t="shared" si="2"/>
        <v>6.2666666666667883</v>
      </c>
      <c r="I18" s="16">
        <f t="shared" si="2"/>
        <v>8.0888888888897785</v>
      </c>
      <c r="J18" s="16">
        <f t="shared" si="2"/>
        <v>9.6740740740751789</v>
      </c>
      <c r="K18" s="16">
        <f t="shared" si="2"/>
        <v>11.417283950619458</v>
      </c>
      <c r="L18" s="16">
        <f t="shared" si="2"/>
        <v>13.055144032924728</v>
      </c>
      <c r="M18" s="16">
        <f t="shared" si="2"/>
        <v>14.763237311389094</v>
      </c>
      <c r="N18" s="16">
        <f t="shared" si="2"/>
        <v>16.424508459080243</v>
      </c>
      <c r="R18" s="15" t="s">
        <v>192</v>
      </c>
      <c r="S18" s="60">
        <f>(E18+F18+G18)*2</f>
        <v>18.400000000000002</v>
      </c>
      <c r="T18" s="60">
        <f>(H18+I18+J18)*2</f>
        <v>48.059259259263492</v>
      </c>
      <c r="U18" s="60">
        <f>(K18+L18+M18)*2</f>
        <v>78.471330589866568</v>
      </c>
      <c r="W18" s="61">
        <f t="shared" ref="W18:AF18" si="5">E18*2</f>
        <v>3.2</v>
      </c>
      <c r="X18" s="61">
        <f t="shared" si="5"/>
        <v>5.6000000000000005</v>
      </c>
      <c r="Y18" s="61">
        <f t="shared" si="5"/>
        <v>9.6000000000000014</v>
      </c>
      <c r="Z18" s="61">
        <f t="shared" si="5"/>
        <v>12.533333333333577</v>
      </c>
      <c r="AA18" s="61">
        <f t="shared" si="5"/>
        <v>16.177777777779557</v>
      </c>
      <c r="AB18" s="61">
        <f t="shared" si="5"/>
        <v>19.348148148150358</v>
      </c>
      <c r="AC18" s="61">
        <f t="shared" si="5"/>
        <v>22.834567901238916</v>
      </c>
      <c r="AD18" s="61">
        <f t="shared" si="5"/>
        <v>26.110288065849456</v>
      </c>
      <c r="AE18" s="61">
        <f t="shared" si="5"/>
        <v>29.526474622778188</v>
      </c>
      <c r="AF18" s="61">
        <f t="shared" si="5"/>
        <v>32.849016918160487</v>
      </c>
      <c r="AT18" s="62">
        <v>0.2</v>
      </c>
      <c r="AU18" s="63"/>
    </row>
    <row r="19" spans="2:47" x14ac:dyDescent="0.25">
      <c r="B19" s="24" t="s">
        <v>224</v>
      </c>
      <c r="C19" s="131">
        <v>0.15</v>
      </c>
      <c r="D19" s="131"/>
      <c r="E19" s="16">
        <f t="shared" si="2"/>
        <v>0.6</v>
      </c>
      <c r="F19" s="16">
        <f t="shared" si="2"/>
        <v>1.05</v>
      </c>
      <c r="G19" s="16">
        <f t="shared" si="2"/>
        <v>1.7999999999999998</v>
      </c>
      <c r="H19" s="16">
        <f t="shared" si="2"/>
        <v>2.3500000000000454</v>
      </c>
      <c r="I19" s="16">
        <f t="shared" si="2"/>
        <v>3.0333333333336667</v>
      </c>
      <c r="J19" s="16">
        <f t="shared" si="2"/>
        <v>3.6277777777781921</v>
      </c>
      <c r="K19" s="16">
        <f t="shared" si="2"/>
        <v>4.2814814814822961</v>
      </c>
      <c r="L19" s="16">
        <f t="shared" si="2"/>
        <v>4.8956790123467728</v>
      </c>
      <c r="M19" s="16">
        <f t="shared" si="2"/>
        <v>5.5362139917709099</v>
      </c>
      <c r="N19" s="16">
        <f t="shared" si="2"/>
        <v>6.1591906721550913</v>
      </c>
      <c r="R19" s="51" t="s">
        <v>51</v>
      </c>
      <c r="S19" s="60">
        <f>SUM(S16:S18)</f>
        <v>27.6</v>
      </c>
      <c r="T19" s="60">
        <f>SUM(T16:T18)</f>
        <v>72.088888888895241</v>
      </c>
      <c r="U19" s="60">
        <f>SUM(U16:U18)</f>
        <v>107.89807956106654</v>
      </c>
      <c r="W19" s="61">
        <f t="shared" ref="W19:AF19" si="6">SUM(W16:W18)</f>
        <v>4.8000000000000007</v>
      </c>
      <c r="X19" s="61">
        <f t="shared" si="6"/>
        <v>8.4</v>
      </c>
      <c r="Y19" s="61">
        <f t="shared" si="6"/>
        <v>14.400000000000002</v>
      </c>
      <c r="Z19" s="61">
        <f t="shared" si="6"/>
        <v>18.800000000000367</v>
      </c>
      <c r="AA19" s="61">
        <f t="shared" si="6"/>
        <v>24.266666666669337</v>
      </c>
      <c r="AB19" s="61">
        <f t="shared" si="6"/>
        <v>29.022222222225537</v>
      </c>
      <c r="AC19" s="61">
        <f t="shared" si="6"/>
        <v>34.251851851858376</v>
      </c>
      <c r="AD19" s="61">
        <f t="shared" si="6"/>
        <v>39.165432098774183</v>
      </c>
      <c r="AE19" s="61">
        <f t="shared" si="6"/>
        <v>44.289711934167286</v>
      </c>
      <c r="AF19" s="61">
        <f t="shared" si="6"/>
        <v>49.27352537724073</v>
      </c>
      <c r="AT19" s="62">
        <v>0.1</v>
      </c>
      <c r="AU19" s="63"/>
    </row>
    <row r="20" spans="2:47" x14ac:dyDescent="0.25">
      <c r="B20" s="24" t="s">
        <v>225</v>
      </c>
      <c r="C20" s="131"/>
      <c r="D20" s="131"/>
      <c r="E20" s="16">
        <f t="shared" ref="E20:N20" si="7">SUM(E14:E19)</f>
        <v>4</v>
      </c>
      <c r="F20" s="16">
        <f t="shared" si="7"/>
        <v>7.0000000000000009</v>
      </c>
      <c r="G20" s="16">
        <f t="shared" si="7"/>
        <v>12</v>
      </c>
      <c r="H20" s="16">
        <f t="shared" si="7"/>
        <v>15.666666666666972</v>
      </c>
      <c r="I20" s="16">
        <f t="shared" si="7"/>
        <v>20.222222222224445</v>
      </c>
      <c r="J20" s="16">
        <f t="shared" si="7"/>
        <v>24.185185185187947</v>
      </c>
      <c r="K20" s="16">
        <f t="shared" si="7"/>
        <v>28.543209876548644</v>
      </c>
      <c r="L20" s="16">
        <f t="shared" si="7"/>
        <v>32.637860082311825</v>
      </c>
      <c r="M20" s="16">
        <f t="shared" si="7"/>
        <v>36.908093278472734</v>
      </c>
      <c r="N20" s="16">
        <f t="shared" si="7"/>
        <v>41.061271147700609</v>
      </c>
      <c r="AT20" s="62">
        <v>0.05</v>
      </c>
      <c r="AU20" s="63"/>
    </row>
    <row r="21" spans="2:47" x14ac:dyDescent="0.25">
      <c r="B21" s="24"/>
      <c r="C21" s="131"/>
      <c r="D21" s="131"/>
      <c r="E21" s="58"/>
      <c r="F21" s="57"/>
      <c r="G21" s="58"/>
      <c r="H21" s="57"/>
      <c r="I21" s="58"/>
      <c r="J21" s="57"/>
      <c r="K21" s="58"/>
      <c r="L21" s="57"/>
      <c r="M21" s="58"/>
      <c r="N21" s="57"/>
      <c r="AT21" s="62">
        <v>0.4</v>
      </c>
      <c r="AU21" s="63"/>
    </row>
    <row r="22" spans="2:47" x14ac:dyDescent="0.25">
      <c r="B22" s="24" t="s">
        <v>226</v>
      </c>
      <c r="C22" s="131"/>
      <c r="D22" s="131"/>
      <c r="E22" s="58"/>
      <c r="F22" s="64"/>
      <c r="G22" s="64"/>
      <c r="H22" s="57"/>
      <c r="I22" s="58"/>
      <c r="J22" s="57"/>
      <c r="K22" s="58"/>
      <c r="L22" s="57"/>
      <c r="M22" s="58"/>
      <c r="N22" s="57"/>
      <c r="AT22" s="62">
        <v>0.15</v>
      </c>
      <c r="AU22" s="63"/>
    </row>
    <row r="23" spans="2:47" ht="22.5" x14ac:dyDescent="0.25">
      <c r="B23" s="24" t="s">
        <v>208</v>
      </c>
      <c r="C23" s="131">
        <v>0.2</v>
      </c>
      <c r="D23" s="131"/>
      <c r="E23" s="16">
        <f t="shared" ref="E23:N25" si="8">E$11*$C23</f>
        <v>0.8</v>
      </c>
      <c r="F23" s="16">
        <f t="shared" si="8"/>
        <v>1.4000000000000001</v>
      </c>
      <c r="G23" s="16">
        <f t="shared" si="8"/>
        <v>2.4000000000000004</v>
      </c>
      <c r="H23" s="16">
        <f t="shared" si="8"/>
        <v>3.1333333333333941</v>
      </c>
      <c r="I23" s="16">
        <f t="shared" si="8"/>
        <v>4.0444444444448893</v>
      </c>
      <c r="J23" s="16">
        <f t="shared" si="8"/>
        <v>4.8370370370375895</v>
      </c>
      <c r="K23" s="16">
        <f t="shared" si="8"/>
        <v>5.7086419753097291</v>
      </c>
      <c r="L23" s="16">
        <f t="shared" si="8"/>
        <v>6.5275720164623641</v>
      </c>
      <c r="M23" s="16">
        <f t="shared" si="8"/>
        <v>7.3816186556945471</v>
      </c>
      <c r="N23" s="16">
        <f t="shared" si="8"/>
        <v>8.2122542295401217</v>
      </c>
      <c r="O23" s="59"/>
      <c r="R23" s="21" t="s">
        <v>227</v>
      </c>
      <c r="S23" s="21" t="s">
        <v>111</v>
      </c>
      <c r="T23" s="15" t="s">
        <v>228</v>
      </c>
      <c r="U23" s="15" t="s">
        <v>113</v>
      </c>
    </row>
    <row r="24" spans="2:47" x14ac:dyDescent="0.25">
      <c r="B24" s="24" t="s">
        <v>210</v>
      </c>
      <c r="C24" s="131">
        <v>0.18</v>
      </c>
      <c r="D24" s="131"/>
      <c r="E24" s="16">
        <f t="shared" si="8"/>
        <v>0.72</v>
      </c>
      <c r="F24" s="16">
        <f t="shared" si="8"/>
        <v>1.26</v>
      </c>
      <c r="G24" s="16">
        <f t="shared" si="8"/>
        <v>2.16</v>
      </c>
      <c r="H24" s="16">
        <f t="shared" si="8"/>
        <v>2.8200000000000545</v>
      </c>
      <c r="I24" s="16">
        <f t="shared" si="8"/>
        <v>3.6400000000004002</v>
      </c>
      <c r="J24" s="16">
        <f t="shared" si="8"/>
        <v>4.35333333333383</v>
      </c>
      <c r="K24" s="16">
        <f t="shared" si="8"/>
        <v>5.1377777777787559</v>
      </c>
      <c r="L24" s="16">
        <f t="shared" si="8"/>
        <v>5.8748148148161272</v>
      </c>
      <c r="M24" s="16">
        <f t="shared" si="8"/>
        <v>6.643456790125092</v>
      </c>
      <c r="N24" s="16">
        <f t="shared" si="8"/>
        <v>7.3910288065861094</v>
      </c>
      <c r="O24" s="59"/>
      <c r="R24" s="15" t="s">
        <v>185</v>
      </c>
      <c r="S24" s="60">
        <f>E16+F16+G16</f>
        <v>2.3000000000000003</v>
      </c>
      <c r="T24" s="60">
        <f>H16+I16+J16</f>
        <v>6.0074074074079364</v>
      </c>
      <c r="U24" s="60">
        <f>K16+L16+M16</f>
        <v>9.808916323733321</v>
      </c>
      <c r="W24" s="61">
        <f t="shared" ref="W24:AF24" si="9">E16</f>
        <v>0.4</v>
      </c>
      <c r="X24" s="61">
        <f t="shared" si="9"/>
        <v>0.70000000000000007</v>
      </c>
      <c r="Y24" s="61">
        <f t="shared" si="9"/>
        <v>1.2000000000000002</v>
      </c>
      <c r="Z24" s="61">
        <f t="shared" si="9"/>
        <v>1.5666666666666971</v>
      </c>
      <c r="AA24" s="61">
        <f t="shared" si="9"/>
        <v>2.0222222222224446</v>
      </c>
      <c r="AB24" s="61">
        <f t="shared" si="9"/>
        <v>2.4185185185187947</v>
      </c>
      <c r="AC24" s="61">
        <f t="shared" si="9"/>
        <v>2.8543209876548645</v>
      </c>
      <c r="AD24" s="61">
        <f t="shared" si="9"/>
        <v>3.263786008231182</v>
      </c>
      <c r="AE24" s="61">
        <f t="shared" si="9"/>
        <v>3.6908093278472736</v>
      </c>
      <c r="AF24" s="61">
        <f t="shared" si="9"/>
        <v>4.1061271147700609</v>
      </c>
    </row>
    <row r="25" spans="2:47" x14ac:dyDescent="0.25">
      <c r="B25" s="24" t="s">
        <v>182</v>
      </c>
      <c r="C25" s="131">
        <v>0.25</v>
      </c>
      <c r="D25" s="131"/>
      <c r="E25" s="16">
        <f t="shared" si="8"/>
        <v>1</v>
      </c>
      <c r="F25" s="16">
        <f t="shared" si="8"/>
        <v>1.75</v>
      </c>
      <c r="G25" s="16">
        <f t="shared" si="8"/>
        <v>3</v>
      </c>
      <c r="H25" s="16">
        <f t="shared" si="8"/>
        <v>3.9166666666667425</v>
      </c>
      <c r="I25" s="16">
        <f t="shared" si="8"/>
        <v>5.0555555555561114</v>
      </c>
      <c r="J25" s="16">
        <f t="shared" si="8"/>
        <v>6.0462962962969868</v>
      </c>
      <c r="K25" s="16">
        <f t="shared" si="8"/>
        <v>7.1358024691371611</v>
      </c>
      <c r="L25" s="16">
        <f t="shared" si="8"/>
        <v>8.1594650205779544</v>
      </c>
      <c r="M25" s="16">
        <f t="shared" si="8"/>
        <v>9.2270233196181835</v>
      </c>
      <c r="N25" s="16">
        <f t="shared" si="8"/>
        <v>10.265317786925152</v>
      </c>
      <c r="O25" s="59"/>
      <c r="R25" s="15" t="s">
        <v>194</v>
      </c>
      <c r="S25" s="60">
        <f>(E17+F17+G17)*4</f>
        <v>4.6000000000000005</v>
      </c>
      <c r="T25" s="60">
        <f>(H17+I17+J17)*4</f>
        <v>12.014814814815873</v>
      </c>
      <c r="U25" s="60">
        <f>K17+L17+M17</f>
        <v>4.9044581618666605</v>
      </c>
      <c r="W25">
        <f t="shared" ref="W25:AF25" si="10">ROUND(E17*4,0)</f>
        <v>1</v>
      </c>
      <c r="X25">
        <f t="shared" si="10"/>
        <v>1</v>
      </c>
      <c r="Y25">
        <f t="shared" si="10"/>
        <v>2</v>
      </c>
      <c r="Z25">
        <f t="shared" si="10"/>
        <v>3</v>
      </c>
      <c r="AA25">
        <f t="shared" si="10"/>
        <v>4</v>
      </c>
      <c r="AB25">
        <f t="shared" si="10"/>
        <v>5</v>
      </c>
      <c r="AC25">
        <f t="shared" si="10"/>
        <v>6</v>
      </c>
      <c r="AD25">
        <f t="shared" si="10"/>
        <v>7</v>
      </c>
      <c r="AE25">
        <f t="shared" si="10"/>
        <v>7</v>
      </c>
      <c r="AF25">
        <f t="shared" si="10"/>
        <v>8</v>
      </c>
    </row>
    <row r="26" spans="2:47" x14ac:dyDescent="0.25">
      <c r="B26" s="24" t="s">
        <v>229</v>
      </c>
      <c r="C26" s="131"/>
      <c r="D26" s="131"/>
      <c r="E26" s="16">
        <f t="shared" ref="E26:N26" si="11">SUM(E23:E25)</f>
        <v>2.52</v>
      </c>
      <c r="F26" s="16">
        <f t="shared" si="11"/>
        <v>4.41</v>
      </c>
      <c r="G26" s="16">
        <f t="shared" si="11"/>
        <v>7.5600000000000005</v>
      </c>
      <c r="H26" s="16">
        <f t="shared" si="11"/>
        <v>9.8700000000001911</v>
      </c>
      <c r="I26" s="16">
        <f t="shared" si="11"/>
        <v>12.740000000001402</v>
      </c>
      <c r="J26" s="16">
        <f t="shared" si="11"/>
        <v>15.236666666668405</v>
      </c>
      <c r="K26" s="16">
        <f t="shared" si="11"/>
        <v>17.982222222225644</v>
      </c>
      <c r="L26" s="16">
        <f t="shared" si="11"/>
        <v>20.561851851856446</v>
      </c>
      <c r="M26" s="16">
        <f t="shared" si="11"/>
        <v>23.252098765437822</v>
      </c>
      <c r="N26" s="16">
        <f t="shared" si="11"/>
        <v>25.868600823051384</v>
      </c>
      <c r="O26" s="59"/>
      <c r="R26" s="15" t="s">
        <v>192</v>
      </c>
      <c r="S26" s="60">
        <f>E18+F18+G18</f>
        <v>9.2000000000000011</v>
      </c>
      <c r="T26" s="60">
        <f>H18+I18+J18</f>
        <v>24.029629629631746</v>
      </c>
      <c r="U26" s="60">
        <f>K18+L18+M18</f>
        <v>39.235665294933284</v>
      </c>
      <c r="W26" s="61">
        <f t="shared" ref="W26:AF26" si="12">E18</f>
        <v>1.6</v>
      </c>
      <c r="X26" s="61">
        <f t="shared" si="12"/>
        <v>2.8000000000000003</v>
      </c>
      <c r="Y26" s="61">
        <f t="shared" si="12"/>
        <v>4.8000000000000007</v>
      </c>
      <c r="Z26" s="61">
        <f t="shared" si="12"/>
        <v>6.2666666666667883</v>
      </c>
      <c r="AA26" s="61">
        <f t="shared" si="12"/>
        <v>8.0888888888897785</v>
      </c>
      <c r="AB26" s="61">
        <f t="shared" si="12"/>
        <v>9.6740740740751789</v>
      </c>
      <c r="AC26" s="61">
        <f t="shared" si="12"/>
        <v>11.417283950619458</v>
      </c>
      <c r="AD26" s="61">
        <f t="shared" si="12"/>
        <v>13.055144032924728</v>
      </c>
      <c r="AE26" s="61">
        <f t="shared" si="12"/>
        <v>14.763237311389094</v>
      </c>
      <c r="AF26" s="61">
        <f t="shared" si="12"/>
        <v>16.424508459080243</v>
      </c>
    </row>
    <row r="27" spans="2:47" x14ac:dyDescent="0.25">
      <c r="B27" s="15" t="s">
        <v>230</v>
      </c>
      <c r="C27" s="129" t="s">
        <v>231</v>
      </c>
      <c r="D27" s="129"/>
      <c r="E27" s="56"/>
      <c r="F27" s="56"/>
      <c r="G27" s="56"/>
      <c r="H27" s="56"/>
      <c r="I27" s="56"/>
      <c r="J27" s="56"/>
      <c r="K27" s="56"/>
      <c r="L27" s="56"/>
      <c r="M27" s="56"/>
      <c r="N27" s="56"/>
      <c r="R27" s="51" t="s">
        <v>51</v>
      </c>
      <c r="S27" s="60">
        <f>SUM(S24:S26)</f>
        <v>16.100000000000001</v>
      </c>
      <c r="T27" s="60">
        <f>SUM(T24:T26)</f>
        <v>42.05185185185556</v>
      </c>
      <c r="U27" s="60">
        <f>SUM(U24:U26)</f>
        <v>53.949039780533269</v>
      </c>
      <c r="W27" s="61">
        <f t="shared" ref="W27:AF27" si="13">SUM(W24:W26)</f>
        <v>3</v>
      </c>
      <c r="X27" s="61">
        <f t="shared" si="13"/>
        <v>4.5</v>
      </c>
      <c r="Y27" s="61">
        <f t="shared" si="13"/>
        <v>8</v>
      </c>
      <c r="Z27" s="61">
        <f t="shared" si="13"/>
        <v>10.833333333333485</v>
      </c>
      <c r="AA27" s="61">
        <f t="shared" si="13"/>
        <v>14.111111111112223</v>
      </c>
      <c r="AB27" s="61">
        <f t="shared" si="13"/>
        <v>17.092592592593974</v>
      </c>
      <c r="AC27" s="61">
        <f t="shared" si="13"/>
        <v>20.271604938274322</v>
      </c>
      <c r="AD27" s="61">
        <f t="shared" si="13"/>
        <v>23.318930041155909</v>
      </c>
      <c r="AE27" s="61">
        <f t="shared" si="13"/>
        <v>25.454046639236367</v>
      </c>
      <c r="AF27" s="61">
        <f t="shared" si="13"/>
        <v>28.530635573850304</v>
      </c>
    </row>
    <row r="28" spans="2:47" x14ac:dyDescent="0.25">
      <c r="B28" s="24" t="s">
        <v>232</v>
      </c>
      <c r="C28" s="132">
        <f>6*12</f>
        <v>72</v>
      </c>
      <c r="D28" s="132"/>
      <c r="E28" s="58">
        <f t="shared" ref="E28:N29" si="14">$C28*ROUND(E$14,0)</f>
        <v>0</v>
      </c>
      <c r="F28" s="58">
        <f t="shared" si="14"/>
        <v>72</v>
      </c>
      <c r="G28" s="58">
        <f t="shared" si="14"/>
        <v>72</v>
      </c>
      <c r="H28" s="58">
        <f t="shared" si="14"/>
        <v>144</v>
      </c>
      <c r="I28" s="58">
        <f t="shared" si="14"/>
        <v>144</v>
      </c>
      <c r="J28" s="58">
        <f t="shared" si="14"/>
        <v>144</v>
      </c>
      <c r="K28" s="58">
        <f t="shared" si="14"/>
        <v>216</v>
      </c>
      <c r="L28" s="58">
        <f t="shared" si="14"/>
        <v>216</v>
      </c>
      <c r="M28" s="58">
        <f t="shared" si="14"/>
        <v>288</v>
      </c>
      <c r="N28" s="58">
        <f t="shared" si="14"/>
        <v>288</v>
      </c>
    </row>
    <row r="29" spans="2:47" x14ac:dyDescent="0.25">
      <c r="B29" s="24" t="s">
        <v>233</v>
      </c>
      <c r="C29" s="132">
        <f>13</f>
        <v>13</v>
      </c>
      <c r="D29" s="132"/>
      <c r="E29" s="58">
        <f t="shared" si="14"/>
        <v>0</v>
      </c>
      <c r="F29" s="58">
        <f t="shared" si="14"/>
        <v>13</v>
      </c>
      <c r="G29" s="58">
        <f t="shared" si="14"/>
        <v>13</v>
      </c>
      <c r="H29" s="58">
        <f t="shared" si="14"/>
        <v>26</v>
      </c>
      <c r="I29" s="58">
        <f t="shared" si="14"/>
        <v>26</v>
      </c>
      <c r="J29" s="58">
        <f t="shared" si="14"/>
        <v>26</v>
      </c>
      <c r="K29" s="58">
        <f t="shared" si="14"/>
        <v>39</v>
      </c>
      <c r="L29" s="58">
        <f t="shared" si="14"/>
        <v>39</v>
      </c>
      <c r="M29" s="58">
        <f t="shared" si="14"/>
        <v>52</v>
      </c>
      <c r="N29" s="58">
        <f t="shared" si="14"/>
        <v>52</v>
      </c>
    </row>
    <row r="30" spans="2:47" x14ac:dyDescent="0.25">
      <c r="B30" s="24" t="s">
        <v>234</v>
      </c>
      <c r="C30" s="132">
        <f>SUM(C28:C29)</f>
        <v>85</v>
      </c>
      <c r="D30" s="132"/>
      <c r="E30" s="40">
        <f t="shared" ref="E30:N30" si="15">SUM(E28:E29)</f>
        <v>0</v>
      </c>
      <c r="F30" s="40">
        <f t="shared" si="15"/>
        <v>85</v>
      </c>
      <c r="G30" s="40">
        <f t="shared" si="15"/>
        <v>85</v>
      </c>
      <c r="H30" s="40">
        <f t="shared" si="15"/>
        <v>170</v>
      </c>
      <c r="I30" s="40">
        <f t="shared" si="15"/>
        <v>170</v>
      </c>
      <c r="J30" s="40">
        <f t="shared" si="15"/>
        <v>170</v>
      </c>
      <c r="K30" s="40">
        <f t="shared" si="15"/>
        <v>255</v>
      </c>
      <c r="L30" s="40">
        <f t="shared" si="15"/>
        <v>255</v>
      </c>
      <c r="M30" s="40">
        <f t="shared" si="15"/>
        <v>340</v>
      </c>
      <c r="N30" s="40">
        <f t="shared" si="15"/>
        <v>340</v>
      </c>
      <c r="R30" s="21" t="s">
        <v>235</v>
      </c>
      <c r="S30" s="21" t="s">
        <v>111</v>
      </c>
      <c r="T30" s="15" t="s">
        <v>228</v>
      </c>
      <c r="U30" s="15" t="s">
        <v>113</v>
      </c>
    </row>
    <row r="31" spans="2:47" x14ac:dyDescent="0.25">
      <c r="B31" s="15" t="s">
        <v>236</v>
      </c>
      <c r="C31" s="129" t="s">
        <v>231</v>
      </c>
      <c r="D31" s="129"/>
      <c r="E31" s="56"/>
      <c r="F31" s="56"/>
      <c r="G31" s="56"/>
      <c r="H31" s="56"/>
      <c r="I31" s="56"/>
      <c r="J31" s="56"/>
      <c r="K31" s="56"/>
      <c r="L31" s="56"/>
      <c r="M31" s="56"/>
      <c r="N31" s="56"/>
      <c r="R31" s="15" t="s">
        <v>237</v>
      </c>
      <c r="S31" s="60">
        <f>E15+F15+G15</f>
        <v>4.6000000000000005</v>
      </c>
      <c r="T31" s="60">
        <f>H15+I15+J15</f>
        <v>12.014814814815873</v>
      </c>
      <c r="U31" s="60">
        <f>K15+L15+M15</f>
        <v>19.617832647466642</v>
      </c>
      <c r="W31" s="61">
        <f t="shared" ref="W31:AF31" si="16">E15</f>
        <v>0.8</v>
      </c>
      <c r="X31" s="61">
        <f t="shared" si="16"/>
        <v>1.4000000000000001</v>
      </c>
      <c r="Y31" s="61">
        <f t="shared" si="16"/>
        <v>2.4000000000000004</v>
      </c>
      <c r="Z31" s="61">
        <f t="shared" si="16"/>
        <v>3.1333333333333941</v>
      </c>
      <c r="AA31" s="61">
        <f t="shared" si="16"/>
        <v>4.0444444444448893</v>
      </c>
      <c r="AB31" s="61">
        <f t="shared" si="16"/>
        <v>4.8370370370375895</v>
      </c>
      <c r="AC31" s="61">
        <f t="shared" si="16"/>
        <v>5.7086419753097291</v>
      </c>
      <c r="AD31" s="61">
        <f t="shared" si="16"/>
        <v>6.5275720164623641</v>
      </c>
      <c r="AE31" s="61">
        <f t="shared" si="16"/>
        <v>7.3816186556945471</v>
      </c>
      <c r="AF31" s="61">
        <f t="shared" si="16"/>
        <v>8.2122542295401217</v>
      </c>
    </row>
    <row r="32" spans="2:47" x14ac:dyDescent="0.25">
      <c r="B32" s="24" t="s">
        <v>232</v>
      </c>
      <c r="C32" s="132">
        <f>6*12</f>
        <v>72</v>
      </c>
      <c r="D32" s="132"/>
      <c r="E32" s="58">
        <f t="shared" ref="E32:N32" si="17">$C32*ROUND(E$15,0)</f>
        <v>72</v>
      </c>
      <c r="F32" s="58">
        <f t="shared" si="17"/>
        <v>72</v>
      </c>
      <c r="G32" s="58">
        <f t="shared" si="17"/>
        <v>144</v>
      </c>
      <c r="H32" s="58">
        <f t="shared" si="17"/>
        <v>216</v>
      </c>
      <c r="I32" s="58">
        <f t="shared" si="17"/>
        <v>288</v>
      </c>
      <c r="J32" s="58">
        <f t="shared" si="17"/>
        <v>360</v>
      </c>
      <c r="K32" s="58">
        <f t="shared" si="17"/>
        <v>432</v>
      </c>
      <c r="L32" s="58">
        <f t="shared" si="17"/>
        <v>504</v>
      </c>
      <c r="M32" s="58">
        <f t="shared" si="17"/>
        <v>504</v>
      </c>
      <c r="N32" s="58">
        <f t="shared" si="17"/>
        <v>576</v>
      </c>
      <c r="R32" s="51" t="s">
        <v>51</v>
      </c>
      <c r="S32" s="60">
        <f>SUM(S31)</f>
        <v>4.6000000000000005</v>
      </c>
      <c r="T32" s="60">
        <f>SUM(T31)</f>
        <v>12.014814814815873</v>
      </c>
      <c r="U32" s="60">
        <f>SUM(U31)</f>
        <v>19.617832647466642</v>
      </c>
      <c r="W32" s="61">
        <f t="shared" ref="W32:AF32" si="18">W31</f>
        <v>0.8</v>
      </c>
      <c r="X32" s="61">
        <f t="shared" si="18"/>
        <v>1.4000000000000001</v>
      </c>
      <c r="Y32" s="61">
        <f t="shared" si="18"/>
        <v>2.4000000000000004</v>
      </c>
      <c r="Z32" s="61">
        <f t="shared" si="18"/>
        <v>3.1333333333333941</v>
      </c>
      <c r="AA32" s="61">
        <f t="shared" si="18"/>
        <v>4.0444444444448893</v>
      </c>
      <c r="AB32" s="61">
        <f t="shared" si="18"/>
        <v>4.8370370370375895</v>
      </c>
      <c r="AC32" s="61">
        <f t="shared" si="18"/>
        <v>5.7086419753097291</v>
      </c>
      <c r="AD32" s="61">
        <f t="shared" si="18"/>
        <v>6.5275720164623641</v>
      </c>
      <c r="AE32" s="61">
        <f t="shared" si="18"/>
        <v>7.3816186556945471</v>
      </c>
      <c r="AF32" s="61">
        <f t="shared" si="18"/>
        <v>8.2122542295401217</v>
      </c>
    </row>
    <row r="33" spans="2:32" x14ac:dyDescent="0.25">
      <c r="B33" s="24" t="s">
        <v>182</v>
      </c>
      <c r="C33" s="132">
        <v>0</v>
      </c>
      <c r="D33" s="132"/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R33" s="51"/>
      <c r="S33" s="60"/>
      <c r="T33" s="60"/>
      <c r="U33" s="60"/>
      <c r="W33" s="61"/>
      <c r="X33" s="61"/>
      <c r="Y33" s="61"/>
      <c r="Z33" s="61"/>
      <c r="AA33" s="61"/>
      <c r="AB33" s="61"/>
      <c r="AC33" s="61"/>
      <c r="AD33" s="61"/>
      <c r="AE33" s="61"/>
      <c r="AF33" s="61"/>
    </row>
    <row r="34" spans="2:32" x14ac:dyDescent="0.25">
      <c r="B34" s="24" t="s">
        <v>233</v>
      </c>
      <c r="C34" s="132">
        <f>13</f>
        <v>13</v>
      </c>
      <c r="D34" s="132"/>
      <c r="E34" s="58">
        <f t="shared" ref="E34:N35" si="19">$C34*ROUND(E$15,0)</f>
        <v>13</v>
      </c>
      <c r="F34" s="58">
        <f t="shared" si="19"/>
        <v>13</v>
      </c>
      <c r="G34" s="58">
        <f t="shared" si="19"/>
        <v>26</v>
      </c>
      <c r="H34" s="58">
        <f t="shared" si="19"/>
        <v>39</v>
      </c>
      <c r="I34" s="58">
        <f t="shared" si="19"/>
        <v>52</v>
      </c>
      <c r="J34" s="58">
        <f t="shared" si="19"/>
        <v>65</v>
      </c>
      <c r="K34" s="58">
        <f t="shared" si="19"/>
        <v>78</v>
      </c>
      <c r="L34" s="58">
        <f t="shared" si="19"/>
        <v>91</v>
      </c>
      <c r="M34" s="58">
        <f t="shared" si="19"/>
        <v>91</v>
      </c>
      <c r="N34" s="58">
        <f t="shared" si="19"/>
        <v>104</v>
      </c>
      <c r="R34" s="60"/>
      <c r="S34" s="60"/>
    </row>
    <row r="35" spans="2:32" x14ac:dyDescent="0.25">
      <c r="B35" s="24" t="s">
        <v>125</v>
      </c>
      <c r="C35" s="132">
        <f>10*12</f>
        <v>120</v>
      </c>
      <c r="D35" s="132"/>
      <c r="E35" s="58">
        <f t="shared" si="19"/>
        <v>120</v>
      </c>
      <c r="F35" s="58">
        <f t="shared" si="19"/>
        <v>120</v>
      </c>
      <c r="G35" s="58">
        <f t="shared" si="19"/>
        <v>240</v>
      </c>
      <c r="H35" s="58">
        <f t="shared" si="19"/>
        <v>360</v>
      </c>
      <c r="I35" s="58">
        <f t="shared" si="19"/>
        <v>480</v>
      </c>
      <c r="J35" s="58">
        <f t="shared" si="19"/>
        <v>600</v>
      </c>
      <c r="K35" s="58">
        <f t="shared" si="19"/>
        <v>720</v>
      </c>
      <c r="L35" s="58">
        <f t="shared" si="19"/>
        <v>840</v>
      </c>
      <c r="M35" s="58">
        <f t="shared" si="19"/>
        <v>840</v>
      </c>
      <c r="N35" s="58">
        <f t="shared" si="19"/>
        <v>960</v>
      </c>
      <c r="R35" s="21" t="s">
        <v>238</v>
      </c>
      <c r="S35" s="21" t="s">
        <v>111</v>
      </c>
      <c r="T35" s="15" t="s">
        <v>112</v>
      </c>
      <c r="U35" s="15" t="s">
        <v>113</v>
      </c>
    </row>
    <row r="36" spans="2:32" x14ac:dyDescent="0.25">
      <c r="B36" s="24" t="s">
        <v>239</v>
      </c>
      <c r="C36" s="132">
        <f>SUM(C32:C35)</f>
        <v>205</v>
      </c>
      <c r="D36" s="132"/>
      <c r="E36" s="40">
        <f t="shared" ref="E36:N36" si="20">SUM(E32:E35)</f>
        <v>205</v>
      </c>
      <c r="F36" s="40">
        <f t="shared" si="20"/>
        <v>205</v>
      </c>
      <c r="G36" s="40">
        <f t="shared" si="20"/>
        <v>410</v>
      </c>
      <c r="H36" s="40">
        <f t="shared" si="20"/>
        <v>615</v>
      </c>
      <c r="I36" s="40">
        <f t="shared" si="20"/>
        <v>820</v>
      </c>
      <c r="J36" s="40">
        <f t="shared" si="20"/>
        <v>1025</v>
      </c>
      <c r="K36" s="40">
        <f t="shared" si="20"/>
        <v>1230</v>
      </c>
      <c r="L36" s="40">
        <f t="shared" si="20"/>
        <v>1435</v>
      </c>
      <c r="M36" s="40">
        <f t="shared" si="20"/>
        <v>1435</v>
      </c>
      <c r="N36" s="40">
        <f t="shared" si="20"/>
        <v>1640</v>
      </c>
      <c r="R36" s="15" t="s">
        <v>185</v>
      </c>
      <c r="S36" s="60">
        <f>E16+F16+G16</f>
        <v>2.3000000000000003</v>
      </c>
      <c r="T36" s="60">
        <f>H16+I16+J16</f>
        <v>6.0074074074079364</v>
      </c>
      <c r="U36" s="60">
        <f>K16+L16+M16</f>
        <v>9.808916323733321</v>
      </c>
      <c r="W36" s="61">
        <f t="shared" ref="W36:AF38" si="21">E16</f>
        <v>0.4</v>
      </c>
      <c r="X36" s="61">
        <f t="shared" si="21"/>
        <v>0.70000000000000007</v>
      </c>
      <c r="Y36" s="61">
        <f t="shared" si="21"/>
        <v>1.2000000000000002</v>
      </c>
      <c r="Z36" s="61">
        <f t="shared" si="21"/>
        <v>1.5666666666666971</v>
      </c>
      <c r="AA36" s="61">
        <f t="shared" si="21"/>
        <v>2.0222222222224446</v>
      </c>
      <c r="AB36" s="61">
        <f t="shared" si="21"/>
        <v>2.4185185185187947</v>
      </c>
      <c r="AC36" s="61">
        <f t="shared" si="21"/>
        <v>2.8543209876548645</v>
      </c>
      <c r="AD36" s="61">
        <f t="shared" si="21"/>
        <v>3.263786008231182</v>
      </c>
      <c r="AE36" s="61">
        <f t="shared" si="21"/>
        <v>3.6908093278472736</v>
      </c>
      <c r="AF36" s="61">
        <f t="shared" si="21"/>
        <v>4.1061271147700609</v>
      </c>
    </row>
    <row r="37" spans="2:32" x14ac:dyDescent="0.25">
      <c r="B37" s="15" t="s">
        <v>240</v>
      </c>
      <c r="C37" s="129" t="s">
        <v>231</v>
      </c>
      <c r="D37" s="129"/>
      <c r="E37" s="56"/>
      <c r="F37" s="56"/>
      <c r="G37" s="56"/>
      <c r="H37" s="56"/>
      <c r="I37" s="56"/>
      <c r="J37" s="56"/>
      <c r="K37" s="56"/>
      <c r="L37" s="56"/>
      <c r="M37" s="56"/>
      <c r="N37" s="56"/>
      <c r="R37" s="15" t="s">
        <v>194</v>
      </c>
      <c r="S37" s="60">
        <f>(E17+F17+G17)</f>
        <v>1.1500000000000001</v>
      </c>
      <c r="T37" s="60">
        <f>(H17+I17+J17)</f>
        <v>3.0037037037039682</v>
      </c>
      <c r="U37" s="60">
        <f>(K17+L17+M17)</f>
        <v>4.9044581618666605</v>
      </c>
      <c r="W37" s="61">
        <f t="shared" si="21"/>
        <v>0.2</v>
      </c>
      <c r="X37" s="61">
        <f t="shared" si="21"/>
        <v>0.35000000000000003</v>
      </c>
      <c r="Y37" s="61">
        <f t="shared" si="21"/>
        <v>0.60000000000000009</v>
      </c>
      <c r="Z37" s="61">
        <f t="shared" si="21"/>
        <v>0.78333333333334854</v>
      </c>
      <c r="AA37" s="61">
        <f t="shared" si="21"/>
        <v>1.0111111111112223</v>
      </c>
      <c r="AB37" s="61">
        <f t="shared" si="21"/>
        <v>1.2092592592593974</v>
      </c>
      <c r="AC37" s="61">
        <f t="shared" si="21"/>
        <v>1.4271604938274323</v>
      </c>
      <c r="AD37" s="61">
        <f t="shared" si="21"/>
        <v>1.631893004115591</v>
      </c>
      <c r="AE37" s="61">
        <f t="shared" si="21"/>
        <v>1.8454046639236368</v>
      </c>
      <c r="AF37" s="61">
        <f t="shared" si="21"/>
        <v>2.0530635573850304</v>
      </c>
    </row>
    <row r="38" spans="2:32" x14ac:dyDescent="0.25">
      <c r="B38" s="24" t="s">
        <v>232</v>
      </c>
      <c r="C38" s="132">
        <f>6*12</f>
        <v>72</v>
      </c>
      <c r="D38" s="132"/>
      <c r="E38" s="58">
        <f t="shared" ref="E38:N38" si="22">$C38*ROUND(E$16,0)</f>
        <v>0</v>
      </c>
      <c r="F38" s="58">
        <f t="shared" si="22"/>
        <v>72</v>
      </c>
      <c r="G38" s="58">
        <f t="shared" si="22"/>
        <v>72</v>
      </c>
      <c r="H38" s="58">
        <f t="shared" si="22"/>
        <v>144</v>
      </c>
      <c r="I38" s="58">
        <f t="shared" si="22"/>
        <v>144</v>
      </c>
      <c r="J38" s="58">
        <f t="shared" si="22"/>
        <v>144</v>
      </c>
      <c r="K38" s="58">
        <f t="shared" si="22"/>
        <v>216</v>
      </c>
      <c r="L38" s="58">
        <f t="shared" si="22"/>
        <v>216</v>
      </c>
      <c r="M38" s="58">
        <f t="shared" si="22"/>
        <v>288</v>
      </c>
      <c r="N38" s="58">
        <f t="shared" si="22"/>
        <v>288</v>
      </c>
      <c r="R38" s="15" t="s">
        <v>192</v>
      </c>
      <c r="S38" s="60">
        <f>E18+F18+G18</f>
        <v>9.2000000000000011</v>
      </c>
      <c r="T38" s="60">
        <f>H18+I18+J18</f>
        <v>24.029629629631746</v>
      </c>
      <c r="U38" s="60">
        <f>K18+L18+M18</f>
        <v>39.235665294933284</v>
      </c>
      <c r="W38" s="61">
        <f t="shared" si="21"/>
        <v>1.6</v>
      </c>
      <c r="X38" s="61">
        <f t="shared" si="21"/>
        <v>2.8000000000000003</v>
      </c>
      <c r="Y38" s="61">
        <f t="shared" si="21"/>
        <v>4.8000000000000007</v>
      </c>
      <c r="Z38" s="61">
        <f t="shared" si="21"/>
        <v>6.2666666666667883</v>
      </c>
      <c r="AA38" s="61">
        <f t="shared" si="21"/>
        <v>8.0888888888897785</v>
      </c>
      <c r="AB38" s="61">
        <f t="shared" si="21"/>
        <v>9.6740740740751789</v>
      </c>
      <c r="AC38" s="61">
        <f t="shared" si="21"/>
        <v>11.417283950619458</v>
      </c>
      <c r="AD38" s="61">
        <f t="shared" si="21"/>
        <v>13.055144032924728</v>
      </c>
      <c r="AE38" s="61">
        <f t="shared" si="21"/>
        <v>14.763237311389094</v>
      </c>
      <c r="AF38" s="61">
        <f t="shared" si="21"/>
        <v>16.424508459080243</v>
      </c>
    </row>
    <row r="39" spans="2:32" x14ac:dyDescent="0.25">
      <c r="B39" s="24" t="s">
        <v>182</v>
      </c>
      <c r="C39" s="132">
        <v>0</v>
      </c>
      <c r="D39" s="132"/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R39" s="51" t="s">
        <v>51</v>
      </c>
      <c r="S39" s="60">
        <f>SUM(S36:S38)</f>
        <v>12.650000000000002</v>
      </c>
      <c r="T39" s="60">
        <f>SUM(T36:T38)</f>
        <v>33.040740740743651</v>
      </c>
      <c r="U39" s="60">
        <f>SUM(U36:U38)</f>
        <v>53.949039780533269</v>
      </c>
      <c r="W39" s="61">
        <f t="shared" ref="W39:AF39" si="23">W36+W37+W38</f>
        <v>2.2000000000000002</v>
      </c>
      <c r="X39" s="61">
        <f t="shared" si="23"/>
        <v>3.8500000000000005</v>
      </c>
      <c r="Y39" s="61">
        <f t="shared" si="23"/>
        <v>6.6000000000000014</v>
      </c>
      <c r="Z39" s="61">
        <f t="shared" si="23"/>
        <v>8.6166666666668341</v>
      </c>
      <c r="AA39" s="61">
        <f t="shared" si="23"/>
        <v>11.122222222223446</v>
      </c>
      <c r="AB39" s="61">
        <f t="shared" si="23"/>
        <v>13.301851851853371</v>
      </c>
      <c r="AC39" s="61">
        <f t="shared" si="23"/>
        <v>15.698765432101755</v>
      </c>
      <c r="AD39" s="61">
        <f t="shared" si="23"/>
        <v>17.950823045271502</v>
      </c>
      <c r="AE39" s="61">
        <f t="shared" si="23"/>
        <v>20.299451303160005</v>
      </c>
      <c r="AF39" s="61">
        <f t="shared" si="23"/>
        <v>22.583699131235335</v>
      </c>
    </row>
    <row r="40" spans="2:32" x14ac:dyDescent="0.25">
      <c r="B40" s="24" t="s">
        <v>233</v>
      </c>
      <c r="C40" s="132">
        <f>13</f>
        <v>13</v>
      </c>
      <c r="D40" s="132"/>
      <c r="E40" s="58">
        <f t="shared" ref="E40:N43" si="24">$C40*ROUND(E$16,0)</f>
        <v>0</v>
      </c>
      <c r="F40" s="58">
        <f t="shared" si="24"/>
        <v>13</v>
      </c>
      <c r="G40" s="58">
        <f t="shared" si="24"/>
        <v>13</v>
      </c>
      <c r="H40" s="58">
        <f t="shared" si="24"/>
        <v>26</v>
      </c>
      <c r="I40" s="58">
        <f t="shared" si="24"/>
        <v>26</v>
      </c>
      <c r="J40" s="58">
        <f t="shared" si="24"/>
        <v>26</v>
      </c>
      <c r="K40" s="58">
        <f t="shared" si="24"/>
        <v>39</v>
      </c>
      <c r="L40" s="58">
        <f t="shared" si="24"/>
        <v>39</v>
      </c>
      <c r="M40" s="58">
        <f t="shared" si="24"/>
        <v>52</v>
      </c>
      <c r="N40" s="58">
        <f t="shared" si="24"/>
        <v>52</v>
      </c>
    </row>
    <row r="41" spans="2:32" x14ac:dyDescent="0.25">
      <c r="B41" s="24" t="s">
        <v>128</v>
      </c>
      <c r="C41" s="132">
        <f>15*2</f>
        <v>30</v>
      </c>
      <c r="D41" s="132"/>
      <c r="E41" s="58">
        <f t="shared" si="24"/>
        <v>0</v>
      </c>
      <c r="F41" s="58">
        <f t="shared" si="24"/>
        <v>30</v>
      </c>
      <c r="G41" s="58">
        <f t="shared" si="24"/>
        <v>30</v>
      </c>
      <c r="H41" s="58">
        <f t="shared" si="24"/>
        <v>60</v>
      </c>
      <c r="I41" s="58">
        <f t="shared" si="24"/>
        <v>60</v>
      </c>
      <c r="J41" s="58">
        <f t="shared" si="24"/>
        <v>60</v>
      </c>
      <c r="K41" s="58">
        <f t="shared" si="24"/>
        <v>90</v>
      </c>
      <c r="L41" s="58">
        <f t="shared" si="24"/>
        <v>90</v>
      </c>
      <c r="M41" s="58">
        <f t="shared" si="24"/>
        <v>120</v>
      </c>
      <c r="N41" s="58">
        <f t="shared" si="24"/>
        <v>120</v>
      </c>
    </row>
    <row r="42" spans="2:32" x14ac:dyDescent="0.25">
      <c r="B42" s="24" t="s">
        <v>241</v>
      </c>
      <c r="C42" s="132">
        <f>720/30*12</f>
        <v>288</v>
      </c>
      <c r="D42" s="132"/>
      <c r="E42" s="58">
        <f t="shared" si="24"/>
        <v>0</v>
      </c>
      <c r="F42" s="58">
        <f t="shared" si="24"/>
        <v>288</v>
      </c>
      <c r="G42" s="58">
        <f t="shared" si="24"/>
        <v>288</v>
      </c>
      <c r="H42" s="58">
        <f t="shared" si="24"/>
        <v>576</v>
      </c>
      <c r="I42" s="58">
        <f t="shared" si="24"/>
        <v>576</v>
      </c>
      <c r="J42" s="58">
        <f t="shared" si="24"/>
        <v>576</v>
      </c>
      <c r="K42" s="58">
        <f t="shared" si="24"/>
        <v>864</v>
      </c>
      <c r="L42" s="58">
        <f t="shared" si="24"/>
        <v>864</v>
      </c>
      <c r="M42" s="58">
        <f t="shared" si="24"/>
        <v>1152</v>
      </c>
      <c r="N42" s="58">
        <f t="shared" si="24"/>
        <v>1152</v>
      </c>
    </row>
    <row r="43" spans="2:32" x14ac:dyDescent="0.25">
      <c r="B43" s="24" t="s">
        <v>242</v>
      </c>
      <c r="C43" s="132">
        <f>0.8*30*2*12</f>
        <v>576</v>
      </c>
      <c r="D43" s="132"/>
      <c r="E43" s="58">
        <f t="shared" si="24"/>
        <v>0</v>
      </c>
      <c r="F43" s="58">
        <f t="shared" si="24"/>
        <v>576</v>
      </c>
      <c r="G43" s="58">
        <f t="shared" si="24"/>
        <v>576</v>
      </c>
      <c r="H43" s="58">
        <f t="shared" si="24"/>
        <v>1152</v>
      </c>
      <c r="I43" s="58">
        <f t="shared" si="24"/>
        <v>1152</v>
      </c>
      <c r="J43" s="58">
        <f t="shared" si="24"/>
        <v>1152</v>
      </c>
      <c r="K43" s="58">
        <f t="shared" si="24"/>
        <v>1728</v>
      </c>
      <c r="L43" s="58">
        <f t="shared" si="24"/>
        <v>1728</v>
      </c>
      <c r="M43" s="58">
        <f t="shared" si="24"/>
        <v>2304</v>
      </c>
      <c r="N43" s="58">
        <f t="shared" si="24"/>
        <v>2304</v>
      </c>
      <c r="R43" s="21" t="s">
        <v>243</v>
      </c>
      <c r="S43" s="21" t="s">
        <v>111</v>
      </c>
      <c r="T43" s="15" t="s">
        <v>112</v>
      </c>
      <c r="U43" s="15" t="s">
        <v>113</v>
      </c>
    </row>
    <row r="44" spans="2:32" x14ac:dyDescent="0.25">
      <c r="B44" s="24" t="s">
        <v>244</v>
      </c>
      <c r="C44" s="132">
        <f>SUM(C38:C43)</f>
        <v>979</v>
      </c>
      <c r="D44" s="132"/>
      <c r="E44" s="40">
        <f t="shared" ref="E44:N44" si="25">SUM(E38:E43)</f>
        <v>0</v>
      </c>
      <c r="F44" s="40">
        <f t="shared" si="25"/>
        <v>979</v>
      </c>
      <c r="G44" s="40">
        <f t="shared" si="25"/>
        <v>979</v>
      </c>
      <c r="H44" s="40">
        <f t="shared" si="25"/>
        <v>1958</v>
      </c>
      <c r="I44" s="40">
        <f t="shared" si="25"/>
        <v>1958</v>
      </c>
      <c r="J44" s="40">
        <f t="shared" si="25"/>
        <v>1958</v>
      </c>
      <c r="K44" s="40">
        <f t="shared" si="25"/>
        <v>2937</v>
      </c>
      <c r="L44" s="40">
        <f t="shared" si="25"/>
        <v>2937</v>
      </c>
      <c r="M44" s="40">
        <f t="shared" si="25"/>
        <v>3916</v>
      </c>
      <c r="N44" s="40">
        <f t="shared" si="25"/>
        <v>3916</v>
      </c>
      <c r="R44" s="15" t="s">
        <v>194</v>
      </c>
      <c r="S44" s="60">
        <f>(E17+F17+G17)</f>
        <v>1.1500000000000001</v>
      </c>
      <c r="T44" s="60">
        <f>(H17+I17+J17)</f>
        <v>3.0037037037039682</v>
      </c>
      <c r="U44" s="60">
        <f>(K17+L17+M17)</f>
        <v>4.9044581618666605</v>
      </c>
      <c r="W44" s="61">
        <f t="shared" ref="W44:AF44" si="26">E17</f>
        <v>0.2</v>
      </c>
      <c r="X44" s="61">
        <f t="shared" si="26"/>
        <v>0.35000000000000003</v>
      </c>
      <c r="Y44" s="61">
        <f t="shared" si="26"/>
        <v>0.60000000000000009</v>
      </c>
      <c r="Z44" s="61">
        <f t="shared" si="26"/>
        <v>0.78333333333334854</v>
      </c>
      <c r="AA44" s="61">
        <f t="shared" si="26"/>
        <v>1.0111111111112223</v>
      </c>
      <c r="AB44" s="61">
        <f t="shared" si="26"/>
        <v>1.2092592592593974</v>
      </c>
      <c r="AC44" s="61">
        <f t="shared" si="26"/>
        <v>1.4271604938274323</v>
      </c>
      <c r="AD44" s="61">
        <f t="shared" si="26"/>
        <v>1.631893004115591</v>
      </c>
      <c r="AE44" s="61">
        <f t="shared" si="26"/>
        <v>1.8454046639236368</v>
      </c>
      <c r="AF44" s="61">
        <f t="shared" si="26"/>
        <v>2.0530635573850304</v>
      </c>
    </row>
    <row r="45" spans="2:32" x14ac:dyDescent="0.25">
      <c r="B45" s="15" t="s">
        <v>245</v>
      </c>
      <c r="C45" s="129" t="s">
        <v>231</v>
      </c>
      <c r="D45" s="129"/>
      <c r="E45" s="56"/>
      <c r="F45" s="56"/>
      <c r="G45" s="56"/>
      <c r="H45" s="56"/>
      <c r="I45" s="56"/>
      <c r="J45" s="56"/>
      <c r="K45" s="56"/>
      <c r="L45" s="56"/>
      <c r="M45" s="56"/>
      <c r="N45" s="56"/>
      <c r="R45" s="51" t="s">
        <v>51</v>
      </c>
      <c r="S45" s="60">
        <f>SUM(S44)</f>
        <v>1.1500000000000001</v>
      </c>
      <c r="T45" s="60">
        <f>SUM(T44)</f>
        <v>3.0037037037039682</v>
      </c>
      <c r="U45" s="60">
        <f>SUM(U44)</f>
        <v>4.9044581618666605</v>
      </c>
      <c r="W45" s="61">
        <f t="shared" ref="W45:AF45" si="27">SUM(W44)</f>
        <v>0.2</v>
      </c>
      <c r="X45" s="61">
        <f t="shared" si="27"/>
        <v>0.35000000000000003</v>
      </c>
      <c r="Y45" s="61">
        <f t="shared" si="27"/>
        <v>0.60000000000000009</v>
      </c>
      <c r="Z45" s="61">
        <f t="shared" si="27"/>
        <v>0.78333333333334854</v>
      </c>
      <c r="AA45" s="61">
        <f t="shared" si="27"/>
        <v>1.0111111111112223</v>
      </c>
      <c r="AB45" s="61">
        <f t="shared" si="27"/>
        <v>1.2092592592593974</v>
      </c>
      <c r="AC45" s="61">
        <f t="shared" si="27"/>
        <v>1.4271604938274323</v>
      </c>
      <c r="AD45" s="61">
        <f t="shared" si="27"/>
        <v>1.631893004115591</v>
      </c>
      <c r="AE45" s="61">
        <f t="shared" si="27"/>
        <v>1.8454046639236368</v>
      </c>
      <c r="AF45" s="61">
        <f t="shared" si="27"/>
        <v>2.0530635573850304</v>
      </c>
    </row>
    <row r="46" spans="2:32" x14ac:dyDescent="0.25">
      <c r="B46" s="24" t="s">
        <v>232</v>
      </c>
      <c r="C46" s="132">
        <f>6*12</f>
        <v>72</v>
      </c>
      <c r="D46" s="132"/>
      <c r="E46" s="58">
        <f t="shared" ref="E46:N46" si="28">$C46*ROUND(E$18,0)</f>
        <v>144</v>
      </c>
      <c r="F46" s="58">
        <f t="shared" si="28"/>
        <v>216</v>
      </c>
      <c r="G46" s="58">
        <f t="shared" si="28"/>
        <v>360</v>
      </c>
      <c r="H46" s="58">
        <f t="shared" si="28"/>
        <v>432</v>
      </c>
      <c r="I46" s="58">
        <f t="shared" si="28"/>
        <v>576</v>
      </c>
      <c r="J46" s="58">
        <f t="shared" si="28"/>
        <v>720</v>
      </c>
      <c r="K46" s="58">
        <f t="shared" si="28"/>
        <v>792</v>
      </c>
      <c r="L46" s="58">
        <f t="shared" si="28"/>
        <v>936</v>
      </c>
      <c r="M46" s="58">
        <f t="shared" si="28"/>
        <v>1080</v>
      </c>
      <c r="N46" s="58">
        <f t="shared" si="28"/>
        <v>1152</v>
      </c>
      <c r="R46" s="60"/>
      <c r="S46" s="60"/>
    </row>
    <row r="47" spans="2:32" x14ac:dyDescent="0.25">
      <c r="B47" s="24" t="s">
        <v>182</v>
      </c>
      <c r="C47" s="132">
        <v>0</v>
      </c>
      <c r="D47" s="132"/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R47" s="60"/>
      <c r="S47" s="60"/>
    </row>
    <row r="48" spans="2:32" x14ac:dyDescent="0.25">
      <c r="B48" s="24" t="s">
        <v>233</v>
      </c>
      <c r="C48" s="132">
        <f>13</f>
        <v>13</v>
      </c>
      <c r="D48" s="132"/>
      <c r="E48" s="58">
        <f t="shared" ref="E48:N51" si="29">$C48*ROUND(E$18,0)</f>
        <v>26</v>
      </c>
      <c r="F48" s="58">
        <f t="shared" si="29"/>
        <v>39</v>
      </c>
      <c r="G48" s="58">
        <f t="shared" si="29"/>
        <v>65</v>
      </c>
      <c r="H48" s="58">
        <f t="shared" si="29"/>
        <v>78</v>
      </c>
      <c r="I48" s="58">
        <f t="shared" si="29"/>
        <v>104</v>
      </c>
      <c r="J48" s="58">
        <f t="shared" si="29"/>
        <v>130</v>
      </c>
      <c r="K48" s="58">
        <f t="shared" si="29"/>
        <v>143</v>
      </c>
      <c r="L48" s="58">
        <f t="shared" si="29"/>
        <v>169</v>
      </c>
      <c r="M48" s="58">
        <f t="shared" si="29"/>
        <v>195</v>
      </c>
      <c r="N48" s="58">
        <f t="shared" si="29"/>
        <v>208</v>
      </c>
      <c r="S48" s="60"/>
    </row>
    <row r="49" spans="2:32" x14ac:dyDescent="0.25">
      <c r="B49" s="24" t="s">
        <v>128</v>
      </c>
      <c r="C49" s="132">
        <f>15*2</f>
        <v>30</v>
      </c>
      <c r="D49" s="132"/>
      <c r="E49" s="58">
        <f t="shared" si="29"/>
        <v>60</v>
      </c>
      <c r="F49" s="58">
        <f t="shared" si="29"/>
        <v>90</v>
      </c>
      <c r="G49" s="58">
        <f t="shared" si="29"/>
        <v>150</v>
      </c>
      <c r="H49" s="58">
        <f t="shared" si="29"/>
        <v>180</v>
      </c>
      <c r="I49" s="58">
        <f t="shared" si="29"/>
        <v>240</v>
      </c>
      <c r="J49" s="58">
        <f t="shared" si="29"/>
        <v>300</v>
      </c>
      <c r="K49" s="58">
        <f t="shared" si="29"/>
        <v>330</v>
      </c>
      <c r="L49" s="58">
        <f t="shared" si="29"/>
        <v>390</v>
      </c>
      <c r="M49" s="58">
        <f t="shared" si="29"/>
        <v>450</v>
      </c>
      <c r="N49" s="58">
        <f t="shared" si="29"/>
        <v>480</v>
      </c>
      <c r="W49" s="21">
        <f t="shared" ref="W49:AF49" si="30">$E$10</f>
        <v>2014</v>
      </c>
      <c r="X49" s="21">
        <f t="shared" si="30"/>
        <v>2014</v>
      </c>
      <c r="Y49" s="21">
        <f t="shared" si="30"/>
        <v>2014</v>
      </c>
      <c r="Z49" s="21">
        <f t="shared" si="30"/>
        <v>2014</v>
      </c>
      <c r="AA49" s="21">
        <f t="shared" si="30"/>
        <v>2014</v>
      </c>
      <c r="AB49" s="21">
        <f t="shared" si="30"/>
        <v>2014</v>
      </c>
      <c r="AC49" s="21">
        <f t="shared" si="30"/>
        <v>2014</v>
      </c>
      <c r="AD49" s="21">
        <f t="shared" si="30"/>
        <v>2014</v>
      </c>
      <c r="AE49" s="21">
        <f t="shared" si="30"/>
        <v>2014</v>
      </c>
      <c r="AF49" s="21">
        <f t="shared" si="30"/>
        <v>2014</v>
      </c>
    </row>
    <row r="50" spans="2:32" x14ac:dyDescent="0.25">
      <c r="B50" s="24" t="s">
        <v>241</v>
      </c>
      <c r="C50" s="132">
        <f>720/30*12</f>
        <v>288</v>
      </c>
      <c r="D50" s="132"/>
      <c r="E50" s="58">
        <f t="shared" si="29"/>
        <v>576</v>
      </c>
      <c r="F50" s="58">
        <f t="shared" si="29"/>
        <v>864</v>
      </c>
      <c r="G50" s="58">
        <f t="shared" si="29"/>
        <v>1440</v>
      </c>
      <c r="H50" s="58">
        <f t="shared" si="29"/>
        <v>1728</v>
      </c>
      <c r="I50" s="58">
        <f t="shared" si="29"/>
        <v>2304</v>
      </c>
      <c r="J50" s="58">
        <f t="shared" si="29"/>
        <v>2880</v>
      </c>
      <c r="K50" s="58">
        <f t="shared" si="29"/>
        <v>3168</v>
      </c>
      <c r="L50" s="58">
        <f t="shared" si="29"/>
        <v>3744</v>
      </c>
      <c r="M50" s="58">
        <f t="shared" si="29"/>
        <v>4320</v>
      </c>
      <c r="N50" s="58">
        <f t="shared" si="29"/>
        <v>4608</v>
      </c>
    </row>
    <row r="51" spans="2:32" x14ac:dyDescent="0.25">
      <c r="B51" s="24" t="s">
        <v>242</v>
      </c>
      <c r="C51" s="132">
        <f>0.8*30*2*12</f>
        <v>576</v>
      </c>
      <c r="D51" s="132"/>
      <c r="E51" s="58">
        <f t="shared" si="29"/>
        <v>1152</v>
      </c>
      <c r="F51" s="58">
        <f t="shared" si="29"/>
        <v>1728</v>
      </c>
      <c r="G51" s="58">
        <f t="shared" si="29"/>
        <v>2880</v>
      </c>
      <c r="H51" s="58">
        <f t="shared" si="29"/>
        <v>3456</v>
      </c>
      <c r="I51" s="58">
        <f t="shared" si="29"/>
        <v>4608</v>
      </c>
      <c r="J51" s="58">
        <f t="shared" si="29"/>
        <v>5760</v>
      </c>
      <c r="K51" s="58">
        <f t="shared" si="29"/>
        <v>6336</v>
      </c>
      <c r="L51" s="58">
        <f t="shared" si="29"/>
        <v>7488</v>
      </c>
      <c r="M51" s="58">
        <f t="shared" si="29"/>
        <v>8640</v>
      </c>
      <c r="N51" s="58">
        <f t="shared" si="29"/>
        <v>9216</v>
      </c>
    </row>
    <row r="52" spans="2:32" x14ac:dyDescent="0.25">
      <c r="B52" s="24" t="s">
        <v>244</v>
      </c>
      <c r="C52" s="132">
        <f>SUM(C46:C51)</f>
        <v>979</v>
      </c>
      <c r="D52" s="132"/>
      <c r="E52" s="40">
        <f t="shared" ref="E52:N52" si="31">SUM(E46:E51)</f>
        <v>1958</v>
      </c>
      <c r="F52" s="40">
        <f t="shared" si="31"/>
        <v>2937</v>
      </c>
      <c r="G52" s="40">
        <f t="shared" si="31"/>
        <v>4895</v>
      </c>
      <c r="H52" s="40">
        <f t="shared" si="31"/>
        <v>5874</v>
      </c>
      <c r="I52" s="40">
        <f t="shared" si="31"/>
        <v>7832</v>
      </c>
      <c r="J52" s="40">
        <f t="shared" si="31"/>
        <v>9790</v>
      </c>
      <c r="K52" s="40">
        <f t="shared" si="31"/>
        <v>10769</v>
      </c>
      <c r="L52" s="40">
        <f t="shared" si="31"/>
        <v>12727</v>
      </c>
      <c r="M52" s="40">
        <f t="shared" si="31"/>
        <v>14685</v>
      </c>
      <c r="N52" s="40">
        <f t="shared" si="31"/>
        <v>15664</v>
      </c>
    </row>
    <row r="53" spans="2:32" x14ac:dyDescent="0.25">
      <c r="B53" s="15" t="s">
        <v>246</v>
      </c>
      <c r="C53" s="129" t="s">
        <v>231</v>
      </c>
      <c r="D53" s="129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2:32" x14ac:dyDescent="0.25">
      <c r="B54" s="24" t="s">
        <v>232</v>
      </c>
      <c r="C54" s="132">
        <f>8*12</f>
        <v>96</v>
      </c>
      <c r="D54" s="132"/>
      <c r="E54" s="58">
        <f t="shared" ref="E54:N54" si="32">$C54*ROUND(E$17,0)</f>
        <v>0</v>
      </c>
      <c r="F54" s="58">
        <f t="shared" si="32"/>
        <v>0</v>
      </c>
      <c r="G54" s="58">
        <f t="shared" si="32"/>
        <v>96</v>
      </c>
      <c r="H54" s="58">
        <f t="shared" si="32"/>
        <v>96</v>
      </c>
      <c r="I54" s="58">
        <f t="shared" si="32"/>
        <v>96</v>
      </c>
      <c r="J54" s="58">
        <f t="shared" si="32"/>
        <v>96</v>
      </c>
      <c r="K54" s="58">
        <f t="shared" si="32"/>
        <v>96</v>
      </c>
      <c r="L54" s="58">
        <f t="shared" si="32"/>
        <v>192</v>
      </c>
      <c r="M54" s="58">
        <f t="shared" si="32"/>
        <v>192</v>
      </c>
      <c r="N54" s="58">
        <f t="shared" si="32"/>
        <v>192</v>
      </c>
    </row>
    <row r="55" spans="2:32" x14ac:dyDescent="0.25">
      <c r="B55" s="24" t="s">
        <v>182</v>
      </c>
      <c r="C55" s="132">
        <v>0</v>
      </c>
      <c r="D55" s="132"/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</row>
    <row r="56" spans="2:32" x14ac:dyDescent="0.25">
      <c r="B56" s="24" t="s">
        <v>233</v>
      </c>
      <c r="C56" s="132">
        <f>13</f>
        <v>13</v>
      </c>
      <c r="D56" s="132"/>
      <c r="E56" s="58">
        <f t="shared" ref="E56:N60" si="33">$C56*ROUND(E$17,0)</f>
        <v>0</v>
      </c>
      <c r="F56" s="58">
        <f t="shared" si="33"/>
        <v>0</v>
      </c>
      <c r="G56" s="58">
        <f t="shared" si="33"/>
        <v>13</v>
      </c>
      <c r="H56" s="58">
        <f t="shared" si="33"/>
        <v>13</v>
      </c>
      <c r="I56" s="58">
        <f t="shared" si="33"/>
        <v>13</v>
      </c>
      <c r="J56" s="58">
        <f t="shared" si="33"/>
        <v>13</v>
      </c>
      <c r="K56" s="58">
        <f t="shared" si="33"/>
        <v>13</v>
      </c>
      <c r="L56" s="58">
        <f t="shared" si="33"/>
        <v>26</v>
      </c>
      <c r="M56" s="58">
        <f t="shared" si="33"/>
        <v>26</v>
      </c>
      <c r="N56" s="58">
        <f t="shared" si="33"/>
        <v>26</v>
      </c>
    </row>
    <row r="57" spans="2:32" x14ac:dyDescent="0.25">
      <c r="B57" s="24" t="s">
        <v>128</v>
      </c>
      <c r="C57" s="132">
        <f>15*12</f>
        <v>180</v>
      </c>
      <c r="D57" s="132"/>
      <c r="E57" s="58">
        <f t="shared" si="33"/>
        <v>0</v>
      </c>
      <c r="F57" s="58">
        <f t="shared" si="33"/>
        <v>0</v>
      </c>
      <c r="G57" s="58">
        <f t="shared" si="33"/>
        <v>180</v>
      </c>
      <c r="H57" s="58">
        <f t="shared" si="33"/>
        <v>180</v>
      </c>
      <c r="I57" s="58">
        <f t="shared" si="33"/>
        <v>180</v>
      </c>
      <c r="J57" s="58">
        <f t="shared" si="33"/>
        <v>180</v>
      </c>
      <c r="K57" s="58">
        <f t="shared" si="33"/>
        <v>180</v>
      </c>
      <c r="L57" s="58">
        <f t="shared" si="33"/>
        <v>360</v>
      </c>
      <c r="M57" s="58">
        <f t="shared" si="33"/>
        <v>360</v>
      </c>
      <c r="N57" s="58">
        <f t="shared" si="33"/>
        <v>360</v>
      </c>
    </row>
    <row r="58" spans="2:32" x14ac:dyDescent="0.25">
      <c r="B58" s="24" t="s">
        <v>247</v>
      </c>
      <c r="C58" s="132">
        <f>720/30*4*12</f>
        <v>1152</v>
      </c>
      <c r="D58" s="132"/>
      <c r="E58" s="58">
        <f t="shared" si="33"/>
        <v>0</v>
      </c>
      <c r="F58" s="58">
        <f t="shared" si="33"/>
        <v>0</v>
      </c>
      <c r="G58" s="58">
        <f t="shared" si="33"/>
        <v>1152</v>
      </c>
      <c r="H58" s="58">
        <f t="shared" si="33"/>
        <v>1152</v>
      </c>
      <c r="I58" s="58">
        <f t="shared" si="33"/>
        <v>1152</v>
      </c>
      <c r="J58" s="58">
        <f t="shared" si="33"/>
        <v>1152</v>
      </c>
      <c r="K58" s="58">
        <f t="shared" si="33"/>
        <v>1152</v>
      </c>
      <c r="L58" s="58">
        <f t="shared" si="33"/>
        <v>2304</v>
      </c>
      <c r="M58" s="58">
        <f t="shared" si="33"/>
        <v>2304</v>
      </c>
      <c r="N58" s="58">
        <f t="shared" si="33"/>
        <v>2304</v>
      </c>
    </row>
    <row r="59" spans="2:32" x14ac:dyDescent="0.25">
      <c r="B59" s="24" t="s">
        <v>248</v>
      </c>
      <c r="C59" s="132">
        <f>0.8*30*4*12</f>
        <v>1152</v>
      </c>
      <c r="D59" s="132"/>
      <c r="E59" s="58">
        <f t="shared" si="33"/>
        <v>0</v>
      </c>
      <c r="F59" s="58">
        <f t="shared" si="33"/>
        <v>0</v>
      </c>
      <c r="G59" s="58">
        <f t="shared" si="33"/>
        <v>1152</v>
      </c>
      <c r="H59" s="58">
        <f t="shared" si="33"/>
        <v>1152</v>
      </c>
      <c r="I59" s="58">
        <f t="shared" si="33"/>
        <v>1152</v>
      </c>
      <c r="J59" s="58">
        <f t="shared" si="33"/>
        <v>1152</v>
      </c>
      <c r="K59" s="58">
        <f t="shared" si="33"/>
        <v>1152</v>
      </c>
      <c r="L59" s="58">
        <f t="shared" si="33"/>
        <v>2304</v>
      </c>
      <c r="M59" s="58">
        <f t="shared" si="33"/>
        <v>2304</v>
      </c>
      <c r="N59" s="58">
        <f t="shared" si="33"/>
        <v>2304</v>
      </c>
    </row>
    <row r="60" spans="2:32" x14ac:dyDescent="0.25">
      <c r="B60" s="24" t="s">
        <v>102</v>
      </c>
      <c r="C60" s="132">
        <f>30*12</f>
        <v>360</v>
      </c>
      <c r="D60" s="132"/>
      <c r="E60" s="58">
        <f t="shared" si="33"/>
        <v>0</v>
      </c>
      <c r="F60" s="58">
        <f t="shared" si="33"/>
        <v>0</v>
      </c>
      <c r="G60" s="58">
        <f t="shared" si="33"/>
        <v>360</v>
      </c>
      <c r="H60" s="58">
        <f t="shared" si="33"/>
        <v>360</v>
      </c>
      <c r="I60" s="58">
        <f t="shared" si="33"/>
        <v>360</v>
      </c>
      <c r="J60" s="58">
        <f t="shared" si="33"/>
        <v>360</v>
      </c>
      <c r="K60" s="58">
        <f t="shared" si="33"/>
        <v>360</v>
      </c>
      <c r="L60" s="58">
        <f t="shared" si="33"/>
        <v>720</v>
      </c>
      <c r="M60" s="58">
        <f t="shared" si="33"/>
        <v>720</v>
      </c>
      <c r="N60" s="58">
        <f t="shared" si="33"/>
        <v>720</v>
      </c>
    </row>
    <row r="61" spans="2:32" x14ac:dyDescent="0.25">
      <c r="B61" s="24" t="s">
        <v>249</v>
      </c>
      <c r="C61" s="132">
        <f>SUM(C54:C60)</f>
        <v>2953</v>
      </c>
      <c r="D61" s="132"/>
      <c r="E61" s="58">
        <f t="shared" ref="E61:N61" si="34">SUM(E54:E60)</f>
        <v>0</v>
      </c>
      <c r="F61" s="58">
        <f t="shared" si="34"/>
        <v>0</v>
      </c>
      <c r="G61" s="58">
        <f t="shared" si="34"/>
        <v>2953</v>
      </c>
      <c r="H61" s="58">
        <f t="shared" si="34"/>
        <v>2953</v>
      </c>
      <c r="I61" s="58">
        <f t="shared" si="34"/>
        <v>2953</v>
      </c>
      <c r="J61" s="58">
        <f t="shared" si="34"/>
        <v>2953</v>
      </c>
      <c r="K61" s="58">
        <f t="shared" si="34"/>
        <v>2953</v>
      </c>
      <c r="L61" s="58">
        <f t="shared" si="34"/>
        <v>5906</v>
      </c>
      <c r="M61" s="58">
        <f t="shared" si="34"/>
        <v>5906</v>
      </c>
      <c r="N61" s="58">
        <f t="shared" si="34"/>
        <v>5906</v>
      </c>
    </row>
    <row r="62" spans="2:32" x14ac:dyDescent="0.25">
      <c r="B62" s="15" t="s">
        <v>250</v>
      </c>
      <c r="C62" s="65" t="s">
        <v>231</v>
      </c>
      <c r="D62" s="66" t="s">
        <v>202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</row>
    <row r="63" spans="2:32" x14ac:dyDescent="0.25">
      <c r="B63" s="24" t="s">
        <v>232</v>
      </c>
      <c r="C63" s="57">
        <f>6*12</f>
        <v>72</v>
      </c>
      <c r="D63" s="67">
        <v>1</v>
      </c>
      <c r="E63" s="58">
        <f t="shared" ref="E63:N72" si="35">$C63*$D63*ROUND(E$19,0)</f>
        <v>72</v>
      </c>
      <c r="F63" s="58">
        <f t="shared" si="35"/>
        <v>72</v>
      </c>
      <c r="G63" s="58">
        <f t="shared" si="35"/>
        <v>144</v>
      </c>
      <c r="H63" s="58">
        <f t="shared" si="35"/>
        <v>144</v>
      </c>
      <c r="I63" s="58">
        <f t="shared" si="35"/>
        <v>216</v>
      </c>
      <c r="J63" s="58">
        <f t="shared" si="35"/>
        <v>288</v>
      </c>
      <c r="K63" s="58">
        <f t="shared" si="35"/>
        <v>288</v>
      </c>
      <c r="L63" s="58">
        <f t="shared" si="35"/>
        <v>360</v>
      </c>
      <c r="M63" s="58">
        <f t="shared" si="35"/>
        <v>432</v>
      </c>
      <c r="N63" s="58">
        <f t="shared" si="35"/>
        <v>432</v>
      </c>
    </row>
    <row r="64" spans="2:32" x14ac:dyDescent="0.25">
      <c r="B64" s="24" t="s">
        <v>182</v>
      </c>
      <c r="C64" s="57">
        <v>0</v>
      </c>
      <c r="D64" s="67">
        <v>1</v>
      </c>
      <c r="E64" s="58">
        <f t="shared" si="35"/>
        <v>0</v>
      </c>
      <c r="F64" s="58">
        <f t="shared" si="35"/>
        <v>0</v>
      </c>
      <c r="G64" s="58">
        <f t="shared" si="35"/>
        <v>0</v>
      </c>
      <c r="H64" s="58">
        <f t="shared" si="35"/>
        <v>0</v>
      </c>
      <c r="I64" s="58">
        <f t="shared" si="35"/>
        <v>0</v>
      </c>
      <c r="J64" s="58">
        <f t="shared" si="35"/>
        <v>0</v>
      </c>
      <c r="K64" s="58">
        <f t="shared" si="35"/>
        <v>0</v>
      </c>
      <c r="L64" s="58">
        <f t="shared" si="35"/>
        <v>0</v>
      </c>
      <c r="M64" s="58">
        <f t="shared" si="35"/>
        <v>0</v>
      </c>
      <c r="N64" s="58">
        <f t="shared" si="35"/>
        <v>0</v>
      </c>
    </row>
    <row r="65" spans="2:14" x14ac:dyDescent="0.25">
      <c r="B65" s="24" t="s">
        <v>233</v>
      </c>
      <c r="C65" s="25">
        <f>13</f>
        <v>13</v>
      </c>
      <c r="D65" s="67">
        <v>1</v>
      </c>
      <c r="E65" s="58">
        <f t="shared" si="35"/>
        <v>13</v>
      </c>
      <c r="F65" s="58">
        <f t="shared" si="35"/>
        <v>13</v>
      </c>
      <c r="G65" s="58">
        <f t="shared" si="35"/>
        <v>26</v>
      </c>
      <c r="H65" s="58">
        <f t="shared" si="35"/>
        <v>26</v>
      </c>
      <c r="I65" s="58">
        <f t="shared" si="35"/>
        <v>39</v>
      </c>
      <c r="J65" s="58">
        <f t="shared" si="35"/>
        <v>52</v>
      </c>
      <c r="K65" s="58">
        <f t="shared" si="35"/>
        <v>52</v>
      </c>
      <c r="L65" s="58">
        <f t="shared" si="35"/>
        <v>65</v>
      </c>
      <c r="M65" s="58">
        <f t="shared" si="35"/>
        <v>78</v>
      </c>
      <c r="N65" s="58">
        <f t="shared" si="35"/>
        <v>78</v>
      </c>
    </row>
    <row r="66" spans="2:14" x14ac:dyDescent="0.25">
      <c r="B66" s="24" t="s">
        <v>125</v>
      </c>
      <c r="C66" s="57">
        <f>15*12</f>
        <v>180</v>
      </c>
      <c r="D66" s="67">
        <v>0.2</v>
      </c>
      <c r="E66" s="58">
        <f t="shared" si="35"/>
        <v>36</v>
      </c>
      <c r="F66" s="58">
        <f t="shared" si="35"/>
        <v>36</v>
      </c>
      <c r="G66" s="58">
        <f t="shared" si="35"/>
        <v>72</v>
      </c>
      <c r="H66" s="58">
        <f t="shared" si="35"/>
        <v>72</v>
      </c>
      <c r="I66" s="58">
        <f t="shared" si="35"/>
        <v>108</v>
      </c>
      <c r="J66" s="58">
        <f t="shared" si="35"/>
        <v>144</v>
      </c>
      <c r="K66" s="58">
        <f t="shared" si="35"/>
        <v>144</v>
      </c>
      <c r="L66" s="58">
        <f t="shared" si="35"/>
        <v>180</v>
      </c>
      <c r="M66" s="58">
        <f t="shared" si="35"/>
        <v>216</v>
      </c>
      <c r="N66" s="58">
        <f t="shared" si="35"/>
        <v>216</v>
      </c>
    </row>
    <row r="67" spans="2:14" x14ac:dyDescent="0.25">
      <c r="B67" s="24" t="s">
        <v>128</v>
      </c>
      <c r="C67" s="57">
        <f>15*12</f>
        <v>180</v>
      </c>
      <c r="D67" s="67">
        <v>0.04</v>
      </c>
      <c r="E67" s="58">
        <f t="shared" si="35"/>
        <v>7.2</v>
      </c>
      <c r="F67" s="58">
        <f t="shared" si="35"/>
        <v>7.2</v>
      </c>
      <c r="G67" s="58">
        <f t="shared" si="35"/>
        <v>14.4</v>
      </c>
      <c r="H67" s="58">
        <f t="shared" si="35"/>
        <v>14.4</v>
      </c>
      <c r="I67" s="58">
        <f t="shared" si="35"/>
        <v>21.6</v>
      </c>
      <c r="J67" s="58">
        <f t="shared" si="35"/>
        <v>28.8</v>
      </c>
      <c r="K67" s="58">
        <f t="shared" si="35"/>
        <v>28.8</v>
      </c>
      <c r="L67" s="58">
        <f t="shared" si="35"/>
        <v>36</v>
      </c>
      <c r="M67" s="58">
        <f t="shared" si="35"/>
        <v>43.2</v>
      </c>
      <c r="N67" s="58">
        <f t="shared" si="35"/>
        <v>43.2</v>
      </c>
    </row>
    <row r="68" spans="2:14" x14ac:dyDescent="0.25">
      <c r="B68" s="24" t="s">
        <v>241</v>
      </c>
      <c r="C68" s="68">
        <f>720/30*12</f>
        <v>288</v>
      </c>
      <c r="D68" s="67">
        <v>0.14000000000000001</v>
      </c>
      <c r="E68" s="58">
        <f t="shared" si="35"/>
        <v>40.320000000000007</v>
      </c>
      <c r="F68" s="58">
        <f t="shared" si="35"/>
        <v>40.320000000000007</v>
      </c>
      <c r="G68" s="58">
        <f t="shared" si="35"/>
        <v>80.640000000000015</v>
      </c>
      <c r="H68" s="58">
        <f t="shared" si="35"/>
        <v>80.640000000000015</v>
      </c>
      <c r="I68" s="58">
        <f t="shared" si="35"/>
        <v>120.96000000000002</v>
      </c>
      <c r="J68" s="58">
        <f t="shared" si="35"/>
        <v>161.28000000000003</v>
      </c>
      <c r="K68" s="58">
        <f t="shared" si="35"/>
        <v>161.28000000000003</v>
      </c>
      <c r="L68" s="58">
        <f t="shared" si="35"/>
        <v>201.60000000000002</v>
      </c>
      <c r="M68" s="58">
        <f t="shared" si="35"/>
        <v>241.92000000000004</v>
      </c>
      <c r="N68" s="58">
        <f t="shared" si="35"/>
        <v>241.92000000000004</v>
      </c>
    </row>
    <row r="69" spans="2:14" x14ac:dyDescent="0.25">
      <c r="B69" s="24" t="s">
        <v>247</v>
      </c>
      <c r="C69" s="57">
        <f>720/30*4*12</f>
        <v>1152</v>
      </c>
      <c r="D69" s="67">
        <v>0.05</v>
      </c>
      <c r="E69" s="58">
        <f t="shared" si="35"/>
        <v>57.6</v>
      </c>
      <c r="F69" s="58">
        <f t="shared" si="35"/>
        <v>57.6</v>
      </c>
      <c r="G69" s="58">
        <f t="shared" si="35"/>
        <v>115.2</v>
      </c>
      <c r="H69" s="58">
        <f t="shared" si="35"/>
        <v>115.2</v>
      </c>
      <c r="I69" s="58">
        <f t="shared" si="35"/>
        <v>172.8</v>
      </c>
      <c r="J69" s="58">
        <f t="shared" si="35"/>
        <v>230.4</v>
      </c>
      <c r="K69" s="58">
        <f t="shared" si="35"/>
        <v>230.4</v>
      </c>
      <c r="L69" s="58">
        <f t="shared" si="35"/>
        <v>288</v>
      </c>
      <c r="M69" s="58">
        <f t="shared" si="35"/>
        <v>345.6</v>
      </c>
      <c r="N69" s="58">
        <f t="shared" si="35"/>
        <v>345.6</v>
      </c>
    </row>
    <row r="70" spans="2:14" x14ac:dyDescent="0.25">
      <c r="B70" s="24" t="s">
        <v>242</v>
      </c>
      <c r="C70" s="68">
        <f>0.8*30*2*12</f>
        <v>576</v>
      </c>
      <c r="D70" s="67">
        <v>0.18</v>
      </c>
      <c r="E70" s="58">
        <f t="shared" si="35"/>
        <v>103.67999999999999</v>
      </c>
      <c r="F70" s="58">
        <f t="shared" si="35"/>
        <v>103.67999999999999</v>
      </c>
      <c r="G70" s="58">
        <f t="shared" si="35"/>
        <v>207.35999999999999</v>
      </c>
      <c r="H70" s="58">
        <f t="shared" si="35"/>
        <v>207.35999999999999</v>
      </c>
      <c r="I70" s="58">
        <f t="shared" si="35"/>
        <v>311.03999999999996</v>
      </c>
      <c r="J70" s="58">
        <f t="shared" si="35"/>
        <v>414.71999999999997</v>
      </c>
      <c r="K70" s="58">
        <f t="shared" si="35"/>
        <v>414.71999999999997</v>
      </c>
      <c r="L70" s="58">
        <f t="shared" si="35"/>
        <v>518.4</v>
      </c>
      <c r="M70" s="58">
        <f t="shared" si="35"/>
        <v>622.07999999999993</v>
      </c>
      <c r="N70" s="58">
        <f t="shared" si="35"/>
        <v>622.07999999999993</v>
      </c>
    </row>
    <row r="71" spans="2:14" x14ac:dyDescent="0.25">
      <c r="B71" s="24" t="s">
        <v>248</v>
      </c>
      <c r="C71" s="57">
        <f>0.8*30*4*12</f>
        <v>1152</v>
      </c>
      <c r="D71" s="67">
        <v>0.04</v>
      </c>
      <c r="E71" s="58">
        <f t="shared" si="35"/>
        <v>46.08</v>
      </c>
      <c r="F71" s="58">
        <f t="shared" si="35"/>
        <v>46.08</v>
      </c>
      <c r="G71" s="58">
        <f t="shared" si="35"/>
        <v>92.16</v>
      </c>
      <c r="H71" s="58">
        <f t="shared" si="35"/>
        <v>92.16</v>
      </c>
      <c r="I71" s="58">
        <f t="shared" si="35"/>
        <v>138.24</v>
      </c>
      <c r="J71" s="58">
        <f t="shared" si="35"/>
        <v>184.32</v>
      </c>
      <c r="K71" s="58">
        <f t="shared" si="35"/>
        <v>184.32</v>
      </c>
      <c r="L71" s="58">
        <f t="shared" si="35"/>
        <v>230.39999999999998</v>
      </c>
      <c r="M71" s="58">
        <f t="shared" si="35"/>
        <v>276.48</v>
      </c>
      <c r="N71" s="58">
        <f t="shared" si="35"/>
        <v>276.48</v>
      </c>
    </row>
    <row r="72" spans="2:14" ht="15.75" thickBot="1" x14ac:dyDescent="0.3">
      <c r="B72" s="24" t="s">
        <v>102</v>
      </c>
      <c r="C72" s="57">
        <f>30*12</f>
        <v>360</v>
      </c>
      <c r="D72" s="67">
        <v>0.35</v>
      </c>
      <c r="E72" s="58">
        <f t="shared" si="35"/>
        <v>125.99999999999999</v>
      </c>
      <c r="F72" s="58">
        <f t="shared" si="35"/>
        <v>125.99999999999999</v>
      </c>
      <c r="G72" s="58">
        <f t="shared" si="35"/>
        <v>251.99999999999997</v>
      </c>
      <c r="H72" s="58">
        <f t="shared" si="35"/>
        <v>251.99999999999997</v>
      </c>
      <c r="I72" s="58">
        <f t="shared" si="35"/>
        <v>377.99999999999994</v>
      </c>
      <c r="J72" s="58">
        <f t="shared" si="35"/>
        <v>503.99999999999994</v>
      </c>
      <c r="K72" s="58">
        <f t="shared" si="35"/>
        <v>503.99999999999994</v>
      </c>
      <c r="L72" s="58">
        <f t="shared" si="35"/>
        <v>629.99999999999989</v>
      </c>
      <c r="M72" s="58">
        <f t="shared" si="35"/>
        <v>755.99999999999989</v>
      </c>
      <c r="N72" s="58">
        <f t="shared" si="35"/>
        <v>755.99999999999989</v>
      </c>
    </row>
    <row r="73" spans="2:14" ht="15.75" thickBot="1" x14ac:dyDescent="0.3">
      <c r="B73" s="24" t="s">
        <v>251</v>
      </c>
      <c r="C73" s="135">
        <f>C63*D63+C64*D64+C65*D65+C66*D66+C67*D67+C68*D68+C69*D69+C70*D70+C71*D71+C72*D72</f>
        <v>501.87999999999994</v>
      </c>
      <c r="D73" s="136"/>
      <c r="E73" s="57">
        <f>SUM(E63:E72)</f>
        <v>501.87999999999994</v>
      </c>
      <c r="F73" s="57">
        <f t="shared" ref="F73:N73" si="36">SUM(F63:F72)</f>
        <v>501.87999999999994</v>
      </c>
      <c r="G73" s="57">
        <f t="shared" si="36"/>
        <v>1003.7599999999999</v>
      </c>
      <c r="H73" s="57">
        <f t="shared" si="36"/>
        <v>1003.7599999999999</v>
      </c>
      <c r="I73" s="57">
        <f t="shared" si="36"/>
        <v>1505.64</v>
      </c>
      <c r="J73" s="57">
        <f t="shared" si="36"/>
        <v>2007.5199999999998</v>
      </c>
      <c r="K73" s="57">
        <f t="shared" si="36"/>
        <v>2007.5199999999998</v>
      </c>
      <c r="L73" s="57">
        <f t="shared" si="36"/>
        <v>2509.4</v>
      </c>
      <c r="M73" s="57">
        <f t="shared" si="36"/>
        <v>3011.28</v>
      </c>
      <c r="N73" s="57">
        <f t="shared" si="36"/>
        <v>3011.28</v>
      </c>
    </row>
    <row r="74" spans="2:14" ht="15.75" thickBot="1" x14ac:dyDescent="0.3">
      <c r="B74" s="24"/>
      <c r="C74" s="25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</row>
    <row r="75" spans="2:14" x14ac:dyDescent="0.25">
      <c r="B75" s="15" t="s">
        <v>252</v>
      </c>
      <c r="C75" s="129" t="s">
        <v>231</v>
      </c>
      <c r="D75" s="129"/>
      <c r="E75" s="57"/>
      <c r="F75" s="57"/>
      <c r="G75" s="57"/>
      <c r="H75" s="57"/>
      <c r="I75" s="57"/>
      <c r="J75" s="57"/>
      <c r="K75" s="57"/>
      <c r="L75" s="57"/>
      <c r="M75" s="57"/>
      <c r="N75" s="57"/>
    </row>
    <row r="76" spans="2:14" x14ac:dyDescent="0.25">
      <c r="B76" s="24" t="s">
        <v>131</v>
      </c>
      <c r="C76" s="132">
        <v>67</v>
      </c>
      <c r="D76" s="132"/>
      <c r="E76" s="57">
        <f t="shared" ref="E76:N84" si="37">$C76*ROUND(E$23,0)</f>
        <v>67</v>
      </c>
      <c r="F76" s="57">
        <f t="shared" si="37"/>
        <v>67</v>
      </c>
      <c r="G76" s="57">
        <f t="shared" si="37"/>
        <v>134</v>
      </c>
      <c r="H76" s="57">
        <f t="shared" si="37"/>
        <v>201</v>
      </c>
      <c r="I76" s="57">
        <f t="shared" si="37"/>
        <v>268</v>
      </c>
      <c r="J76" s="57">
        <f t="shared" si="37"/>
        <v>335</v>
      </c>
      <c r="K76" s="57">
        <f t="shared" si="37"/>
        <v>402</v>
      </c>
      <c r="L76" s="57">
        <f t="shared" si="37"/>
        <v>469</v>
      </c>
      <c r="M76" s="57">
        <f t="shared" si="37"/>
        <v>469</v>
      </c>
      <c r="N76" s="57">
        <f t="shared" si="37"/>
        <v>536</v>
      </c>
    </row>
    <row r="77" spans="2:14" x14ac:dyDescent="0.25">
      <c r="B77" s="24" t="s">
        <v>134</v>
      </c>
      <c r="C77" s="132">
        <v>40.75</v>
      </c>
      <c r="D77" s="132"/>
      <c r="E77" s="57">
        <f t="shared" si="37"/>
        <v>40.75</v>
      </c>
      <c r="F77" s="57">
        <f t="shared" si="37"/>
        <v>40.75</v>
      </c>
      <c r="G77" s="57">
        <f t="shared" si="37"/>
        <v>81.5</v>
      </c>
      <c r="H77" s="57">
        <f t="shared" si="37"/>
        <v>122.25</v>
      </c>
      <c r="I77" s="57">
        <f t="shared" si="37"/>
        <v>163</v>
      </c>
      <c r="J77" s="57">
        <f t="shared" si="37"/>
        <v>203.75</v>
      </c>
      <c r="K77" s="57">
        <f t="shared" si="37"/>
        <v>244.5</v>
      </c>
      <c r="L77" s="57">
        <f t="shared" si="37"/>
        <v>285.25</v>
      </c>
      <c r="M77" s="57">
        <f t="shared" si="37"/>
        <v>285.25</v>
      </c>
      <c r="N77" s="57">
        <f t="shared" si="37"/>
        <v>326</v>
      </c>
    </row>
    <row r="78" spans="2:14" x14ac:dyDescent="0.25">
      <c r="B78" s="24" t="s">
        <v>137</v>
      </c>
      <c r="C78" s="132">
        <v>58</v>
      </c>
      <c r="D78" s="132"/>
      <c r="E78" s="57">
        <f t="shared" si="37"/>
        <v>58</v>
      </c>
      <c r="F78" s="57">
        <f t="shared" si="37"/>
        <v>58</v>
      </c>
      <c r="G78" s="57">
        <f t="shared" si="37"/>
        <v>116</v>
      </c>
      <c r="H78" s="57">
        <f t="shared" si="37"/>
        <v>174</v>
      </c>
      <c r="I78" s="57">
        <f t="shared" si="37"/>
        <v>232</v>
      </c>
      <c r="J78" s="57">
        <f t="shared" si="37"/>
        <v>290</v>
      </c>
      <c r="K78" s="57">
        <f t="shared" si="37"/>
        <v>348</v>
      </c>
      <c r="L78" s="57">
        <f t="shared" si="37"/>
        <v>406</v>
      </c>
      <c r="M78" s="57">
        <f t="shared" si="37"/>
        <v>406</v>
      </c>
      <c r="N78" s="57">
        <f t="shared" si="37"/>
        <v>464</v>
      </c>
    </row>
    <row r="79" spans="2:14" x14ac:dyDescent="0.25">
      <c r="B79" s="24" t="s">
        <v>140</v>
      </c>
      <c r="C79" s="132">
        <v>11</v>
      </c>
      <c r="D79" s="132"/>
      <c r="E79" s="57">
        <f t="shared" si="37"/>
        <v>11</v>
      </c>
      <c r="F79" s="57">
        <f t="shared" si="37"/>
        <v>11</v>
      </c>
      <c r="G79" s="57">
        <f t="shared" si="37"/>
        <v>22</v>
      </c>
      <c r="H79" s="57">
        <f t="shared" si="37"/>
        <v>33</v>
      </c>
      <c r="I79" s="57">
        <f t="shared" si="37"/>
        <v>44</v>
      </c>
      <c r="J79" s="57">
        <f t="shared" si="37"/>
        <v>55</v>
      </c>
      <c r="K79" s="57">
        <f t="shared" si="37"/>
        <v>66</v>
      </c>
      <c r="L79" s="57">
        <f t="shared" si="37"/>
        <v>77</v>
      </c>
      <c r="M79" s="57">
        <f t="shared" si="37"/>
        <v>77</v>
      </c>
      <c r="N79" s="57">
        <f t="shared" si="37"/>
        <v>88</v>
      </c>
    </row>
    <row r="80" spans="2:14" x14ac:dyDescent="0.25">
      <c r="B80" s="24" t="s">
        <v>253</v>
      </c>
      <c r="C80" s="132">
        <f>1*10</f>
        <v>10</v>
      </c>
      <c r="D80" s="132"/>
      <c r="E80" s="57">
        <f t="shared" si="37"/>
        <v>10</v>
      </c>
      <c r="F80" s="57">
        <f t="shared" si="37"/>
        <v>10</v>
      </c>
      <c r="G80" s="57">
        <f t="shared" si="37"/>
        <v>20</v>
      </c>
      <c r="H80" s="57">
        <f t="shared" si="37"/>
        <v>30</v>
      </c>
      <c r="I80" s="57">
        <f t="shared" si="37"/>
        <v>40</v>
      </c>
      <c r="J80" s="57">
        <f t="shared" si="37"/>
        <v>50</v>
      </c>
      <c r="K80" s="57">
        <f t="shared" si="37"/>
        <v>60</v>
      </c>
      <c r="L80" s="57">
        <f t="shared" si="37"/>
        <v>70</v>
      </c>
      <c r="M80" s="57">
        <f t="shared" si="37"/>
        <v>70</v>
      </c>
      <c r="N80" s="57">
        <f t="shared" si="37"/>
        <v>80</v>
      </c>
    </row>
    <row r="81" spans="2:14" x14ac:dyDescent="0.25">
      <c r="B81" s="24" t="s">
        <v>254</v>
      </c>
      <c r="C81" s="132">
        <f>1.89*10</f>
        <v>18.899999999999999</v>
      </c>
      <c r="D81" s="132"/>
      <c r="E81" s="57">
        <f t="shared" si="37"/>
        <v>18.899999999999999</v>
      </c>
      <c r="F81" s="57">
        <f t="shared" si="37"/>
        <v>18.899999999999999</v>
      </c>
      <c r="G81" s="57">
        <f t="shared" si="37"/>
        <v>37.799999999999997</v>
      </c>
      <c r="H81" s="57">
        <f t="shared" si="37"/>
        <v>56.699999999999996</v>
      </c>
      <c r="I81" s="57">
        <f t="shared" si="37"/>
        <v>75.599999999999994</v>
      </c>
      <c r="J81" s="57">
        <f t="shared" si="37"/>
        <v>94.5</v>
      </c>
      <c r="K81" s="57">
        <f t="shared" si="37"/>
        <v>113.39999999999999</v>
      </c>
      <c r="L81" s="57">
        <f t="shared" si="37"/>
        <v>132.29999999999998</v>
      </c>
      <c r="M81" s="57">
        <f t="shared" si="37"/>
        <v>132.29999999999998</v>
      </c>
      <c r="N81" s="57">
        <f t="shared" si="37"/>
        <v>151.19999999999999</v>
      </c>
    </row>
    <row r="82" spans="2:14" x14ac:dyDescent="0.25">
      <c r="B82" s="24" t="s">
        <v>149</v>
      </c>
      <c r="C82" s="132">
        <v>144</v>
      </c>
      <c r="D82" s="132"/>
      <c r="E82" s="57">
        <f t="shared" si="37"/>
        <v>144</v>
      </c>
      <c r="F82" s="57">
        <f t="shared" si="37"/>
        <v>144</v>
      </c>
      <c r="G82" s="57">
        <f t="shared" si="37"/>
        <v>288</v>
      </c>
      <c r="H82" s="57">
        <f t="shared" si="37"/>
        <v>432</v>
      </c>
      <c r="I82" s="57">
        <f t="shared" si="37"/>
        <v>576</v>
      </c>
      <c r="J82" s="57">
        <f t="shared" si="37"/>
        <v>720</v>
      </c>
      <c r="K82" s="57">
        <f t="shared" si="37"/>
        <v>864</v>
      </c>
      <c r="L82" s="57">
        <f t="shared" si="37"/>
        <v>1008</v>
      </c>
      <c r="M82" s="57">
        <f t="shared" si="37"/>
        <v>1008</v>
      </c>
      <c r="N82" s="57">
        <f t="shared" si="37"/>
        <v>1152</v>
      </c>
    </row>
    <row r="83" spans="2:14" x14ac:dyDescent="0.25">
      <c r="B83" s="24" t="s">
        <v>152</v>
      </c>
      <c r="C83" s="132">
        <v>200</v>
      </c>
      <c r="D83" s="132"/>
      <c r="E83" s="57">
        <f t="shared" si="37"/>
        <v>200</v>
      </c>
      <c r="F83" s="57">
        <f t="shared" si="37"/>
        <v>200</v>
      </c>
      <c r="G83" s="57">
        <f t="shared" si="37"/>
        <v>400</v>
      </c>
      <c r="H83" s="57">
        <f t="shared" si="37"/>
        <v>600</v>
      </c>
      <c r="I83" s="57">
        <f t="shared" si="37"/>
        <v>800</v>
      </c>
      <c r="J83" s="57">
        <f t="shared" si="37"/>
        <v>1000</v>
      </c>
      <c r="K83" s="57">
        <f t="shared" si="37"/>
        <v>1200</v>
      </c>
      <c r="L83" s="57">
        <f t="shared" si="37"/>
        <v>1400</v>
      </c>
      <c r="M83" s="57">
        <f t="shared" si="37"/>
        <v>1400</v>
      </c>
      <c r="N83" s="57">
        <f t="shared" si="37"/>
        <v>1600</v>
      </c>
    </row>
    <row r="84" spans="2:14" x14ac:dyDescent="0.25">
      <c r="B84" s="24" t="s">
        <v>155</v>
      </c>
      <c r="C84" s="132">
        <v>900</v>
      </c>
      <c r="D84" s="132"/>
      <c r="E84" s="57">
        <f t="shared" si="37"/>
        <v>900</v>
      </c>
      <c r="F84" s="57">
        <f t="shared" si="37"/>
        <v>900</v>
      </c>
      <c r="G84" s="57">
        <f t="shared" si="37"/>
        <v>1800</v>
      </c>
      <c r="H84" s="57">
        <f t="shared" si="37"/>
        <v>2700</v>
      </c>
      <c r="I84" s="57">
        <f t="shared" si="37"/>
        <v>3600</v>
      </c>
      <c r="J84" s="57">
        <f t="shared" si="37"/>
        <v>4500</v>
      </c>
      <c r="K84" s="57">
        <f t="shared" si="37"/>
        <v>5400</v>
      </c>
      <c r="L84" s="57">
        <f t="shared" si="37"/>
        <v>6300</v>
      </c>
      <c r="M84" s="57">
        <f t="shared" si="37"/>
        <v>6300</v>
      </c>
      <c r="N84" s="57">
        <f t="shared" si="37"/>
        <v>7200</v>
      </c>
    </row>
    <row r="85" spans="2:14" ht="15.75" thickBot="1" x14ac:dyDescent="0.3">
      <c r="B85" s="24" t="s">
        <v>255</v>
      </c>
      <c r="C85" s="132">
        <f>SUM(C76:C84)</f>
        <v>1449.65</v>
      </c>
      <c r="D85" s="132"/>
      <c r="E85" s="57">
        <f t="shared" ref="E85:N85" si="38">SUM(E76:E84)</f>
        <v>1449.65</v>
      </c>
      <c r="F85" s="57">
        <f t="shared" si="38"/>
        <v>1449.65</v>
      </c>
      <c r="G85" s="57">
        <f t="shared" si="38"/>
        <v>2899.3</v>
      </c>
      <c r="H85" s="57">
        <f t="shared" si="38"/>
        <v>4348.95</v>
      </c>
      <c r="I85" s="57">
        <f t="shared" si="38"/>
        <v>5798.6</v>
      </c>
      <c r="J85" s="57">
        <f t="shared" si="38"/>
        <v>7248.25</v>
      </c>
      <c r="K85" s="57">
        <f t="shared" si="38"/>
        <v>8697.9</v>
      </c>
      <c r="L85" s="57">
        <f t="shared" si="38"/>
        <v>10147.549999999999</v>
      </c>
      <c r="M85" s="57">
        <f t="shared" si="38"/>
        <v>10147.549999999999</v>
      </c>
      <c r="N85" s="57">
        <f t="shared" si="38"/>
        <v>11597.2</v>
      </c>
    </row>
    <row r="86" spans="2:14" ht="15.75" thickBot="1" x14ac:dyDescent="0.3">
      <c r="B86" s="15" t="s">
        <v>210</v>
      </c>
      <c r="C86" s="133" t="s">
        <v>231</v>
      </c>
      <c r="D86" s="134"/>
      <c r="E86" s="56"/>
      <c r="F86" s="56"/>
      <c r="G86" s="56"/>
      <c r="H86" s="56"/>
      <c r="I86" s="56"/>
      <c r="J86" s="56"/>
      <c r="K86" s="56"/>
      <c r="L86" s="56"/>
      <c r="M86" s="56"/>
      <c r="N86" s="56"/>
    </row>
    <row r="87" spans="2:14" ht="15.75" thickBot="1" x14ac:dyDescent="0.3">
      <c r="B87" s="24" t="s">
        <v>232</v>
      </c>
      <c r="C87" s="132">
        <f>6*12</f>
        <v>72</v>
      </c>
      <c r="D87" s="132"/>
      <c r="E87" s="58">
        <f t="shared" ref="E87:N88" si="39">$C87*ROUND(E$24,0)</f>
        <v>72</v>
      </c>
      <c r="F87" s="58">
        <f t="shared" si="39"/>
        <v>72</v>
      </c>
      <c r="G87" s="58">
        <f t="shared" si="39"/>
        <v>144</v>
      </c>
      <c r="H87" s="58">
        <f t="shared" si="39"/>
        <v>216</v>
      </c>
      <c r="I87" s="58">
        <f t="shared" si="39"/>
        <v>288</v>
      </c>
      <c r="J87" s="58">
        <f t="shared" si="39"/>
        <v>288</v>
      </c>
      <c r="K87" s="58">
        <f t="shared" si="39"/>
        <v>360</v>
      </c>
      <c r="L87" s="58">
        <f t="shared" si="39"/>
        <v>432</v>
      </c>
      <c r="M87" s="58">
        <f t="shared" si="39"/>
        <v>504</v>
      </c>
      <c r="N87" s="58">
        <f t="shared" si="39"/>
        <v>504</v>
      </c>
    </row>
    <row r="88" spans="2:14" x14ac:dyDescent="0.25">
      <c r="B88" s="24" t="s">
        <v>233</v>
      </c>
      <c r="C88" s="132">
        <f>13</f>
        <v>13</v>
      </c>
      <c r="D88" s="132"/>
      <c r="E88" s="58">
        <f t="shared" si="39"/>
        <v>13</v>
      </c>
      <c r="F88" s="58">
        <f t="shared" si="39"/>
        <v>13</v>
      </c>
      <c r="G88" s="58">
        <f t="shared" si="39"/>
        <v>26</v>
      </c>
      <c r="H88" s="58">
        <f t="shared" si="39"/>
        <v>39</v>
      </c>
      <c r="I88" s="58">
        <f t="shared" si="39"/>
        <v>52</v>
      </c>
      <c r="J88" s="58">
        <f t="shared" si="39"/>
        <v>52</v>
      </c>
      <c r="K88" s="58">
        <f t="shared" si="39"/>
        <v>65</v>
      </c>
      <c r="L88" s="58">
        <f t="shared" si="39"/>
        <v>78</v>
      </c>
      <c r="M88" s="58">
        <f t="shared" si="39"/>
        <v>91</v>
      </c>
      <c r="N88" s="58">
        <f t="shared" si="39"/>
        <v>91</v>
      </c>
    </row>
    <row r="89" spans="2:14" x14ac:dyDescent="0.25">
      <c r="B89" s="24" t="s">
        <v>256</v>
      </c>
      <c r="C89" s="132">
        <f>SUM(C87:C88)</f>
        <v>85</v>
      </c>
      <c r="D89" s="132"/>
      <c r="E89" s="40">
        <f t="shared" ref="E89:N89" si="40">SUM(E87:E88)</f>
        <v>85</v>
      </c>
      <c r="F89" s="40">
        <f t="shared" si="40"/>
        <v>85</v>
      </c>
      <c r="G89" s="40">
        <f t="shared" si="40"/>
        <v>170</v>
      </c>
      <c r="H89" s="40">
        <f t="shared" si="40"/>
        <v>255</v>
      </c>
      <c r="I89" s="40">
        <f t="shared" si="40"/>
        <v>340</v>
      </c>
      <c r="J89" s="40">
        <f t="shared" si="40"/>
        <v>340</v>
      </c>
      <c r="K89" s="40">
        <f t="shared" si="40"/>
        <v>425</v>
      </c>
      <c r="L89" s="40">
        <f t="shared" si="40"/>
        <v>510</v>
      </c>
      <c r="M89" s="40">
        <f t="shared" si="40"/>
        <v>595</v>
      </c>
      <c r="N89" s="40">
        <f t="shared" si="40"/>
        <v>595</v>
      </c>
    </row>
    <row r="90" spans="2:14" x14ac:dyDescent="0.25">
      <c r="B90" s="15" t="s">
        <v>257</v>
      </c>
      <c r="C90" s="132">
        <f>C30+C36+C44+C52+C61+C85+C89</f>
        <v>6735.65</v>
      </c>
      <c r="D90" s="132"/>
      <c r="E90" s="25">
        <f t="shared" ref="E90:N90" si="41">E30+E36+E44+E52+E61+E73+E85+E89</f>
        <v>4199.5300000000007</v>
      </c>
      <c r="F90" s="25">
        <f t="shared" si="41"/>
        <v>6242.5300000000007</v>
      </c>
      <c r="G90" s="25">
        <f t="shared" si="41"/>
        <v>13395.060000000001</v>
      </c>
      <c r="H90" s="25">
        <f t="shared" si="41"/>
        <v>17177.71</v>
      </c>
      <c r="I90" s="25">
        <f t="shared" si="41"/>
        <v>21377.239999999998</v>
      </c>
      <c r="J90" s="25">
        <f t="shared" si="41"/>
        <v>25491.77</v>
      </c>
      <c r="K90" s="25">
        <f t="shared" si="41"/>
        <v>29274.42</v>
      </c>
      <c r="L90" s="25">
        <f t="shared" si="41"/>
        <v>36426.949999999997</v>
      </c>
      <c r="M90" s="25">
        <f t="shared" si="41"/>
        <v>40035.83</v>
      </c>
      <c r="N90" s="25">
        <f t="shared" si="41"/>
        <v>42669.479999999996</v>
      </c>
    </row>
  </sheetData>
  <mergeCells count="67">
    <mergeCell ref="C73:D73"/>
    <mergeCell ref="C85:D85"/>
    <mergeCell ref="C87:D87"/>
    <mergeCell ref="C88:D88"/>
    <mergeCell ref="C89:D89"/>
    <mergeCell ref="C75:D75"/>
    <mergeCell ref="C76:D76"/>
    <mergeCell ref="C77:D77"/>
    <mergeCell ref="C78:D78"/>
    <mergeCell ref="C79:D79"/>
    <mergeCell ref="C90:D90"/>
    <mergeCell ref="C80:D80"/>
    <mergeCell ref="C81:D81"/>
    <mergeCell ref="C82:D82"/>
    <mergeCell ref="C83:D83"/>
    <mergeCell ref="C84:D84"/>
    <mergeCell ref="C86:D86"/>
    <mergeCell ref="C57:D57"/>
    <mergeCell ref="C58:D58"/>
    <mergeCell ref="C59:D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C49:D49"/>
    <mergeCell ref="C50:D50"/>
    <mergeCell ref="C51:D51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AL104"/>
  <sheetViews>
    <sheetView topLeftCell="V23" zoomScaleNormal="100" workbookViewId="0">
      <selection activeCell="Z44" sqref="Z44"/>
    </sheetView>
  </sheetViews>
  <sheetFormatPr baseColWidth="10" defaultColWidth="9.140625" defaultRowHeight="15" x14ac:dyDescent="0.25"/>
  <cols>
    <col min="1" max="1" width="11.42578125"/>
    <col min="2" max="2" width="23.85546875"/>
    <col min="3" max="3" width="20.28515625"/>
    <col min="4" max="4" width="16.85546875"/>
    <col min="5" max="6" width="11.42578125"/>
    <col min="7" max="7" width="11.85546875"/>
    <col min="8" max="8" width="14.7109375"/>
    <col min="9" max="9" width="12.42578125"/>
    <col min="10" max="13" width="11.42578125"/>
    <col min="14" max="14" width="15.42578125"/>
    <col min="15" max="15" width="14.7109375"/>
    <col min="16" max="18" width="11.42578125"/>
    <col min="19" max="19" width="27.140625"/>
    <col min="20" max="21" width="29.85546875"/>
    <col min="22" max="36" width="11.42578125"/>
    <col min="37" max="37" width="24.28515625"/>
    <col min="38" max="38" width="31.5703125"/>
    <col min="39" max="1025" width="11.42578125"/>
  </cols>
  <sheetData>
    <row r="1" spans="2:15" ht="26.25" x14ac:dyDescent="0.25">
      <c r="N1" s="19" t="s">
        <v>61</v>
      </c>
      <c r="O1" s="20">
        <v>6.7000000000000004E-2</v>
      </c>
    </row>
    <row r="2" spans="2:15" ht="26.25" x14ac:dyDescent="0.25">
      <c r="N2" s="19" t="s">
        <v>64</v>
      </c>
      <c r="O2" s="20">
        <v>0.12429999999999999</v>
      </c>
    </row>
    <row r="3" spans="2:15" x14ac:dyDescent="0.25">
      <c r="N3" s="22" t="s">
        <v>66</v>
      </c>
      <c r="O3" s="23">
        <v>0.7</v>
      </c>
    </row>
    <row r="4" spans="2:15" x14ac:dyDescent="0.25">
      <c r="N4" s="22" t="s">
        <v>68</v>
      </c>
      <c r="O4" s="26">
        <v>929</v>
      </c>
    </row>
    <row r="5" spans="2:15" x14ac:dyDescent="0.25">
      <c r="N5" s="26" t="s">
        <v>69</v>
      </c>
      <c r="O5" s="27">
        <v>4.0000000000000001E-3</v>
      </c>
    </row>
    <row r="6" spans="2:15" ht="26.25" x14ac:dyDescent="0.25">
      <c r="N6" s="19" t="s">
        <v>64</v>
      </c>
      <c r="O6" s="20">
        <v>0.12429999999999999</v>
      </c>
    </row>
    <row r="7" spans="2:15" ht="26.25" x14ac:dyDescent="0.25">
      <c r="N7" s="19" t="s">
        <v>71</v>
      </c>
      <c r="O7" s="20">
        <v>0.1</v>
      </c>
    </row>
    <row r="9" spans="2:15" x14ac:dyDescent="0.25">
      <c r="B9" s="22"/>
      <c r="C9" s="26"/>
      <c r="D9" s="73">
        <v>2014</v>
      </c>
      <c r="E9" s="73">
        <v>2015</v>
      </c>
      <c r="F9" s="73">
        <v>2016</v>
      </c>
      <c r="G9" s="73">
        <v>2017</v>
      </c>
      <c r="H9" s="73">
        <v>2018</v>
      </c>
      <c r="I9" s="73">
        <v>2019</v>
      </c>
      <c r="J9" s="73">
        <v>2020</v>
      </c>
      <c r="K9" s="73">
        <v>2021</v>
      </c>
      <c r="L9" s="73">
        <v>2022</v>
      </c>
      <c r="M9" s="73">
        <v>2023</v>
      </c>
    </row>
    <row r="10" spans="2:15" x14ac:dyDescent="0.25">
      <c r="B10" s="54" t="s">
        <v>219</v>
      </c>
      <c r="C10" s="74"/>
      <c r="D10" s="75">
        <f>ROUND(O4*$O$5,0)</f>
        <v>4</v>
      </c>
      <c r="E10" s="74">
        <f>ROUND(D10+(D10*$O$3),0)</f>
        <v>7</v>
      </c>
      <c r="F10" s="74">
        <f>ROUND(E10+(E10*$O$3),0)</f>
        <v>12</v>
      </c>
      <c r="G10" s="76">
        <f t="shared" ref="G10:M10" si="0">TREND(D10:F10,D9:F9,G9)</f>
        <v>15.66666666666697</v>
      </c>
      <c r="H10" s="76">
        <f t="shared" si="0"/>
        <v>20.222222222224445</v>
      </c>
      <c r="I10" s="76">
        <f t="shared" si="0"/>
        <v>24.185185185187947</v>
      </c>
      <c r="J10" s="76">
        <f t="shared" si="0"/>
        <v>28.543209876548644</v>
      </c>
      <c r="K10" s="76">
        <f t="shared" si="0"/>
        <v>32.637860082311818</v>
      </c>
      <c r="L10" s="76">
        <f t="shared" si="0"/>
        <v>36.908093278472734</v>
      </c>
      <c r="M10" s="76">
        <f t="shared" si="0"/>
        <v>41.061271147700609</v>
      </c>
    </row>
    <row r="11" spans="2:15" x14ac:dyDescent="0.25">
      <c r="B11" s="77"/>
      <c r="C11" s="78"/>
      <c r="D11" s="79"/>
      <c r="E11" s="78"/>
      <c r="F11" s="78"/>
      <c r="G11" s="80"/>
      <c r="H11" s="80"/>
      <c r="I11" s="80"/>
      <c r="J11" s="80"/>
      <c r="K11" s="80"/>
      <c r="L11" s="80"/>
      <c r="M11" s="80"/>
    </row>
    <row r="12" spans="2:15" x14ac:dyDescent="0.25">
      <c r="B12" s="77"/>
      <c r="C12" s="78"/>
      <c r="D12" s="79"/>
      <c r="E12" s="78"/>
      <c r="F12" s="78"/>
      <c r="G12" s="80"/>
      <c r="H12" s="80"/>
      <c r="I12" s="80"/>
      <c r="J12" s="80"/>
      <c r="K12" s="80"/>
      <c r="L12" s="80"/>
      <c r="M12" s="80"/>
    </row>
    <row r="13" spans="2:15" x14ac:dyDescent="0.25">
      <c r="B13" s="73" t="s">
        <v>220</v>
      </c>
      <c r="C13" s="73" t="s">
        <v>202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2:15" ht="25.5" x14ac:dyDescent="0.25">
      <c r="B14" s="54" t="s">
        <v>221</v>
      </c>
      <c r="C14" s="74"/>
      <c r="D14" s="75"/>
      <c r="E14" s="74"/>
      <c r="F14" s="75"/>
      <c r="G14" s="74"/>
      <c r="H14" s="75"/>
      <c r="I14" s="74"/>
      <c r="J14" s="75"/>
      <c r="K14" s="74"/>
      <c r="L14" s="75"/>
      <c r="M14" s="74"/>
    </row>
    <row r="15" spans="2:15" x14ac:dyDescent="0.25">
      <c r="B15" s="54" t="s">
        <v>171</v>
      </c>
      <c r="C15" s="62">
        <v>0.1</v>
      </c>
      <c r="D15" s="81">
        <f t="shared" ref="D15:M20" si="1">D$10*$C15</f>
        <v>0.4</v>
      </c>
      <c r="E15" s="81">
        <f t="shared" si="1"/>
        <v>0.70000000000000007</v>
      </c>
      <c r="F15" s="81">
        <f t="shared" si="1"/>
        <v>1.2000000000000002</v>
      </c>
      <c r="G15" s="81">
        <f t="shared" si="1"/>
        <v>1.5666666666666971</v>
      </c>
      <c r="H15" s="81">
        <f t="shared" si="1"/>
        <v>2.0222222222224446</v>
      </c>
      <c r="I15" s="81">
        <f t="shared" si="1"/>
        <v>2.4185185185187947</v>
      </c>
      <c r="J15" s="81">
        <f t="shared" si="1"/>
        <v>2.8543209876548645</v>
      </c>
      <c r="K15" s="81">
        <f t="shared" si="1"/>
        <v>3.263786008231182</v>
      </c>
      <c r="L15" s="81">
        <f t="shared" si="1"/>
        <v>3.6908093278472736</v>
      </c>
      <c r="M15" s="81">
        <f t="shared" si="1"/>
        <v>4.1061271147700609</v>
      </c>
    </row>
    <row r="16" spans="2:15" x14ac:dyDescent="0.25">
      <c r="B16" s="54" t="s">
        <v>177</v>
      </c>
      <c r="C16" s="62">
        <v>0.2</v>
      </c>
      <c r="D16" s="81">
        <f t="shared" si="1"/>
        <v>0.8</v>
      </c>
      <c r="E16" s="81">
        <f t="shared" si="1"/>
        <v>1.4000000000000001</v>
      </c>
      <c r="F16" s="81">
        <f t="shared" si="1"/>
        <v>2.4000000000000004</v>
      </c>
      <c r="G16" s="81">
        <f t="shared" si="1"/>
        <v>3.1333333333333941</v>
      </c>
      <c r="H16" s="81">
        <f t="shared" si="1"/>
        <v>4.0444444444448893</v>
      </c>
      <c r="I16" s="81">
        <f t="shared" si="1"/>
        <v>4.8370370370375895</v>
      </c>
      <c r="J16" s="81">
        <f t="shared" si="1"/>
        <v>5.7086419753097291</v>
      </c>
      <c r="K16" s="81">
        <f t="shared" si="1"/>
        <v>6.5275720164623641</v>
      </c>
      <c r="L16" s="81">
        <f t="shared" si="1"/>
        <v>7.3816186556945471</v>
      </c>
      <c r="M16" s="81">
        <f t="shared" si="1"/>
        <v>8.2122542295401217</v>
      </c>
    </row>
    <row r="17" spans="2:34" x14ac:dyDescent="0.25">
      <c r="B17" s="54" t="s">
        <v>185</v>
      </c>
      <c r="C17" s="62">
        <v>0.1</v>
      </c>
      <c r="D17" s="81">
        <f t="shared" si="1"/>
        <v>0.4</v>
      </c>
      <c r="E17" s="81">
        <f t="shared" si="1"/>
        <v>0.70000000000000007</v>
      </c>
      <c r="F17" s="81">
        <f t="shared" si="1"/>
        <v>1.2000000000000002</v>
      </c>
      <c r="G17" s="81">
        <f t="shared" si="1"/>
        <v>1.5666666666666971</v>
      </c>
      <c r="H17" s="81">
        <f t="shared" si="1"/>
        <v>2.0222222222224446</v>
      </c>
      <c r="I17" s="81">
        <f t="shared" si="1"/>
        <v>2.4185185185187947</v>
      </c>
      <c r="J17" s="81">
        <f t="shared" si="1"/>
        <v>2.8543209876548645</v>
      </c>
      <c r="K17" s="81">
        <f t="shared" si="1"/>
        <v>3.263786008231182</v>
      </c>
      <c r="L17" s="81">
        <f t="shared" si="1"/>
        <v>3.6908093278472736</v>
      </c>
      <c r="M17" s="81">
        <f t="shared" si="1"/>
        <v>4.1061271147700609</v>
      </c>
    </row>
    <row r="18" spans="2:34" x14ac:dyDescent="0.25">
      <c r="B18" s="54" t="s">
        <v>194</v>
      </c>
      <c r="C18" s="62">
        <v>0.05</v>
      </c>
      <c r="D18" s="81">
        <f t="shared" si="1"/>
        <v>0.2</v>
      </c>
      <c r="E18" s="81">
        <f t="shared" si="1"/>
        <v>0.35000000000000003</v>
      </c>
      <c r="F18" s="81">
        <f t="shared" si="1"/>
        <v>0.60000000000000009</v>
      </c>
      <c r="G18" s="81">
        <f t="shared" si="1"/>
        <v>0.78333333333334854</v>
      </c>
      <c r="H18" s="81">
        <f t="shared" si="1"/>
        <v>1.0111111111112223</v>
      </c>
      <c r="I18" s="81">
        <f t="shared" si="1"/>
        <v>1.2092592592593974</v>
      </c>
      <c r="J18" s="81">
        <f t="shared" si="1"/>
        <v>1.4271604938274323</v>
      </c>
      <c r="K18" s="81">
        <f t="shared" si="1"/>
        <v>1.631893004115591</v>
      </c>
      <c r="L18" s="81">
        <f t="shared" si="1"/>
        <v>1.8454046639236368</v>
      </c>
      <c r="M18" s="81">
        <f t="shared" si="1"/>
        <v>2.0530635573850304</v>
      </c>
    </row>
    <row r="19" spans="2:34" ht="38.25" x14ac:dyDescent="0.25">
      <c r="B19" s="54" t="s">
        <v>223</v>
      </c>
      <c r="C19" s="62">
        <v>0.4</v>
      </c>
      <c r="D19" s="81">
        <f t="shared" si="1"/>
        <v>1.6</v>
      </c>
      <c r="E19" s="81">
        <f t="shared" si="1"/>
        <v>2.8000000000000003</v>
      </c>
      <c r="F19" s="81">
        <f t="shared" si="1"/>
        <v>4.8000000000000007</v>
      </c>
      <c r="G19" s="81">
        <f t="shared" si="1"/>
        <v>6.2666666666667883</v>
      </c>
      <c r="H19" s="81">
        <f t="shared" si="1"/>
        <v>8.0888888888897785</v>
      </c>
      <c r="I19" s="81">
        <f t="shared" si="1"/>
        <v>9.6740740740751789</v>
      </c>
      <c r="J19" s="81">
        <f t="shared" si="1"/>
        <v>11.417283950619458</v>
      </c>
      <c r="K19" s="81">
        <f t="shared" si="1"/>
        <v>13.055144032924728</v>
      </c>
      <c r="L19" s="81">
        <f t="shared" si="1"/>
        <v>14.763237311389094</v>
      </c>
      <c r="M19" s="81">
        <f t="shared" si="1"/>
        <v>16.424508459080243</v>
      </c>
    </row>
    <row r="20" spans="2:34" x14ac:dyDescent="0.25">
      <c r="B20" s="54" t="s">
        <v>224</v>
      </c>
      <c r="C20" s="62">
        <v>0.15</v>
      </c>
      <c r="D20" s="81">
        <f t="shared" si="1"/>
        <v>0.6</v>
      </c>
      <c r="E20" s="81">
        <f t="shared" si="1"/>
        <v>1.05</v>
      </c>
      <c r="F20" s="81">
        <f t="shared" si="1"/>
        <v>1.7999999999999998</v>
      </c>
      <c r="G20" s="81">
        <f t="shared" si="1"/>
        <v>2.3500000000000454</v>
      </c>
      <c r="H20" s="81">
        <f t="shared" si="1"/>
        <v>3.0333333333336667</v>
      </c>
      <c r="I20" s="81">
        <f t="shared" si="1"/>
        <v>3.6277777777781921</v>
      </c>
      <c r="J20" s="81">
        <f t="shared" si="1"/>
        <v>4.2814814814822961</v>
      </c>
      <c r="K20" s="81">
        <f t="shared" si="1"/>
        <v>4.8956790123467728</v>
      </c>
      <c r="L20" s="81">
        <f t="shared" si="1"/>
        <v>5.5362139917709099</v>
      </c>
      <c r="M20" s="81">
        <f t="shared" si="1"/>
        <v>6.1591906721550913</v>
      </c>
    </row>
    <row r="21" spans="2:34" x14ac:dyDescent="0.25">
      <c r="B21" s="54" t="s">
        <v>276</v>
      </c>
      <c r="C21" s="74"/>
      <c r="D21" s="81">
        <f t="shared" ref="D21:M21" si="2">SUM(D15:D19)</f>
        <v>3.4000000000000004</v>
      </c>
      <c r="E21" s="81">
        <f t="shared" si="2"/>
        <v>5.9500000000000011</v>
      </c>
      <c r="F21" s="81">
        <f t="shared" si="2"/>
        <v>10.200000000000001</v>
      </c>
      <c r="G21" s="81">
        <f t="shared" si="2"/>
        <v>13.316666666666926</v>
      </c>
      <c r="H21" s="81">
        <f t="shared" si="2"/>
        <v>17.18888888889078</v>
      </c>
      <c r="I21" s="81">
        <f t="shared" si="2"/>
        <v>20.557407407409755</v>
      </c>
      <c r="J21" s="81">
        <f t="shared" si="2"/>
        <v>24.261728395066349</v>
      </c>
      <c r="K21" s="81">
        <f t="shared" si="2"/>
        <v>27.742181069965049</v>
      </c>
      <c r="L21" s="81">
        <f t="shared" si="2"/>
        <v>31.371879286701827</v>
      </c>
      <c r="M21" s="81">
        <f t="shared" si="2"/>
        <v>34.902080475545517</v>
      </c>
    </row>
    <row r="22" spans="2:34" ht="25.5" x14ac:dyDescent="0.25">
      <c r="B22" s="54" t="s">
        <v>226</v>
      </c>
      <c r="C22" s="74"/>
      <c r="D22" s="75"/>
      <c r="E22" s="74"/>
      <c r="F22" s="75"/>
      <c r="G22" s="74"/>
      <c r="H22" s="75"/>
      <c r="I22" s="74"/>
      <c r="J22" s="75"/>
      <c r="K22" s="74"/>
      <c r="L22" s="75"/>
      <c r="M22" s="74"/>
    </row>
    <row r="23" spans="2:34" x14ac:dyDescent="0.25">
      <c r="B23" s="54" t="s">
        <v>208</v>
      </c>
      <c r="C23" s="82">
        <v>0.3</v>
      </c>
      <c r="D23" s="81">
        <f>D$10*$C23</f>
        <v>1.2</v>
      </c>
      <c r="E23" s="81">
        <f t="shared" ref="E23:M23" si="3">(E$10*$C23)</f>
        <v>2.1</v>
      </c>
      <c r="F23" s="81">
        <f t="shared" si="3"/>
        <v>3.5999999999999996</v>
      </c>
      <c r="G23" s="81">
        <f t="shared" si="3"/>
        <v>4.7000000000000908</v>
      </c>
      <c r="H23" s="81">
        <f t="shared" si="3"/>
        <v>6.0666666666673335</v>
      </c>
      <c r="I23" s="81">
        <f t="shared" si="3"/>
        <v>7.2555555555563842</v>
      </c>
      <c r="J23" s="81">
        <f t="shared" si="3"/>
        <v>8.5629629629645923</v>
      </c>
      <c r="K23" s="81">
        <f t="shared" si="3"/>
        <v>9.7913580246935457</v>
      </c>
      <c r="L23" s="81">
        <f t="shared" si="3"/>
        <v>11.07242798354182</v>
      </c>
      <c r="M23" s="81">
        <f t="shared" si="3"/>
        <v>12.318381344310183</v>
      </c>
    </row>
    <row r="24" spans="2:34" x14ac:dyDescent="0.25">
      <c r="B24" s="54" t="s">
        <v>210</v>
      </c>
      <c r="C24" s="82">
        <v>0.18</v>
      </c>
      <c r="D24" s="81">
        <f>D$10*$C24</f>
        <v>0.72</v>
      </c>
      <c r="E24" s="81">
        <f t="shared" ref="E24:M24" si="4">E$10*$C24</f>
        <v>1.26</v>
      </c>
      <c r="F24" s="81">
        <f t="shared" si="4"/>
        <v>2.16</v>
      </c>
      <c r="G24" s="81">
        <f t="shared" si="4"/>
        <v>2.8200000000000545</v>
      </c>
      <c r="H24" s="81">
        <f t="shared" si="4"/>
        <v>3.6400000000004002</v>
      </c>
      <c r="I24" s="81">
        <f t="shared" si="4"/>
        <v>4.35333333333383</v>
      </c>
      <c r="J24" s="81">
        <f t="shared" si="4"/>
        <v>5.1377777777787559</v>
      </c>
      <c r="K24" s="81">
        <f t="shared" si="4"/>
        <v>5.8748148148161272</v>
      </c>
      <c r="L24" s="81">
        <f t="shared" si="4"/>
        <v>6.643456790125092</v>
      </c>
      <c r="M24" s="81">
        <f t="shared" si="4"/>
        <v>7.3910288065861094</v>
      </c>
      <c r="Y24">
        <f t="shared" ref="Y24:AH24" si="5">D10</f>
        <v>4</v>
      </c>
      <c r="Z24">
        <f t="shared" si="5"/>
        <v>7</v>
      </c>
      <c r="AA24">
        <f t="shared" si="5"/>
        <v>12</v>
      </c>
      <c r="AB24">
        <f t="shared" si="5"/>
        <v>15.66666666666697</v>
      </c>
      <c r="AC24">
        <f t="shared" si="5"/>
        <v>20.222222222224445</v>
      </c>
      <c r="AD24">
        <f t="shared" si="5"/>
        <v>24.185185185187947</v>
      </c>
      <c r="AE24">
        <f t="shared" si="5"/>
        <v>28.543209876548644</v>
      </c>
      <c r="AF24">
        <f t="shared" si="5"/>
        <v>32.637860082311818</v>
      </c>
      <c r="AG24">
        <f t="shared" si="5"/>
        <v>36.908093278472734</v>
      </c>
      <c r="AH24">
        <f t="shared" si="5"/>
        <v>41.061271147700609</v>
      </c>
    </row>
    <row r="25" spans="2:34" x14ac:dyDescent="0.25">
      <c r="B25" s="54" t="s">
        <v>182</v>
      </c>
      <c r="C25" s="82">
        <v>0.25</v>
      </c>
      <c r="D25" s="81">
        <f t="shared" ref="D25:M25" si="6">$C$25*D10</f>
        <v>1</v>
      </c>
      <c r="E25" s="81">
        <f t="shared" si="6"/>
        <v>1.75</v>
      </c>
      <c r="F25" s="81">
        <f t="shared" si="6"/>
        <v>3</v>
      </c>
      <c r="G25" s="81">
        <f t="shared" si="6"/>
        <v>3.9166666666667425</v>
      </c>
      <c r="H25" s="81">
        <f t="shared" si="6"/>
        <v>5.0555555555561114</v>
      </c>
      <c r="I25" s="81">
        <f t="shared" si="6"/>
        <v>6.0462962962969868</v>
      </c>
      <c r="J25" s="81">
        <f t="shared" si="6"/>
        <v>7.1358024691371611</v>
      </c>
      <c r="K25" s="81">
        <f t="shared" si="6"/>
        <v>8.1594650205779544</v>
      </c>
      <c r="L25" s="81">
        <f t="shared" si="6"/>
        <v>9.2270233196181835</v>
      </c>
      <c r="M25" s="81">
        <f t="shared" si="6"/>
        <v>10.265317786925152</v>
      </c>
    </row>
    <row r="26" spans="2:34" x14ac:dyDescent="0.25">
      <c r="B26" s="54" t="s">
        <v>229</v>
      </c>
      <c r="C26" s="74"/>
      <c r="D26" s="81">
        <f t="shared" ref="D26:M26" si="7">SUM(D23:D24)</f>
        <v>1.92</v>
      </c>
      <c r="E26" s="81">
        <f t="shared" si="7"/>
        <v>3.3600000000000003</v>
      </c>
      <c r="F26" s="81">
        <f t="shared" si="7"/>
        <v>5.76</v>
      </c>
      <c r="G26" s="81">
        <f t="shared" si="7"/>
        <v>7.5200000000001452</v>
      </c>
      <c r="H26" s="81">
        <f t="shared" si="7"/>
        <v>9.7066666666677328</v>
      </c>
      <c r="I26" s="81">
        <f t="shared" si="7"/>
        <v>11.608888888890213</v>
      </c>
      <c r="J26" s="81">
        <f t="shared" si="7"/>
        <v>13.700740740743349</v>
      </c>
      <c r="K26" s="81">
        <f t="shared" si="7"/>
        <v>15.666172839509674</v>
      </c>
      <c r="L26" s="81">
        <f t="shared" si="7"/>
        <v>17.715884773666911</v>
      </c>
      <c r="M26" s="81">
        <f t="shared" si="7"/>
        <v>19.709410150896293</v>
      </c>
    </row>
    <row r="27" spans="2:34" ht="15.75" thickBot="1" x14ac:dyDescent="0.3"/>
    <row r="28" spans="2:34" ht="15.75" thickBot="1" x14ac:dyDescent="0.3">
      <c r="W28" s="126"/>
      <c r="X28" s="15" t="s">
        <v>503</v>
      </c>
      <c r="Y28" s="15">
        <v>2014</v>
      </c>
      <c r="Z28" s="15">
        <v>2015</v>
      </c>
      <c r="AA28" s="15">
        <v>2016</v>
      </c>
      <c r="AB28" s="15">
        <v>2017</v>
      </c>
      <c r="AC28" s="15">
        <v>2018</v>
      </c>
      <c r="AD28" s="15">
        <v>2019</v>
      </c>
      <c r="AE28" s="15">
        <v>2020</v>
      </c>
      <c r="AF28" s="15">
        <v>2021</v>
      </c>
      <c r="AG28" s="15">
        <v>2022</v>
      </c>
      <c r="AH28" s="15">
        <v>2023</v>
      </c>
    </row>
    <row r="29" spans="2:34" ht="15.75" hidden="1" thickBot="1" x14ac:dyDescent="0.3">
      <c r="W29" s="83" t="s">
        <v>277</v>
      </c>
      <c r="X29" s="57"/>
      <c r="Y29" s="25">
        <f>('gastos puestos en marcha'!BJ40)</f>
        <v>789.60815999999977</v>
      </c>
      <c r="Z29" s="25">
        <f>('gastos puestos en marcha'!BK40)</f>
        <v>1396.9845172799996</v>
      </c>
      <c r="AA29" s="25">
        <f>('gastos puestos en marcha'!BL40)</f>
        <v>2535.2465066280001</v>
      </c>
      <c r="AB29" s="25">
        <f>('gastos puestos en marcha'!BM40)</f>
        <v>3506.345126780142</v>
      </c>
      <c r="AC29" s="25">
        <f>('gastos puestos en marcha'!BN40)</f>
        <v>4245.257233108051</v>
      </c>
      <c r="AD29" s="25">
        <f>('gastos puestos en marcha'!BO40)</f>
        <v>5260.9595398318725</v>
      </c>
      <c r="AE29" s="25">
        <f>('gastos puestos en marcha'!BP40)</f>
        <v>6956.7488775864767</v>
      </c>
      <c r="AF29" s="25">
        <f>('gastos puestos en marcha'!BQ40)</f>
        <v>8255.3939855061835</v>
      </c>
      <c r="AG29" s="25">
        <f>('gastos puestos en marcha'!BR40)</f>
        <v>10133.345568083347</v>
      </c>
      <c r="AH29" s="25">
        <f>('gastos puestos en marcha'!BS40)</f>
        <v>11509.293585215271</v>
      </c>
    </row>
    <row r="30" spans="2:34" hidden="1" x14ac:dyDescent="0.25">
      <c r="W30" s="83" t="s">
        <v>46</v>
      </c>
      <c r="X30" s="57"/>
      <c r="Y30" s="25">
        <f>'gastos puestos en marcha'!BJ49</f>
        <v>176.99999999999997</v>
      </c>
      <c r="Z30" s="25">
        <f>'gastos puestos en marcha'!BK49</f>
        <v>358.20197999999993</v>
      </c>
      <c r="AA30" s="25">
        <f>'gastos puestos en marcha'!BL49</f>
        <v>715.95819753599994</v>
      </c>
      <c r="AB30" s="25">
        <f>'gastos puestos en marcha'!BM49</f>
        <v>1056.4992394552637</v>
      </c>
      <c r="AC30" s="25">
        <f>'gastos puestos en marcha'!BN49</f>
        <v>1357.5109656223462</v>
      </c>
      <c r="AD30" s="25">
        <f>'gastos puestos en marcha'!BO49</f>
        <v>1780.6245084240713</v>
      </c>
      <c r="AE30" s="25">
        <f>'gastos puestos en marcha'!BP49</f>
        <v>2502.4451685264794</v>
      </c>
      <c r="AF30" s="25">
        <f>'gastos puestos en marcha'!BQ49</f>
        <v>3135.0418575999574</v>
      </c>
      <c r="AG30" s="25">
        <f>'gastos puestos en marcha'!BR49</f>
        <v>4066.9933390380365</v>
      </c>
      <c r="AH30" s="25">
        <f>'gastos puestos en marcha'!BS49</f>
        <v>4877.3553184858292</v>
      </c>
    </row>
    <row r="31" spans="2:34" hidden="1" x14ac:dyDescent="0.25">
      <c r="W31" s="83" t="s">
        <v>70</v>
      </c>
      <c r="X31" s="57"/>
      <c r="Y31" s="57">
        <f>'gastos puestos en marcha'!AN17*12</f>
        <v>1152</v>
      </c>
      <c r="Z31" s="57">
        <f t="shared" ref="Z31:AH31" si="8">ROUND(Y31+(Y31*$O$7),0)</f>
        <v>1267</v>
      </c>
      <c r="AA31" s="57">
        <f t="shared" si="8"/>
        <v>1394</v>
      </c>
      <c r="AB31" s="57">
        <f t="shared" si="8"/>
        <v>1533</v>
      </c>
      <c r="AC31" s="57">
        <f t="shared" si="8"/>
        <v>1686</v>
      </c>
      <c r="AD31" s="57">
        <f t="shared" si="8"/>
        <v>1855</v>
      </c>
      <c r="AE31" s="57">
        <f t="shared" si="8"/>
        <v>2041</v>
      </c>
      <c r="AF31" s="57">
        <f t="shared" si="8"/>
        <v>2245</v>
      </c>
      <c r="AG31" s="57">
        <f t="shared" si="8"/>
        <v>2470</v>
      </c>
      <c r="AH31" s="57">
        <f t="shared" si="8"/>
        <v>2717</v>
      </c>
    </row>
    <row r="32" spans="2:34" hidden="1" x14ac:dyDescent="0.25">
      <c r="W32" s="83" t="s">
        <v>48</v>
      </c>
      <c r="X32" s="57"/>
      <c r="Y32" s="57">
        <f>'gastos puestos en marcha'!AN18*12</f>
        <v>6897.5999999999995</v>
      </c>
      <c r="Z32" s="57">
        <f t="shared" ref="Z32:AH32" si="9">Y32</f>
        <v>6897.5999999999995</v>
      </c>
      <c r="AA32" s="57">
        <f t="shared" si="9"/>
        <v>6897.5999999999995</v>
      </c>
      <c r="AB32" s="57">
        <f t="shared" si="9"/>
        <v>6897.5999999999995</v>
      </c>
      <c r="AC32" s="57">
        <f t="shared" si="9"/>
        <v>6897.5999999999995</v>
      </c>
      <c r="AD32" s="57">
        <f t="shared" si="9"/>
        <v>6897.5999999999995</v>
      </c>
      <c r="AE32" s="57">
        <f t="shared" si="9"/>
        <v>6897.5999999999995</v>
      </c>
      <c r="AF32" s="57">
        <f t="shared" si="9"/>
        <v>6897.5999999999995</v>
      </c>
      <c r="AG32" s="57">
        <f t="shared" si="9"/>
        <v>6897.5999999999995</v>
      </c>
      <c r="AH32" s="57">
        <f t="shared" si="9"/>
        <v>6897.5999999999995</v>
      </c>
    </row>
    <row r="33" spans="2:34" hidden="1" x14ac:dyDescent="0.25">
      <c r="B33" s="54" t="s">
        <v>171</v>
      </c>
      <c r="C33" s="82">
        <v>0.08</v>
      </c>
      <c r="D33" s="82">
        <f t="shared" ref="D33:D38" si="10">C33*$C$39*(1-$C$40)*(1-$C$41)</f>
        <v>1.5379199999999999E-2</v>
      </c>
      <c r="E33" s="84">
        <f>$C$39*(1-$C$40)*(1-$C$41)</f>
        <v>0.19223999999999999</v>
      </c>
      <c r="W33" s="83" t="s">
        <v>72</v>
      </c>
      <c r="X33" s="83"/>
      <c r="Y33" s="25">
        <f>'gastos puestos en marcha'!AN19</f>
        <v>7200</v>
      </c>
      <c r="Z33" s="25">
        <f>'gastos puestos en marcha'!AO19</f>
        <v>7200</v>
      </c>
      <c r="AA33" s="25">
        <f>'gastos puestos en marcha'!AP19</f>
        <v>7200</v>
      </c>
      <c r="AB33" s="25">
        <f>'gastos puestos en marcha'!AQ19</f>
        <v>7200</v>
      </c>
      <c r="AC33" s="25">
        <f>'gastos puestos en marcha'!AR19</f>
        <v>7200</v>
      </c>
      <c r="AD33" s="25">
        <f>'gastos puestos en marcha'!AS19</f>
        <v>7200</v>
      </c>
      <c r="AE33" s="25">
        <f>'gastos puestos en marcha'!AT19</f>
        <v>7200</v>
      </c>
      <c r="AF33" s="25">
        <f>'gastos puestos en marcha'!AU19</f>
        <v>7200</v>
      </c>
      <c r="AG33" s="25">
        <f>'gastos puestos en marcha'!AV19</f>
        <v>7200</v>
      </c>
      <c r="AH33" s="25">
        <f>'gastos puestos en marcha'!AW19</f>
        <v>7200</v>
      </c>
    </row>
    <row r="34" spans="2:34" hidden="1" x14ac:dyDescent="0.25">
      <c r="B34" s="54" t="s">
        <v>177</v>
      </c>
      <c r="C34" s="82">
        <v>0.18</v>
      </c>
      <c r="D34" s="82">
        <f t="shared" si="10"/>
        <v>3.4603200000000001E-2</v>
      </c>
      <c r="E34" s="84"/>
      <c r="W34" s="83" t="s">
        <v>278</v>
      </c>
      <c r="X34" s="83"/>
      <c r="Y34" s="25">
        <f>'gastos puestos en marcha'!AN20</f>
        <v>1323.7199999999998</v>
      </c>
      <c r="Z34" s="25">
        <f>'gastos puestos en marcha'!AO20</f>
        <v>1323.7199999999998</v>
      </c>
      <c r="AA34" s="25">
        <f>'gastos puestos en marcha'!AP20</f>
        <v>1323.7199999999998</v>
      </c>
      <c r="AB34" s="25">
        <f>'gastos puestos en marcha'!AQ20</f>
        <v>1323.7199999999998</v>
      </c>
      <c r="AC34" s="25">
        <f>'gastos puestos en marcha'!AR20</f>
        <v>1323.7199999999998</v>
      </c>
      <c r="AD34" s="25">
        <f>'gastos puestos en marcha'!AS20</f>
        <v>1323.7199999999998</v>
      </c>
      <c r="AE34" s="25">
        <f>'gastos puestos en marcha'!AT20</f>
        <v>1323.7199999999998</v>
      </c>
      <c r="AF34" s="25">
        <f>'gastos puestos en marcha'!AU20</f>
        <v>1323.7199999999998</v>
      </c>
      <c r="AG34" s="25">
        <f>'gastos puestos en marcha'!AV20</f>
        <v>1323.7199999999998</v>
      </c>
      <c r="AH34" s="25">
        <f>'gastos puestos en marcha'!AW20</f>
        <v>1323.7199999999998</v>
      </c>
    </row>
    <row r="35" spans="2:34" ht="34.5" thickBot="1" x14ac:dyDescent="0.3">
      <c r="B35" s="54" t="s">
        <v>185</v>
      </c>
      <c r="C35" s="82">
        <v>0.17</v>
      </c>
      <c r="D35" s="82">
        <f t="shared" si="10"/>
        <v>3.2680800000000003E-2</v>
      </c>
      <c r="E35" s="84"/>
      <c r="W35" s="83" t="s">
        <v>279</v>
      </c>
      <c r="X35" s="57">
        <f>'salario basico'!G8*12</f>
        <v>8400</v>
      </c>
      <c r="Y35" s="25">
        <f>ROUNDUP((($E$53*D$15)+($E$54*D$16)+($E$55*D$17)+($E$56*D$18)+($E$57*D$19)+($E$59*D$23)+($E$60*D$24)),0)*$X35</f>
        <v>8400</v>
      </c>
      <c r="Z35" s="25">
        <f t="shared" ref="Z35:AH36" si="11">ROUNDUP((($E$53*E$15)+($E$54*E$16)+($E$55*E$17)+($E$56*E$18)+($E$57*E$19)+($E$59*E$23)+($E$60*E$24)),0)*$X35</f>
        <v>16800</v>
      </c>
      <c r="AA35" s="25">
        <f t="shared" si="11"/>
        <v>25200</v>
      </c>
      <c r="AB35" s="25">
        <f t="shared" si="11"/>
        <v>33600</v>
      </c>
      <c r="AC35" s="25">
        <f t="shared" si="11"/>
        <v>42000</v>
      </c>
      <c r="AD35" s="25">
        <f t="shared" si="11"/>
        <v>50400</v>
      </c>
      <c r="AE35" s="25">
        <f t="shared" si="11"/>
        <v>50400</v>
      </c>
      <c r="AF35" s="25">
        <f t="shared" si="11"/>
        <v>58800</v>
      </c>
      <c r="AG35" s="25">
        <f t="shared" si="11"/>
        <v>67200</v>
      </c>
      <c r="AH35" s="25">
        <f t="shared" si="11"/>
        <v>75600</v>
      </c>
    </row>
    <row r="36" spans="2:34" ht="45.75" thickBot="1" x14ac:dyDescent="0.3">
      <c r="B36" s="54" t="s">
        <v>194</v>
      </c>
      <c r="C36" s="82">
        <v>0.17</v>
      </c>
      <c r="D36" s="82">
        <f t="shared" si="10"/>
        <v>3.2680800000000003E-2</v>
      </c>
      <c r="E36" s="84"/>
      <c r="W36" s="83" t="s">
        <v>168</v>
      </c>
      <c r="X36" s="57">
        <f>'salario basico'!G9*12</f>
        <v>12000</v>
      </c>
      <c r="Y36" s="25">
        <f>ROUNDUP((($E$53*D$15)+($E$54*D$16)+($E$55*D$17)+($E$56*D$18)+($E$57*D$19)+($E$59*D$23)+($E$60*D$24)),0)*$X36</f>
        <v>12000</v>
      </c>
      <c r="Z36" s="25">
        <f t="shared" si="11"/>
        <v>24000</v>
      </c>
      <c r="AA36" s="25">
        <f t="shared" si="11"/>
        <v>36000</v>
      </c>
      <c r="AB36" s="25">
        <f t="shared" si="11"/>
        <v>48000</v>
      </c>
      <c r="AC36" s="25">
        <f t="shared" si="11"/>
        <v>60000</v>
      </c>
      <c r="AD36" s="25">
        <f t="shared" si="11"/>
        <v>72000</v>
      </c>
      <c r="AE36" s="25">
        <f t="shared" si="11"/>
        <v>72000</v>
      </c>
      <c r="AF36" s="25">
        <f t="shared" si="11"/>
        <v>84000</v>
      </c>
      <c r="AG36" s="25">
        <f t="shared" si="11"/>
        <v>96000</v>
      </c>
      <c r="AH36" s="25">
        <f t="shared" si="11"/>
        <v>108000</v>
      </c>
    </row>
    <row r="37" spans="2:34" ht="38.25" x14ac:dyDescent="0.25">
      <c r="B37" s="54" t="s">
        <v>223</v>
      </c>
      <c r="C37" s="82">
        <v>0.17</v>
      </c>
      <c r="D37" s="82">
        <f t="shared" si="10"/>
        <v>3.2680800000000003E-2</v>
      </c>
      <c r="E37" s="84"/>
      <c r="W37" s="83" t="s">
        <v>38</v>
      </c>
      <c r="X37" s="57">
        <f>'salario basico'!G10*12</f>
        <v>8400</v>
      </c>
      <c r="Y37" s="25">
        <f>ROUNDUP((($G$53*D$15)+($G$54*D$16)+($G$55*D$17)+($G$56*D$18)+($G$57*D$19)+($G$59*D$23)+($G$60*D$24)),0)*$X37</f>
        <v>16800</v>
      </c>
      <c r="Z37" s="25">
        <f t="shared" ref="Z37:AH37" si="12">ROUNDUP((($G$53*E$15)+($G$54*E$16)+($G$55*E$17)+($G$56*E$18)+($G$57*E$19)+($G$59*E$23)+($G$60*E$24)),0)*$X37</f>
        <v>25200</v>
      </c>
      <c r="AA37" s="25">
        <f t="shared" si="12"/>
        <v>33600</v>
      </c>
      <c r="AB37" s="25">
        <f t="shared" si="12"/>
        <v>42000</v>
      </c>
      <c r="AC37" s="25">
        <f t="shared" si="12"/>
        <v>58800</v>
      </c>
      <c r="AD37" s="25">
        <f t="shared" si="12"/>
        <v>67200</v>
      </c>
      <c r="AE37" s="25">
        <f t="shared" si="12"/>
        <v>75600</v>
      </c>
      <c r="AF37" s="25">
        <f t="shared" si="12"/>
        <v>92400</v>
      </c>
      <c r="AG37" s="25">
        <f t="shared" si="12"/>
        <v>100800</v>
      </c>
      <c r="AH37" s="25">
        <f t="shared" si="12"/>
        <v>109200</v>
      </c>
    </row>
    <row r="38" spans="2:34" ht="22.5" x14ac:dyDescent="0.25">
      <c r="B38" s="54" t="s">
        <v>224</v>
      </c>
      <c r="C38" s="82">
        <v>0.23</v>
      </c>
      <c r="D38" s="82">
        <f t="shared" si="10"/>
        <v>4.4215200000000003E-2</v>
      </c>
      <c r="E38" s="84"/>
      <c r="W38" s="83" t="s">
        <v>39</v>
      </c>
      <c r="X38" s="57">
        <f>'salario basico'!G11*12</f>
        <v>6000</v>
      </c>
      <c r="Y38" s="25">
        <f>ROUNDUP((($H$53*D$15)+($H$54*D$16)+($H$55*D$17)+($H$56*D$18)+($H$57*D$19)+($H$59*D$23)+($H$60*D$24)),0)*$X38</f>
        <v>6000</v>
      </c>
      <c r="Z38" s="25">
        <f t="shared" ref="Z38:AH38" si="13">ROUNDUP((($H$53*E$15)+($H$54*E$16)+($H$55*E$17)+($H$56*E$18)+($H$57*E$19)+($H$59*E$23)+($H$60*E$24)),0)*$X38</f>
        <v>6000</v>
      </c>
      <c r="AA38" s="25">
        <f t="shared" si="13"/>
        <v>6000</v>
      </c>
      <c r="AB38" s="25">
        <f t="shared" si="13"/>
        <v>6000</v>
      </c>
      <c r="AC38" s="25">
        <f t="shared" si="13"/>
        <v>12000</v>
      </c>
      <c r="AD38" s="25">
        <f t="shared" si="13"/>
        <v>12000</v>
      </c>
      <c r="AE38" s="25">
        <f t="shared" si="13"/>
        <v>12000</v>
      </c>
      <c r="AF38" s="25">
        <f t="shared" si="13"/>
        <v>12000</v>
      </c>
      <c r="AG38" s="25">
        <f t="shared" si="13"/>
        <v>12000</v>
      </c>
      <c r="AH38" s="25">
        <f t="shared" si="13"/>
        <v>18000</v>
      </c>
    </row>
    <row r="39" spans="2:34" ht="33.75" x14ac:dyDescent="0.25">
      <c r="B39" s="54" t="s">
        <v>208</v>
      </c>
      <c r="C39" s="82">
        <v>0.3</v>
      </c>
      <c r="D39" s="82">
        <f>(1-($D$33+$D$34+$D$35+$D$36+$D$37+$D$38))*C43</f>
        <v>0.35120000000000007</v>
      </c>
      <c r="W39" s="83" t="s">
        <v>280</v>
      </c>
      <c r="X39" s="57">
        <f>'salario basico'!G12*12</f>
        <v>6000</v>
      </c>
      <c r="Y39" s="25">
        <f>ROUNDUP((($I$53*D$15)+($I$54*D$16)+($I$55*D$17)+($I$56*D$18)+($I$57*D$19)+($I$59*D$23)+($I$60*D$24)),0)*$X39</f>
        <v>12000</v>
      </c>
      <c r="Z39" s="25">
        <f t="shared" ref="Z39:AH39" si="14">ROUNDUP((($I$53*E$15)+($I$54*E$16)+($I$55*E$17)+($I$56*E$18)+($I$57*E$19)+($I$59*E$23)+($I$60*E$24)),0)*$X39</f>
        <v>18000</v>
      </c>
      <c r="AA39" s="25">
        <f t="shared" si="14"/>
        <v>24000</v>
      </c>
      <c r="AB39" s="25">
        <f t="shared" si="14"/>
        <v>30000</v>
      </c>
      <c r="AC39" s="25">
        <f t="shared" si="14"/>
        <v>42000</v>
      </c>
      <c r="AD39" s="25">
        <f t="shared" si="14"/>
        <v>48000</v>
      </c>
      <c r="AE39" s="25">
        <f t="shared" si="14"/>
        <v>54000</v>
      </c>
      <c r="AF39" s="25">
        <f t="shared" si="14"/>
        <v>60000</v>
      </c>
      <c r="AG39" s="25">
        <f t="shared" si="14"/>
        <v>72000</v>
      </c>
      <c r="AH39" s="25">
        <f t="shared" si="14"/>
        <v>78000</v>
      </c>
    </row>
    <row r="40" spans="2:34" x14ac:dyDescent="0.25">
      <c r="B40" s="54" t="s">
        <v>182</v>
      </c>
      <c r="C40" s="82">
        <v>0.11</v>
      </c>
      <c r="D40" s="82">
        <f>(1-($D$33+$D$34+$D$35+$D$36+$D$37+$D$38))*C44</f>
        <v>0.12877333333333335</v>
      </c>
      <c r="W40" s="83"/>
      <c r="X40" s="57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x14ac:dyDescent="0.25">
      <c r="B41" s="54" t="s">
        <v>210</v>
      </c>
      <c r="C41" s="82">
        <v>0.28000000000000003</v>
      </c>
      <c r="D41" s="82">
        <f>(1-($D$33+$D$34+$D$35+$D$36+$D$37+$D$38))*C45</f>
        <v>0.32778666666666673</v>
      </c>
      <c r="W41" s="83" t="s">
        <v>41</v>
      </c>
      <c r="X41" s="57">
        <f>'salario basico'!G13*12</f>
        <v>4200</v>
      </c>
      <c r="Y41" s="25">
        <f t="shared" ref="Y41:AH41" si="15">X41</f>
        <v>4200</v>
      </c>
      <c r="Z41" s="25">
        <f t="shared" si="15"/>
        <v>4200</v>
      </c>
      <c r="AA41" s="25">
        <f t="shared" si="15"/>
        <v>4200</v>
      </c>
      <c r="AB41" s="25">
        <f t="shared" si="15"/>
        <v>4200</v>
      </c>
      <c r="AC41" s="25">
        <f t="shared" si="15"/>
        <v>4200</v>
      </c>
      <c r="AD41" s="25">
        <f t="shared" si="15"/>
        <v>4200</v>
      </c>
      <c r="AE41" s="25">
        <f t="shared" si="15"/>
        <v>4200</v>
      </c>
      <c r="AF41" s="25">
        <f t="shared" si="15"/>
        <v>4200</v>
      </c>
      <c r="AG41" s="25">
        <f t="shared" si="15"/>
        <v>4200</v>
      </c>
      <c r="AH41" s="25">
        <f t="shared" si="15"/>
        <v>4200</v>
      </c>
    </row>
    <row r="42" spans="2:34" ht="22.5" x14ac:dyDescent="0.25">
      <c r="C42" s="4">
        <f>C39+C40+C41</f>
        <v>0.69</v>
      </c>
      <c r="W42" s="83" t="s">
        <v>42</v>
      </c>
      <c r="X42" s="57">
        <f>'salario basico'!G14*12</f>
        <v>4200</v>
      </c>
      <c r="Y42" s="25">
        <f>ROUNDUP(D$10/10,0)*$X42</f>
        <v>4200</v>
      </c>
      <c r="Z42" s="25">
        <f t="shared" ref="Z42:AH42" si="16">ROUNDUP(E$10/10,0)*$X42</f>
        <v>4200</v>
      </c>
      <c r="AA42" s="25">
        <f t="shared" si="16"/>
        <v>8400</v>
      </c>
      <c r="AB42" s="25">
        <f t="shared" si="16"/>
        <v>8400</v>
      </c>
      <c r="AC42" s="25">
        <f t="shared" si="16"/>
        <v>12600</v>
      </c>
      <c r="AD42" s="25">
        <f t="shared" si="16"/>
        <v>12600</v>
      </c>
      <c r="AE42" s="25">
        <f t="shared" si="16"/>
        <v>12600</v>
      </c>
      <c r="AF42" s="25">
        <f t="shared" si="16"/>
        <v>16800</v>
      </c>
      <c r="AG42" s="25">
        <f t="shared" si="16"/>
        <v>16800</v>
      </c>
      <c r="AH42" s="25">
        <f t="shared" si="16"/>
        <v>21000</v>
      </c>
    </row>
    <row r="43" spans="2:34" x14ac:dyDescent="0.25">
      <c r="C43" s="20">
        <f>C39*$C$48/$C$42</f>
        <v>0.43478260869565222</v>
      </c>
      <c r="W43" s="83" t="s">
        <v>43</v>
      </c>
      <c r="X43" s="57">
        <f>'salario basico'!G15*12</f>
        <v>5400</v>
      </c>
      <c r="Y43" s="25">
        <f t="shared" ref="Y43" si="17">X43</f>
        <v>5400</v>
      </c>
      <c r="Z43" s="25">
        <f t="shared" ref="Z43" si="18">Y43</f>
        <v>5400</v>
      </c>
      <c r="AA43" s="25">
        <f t="shared" ref="AA43" si="19">Z43</f>
        <v>5400</v>
      </c>
      <c r="AB43" s="25">
        <f t="shared" ref="AB43" si="20">AA43</f>
        <v>5400</v>
      </c>
      <c r="AC43" s="25">
        <f t="shared" ref="AC43" si="21">AB43</f>
        <v>5400</v>
      </c>
      <c r="AD43" s="25">
        <f t="shared" ref="AD43" si="22">AC43</f>
        <v>5400</v>
      </c>
      <c r="AE43" s="25">
        <f t="shared" ref="AE43" si="23">AD43</f>
        <v>5400</v>
      </c>
      <c r="AF43" s="25">
        <f t="shared" ref="AF43" si="24">AE43</f>
        <v>5400</v>
      </c>
      <c r="AG43" s="25">
        <f t="shared" ref="AG43" si="25">AF43</f>
        <v>5400</v>
      </c>
      <c r="AH43" s="25">
        <f t="shared" ref="AH43" si="26">AG43</f>
        <v>5400</v>
      </c>
    </row>
    <row r="44" spans="2:34" x14ac:dyDescent="0.25">
      <c r="C44" s="20">
        <f>C40*$C$48/$C$42</f>
        <v>0.15942028985507248</v>
      </c>
      <c r="W44" s="83" t="s">
        <v>170</v>
      </c>
      <c r="X44" s="57">
        <f>'salario basico'!G16*12</f>
        <v>9600</v>
      </c>
      <c r="Y44" s="25">
        <f>ROUNDUP(D$10/10,0)*$X44</f>
        <v>9600</v>
      </c>
      <c r="Z44" s="25">
        <f t="shared" ref="Z44:AH44" si="27">ROUNDUP(E$10/10,0)*$X44</f>
        <v>9600</v>
      </c>
      <c r="AA44" s="25">
        <f t="shared" si="27"/>
        <v>19200</v>
      </c>
      <c r="AB44" s="25">
        <f t="shared" si="27"/>
        <v>19200</v>
      </c>
      <c r="AC44" s="25">
        <f t="shared" si="27"/>
        <v>28800</v>
      </c>
      <c r="AD44" s="25">
        <f t="shared" si="27"/>
        <v>28800</v>
      </c>
      <c r="AE44" s="25">
        <f t="shared" si="27"/>
        <v>28800</v>
      </c>
      <c r="AF44" s="25">
        <f t="shared" si="27"/>
        <v>38400</v>
      </c>
      <c r="AG44" s="25">
        <f t="shared" si="27"/>
        <v>38400</v>
      </c>
      <c r="AH44" s="25">
        <f t="shared" si="27"/>
        <v>48000</v>
      </c>
    </row>
    <row r="45" spans="2:34" x14ac:dyDescent="0.25">
      <c r="C45" s="20">
        <f>C41*$C$48/$C$42</f>
        <v>0.40579710144927544</v>
      </c>
      <c r="W45" s="24" t="s">
        <v>51</v>
      </c>
      <c r="X45" s="24"/>
      <c r="Y45" s="85">
        <f t="shared" ref="Y45:AH45" si="28">SUM(Y29:Y44)</f>
        <v>96139.928159999996</v>
      </c>
      <c r="Z45" s="85">
        <f t="shared" si="28"/>
        <v>131843.50649728</v>
      </c>
      <c r="AA45" s="85">
        <f t="shared" si="28"/>
        <v>182066.52470416401</v>
      </c>
      <c r="AB45" s="85">
        <f t="shared" si="28"/>
        <v>218317.1643662354</v>
      </c>
      <c r="AC45" s="85">
        <f t="shared" si="28"/>
        <v>288510.08819873037</v>
      </c>
      <c r="AD45" s="85">
        <f t="shared" si="28"/>
        <v>324917.90404825594</v>
      </c>
      <c r="AE45" s="85">
        <f t="shared" si="28"/>
        <v>341921.51404611295</v>
      </c>
      <c r="AF45" s="85">
        <f t="shared" si="28"/>
        <v>401056.75584310613</v>
      </c>
      <c r="AG45" s="85">
        <f t="shared" si="28"/>
        <v>444891.6589071214</v>
      </c>
      <c r="AH45" s="85">
        <f t="shared" si="28"/>
        <v>501924.96890370111</v>
      </c>
    </row>
    <row r="46" spans="2:34" x14ac:dyDescent="0.25">
      <c r="C46" s="20"/>
    </row>
    <row r="48" spans="2:34" x14ac:dyDescent="0.25">
      <c r="C48" s="4">
        <v>1</v>
      </c>
    </row>
    <row r="49" spans="3:20" x14ac:dyDescent="0.25">
      <c r="C49" s="20">
        <f>1-C42</f>
        <v>0.31000000000000005</v>
      </c>
    </row>
    <row r="51" spans="3:20" ht="15.75" customHeight="1" x14ac:dyDescent="0.25">
      <c r="D51" s="26"/>
      <c r="E51" s="26"/>
      <c r="F51" s="137" t="s">
        <v>281</v>
      </c>
      <c r="G51" s="137"/>
      <c r="H51" s="137"/>
      <c r="I51" s="26"/>
    </row>
    <row r="52" spans="3:20" ht="21.75" customHeight="1" x14ac:dyDescent="0.25">
      <c r="D52" s="26"/>
      <c r="E52" s="86" t="s">
        <v>213</v>
      </c>
      <c r="F52" s="86" t="s">
        <v>37</v>
      </c>
      <c r="G52" s="86" t="s">
        <v>214</v>
      </c>
      <c r="H52" s="73" t="s">
        <v>39</v>
      </c>
      <c r="I52" s="86" t="s">
        <v>215</v>
      </c>
      <c r="J52" s="86" t="s">
        <v>282</v>
      </c>
      <c r="K52" s="86" t="s">
        <v>283</v>
      </c>
      <c r="L52" s="87" t="s">
        <v>284</v>
      </c>
    </row>
    <row r="53" spans="3:20" x14ac:dyDescent="0.25">
      <c r="D53" s="86" t="s">
        <v>171</v>
      </c>
      <c r="E53" s="88">
        <f>'personal por producto'!N104</f>
        <v>1.2499999999999999E-2</v>
      </c>
      <c r="F53" s="88">
        <f>'personal por producto'!O104</f>
        <v>7.7083333333333335E-3</v>
      </c>
      <c r="G53" s="88">
        <f>'personal por producto'!P104</f>
        <v>3.3333333333333333E-2</v>
      </c>
      <c r="H53" s="88">
        <f>'personal por producto'!Q104</f>
        <v>0</v>
      </c>
      <c r="I53" s="88">
        <f>'personal por producto'!R104</f>
        <v>0</v>
      </c>
      <c r="J53" s="88">
        <f>'personal por producto'!S104</f>
        <v>0</v>
      </c>
      <c r="K53" s="88">
        <f t="shared" ref="K53:K59" si="29">(E53*$X$35)+(F53*$X$36)+(G53*$X$37)+(H53*$X$38)+(I53*$X$39)+(J53*$X$44)+($X$41*$D33)+($X$42*$D33)+($X$43*$D33)</f>
        <v>689.73295999999993</v>
      </c>
      <c r="L53" s="69">
        <f t="shared" ref="L53:L59" si="30">(D33)*($P$61*0.01)</f>
        <v>1.3591226757427199</v>
      </c>
    </row>
    <row r="54" spans="3:20" ht="25.5" x14ac:dyDescent="0.25">
      <c r="D54" s="86" t="s">
        <v>177</v>
      </c>
      <c r="E54" s="88">
        <f>'personal por producto'!N105</f>
        <v>9.5833333333333326E-2</v>
      </c>
      <c r="F54" s="88">
        <f>'personal por producto'!O105</f>
        <v>3.6354166666666667E-2</v>
      </c>
      <c r="G54" s="88">
        <f>'personal por producto'!P105</f>
        <v>0.28333333333333333</v>
      </c>
      <c r="H54" s="88">
        <f>'personal por producto'!Q105</f>
        <v>1.7187499999999998E-2</v>
      </c>
      <c r="I54" s="88">
        <f>'personal por producto'!R105</f>
        <v>0</v>
      </c>
      <c r="J54" s="88">
        <f>'personal por producto'!S105</f>
        <v>4.1666666666666666E-3</v>
      </c>
      <c r="K54" s="88">
        <f t="shared" si="29"/>
        <v>4241.8991599999999</v>
      </c>
      <c r="L54" s="69">
        <f t="shared" si="30"/>
        <v>3.0580260204211198</v>
      </c>
      <c r="O54" s="73" t="str">
        <f>'gastos puestos en marcha'!AM14</f>
        <v>Gastos en 
Marcha</v>
      </c>
      <c r="P54" s="86">
        <f>'gastos puestos en marcha'!AN14</f>
        <v>2014</v>
      </c>
      <c r="Q54" s="86">
        <f>'gastos puestos en marcha'!AO14</f>
        <v>2015</v>
      </c>
    </row>
    <row r="55" spans="3:20" ht="25.5" x14ac:dyDescent="0.25">
      <c r="D55" s="86" t="s">
        <v>185</v>
      </c>
      <c r="E55" s="88">
        <f>'personal por producto'!N106</f>
        <v>0.18906249999999999</v>
      </c>
      <c r="F55" s="88">
        <f>'personal por producto'!O106</f>
        <v>5.46875E-2</v>
      </c>
      <c r="G55" s="88">
        <f>'personal por producto'!P106</f>
        <v>0.35416666666666669</v>
      </c>
      <c r="H55" s="88">
        <f>'personal por producto'!Q106</f>
        <v>1.9791666666666666E-2</v>
      </c>
      <c r="I55" s="88">
        <f>'personal por producto'!R106</f>
        <v>0</v>
      </c>
      <c r="J55" s="88">
        <f>'personal por producto'!S106</f>
        <v>8.3333333333333332E-3</v>
      </c>
      <c r="K55" s="88">
        <f t="shared" si="29"/>
        <v>5869.1200399999998</v>
      </c>
      <c r="L55" s="69">
        <f t="shared" si="30"/>
        <v>2.8881356859532801</v>
      </c>
      <c r="O55" s="88" t="str">
        <f>'gastos puestos en marcha'!AM15</f>
        <v>Luz</v>
      </c>
      <c r="P55" s="88">
        <f>'gastos puestos en marcha'!AN15</f>
        <v>789.60815999999977</v>
      </c>
      <c r="Q55" s="88">
        <f>'gastos puestos en marcha'!AO15</f>
        <v>1396.9845172799996</v>
      </c>
    </row>
    <row r="56" spans="3:20" ht="25.5" x14ac:dyDescent="0.25">
      <c r="D56" s="86" t="s">
        <v>194</v>
      </c>
      <c r="E56" s="88">
        <f>'personal por producto'!N107</f>
        <v>0.25989583333333333</v>
      </c>
      <c r="F56" s="88">
        <f>'personal por producto'!O107</f>
        <v>7.4843750000000001E-2</v>
      </c>
      <c r="G56" s="88">
        <f>'personal por producto'!P107</f>
        <v>0.80833333333333346</v>
      </c>
      <c r="H56" s="88">
        <f>'personal por producto'!Q107</f>
        <v>0.10520833333333335</v>
      </c>
      <c r="I56" s="88">
        <f>'personal por producto'!R107</f>
        <v>0</v>
      </c>
      <c r="J56" s="88">
        <f>'personal por producto'!S107</f>
        <v>1.2499999999999999E-2</v>
      </c>
      <c r="K56" s="88">
        <f t="shared" si="29"/>
        <v>11073.49504</v>
      </c>
      <c r="L56" s="69">
        <f t="shared" si="30"/>
        <v>2.8881356859532801</v>
      </c>
      <c r="O56" s="88" t="str">
        <f>'gastos puestos en marcha'!AM16</f>
        <v>Agua</v>
      </c>
      <c r="P56" s="88">
        <f>'gastos puestos en marcha'!AN16</f>
        <v>176.99999999999997</v>
      </c>
      <c r="Q56" s="88">
        <f>'gastos puestos en marcha'!AO16</f>
        <v>358.20197999999993</v>
      </c>
    </row>
    <row r="57" spans="3:20" ht="25.5" x14ac:dyDescent="0.25">
      <c r="D57" s="86" t="s">
        <v>192</v>
      </c>
      <c r="E57" s="88">
        <f>'personal por producto'!N108</f>
        <v>0.10572916666666667</v>
      </c>
      <c r="F57" s="88">
        <f>'personal por producto'!O108</f>
        <v>4.3229166666666659E-2</v>
      </c>
      <c r="G57" s="88">
        <f>'personal por producto'!P108</f>
        <v>0.29166666666666669</v>
      </c>
      <c r="H57" s="88">
        <f>'personal por producto'!Q108</f>
        <v>8.2291666666666666E-2</v>
      </c>
      <c r="I57" s="88">
        <f>'personal por producto'!R108</f>
        <v>0</v>
      </c>
      <c r="J57" s="88">
        <f>'personal por producto'!S108</f>
        <v>4.1666666666666666E-3</v>
      </c>
      <c r="K57" s="88">
        <f t="shared" si="29"/>
        <v>4841.6200399999998</v>
      </c>
      <c r="L57" s="69">
        <f t="shared" si="30"/>
        <v>2.8881356859532801</v>
      </c>
      <c r="O57" s="88" t="str">
        <f>'gastos puestos en marcha'!AM17</f>
        <v>Telefono</v>
      </c>
      <c r="P57" s="88">
        <f>'gastos puestos en marcha'!AN17</f>
        <v>96</v>
      </c>
      <c r="Q57" s="88">
        <f>'gastos puestos en marcha'!AO17</f>
        <v>96</v>
      </c>
    </row>
    <row r="58" spans="3:20" x14ac:dyDescent="0.25">
      <c r="D58" s="86" t="s">
        <v>271</v>
      </c>
      <c r="E58" s="88">
        <f>'personal por producto'!N109</f>
        <v>0.135625</v>
      </c>
      <c r="F58" s="88">
        <f>'personal por producto'!O109</f>
        <v>4.9895833333333334E-2</v>
      </c>
      <c r="G58" s="88">
        <f>'personal por producto'!P109</f>
        <v>0.22291666666666668</v>
      </c>
      <c r="H58" s="88">
        <f>'personal por producto'!Q109</f>
        <v>2.9609374999999997E-2</v>
      </c>
      <c r="I58" s="88">
        <f>'personal por producto'!R109</f>
        <v>0</v>
      </c>
      <c r="J58" s="88">
        <f>'personal por producto'!S109</f>
        <v>1.8749999999999999E-2</v>
      </c>
      <c r="K58" s="88">
        <f t="shared" si="29"/>
        <v>4578.3260100000007</v>
      </c>
      <c r="L58" s="69">
        <f t="shared" si="30"/>
        <v>3.9074776927603203</v>
      </c>
      <c r="O58" s="88" t="str">
        <f>'gastos puestos en marcha'!AM18</f>
        <v>Internet</v>
      </c>
      <c r="P58" s="88">
        <f>'gastos puestos en marcha'!AN18</f>
        <v>574.79999999999995</v>
      </c>
      <c r="Q58" s="88">
        <f>'gastos puestos en marcha'!AO18</f>
        <v>574.79999999999995</v>
      </c>
    </row>
    <row r="59" spans="3:20" ht="25.5" x14ac:dyDescent="0.25">
      <c r="D59" s="86" t="s">
        <v>208</v>
      </c>
      <c r="E59" s="88">
        <f>'personal por producto'!N110</f>
        <v>0</v>
      </c>
      <c r="F59" s="88">
        <f>'personal por producto'!O110</f>
        <v>0</v>
      </c>
      <c r="G59" s="88">
        <f>'personal por producto'!P110</f>
        <v>0</v>
      </c>
      <c r="H59" s="88">
        <f>'personal por producto'!Q110</f>
        <v>0</v>
      </c>
      <c r="I59" s="88">
        <f>'personal por producto'!R110</f>
        <v>1</v>
      </c>
      <c r="J59" s="88">
        <f>'personal por producto'!S110</f>
        <v>0</v>
      </c>
      <c r="K59" s="88">
        <f t="shared" si="29"/>
        <v>10846.560000000001</v>
      </c>
      <c r="L59" s="69">
        <f t="shared" si="30"/>
        <v>31.036977457920006</v>
      </c>
      <c r="O59" t="str">
        <f>'gastos puestos en marcha'!AM19</f>
        <v>Arriendo</v>
      </c>
      <c r="P59">
        <f>'gastos puestos en marcha'!AN19</f>
        <v>7200</v>
      </c>
      <c r="Q59">
        <f>'gastos puestos en marcha'!AO19</f>
        <v>7200</v>
      </c>
    </row>
    <row r="60" spans="3:20" ht="25.5" x14ac:dyDescent="0.25">
      <c r="D60" s="86" t="s">
        <v>210</v>
      </c>
      <c r="E60" s="88">
        <f>'personal por producto'!N111</f>
        <v>0.625</v>
      </c>
      <c r="F60" s="88">
        <f>'personal por producto'!O111</f>
        <v>0.125</v>
      </c>
      <c r="G60" s="88">
        <f>'personal por producto'!P111</f>
        <v>0.33333333333333331</v>
      </c>
      <c r="H60" s="88">
        <f>'personal por producto'!Q111</f>
        <v>4.6875E-2</v>
      </c>
      <c r="I60" s="88">
        <f>'personal por producto'!R111</f>
        <v>0</v>
      </c>
      <c r="J60" s="88">
        <f>'personal por producto'!S111</f>
        <v>0</v>
      </c>
      <c r="K60" s="88">
        <f>(E60*$X$35)+(F60*$X$36)+(G60*$X$37)+(H60*$X$38)+(I60*$X$39)+(J60*$X$44)+($X$41*$D41)+($X$42*$D41)+($X$43*$D41)</f>
        <v>14354.706</v>
      </c>
      <c r="L60" s="69">
        <f>(D41)*($P$61*0.01)</f>
        <v>28.967845627392006</v>
      </c>
      <c r="O60" t="str">
        <f>'gastos puestos en marcha'!AM20</f>
        <v>Publicidad</v>
      </c>
      <c r="P60">
        <f>'gastos puestos en marcha'!AN20</f>
        <v>1323.7199999999998</v>
      </c>
      <c r="Q60">
        <f>'gastos puestos en marcha'!AO20</f>
        <v>1323.7199999999998</v>
      </c>
      <c r="S60" s="89"/>
      <c r="T60" s="90"/>
    </row>
    <row r="61" spans="3:20" x14ac:dyDescent="0.25">
      <c r="D61" s="86" t="s">
        <v>217</v>
      </c>
      <c r="E61" s="88">
        <f>'personal por producto'!N112</f>
        <v>0</v>
      </c>
      <c r="F61" s="88">
        <f>'personal por producto'!O112</f>
        <v>0</v>
      </c>
      <c r="G61" s="88">
        <f>'personal por producto'!P112</f>
        <v>0</v>
      </c>
      <c r="H61" s="88">
        <f>'personal por producto'!Q112</f>
        <v>0</v>
      </c>
      <c r="I61" s="88">
        <f>'personal por producto'!R112</f>
        <v>0</v>
      </c>
      <c r="J61" s="88">
        <f>'personal por producto'!S112</f>
        <v>0.25</v>
      </c>
      <c r="K61" s="88">
        <f>(E61*$X$35)+(F61*$X$36)+(G61*$X$37)+(H61*$X$38)+(I61*$X$39)+(J61*$X$44)+($X$41*$D40)+($X$42*$D40)+($X$43*$D40)</f>
        <v>4177.0720000000001</v>
      </c>
      <c r="L61" s="69">
        <f>(D40)*($P$61*0.01)</f>
        <v>11.380225067904002</v>
      </c>
      <c r="O61" s="88" t="str">
        <f>'gastos puestos en marcha'!AM21</f>
        <v>Total</v>
      </c>
      <c r="P61" s="69">
        <f>'gastos puestos en marcha'!AN21</f>
        <v>8837.408159999999</v>
      </c>
      <c r="Q61" s="69">
        <f>'gastos puestos en marcha'!AO21</f>
        <v>9625.9864972799987</v>
      </c>
    </row>
    <row r="62" spans="3:20" x14ac:dyDescent="0.25">
      <c r="K62" s="88"/>
    </row>
    <row r="66" spans="2:13" x14ac:dyDescent="0.25">
      <c r="B66" s="22"/>
      <c r="C66" s="26"/>
      <c r="D66" s="73">
        <v>2014</v>
      </c>
      <c r="E66" s="73">
        <v>2015</v>
      </c>
      <c r="F66" s="73">
        <v>2016</v>
      </c>
      <c r="G66" s="73">
        <v>2017</v>
      </c>
      <c r="H66" s="73">
        <v>2018</v>
      </c>
      <c r="I66" s="73">
        <v>2019</v>
      </c>
      <c r="J66" s="73">
        <v>2020</v>
      </c>
      <c r="K66" s="73">
        <v>2021</v>
      </c>
      <c r="L66" s="73">
        <v>2022</v>
      </c>
      <c r="M66" s="73">
        <v>2023</v>
      </c>
    </row>
    <row r="67" spans="2:13" x14ac:dyDescent="0.25">
      <c r="B67" s="91" t="s">
        <v>36</v>
      </c>
      <c r="C67" s="74"/>
      <c r="D67" s="74">
        <f t="shared" ref="D67:M67" si="31">ROUND(($E$53*D$15)+($E$54*D$16)+($E$55*D$17)+($E$56*D$18)+($E$57*D$19)+($E$59*D$23)+($E$60*D$24),0)</f>
        <v>1</v>
      </c>
      <c r="E67" s="74">
        <f t="shared" si="31"/>
        <v>1</v>
      </c>
      <c r="F67" s="74">
        <f t="shared" si="31"/>
        <v>2</v>
      </c>
      <c r="G67" s="74">
        <f t="shared" si="31"/>
        <v>3</v>
      </c>
      <c r="H67" s="74">
        <f t="shared" si="31"/>
        <v>4</v>
      </c>
      <c r="I67" s="74">
        <f t="shared" si="31"/>
        <v>5</v>
      </c>
      <c r="J67" s="74">
        <f t="shared" si="31"/>
        <v>6</v>
      </c>
      <c r="K67" s="74">
        <f t="shared" si="31"/>
        <v>7</v>
      </c>
      <c r="L67" s="74">
        <f t="shared" si="31"/>
        <v>8</v>
      </c>
      <c r="M67" s="74">
        <f t="shared" si="31"/>
        <v>9</v>
      </c>
    </row>
    <row r="68" spans="2:13" ht="25.5" x14ac:dyDescent="0.25">
      <c r="B68" s="91" t="s">
        <v>37</v>
      </c>
      <c r="C68" s="74"/>
      <c r="D68" s="74">
        <f t="shared" ref="D68:M68" si="32">ROUND(($F$53*D$15)+($F$54*D$16)+($F$55*D$17)+($F$56*D$18)+($F$57*D$19)+($F$59*D$23)+($F$60*D$24),0)</f>
        <v>0</v>
      </c>
      <c r="E68" s="74">
        <f t="shared" si="32"/>
        <v>0</v>
      </c>
      <c r="F68" s="74">
        <f t="shared" si="32"/>
        <v>1</v>
      </c>
      <c r="G68" s="74">
        <f t="shared" si="32"/>
        <v>1</v>
      </c>
      <c r="H68" s="74">
        <f t="shared" si="32"/>
        <v>1</v>
      </c>
      <c r="I68" s="74">
        <f t="shared" si="32"/>
        <v>1</v>
      </c>
      <c r="J68" s="74">
        <f t="shared" si="32"/>
        <v>2</v>
      </c>
      <c r="K68" s="74">
        <f t="shared" si="32"/>
        <v>2</v>
      </c>
      <c r="L68" s="74">
        <f t="shared" si="32"/>
        <v>2</v>
      </c>
      <c r="M68" s="74">
        <f t="shared" si="32"/>
        <v>2</v>
      </c>
    </row>
    <row r="69" spans="2:13" x14ac:dyDescent="0.25">
      <c r="B69" s="91" t="s">
        <v>38</v>
      </c>
      <c r="C69" s="74"/>
      <c r="D69" s="74">
        <f t="shared" ref="D69:M69" si="33">ROUND(($G$53*D$15)+($G$54*D$16)+($G$55*D$17)+($G$56*D$18)+($G$57*D$19)+($G$59*D$23)+($G$60*D$24),0)</f>
        <v>1</v>
      </c>
      <c r="E69" s="74">
        <f t="shared" si="33"/>
        <v>2</v>
      </c>
      <c r="F69" s="74">
        <f t="shared" si="33"/>
        <v>4</v>
      </c>
      <c r="G69" s="74">
        <f t="shared" si="33"/>
        <v>5</v>
      </c>
      <c r="H69" s="74">
        <f t="shared" si="33"/>
        <v>6</v>
      </c>
      <c r="I69" s="74">
        <f t="shared" si="33"/>
        <v>8</v>
      </c>
      <c r="J69" s="74">
        <f t="shared" si="33"/>
        <v>9</v>
      </c>
      <c r="K69" s="74">
        <f t="shared" si="33"/>
        <v>10</v>
      </c>
      <c r="L69" s="74">
        <f t="shared" si="33"/>
        <v>12</v>
      </c>
      <c r="M69" s="74">
        <f t="shared" si="33"/>
        <v>13</v>
      </c>
    </row>
    <row r="70" spans="2:13" x14ac:dyDescent="0.25">
      <c r="B70" s="91" t="s">
        <v>39</v>
      </c>
      <c r="C70" s="74"/>
      <c r="D70" s="74">
        <f t="shared" ref="D70:M70" si="34">ROUND(($H$53*D$15)+($H$54*D$16)+($H$55*D$17)+($H$56*D$18)+($H$57*D$19)+($H$59*D$23)+($H$60*D$24),0)</f>
        <v>0</v>
      </c>
      <c r="E70" s="74">
        <f t="shared" si="34"/>
        <v>0</v>
      </c>
      <c r="F70" s="74">
        <f t="shared" si="34"/>
        <v>1</v>
      </c>
      <c r="G70" s="74">
        <f t="shared" si="34"/>
        <v>1</v>
      </c>
      <c r="H70" s="74">
        <f t="shared" si="34"/>
        <v>1</v>
      </c>
      <c r="I70" s="74">
        <f t="shared" si="34"/>
        <v>1</v>
      </c>
      <c r="J70" s="74">
        <f t="shared" si="34"/>
        <v>1</v>
      </c>
      <c r="K70" s="74">
        <f t="shared" si="34"/>
        <v>2</v>
      </c>
      <c r="L70" s="74">
        <f t="shared" si="34"/>
        <v>2</v>
      </c>
      <c r="M70" s="74">
        <f t="shared" si="34"/>
        <v>2</v>
      </c>
    </row>
    <row r="71" spans="2:13" ht="25.5" x14ac:dyDescent="0.25">
      <c r="B71" s="91" t="s">
        <v>40</v>
      </c>
      <c r="C71" s="74"/>
      <c r="D71" s="74">
        <f t="shared" ref="D71:M71" si="35">ROUND(($I$53*D$15)+($I$54*D$16)+($I$55*D$17)+($I$56*D$18)+($I$57*D$19)+($I$59*D$23)+($I$60*D$24),0)</f>
        <v>1</v>
      </c>
      <c r="E71" s="74">
        <f t="shared" si="35"/>
        <v>2</v>
      </c>
      <c r="F71" s="74">
        <f t="shared" si="35"/>
        <v>4</v>
      </c>
      <c r="G71" s="74">
        <f t="shared" si="35"/>
        <v>5</v>
      </c>
      <c r="H71" s="74">
        <f t="shared" si="35"/>
        <v>6</v>
      </c>
      <c r="I71" s="74">
        <f t="shared" si="35"/>
        <v>7</v>
      </c>
      <c r="J71" s="74">
        <f t="shared" si="35"/>
        <v>9</v>
      </c>
      <c r="K71" s="74">
        <f t="shared" si="35"/>
        <v>10</v>
      </c>
      <c r="L71" s="74">
        <f t="shared" si="35"/>
        <v>11</v>
      </c>
      <c r="M71" s="74">
        <f t="shared" si="35"/>
        <v>12</v>
      </c>
    </row>
    <row r="72" spans="2:13" x14ac:dyDescent="0.25">
      <c r="B72" s="91" t="s">
        <v>41</v>
      </c>
      <c r="C72" s="74"/>
      <c r="D72" s="74">
        <v>1</v>
      </c>
      <c r="E72" s="74">
        <v>1</v>
      </c>
      <c r="F72" s="74">
        <v>1</v>
      </c>
      <c r="G72" s="74">
        <v>1</v>
      </c>
      <c r="H72" s="74">
        <v>1</v>
      </c>
      <c r="I72" s="74">
        <v>1</v>
      </c>
      <c r="J72" s="74">
        <v>1</v>
      </c>
      <c r="K72" s="74">
        <v>1</v>
      </c>
      <c r="L72" s="74">
        <v>1</v>
      </c>
      <c r="M72" s="74">
        <v>1</v>
      </c>
    </row>
    <row r="73" spans="2:13" x14ac:dyDescent="0.25">
      <c r="B73" s="91" t="s">
        <v>42</v>
      </c>
      <c r="C73" s="74"/>
      <c r="D73" s="37">
        <f>ROUND(D$10/10,0)</f>
        <v>0</v>
      </c>
      <c r="E73" s="37">
        <f t="shared" ref="E73:M73" si="36">ROUND(E10/10,0)</f>
        <v>1</v>
      </c>
      <c r="F73" s="37">
        <f t="shared" si="36"/>
        <v>1</v>
      </c>
      <c r="G73" s="37">
        <f t="shared" si="36"/>
        <v>2</v>
      </c>
      <c r="H73" s="37">
        <f t="shared" si="36"/>
        <v>2</v>
      </c>
      <c r="I73" s="37">
        <f t="shared" si="36"/>
        <v>2</v>
      </c>
      <c r="J73" s="37">
        <f t="shared" si="36"/>
        <v>3</v>
      </c>
      <c r="K73" s="37">
        <f t="shared" si="36"/>
        <v>3</v>
      </c>
      <c r="L73" s="37">
        <f t="shared" si="36"/>
        <v>4</v>
      </c>
      <c r="M73" s="37">
        <f t="shared" si="36"/>
        <v>4</v>
      </c>
    </row>
    <row r="74" spans="2:13" x14ac:dyDescent="0.25">
      <c r="B74" s="91" t="s">
        <v>43</v>
      </c>
      <c r="C74" s="74"/>
      <c r="D74" s="74">
        <v>1</v>
      </c>
      <c r="E74" s="74">
        <v>1</v>
      </c>
      <c r="F74" s="74">
        <v>1</v>
      </c>
      <c r="G74" s="74">
        <v>1</v>
      </c>
      <c r="H74" s="74">
        <v>1</v>
      </c>
      <c r="I74" s="74">
        <v>1</v>
      </c>
      <c r="J74" s="74">
        <v>1</v>
      </c>
      <c r="K74" s="74">
        <v>1</v>
      </c>
      <c r="L74" s="74">
        <v>1</v>
      </c>
      <c r="M74" s="74">
        <v>1</v>
      </c>
    </row>
    <row r="75" spans="2:13" x14ac:dyDescent="0.25">
      <c r="B75" s="91" t="s">
        <v>44</v>
      </c>
      <c r="C75" s="74"/>
      <c r="D75" s="37">
        <f t="shared" ref="D75:M75" si="37">ROUND(D$10/10,0)</f>
        <v>0</v>
      </c>
      <c r="E75" s="37">
        <f t="shared" si="37"/>
        <v>1</v>
      </c>
      <c r="F75" s="37">
        <f t="shared" si="37"/>
        <v>1</v>
      </c>
      <c r="G75" s="37">
        <f t="shared" si="37"/>
        <v>2</v>
      </c>
      <c r="H75" s="37">
        <f t="shared" si="37"/>
        <v>2</v>
      </c>
      <c r="I75" s="37">
        <f t="shared" si="37"/>
        <v>2</v>
      </c>
      <c r="J75" s="37">
        <f t="shared" si="37"/>
        <v>3</v>
      </c>
      <c r="K75" s="37">
        <f t="shared" si="37"/>
        <v>3</v>
      </c>
      <c r="L75" s="37">
        <f t="shared" si="37"/>
        <v>4</v>
      </c>
      <c r="M75" s="37">
        <f t="shared" si="37"/>
        <v>4</v>
      </c>
    </row>
    <row r="76" spans="2:13" x14ac:dyDescent="0.25">
      <c r="B76" s="12" t="s">
        <v>51</v>
      </c>
      <c r="C76" s="12"/>
      <c r="D76" s="92">
        <f t="shared" ref="D76:M76" si="38">SUM(D67:D75)</f>
        <v>5</v>
      </c>
      <c r="E76" s="92">
        <f t="shared" si="38"/>
        <v>9</v>
      </c>
      <c r="F76" s="92">
        <f t="shared" si="38"/>
        <v>16</v>
      </c>
      <c r="G76" s="92">
        <f t="shared" si="38"/>
        <v>21</v>
      </c>
      <c r="H76" s="92">
        <f t="shared" si="38"/>
        <v>24</v>
      </c>
      <c r="I76" s="92">
        <f t="shared" si="38"/>
        <v>28</v>
      </c>
      <c r="J76" s="92">
        <f t="shared" si="38"/>
        <v>35</v>
      </c>
      <c r="K76" s="92">
        <f t="shared" si="38"/>
        <v>39</v>
      </c>
      <c r="L76" s="92">
        <f t="shared" si="38"/>
        <v>45</v>
      </c>
      <c r="M76" s="92">
        <f t="shared" si="38"/>
        <v>48</v>
      </c>
    </row>
    <row r="95" spans="37:38" x14ac:dyDescent="0.25">
      <c r="AK95" s="86" t="s">
        <v>285</v>
      </c>
      <c r="AL95" s="86" t="s">
        <v>286</v>
      </c>
    </row>
    <row r="96" spans="37:38" x14ac:dyDescent="0.25">
      <c r="AK96" s="83" t="s">
        <v>171</v>
      </c>
      <c r="AL96" s="25">
        <f t="shared" ref="AL96:AL104" si="39">($X$41*$D33)+($X$42*$D33)</f>
        <v>129.18528000000001</v>
      </c>
    </row>
    <row r="97" spans="37:38" x14ac:dyDescent="0.25">
      <c r="AK97" s="83" t="s">
        <v>177</v>
      </c>
      <c r="AL97" s="25">
        <f t="shared" si="39"/>
        <v>290.66687999999999</v>
      </c>
    </row>
    <row r="98" spans="37:38" x14ac:dyDescent="0.25">
      <c r="AK98" s="83" t="s">
        <v>185</v>
      </c>
      <c r="AL98" s="25">
        <f t="shared" si="39"/>
        <v>274.51872000000003</v>
      </c>
    </row>
    <row r="99" spans="37:38" x14ac:dyDescent="0.25">
      <c r="AK99" s="83" t="s">
        <v>194</v>
      </c>
      <c r="AL99" s="25">
        <f t="shared" si="39"/>
        <v>274.51872000000003</v>
      </c>
    </row>
    <row r="100" spans="37:38" ht="22.5" x14ac:dyDescent="0.25">
      <c r="AK100" s="83" t="s">
        <v>192</v>
      </c>
      <c r="AL100" s="25">
        <f t="shared" si="39"/>
        <v>274.51872000000003</v>
      </c>
    </row>
    <row r="101" spans="37:38" x14ac:dyDescent="0.25">
      <c r="AK101" s="83" t="s">
        <v>224</v>
      </c>
      <c r="AL101" s="25">
        <f t="shared" si="39"/>
        <v>371.40768000000003</v>
      </c>
    </row>
    <row r="102" spans="37:38" x14ac:dyDescent="0.25">
      <c r="AK102" s="83" t="s">
        <v>208</v>
      </c>
      <c r="AL102" s="25">
        <f t="shared" si="39"/>
        <v>2950.0800000000004</v>
      </c>
    </row>
    <row r="103" spans="37:38" x14ac:dyDescent="0.25">
      <c r="AK103" s="83" t="s">
        <v>182</v>
      </c>
      <c r="AL103" s="25">
        <f t="shared" si="39"/>
        <v>1081.6960000000001</v>
      </c>
    </row>
    <row r="104" spans="37:38" x14ac:dyDescent="0.25">
      <c r="AK104" s="83" t="s">
        <v>210</v>
      </c>
      <c r="AL104" s="25">
        <f t="shared" si="39"/>
        <v>2753.4080000000004</v>
      </c>
    </row>
  </sheetData>
  <mergeCells count="1">
    <mergeCell ref="F51:H5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D5:V30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3" width="11.42578125"/>
    <col min="4" max="4" width="7.5703125"/>
    <col min="5" max="5" width="6.42578125"/>
    <col min="6" max="6" width="8.140625"/>
    <col min="7" max="7" width="13.28515625"/>
    <col min="8" max="13" width="11.42578125"/>
    <col min="14" max="14" width="15"/>
    <col min="15" max="21" width="11.42578125"/>
    <col min="22" max="22" width="17.5703125"/>
    <col min="23" max="1025" width="11.42578125"/>
  </cols>
  <sheetData>
    <row r="5" spans="4:22" x14ac:dyDescent="0.25">
      <c r="D5" s="133" t="s">
        <v>291</v>
      </c>
      <c r="E5" s="133"/>
      <c r="F5" s="133"/>
      <c r="G5" s="133"/>
    </row>
    <row r="6" spans="4:22" x14ac:dyDescent="0.25">
      <c r="D6" s="15" t="s">
        <v>292</v>
      </c>
      <c r="E6" s="15" t="s">
        <v>293</v>
      </c>
      <c r="F6" s="15" t="s">
        <v>294</v>
      </c>
      <c r="G6" s="15" t="s">
        <v>295</v>
      </c>
      <c r="T6" t="s">
        <v>293</v>
      </c>
      <c r="U6" t="s">
        <v>296</v>
      </c>
      <c r="V6" t="s">
        <v>297</v>
      </c>
    </row>
    <row r="7" spans="4:22" x14ac:dyDescent="0.25">
      <c r="D7" s="16">
        <v>1</v>
      </c>
      <c r="E7" s="16">
        <v>510</v>
      </c>
      <c r="F7" s="16">
        <v>240</v>
      </c>
      <c r="G7" s="16">
        <v>330</v>
      </c>
      <c r="S7" t="s">
        <v>298</v>
      </c>
      <c r="T7">
        <v>100</v>
      </c>
      <c r="U7">
        <v>30</v>
      </c>
      <c r="V7">
        <v>100</v>
      </c>
    </row>
    <row r="8" spans="4:22" x14ac:dyDescent="0.25">
      <c r="D8" s="16">
        <v>2</v>
      </c>
      <c r="E8" s="16">
        <v>600</v>
      </c>
      <c r="F8" s="16">
        <v>200</v>
      </c>
      <c r="G8" s="16">
        <v>300</v>
      </c>
      <c r="O8">
        <v>80</v>
      </c>
      <c r="P8">
        <v>100</v>
      </c>
      <c r="S8" t="s">
        <v>299</v>
      </c>
      <c r="T8">
        <v>70</v>
      </c>
      <c r="U8">
        <v>20</v>
      </c>
      <c r="V8">
        <v>50</v>
      </c>
    </row>
    <row r="9" spans="4:22" x14ac:dyDescent="0.25">
      <c r="D9" s="16">
        <v>3</v>
      </c>
      <c r="E9" s="16">
        <v>500</v>
      </c>
      <c r="F9" s="16">
        <v>150</v>
      </c>
      <c r="G9" s="16">
        <v>250</v>
      </c>
      <c r="K9">
        <v>5</v>
      </c>
      <c r="O9">
        <v>10</v>
      </c>
      <c r="P9">
        <v>150</v>
      </c>
      <c r="S9" t="s">
        <v>300</v>
      </c>
      <c r="T9">
        <v>60</v>
      </c>
      <c r="U9">
        <v>20</v>
      </c>
      <c r="V9">
        <v>40</v>
      </c>
    </row>
    <row r="10" spans="4:22" x14ac:dyDescent="0.25">
      <c r="D10" s="16">
        <v>4</v>
      </c>
      <c r="E10" s="16">
        <v>350</v>
      </c>
      <c r="F10" s="16">
        <v>130</v>
      </c>
      <c r="G10" s="16">
        <v>260</v>
      </c>
      <c r="K10">
        <v>10</v>
      </c>
      <c r="O10">
        <v>80</v>
      </c>
      <c r="P10">
        <f>SUM(P8:P9)</f>
        <v>250</v>
      </c>
      <c r="S10" t="s">
        <v>301</v>
      </c>
      <c r="T10">
        <v>15</v>
      </c>
      <c r="U10">
        <v>10</v>
      </c>
      <c r="V10">
        <v>10</v>
      </c>
    </row>
    <row r="11" spans="4:22" x14ac:dyDescent="0.25">
      <c r="D11" s="16">
        <v>5</v>
      </c>
      <c r="E11" s="16">
        <v>380</v>
      </c>
      <c r="F11" s="16">
        <v>140</v>
      </c>
      <c r="G11" s="16">
        <v>255</v>
      </c>
      <c r="K11">
        <v>5</v>
      </c>
      <c r="N11" t="s">
        <v>302</v>
      </c>
      <c r="O11">
        <v>50</v>
      </c>
      <c r="S11" t="s">
        <v>303</v>
      </c>
      <c r="T11">
        <v>20</v>
      </c>
      <c r="U11">
        <v>5</v>
      </c>
      <c r="V11">
        <v>18</v>
      </c>
    </row>
    <row r="12" spans="4:22" x14ac:dyDescent="0.25">
      <c r="D12" s="16">
        <v>6</v>
      </c>
      <c r="E12" s="16">
        <v>480</v>
      </c>
      <c r="F12" s="16">
        <v>130</v>
      </c>
      <c r="G12" s="16">
        <v>265</v>
      </c>
      <c r="K12">
        <v>3</v>
      </c>
      <c r="O12">
        <v>50</v>
      </c>
      <c r="S12" t="s">
        <v>304</v>
      </c>
      <c r="T12">
        <v>15</v>
      </c>
      <c r="U12">
        <v>10</v>
      </c>
      <c r="V12">
        <v>11</v>
      </c>
    </row>
    <row r="13" spans="4:22" x14ac:dyDescent="0.25">
      <c r="D13" s="16">
        <v>7</v>
      </c>
      <c r="E13" s="16">
        <v>530</v>
      </c>
      <c r="F13" s="16">
        <v>170</v>
      </c>
      <c r="G13" s="16">
        <v>270</v>
      </c>
      <c r="K13">
        <v>10</v>
      </c>
      <c r="O13">
        <v>20</v>
      </c>
      <c r="S13" t="s">
        <v>305</v>
      </c>
      <c r="T13">
        <v>10</v>
      </c>
      <c r="U13">
        <v>5</v>
      </c>
      <c r="V13">
        <v>2</v>
      </c>
    </row>
    <row r="14" spans="4:22" x14ac:dyDescent="0.25">
      <c r="D14" s="16">
        <v>8</v>
      </c>
      <c r="E14" s="16">
        <v>550</v>
      </c>
      <c r="F14" s="16">
        <v>210</v>
      </c>
      <c r="G14" s="16">
        <v>240</v>
      </c>
      <c r="K14">
        <v>3</v>
      </c>
      <c r="O14">
        <v>40</v>
      </c>
      <c r="S14" t="s">
        <v>306</v>
      </c>
      <c r="T14">
        <v>10</v>
      </c>
      <c r="U14">
        <v>2</v>
      </c>
      <c r="V14">
        <v>3</v>
      </c>
    </row>
    <row r="15" spans="4:22" x14ac:dyDescent="0.25">
      <c r="D15" s="16">
        <v>9</v>
      </c>
      <c r="E15" s="16">
        <v>420</v>
      </c>
      <c r="F15" s="16">
        <v>110</v>
      </c>
      <c r="G15" s="16">
        <v>280</v>
      </c>
      <c r="K15">
        <v>3</v>
      </c>
      <c r="O15">
        <f>SUM(O8:O14)</f>
        <v>330</v>
      </c>
      <c r="S15" t="s">
        <v>307</v>
      </c>
      <c r="T15">
        <v>12</v>
      </c>
      <c r="U15">
        <v>3</v>
      </c>
      <c r="V15">
        <v>7</v>
      </c>
    </row>
    <row r="16" spans="4:22" x14ac:dyDescent="0.25">
      <c r="D16" s="16">
        <v>10</v>
      </c>
      <c r="E16" s="16">
        <v>620</v>
      </c>
      <c r="F16" s="16">
        <v>170</v>
      </c>
      <c r="G16" s="16">
        <v>245</v>
      </c>
      <c r="K16">
        <v>4</v>
      </c>
      <c r="S16" t="s">
        <v>308</v>
      </c>
      <c r="T16">
        <v>30</v>
      </c>
      <c r="U16">
        <v>20</v>
      </c>
      <c r="V16">
        <v>18</v>
      </c>
    </row>
    <row r="17" spans="4:22" x14ac:dyDescent="0.25">
      <c r="D17" s="40" t="s">
        <v>309</v>
      </c>
      <c r="E17" s="99">
        <f>AVERAGE(E7:E16)</f>
        <v>494</v>
      </c>
      <c r="F17" s="99">
        <f>AVERAGE(F7:F16)</f>
        <v>165</v>
      </c>
      <c r="G17" s="99">
        <f>AVERAGE(G7:G16)</f>
        <v>269.5</v>
      </c>
      <c r="H17" s="61">
        <f>SUM(E17:G17)</f>
        <v>928.5</v>
      </c>
      <c r="K17">
        <v>2</v>
      </c>
      <c r="T17">
        <f>SUM(T7:T16)</f>
        <v>342</v>
      </c>
      <c r="U17">
        <f>SUM(U7:U16)</f>
        <v>125</v>
      </c>
      <c r="V17">
        <f>SUM(V7:V16)</f>
        <v>259</v>
      </c>
    </row>
    <row r="18" spans="4:22" x14ac:dyDescent="0.25">
      <c r="P18" s="1" t="s">
        <v>293</v>
      </c>
      <c r="Q18" s="1" t="s">
        <v>296</v>
      </c>
    </row>
    <row r="19" spans="4:22" x14ac:dyDescent="0.25">
      <c r="O19">
        <v>200</v>
      </c>
      <c r="P19">
        <v>120</v>
      </c>
      <c r="Q19">
        <v>70</v>
      </c>
    </row>
    <row r="20" spans="4:22" x14ac:dyDescent="0.25">
      <c r="P20">
        <v>100</v>
      </c>
      <c r="Q20">
        <v>40</v>
      </c>
    </row>
    <row r="21" spans="4:22" x14ac:dyDescent="0.25">
      <c r="K21">
        <f>SUM(K9:K20)</f>
        <v>45</v>
      </c>
      <c r="P21">
        <v>70</v>
      </c>
      <c r="Q21">
        <v>40</v>
      </c>
    </row>
    <row r="22" spans="4:22" x14ac:dyDescent="0.25">
      <c r="P22">
        <v>40</v>
      </c>
      <c r="Q22">
        <v>10</v>
      </c>
    </row>
    <row r="23" spans="4:22" x14ac:dyDescent="0.25">
      <c r="N23" t="s">
        <v>293</v>
      </c>
      <c r="O23">
        <v>400</v>
      </c>
      <c r="P23">
        <v>10</v>
      </c>
      <c r="Q23">
        <v>10</v>
      </c>
    </row>
    <row r="24" spans="4:22" x14ac:dyDescent="0.25">
      <c r="P24">
        <v>20</v>
      </c>
      <c r="Q24">
        <v>30</v>
      </c>
    </row>
    <row r="25" spans="4:22" x14ac:dyDescent="0.25">
      <c r="P25">
        <v>20</v>
      </c>
      <c r="Q25">
        <v>20</v>
      </c>
    </row>
    <row r="26" spans="4:22" x14ac:dyDescent="0.25">
      <c r="P26">
        <v>10</v>
      </c>
      <c r="Q26">
        <v>20</v>
      </c>
    </row>
    <row r="27" spans="4:22" x14ac:dyDescent="0.25">
      <c r="N27" t="s">
        <v>298</v>
      </c>
      <c r="O27">
        <v>50</v>
      </c>
      <c r="P27">
        <v>60</v>
      </c>
      <c r="Q27">
        <v>4</v>
      </c>
    </row>
    <row r="28" spans="4:22" x14ac:dyDescent="0.25">
      <c r="O28">
        <v>30</v>
      </c>
      <c r="P28">
        <v>60</v>
      </c>
      <c r="Q28">
        <v>3</v>
      </c>
    </row>
    <row r="29" spans="4:22" x14ac:dyDescent="0.25">
      <c r="O29">
        <v>30</v>
      </c>
      <c r="P29">
        <f>SUM(P19:P28)</f>
        <v>510</v>
      </c>
      <c r="Q29">
        <f>SUM(Q19:Q28)</f>
        <v>247</v>
      </c>
    </row>
    <row r="30" spans="4:22" x14ac:dyDescent="0.25">
      <c r="O30">
        <f>SUM(O27:O29)</f>
        <v>110</v>
      </c>
    </row>
  </sheetData>
  <mergeCells count="1">
    <mergeCell ref="D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W118"/>
  <sheetViews>
    <sheetView topLeftCell="I24" zoomScaleNormal="100" workbookViewId="0">
      <selection activeCell="Q36" sqref="Q36"/>
    </sheetView>
  </sheetViews>
  <sheetFormatPr baseColWidth="10" defaultColWidth="9.140625" defaultRowHeight="15" x14ac:dyDescent="0.25"/>
  <cols>
    <col min="1" max="1" width="6.85546875"/>
    <col min="2" max="2" width="5.7109375"/>
    <col min="3" max="3" width="13.5703125"/>
    <col min="4" max="16" width="11.42578125"/>
    <col min="17" max="17" width="13"/>
    <col min="18" max="1025" width="11.42578125"/>
  </cols>
  <sheetData>
    <row r="3" spans="20:22" x14ac:dyDescent="0.25">
      <c r="T3" s="133" t="s">
        <v>310</v>
      </c>
      <c r="U3" s="134"/>
      <c r="V3" s="134"/>
    </row>
    <row r="4" spans="20:22" ht="22.5" x14ac:dyDescent="0.25">
      <c r="T4" s="24" t="s">
        <v>311</v>
      </c>
      <c r="U4" s="40" t="s">
        <v>312</v>
      </c>
      <c r="V4" s="40" t="s">
        <v>313</v>
      </c>
    </row>
    <row r="5" spans="20:22" x14ac:dyDescent="0.25">
      <c r="T5" s="24" t="s">
        <v>314</v>
      </c>
      <c r="U5" s="40">
        <f>V5*'inversion total inicial'!F10</f>
        <v>37185.873727999999</v>
      </c>
      <c r="V5" s="100">
        <v>0.8</v>
      </c>
    </row>
    <row r="6" spans="20:22" x14ac:dyDescent="0.25">
      <c r="T6" s="24" t="s">
        <v>315</v>
      </c>
      <c r="U6" s="40">
        <f>V6*'inversion total inicial'!F10</f>
        <v>9296.4684319999997</v>
      </c>
      <c r="V6" s="100">
        <v>0.2</v>
      </c>
    </row>
    <row r="7" spans="20:22" x14ac:dyDescent="0.25">
      <c r="T7" s="24" t="s">
        <v>316</v>
      </c>
      <c r="U7" s="40">
        <f>U6</f>
        <v>9296.4684319999997</v>
      </c>
      <c r="V7" s="40"/>
    </row>
    <row r="8" spans="20:22" x14ac:dyDescent="0.25">
      <c r="T8" s="24" t="s">
        <v>317</v>
      </c>
      <c r="U8" s="40">
        <v>8</v>
      </c>
      <c r="V8" s="40"/>
    </row>
    <row r="9" spans="20:22" ht="22.5" x14ac:dyDescent="0.25">
      <c r="T9" s="24" t="s">
        <v>318</v>
      </c>
      <c r="U9" s="40">
        <v>30</v>
      </c>
      <c r="V9" s="40"/>
    </row>
    <row r="10" spans="20:22" ht="22.5" x14ac:dyDescent="0.25">
      <c r="T10" s="24" t="s">
        <v>319</v>
      </c>
      <c r="U10" s="40">
        <f>(U8*12)/(U9/30)</f>
        <v>96</v>
      </c>
      <c r="V10" s="40"/>
    </row>
    <row r="11" spans="20:22" ht="22.5" x14ac:dyDescent="0.25">
      <c r="T11" s="24" t="s">
        <v>320</v>
      </c>
      <c r="U11" s="100">
        <v>0.1183</v>
      </c>
      <c r="V11" s="40"/>
    </row>
    <row r="12" spans="20:22" ht="22.5" x14ac:dyDescent="0.25">
      <c r="T12" s="24" t="s">
        <v>321</v>
      </c>
      <c r="U12" s="100">
        <f>((1+U11)^(1/12)-1)*12</f>
        <v>0.11233218843573312</v>
      </c>
      <c r="V12" s="40"/>
    </row>
    <row r="13" spans="20:22" x14ac:dyDescent="0.25">
      <c r="T13" s="24" t="s">
        <v>322</v>
      </c>
      <c r="U13" s="40">
        <f>U7/U10</f>
        <v>96.83821283333333</v>
      </c>
      <c r="V13" s="40"/>
    </row>
    <row r="19" spans="1:22" x14ac:dyDescent="0.25">
      <c r="A19" s="138" t="s">
        <v>323</v>
      </c>
      <c r="B19" s="138"/>
      <c r="C19" s="138"/>
      <c r="D19" s="138"/>
      <c r="E19" s="138"/>
      <c r="F19" s="138"/>
      <c r="G19" s="138"/>
      <c r="H19" s="138"/>
    </row>
    <row r="20" spans="1:22" x14ac:dyDescent="0.25">
      <c r="A20" s="15" t="s">
        <v>324</v>
      </c>
      <c r="B20" s="15"/>
      <c r="C20" s="15" t="s">
        <v>325</v>
      </c>
      <c r="D20" s="15" t="s">
        <v>326</v>
      </c>
      <c r="E20" s="15" t="s">
        <v>327</v>
      </c>
      <c r="F20" s="15" t="s">
        <v>328</v>
      </c>
      <c r="G20" s="15" t="s">
        <v>329</v>
      </c>
      <c r="H20" s="15" t="s">
        <v>330</v>
      </c>
    </row>
    <row r="21" spans="1:22" x14ac:dyDescent="0.25">
      <c r="A21" s="128"/>
      <c r="B21" s="128"/>
      <c r="C21" s="58"/>
      <c r="D21" s="58"/>
      <c r="E21" s="58"/>
      <c r="F21" s="58"/>
      <c r="G21" s="58"/>
      <c r="H21" s="40">
        <f>U7</f>
        <v>9296.4684319999997</v>
      </c>
    </row>
    <row r="22" spans="1:22" x14ac:dyDescent="0.25">
      <c r="A22" s="139">
        <v>1</v>
      </c>
      <c r="B22" s="139"/>
      <c r="C22" s="40">
        <f t="shared" ref="C22:C53" si="0">$U$7/$U$10</f>
        <v>96.83821283333333</v>
      </c>
      <c r="D22" s="40">
        <f>(U7*U11*U9)/360</f>
        <v>91.647684625466653</v>
      </c>
      <c r="E22" s="40">
        <f>U7-C22</f>
        <v>9199.6302191666655</v>
      </c>
      <c r="F22" s="40">
        <f t="shared" ref="F22:F53" si="1">SUM(C22:E22)</f>
        <v>9388.116116625466</v>
      </c>
      <c r="G22" s="40">
        <f>F22</f>
        <v>9388.116116625466</v>
      </c>
      <c r="H22" s="40">
        <f t="shared" ref="H22:H53" si="2">C22+D22</f>
        <v>188.48589745879997</v>
      </c>
    </row>
    <row r="23" spans="1:22" x14ac:dyDescent="0.25">
      <c r="A23" s="139">
        <v>2</v>
      </c>
      <c r="B23" s="139"/>
      <c r="C23" s="40">
        <f t="shared" si="0"/>
        <v>96.83821283333333</v>
      </c>
      <c r="D23" s="40">
        <f t="shared" ref="D23:D54" si="3">(E22*$U$11*$U$9)/360</f>
        <v>90.693021243951378</v>
      </c>
      <c r="E23" s="40">
        <f t="shared" ref="E23:E54" si="4">E22-C22</f>
        <v>9102.7920063333313</v>
      </c>
      <c r="F23" s="40">
        <f t="shared" si="1"/>
        <v>9290.3232404106166</v>
      </c>
      <c r="G23" s="40">
        <f t="shared" ref="G23:G54" si="5">G22+F23</f>
        <v>18678.439357036084</v>
      </c>
      <c r="H23" s="40">
        <f t="shared" si="2"/>
        <v>187.53123407728469</v>
      </c>
    </row>
    <row r="24" spans="1:22" x14ac:dyDescent="0.25">
      <c r="A24" s="139">
        <v>3</v>
      </c>
      <c r="B24" s="139"/>
      <c r="C24" s="40">
        <f t="shared" si="0"/>
        <v>96.83821283333333</v>
      </c>
      <c r="D24" s="40">
        <f t="shared" si="3"/>
        <v>89.738357862436089</v>
      </c>
      <c r="E24" s="40">
        <f t="shared" si="4"/>
        <v>9005.9537934999971</v>
      </c>
      <c r="F24" s="40">
        <f t="shared" si="1"/>
        <v>9192.5303641957671</v>
      </c>
      <c r="G24" s="40">
        <f t="shared" si="5"/>
        <v>27870.96972123185</v>
      </c>
      <c r="H24" s="40">
        <f t="shared" si="2"/>
        <v>186.57657069576942</v>
      </c>
    </row>
    <row r="25" spans="1:22" x14ac:dyDescent="0.25">
      <c r="A25" s="139">
        <v>4</v>
      </c>
      <c r="B25" s="139"/>
      <c r="C25" s="40">
        <f t="shared" si="0"/>
        <v>96.83821283333333</v>
      </c>
      <c r="D25" s="40">
        <f t="shared" si="3"/>
        <v>88.783694480920815</v>
      </c>
      <c r="E25" s="40">
        <f t="shared" si="4"/>
        <v>8909.1155806666629</v>
      </c>
      <c r="F25" s="40">
        <f t="shared" si="1"/>
        <v>9094.7374879809176</v>
      </c>
      <c r="G25" s="40">
        <f t="shared" si="5"/>
        <v>36965.707209212764</v>
      </c>
      <c r="H25" s="40">
        <f t="shared" si="2"/>
        <v>185.62190731425414</v>
      </c>
    </row>
    <row r="26" spans="1:22" x14ac:dyDescent="0.25">
      <c r="A26" s="139">
        <v>5</v>
      </c>
      <c r="B26" s="139"/>
      <c r="C26" s="40">
        <f t="shared" si="0"/>
        <v>96.83821283333333</v>
      </c>
      <c r="D26" s="40">
        <f t="shared" si="3"/>
        <v>87.829031099405512</v>
      </c>
      <c r="E26" s="40">
        <f t="shared" si="4"/>
        <v>8812.2773678333288</v>
      </c>
      <c r="F26" s="40">
        <f t="shared" si="1"/>
        <v>8996.9446117660682</v>
      </c>
      <c r="G26" s="40">
        <f t="shared" si="5"/>
        <v>45962.651820978834</v>
      </c>
      <c r="H26" s="40">
        <f t="shared" si="2"/>
        <v>184.66724393273884</v>
      </c>
    </row>
    <row r="27" spans="1:22" x14ac:dyDescent="0.25">
      <c r="A27" s="139">
        <v>6</v>
      </c>
      <c r="B27" s="139"/>
      <c r="C27" s="40">
        <f t="shared" si="0"/>
        <v>96.83821283333333</v>
      </c>
      <c r="D27" s="40">
        <f t="shared" si="3"/>
        <v>86.874367717890223</v>
      </c>
      <c r="E27" s="40">
        <f t="shared" si="4"/>
        <v>8715.4391549999946</v>
      </c>
      <c r="F27" s="40">
        <f t="shared" si="1"/>
        <v>8899.1517355512187</v>
      </c>
      <c r="G27" s="40">
        <f t="shared" si="5"/>
        <v>54861.803556530052</v>
      </c>
      <c r="H27" s="40">
        <f t="shared" si="2"/>
        <v>183.71258055122354</v>
      </c>
    </row>
    <row r="28" spans="1:22" x14ac:dyDescent="0.25">
      <c r="A28" s="139">
        <v>7</v>
      </c>
      <c r="B28" s="139"/>
      <c r="C28" s="40">
        <f t="shared" si="0"/>
        <v>96.83821283333333</v>
      </c>
      <c r="D28" s="40">
        <f t="shared" si="3"/>
        <v>85.919704336374949</v>
      </c>
      <c r="E28" s="40">
        <f t="shared" si="4"/>
        <v>8618.6009421666604</v>
      </c>
      <c r="F28" s="40">
        <f t="shared" si="1"/>
        <v>8801.3588593363693</v>
      </c>
      <c r="G28" s="40">
        <f t="shared" si="5"/>
        <v>63663.16241586642</v>
      </c>
      <c r="H28" s="40">
        <f t="shared" si="2"/>
        <v>182.75791716970826</v>
      </c>
    </row>
    <row r="29" spans="1:22" x14ac:dyDescent="0.25">
      <c r="A29" s="139">
        <v>8</v>
      </c>
      <c r="B29" s="139"/>
      <c r="C29" s="40">
        <f t="shared" si="0"/>
        <v>96.83821283333333</v>
      </c>
      <c r="D29" s="40">
        <f t="shared" si="3"/>
        <v>84.96504095485966</v>
      </c>
      <c r="E29" s="40">
        <f t="shared" si="4"/>
        <v>8521.7627293333262</v>
      </c>
      <c r="F29" s="40">
        <f t="shared" si="1"/>
        <v>8703.5659831215198</v>
      </c>
      <c r="G29" s="40">
        <f t="shared" si="5"/>
        <v>72366.728398987936</v>
      </c>
      <c r="H29" s="40">
        <f t="shared" si="2"/>
        <v>181.80325378819299</v>
      </c>
      <c r="P29" s="15" t="s">
        <v>324</v>
      </c>
      <c r="Q29" s="15" t="s">
        <v>331</v>
      </c>
      <c r="R29" s="15" t="s">
        <v>326</v>
      </c>
      <c r="S29" s="15" t="s">
        <v>327</v>
      </c>
      <c r="T29" s="15" t="s">
        <v>328</v>
      </c>
      <c r="U29" s="15" t="s">
        <v>329</v>
      </c>
      <c r="V29" s="15" t="s">
        <v>330</v>
      </c>
    </row>
    <row r="30" spans="1:22" x14ac:dyDescent="0.25">
      <c r="A30" s="139">
        <v>9</v>
      </c>
      <c r="B30" s="139"/>
      <c r="C30" s="40">
        <f t="shared" si="0"/>
        <v>96.83821283333333</v>
      </c>
      <c r="D30" s="40">
        <f t="shared" si="3"/>
        <v>84.010377573344385</v>
      </c>
      <c r="E30" s="40">
        <f t="shared" si="4"/>
        <v>8424.924516499992</v>
      </c>
      <c r="F30" s="40">
        <f t="shared" si="1"/>
        <v>8605.7731069066704</v>
      </c>
      <c r="G30" s="40">
        <f t="shared" si="5"/>
        <v>80972.501505894601</v>
      </c>
      <c r="H30" s="40">
        <f t="shared" si="2"/>
        <v>180.84859040667772</v>
      </c>
      <c r="P30" s="101">
        <v>0</v>
      </c>
      <c r="Q30" s="72"/>
      <c r="R30" s="72"/>
      <c r="S30" s="72"/>
      <c r="T30" s="72"/>
      <c r="U30" s="72"/>
      <c r="V30" s="72"/>
    </row>
    <row r="31" spans="1:22" x14ac:dyDescent="0.25">
      <c r="A31" s="139">
        <v>10</v>
      </c>
      <c r="B31" s="139"/>
      <c r="C31" s="40">
        <f t="shared" si="0"/>
        <v>96.83821283333333</v>
      </c>
      <c r="D31" s="40">
        <f t="shared" si="3"/>
        <v>83.055714191829097</v>
      </c>
      <c r="E31" s="40">
        <f t="shared" si="4"/>
        <v>8328.0863036666578</v>
      </c>
      <c r="F31" s="40">
        <f t="shared" si="1"/>
        <v>8507.9802306918209</v>
      </c>
      <c r="G31" s="40">
        <f t="shared" si="5"/>
        <v>89480.481736586429</v>
      </c>
      <c r="H31" s="40">
        <f t="shared" si="2"/>
        <v>179.89392702516244</v>
      </c>
      <c r="I31" s="140" t="s">
        <v>332</v>
      </c>
      <c r="J31" s="140"/>
      <c r="K31" s="140"/>
      <c r="L31" s="140"/>
      <c r="M31" s="140"/>
      <c r="N31" s="140"/>
      <c r="P31" s="101">
        <v>2014</v>
      </c>
      <c r="Q31" s="72">
        <f t="shared" ref="Q31:V31" si="6">I33</f>
        <v>1162.0585539999997</v>
      </c>
      <c r="R31" s="72">
        <f t="shared" si="6"/>
        <v>1036.7644323255911</v>
      </c>
      <c r="S31" s="72">
        <f t="shared" si="6"/>
        <v>104004.24058299992</v>
      </c>
      <c r="T31" s="72">
        <f t="shared" si="6"/>
        <v>106203.06356932553</v>
      </c>
      <c r="U31" s="72">
        <f t="shared" si="6"/>
        <v>704304.2944993393</v>
      </c>
      <c r="V31" s="72">
        <f t="shared" si="6"/>
        <v>2198.822986325591</v>
      </c>
    </row>
    <row r="32" spans="1:22" x14ac:dyDescent="0.25">
      <c r="A32" s="139">
        <v>11</v>
      </c>
      <c r="B32" s="139"/>
      <c r="C32" s="40">
        <f t="shared" si="0"/>
        <v>96.83821283333333</v>
      </c>
      <c r="D32" s="40">
        <f t="shared" si="3"/>
        <v>82.101050810313808</v>
      </c>
      <c r="E32" s="40">
        <f t="shared" si="4"/>
        <v>8231.2480908333237</v>
      </c>
      <c r="F32" s="40">
        <f t="shared" si="1"/>
        <v>8410.1873544769714</v>
      </c>
      <c r="G32" s="40">
        <f t="shared" si="5"/>
        <v>97890.669091063406</v>
      </c>
      <c r="H32" s="40">
        <f t="shared" si="2"/>
        <v>178.93926364364714</v>
      </c>
      <c r="I32" s="15" t="s">
        <v>325</v>
      </c>
      <c r="J32" s="15" t="s">
        <v>326</v>
      </c>
      <c r="K32" s="15" t="s">
        <v>327</v>
      </c>
      <c r="L32" s="15" t="s">
        <v>328</v>
      </c>
      <c r="M32" s="15" t="s">
        <v>329</v>
      </c>
      <c r="N32" s="15" t="s">
        <v>330</v>
      </c>
      <c r="P32" s="101">
        <v>2015</v>
      </c>
      <c r="Q32" s="72">
        <f t="shared" ref="Q32:V32" si="7">I45</f>
        <v>1162.0585539999997</v>
      </c>
      <c r="R32" s="72">
        <f t="shared" si="7"/>
        <v>899.29290538739031</v>
      </c>
      <c r="S32" s="72">
        <f t="shared" si="7"/>
        <v>90059.537934999884</v>
      </c>
      <c r="T32" s="72">
        <f t="shared" si="7"/>
        <v>92120.889394387283</v>
      </c>
      <c r="U32" s="72">
        <f t="shared" si="7"/>
        <v>1887206.9251941473</v>
      </c>
      <c r="V32" s="72">
        <f t="shared" si="7"/>
        <v>2061.3514593873906</v>
      </c>
    </row>
    <row r="33" spans="1:23" x14ac:dyDescent="0.25">
      <c r="A33" s="139">
        <v>12</v>
      </c>
      <c r="B33" s="139"/>
      <c r="C33" s="40">
        <f t="shared" si="0"/>
        <v>96.83821283333333</v>
      </c>
      <c r="D33" s="40">
        <f t="shared" si="3"/>
        <v>81.146387428798519</v>
      </c>
      <c r="E33" s="40">
        <f t="shared" si="4"/>
        <v>8134.4098779999904</v>
      </c>
      <c r="F33" s="40">
        <f t="shared" si="1"/>
        <v>8312.394478262122</v>
      </c>
      <c r="G33" s="40">
        <f t="shared" si="5"/>
        <v>106203.06356932553</v>
      </c>
      <c r="H33" s="40">
        <f t="shared" si="2"/>
        <v>177.98460026213183</v>
      </c>
      <c r="I33" s="72">
        <f t="shared" ref="I33:N33" si="8">SUM(C22:C33)</f>
        <v>1162.0585539999997</v>
      </c>
      <c r="J33" s="72">
        <f t="shared" si="8"/>
        <v>1036.7644323255911</v>
      </c>
      <c r="K33" s="72">
        <f t="shared" si="8"/>
        <v>104004.24058299992</v>
      </c>
      <c r="L33" s="72">
        <f t="shared" si="8"/>
        <v>106203.06356932553</v>
      </c>
      <c r="M33" s="72">
        <f t="shared" si="8"/>
        <v>704304.2944993393</v>
      </c>
      <c r="N33" s="72">
        <f t="shared" si="8"/>
        <v>2198.822986325591</v>
      </c>
      <c r="P33" s="101">
        <v>2016</v>
      </c>
      <c r="Q33" s="72">
        <f t="shared" ref="Q33:V33" si="9">I57</f>
        <v>1162.0585539999997</v>
      </c>
      <c r="R33" s="72">
        <f t="shared" si="9"/>
        <v>761.82137844919055</v>
      </c>
      <c r="S33" s="72">
        <f t="shared" si="9"/>
        <v>76114.835286999893</v>
      </c>
      <c r="T33" s="72">
        <f t="shared" si="9"/>
        <v>78038.715219449077</v>
      </c>
      <c r="U33" s="72">
        <f t="shared" si="9"/>
        <v>2901123.4657896957</v>
      </c>
      <c r="V33" s="72">
        <f t="shared" si="9"/>
        <v>1923.8799324491911</v>
      </c>
    </row>
    <row r="34" spans="1:23" x14ac:dyDescent="0.25">
      <c r="A34" s="139">
        <v>13</v>
      </c>
      <c r="B34" s="139"/>
      <c r="C34" s="40">
        <f t="shared" si="0"/>
        <v>96.83821283333333</v>
      </c>
      <c r="D34" s="40">
        <f t="shared" si="3"/>
        <v>80.191724047283245</v>
      </c>
      <c r="E34" s="40">
        <f t="shared" si="4"/>
        <v>8037.5716651666571</v>
      </c>
      <c r="F34" s="40">
        <f t="shared" si="1"/>
        <v>8214.6016020472744</v>
      </c>
      <c r="G34" s="40">
        <f t="shared" si="5"/>
        <v>114417.66517137281</v>
      </c>
      <c r="H34" s="40">
        <f t="shared" si="2"/>
        <v>177.02993688061656</v>
      </c>
      <c r="P34" s="101">
        <v>2017</v>
      </c>
      <c r="Q34" s="72">
        <f t="shared" ref="Q34:V34" si="10">I69</f>
        <v>1162.0585539999997</v>
      </c>
      <c r="R34" s="72">
        <f t="shared" si="10"/>
        <v>624.3498515109909</v>
      </c>
      <c r="S34" s="72">
        <f t="shared" si="10"/>
        <v>62170.132638999909</v>
      </c>
      <c r="T34" s="72">
        <f t="shared" si="10"/>
        <v>63956.541044510901</v>
      </c>
      <c r="U34" s="72">
        <f t="shared" si="10"/>
        <v>3746053.916285987</v>
      </c>
      <c r="V34" s="72">
        <f t="shared" si="10"/>
        <v>1786.4084055109913</v>
      </c>
    </row>
    <row r="35" spans="1:23" x14ac:dyDescent="0.25">
      <c r="A35" s="139">
        <v>14</v>
      </c>
      <c r="B35" s="139"/>
      <c r="C35" s="40">
        <f t="shared" si="0"/>
        <v>96.83821283333333</v>
      </c>
      <c r="D35" s="40">
        <f t="shared" si="3"/>
        <v>79.23706066576797</v>
      </c>
      <c r="E35" s="40">
        <f t="shared" si="4"/>
        <v>7940.7334523333238</v>
      </c>
      <c r="F35" s="40">
        <f t="shared" si="1"/>
        <v>8116.8087258324249</v>
      </c>
      <c r="G35" s="40">
        <f t="shared" si="5"/>
        <v>122534.47389720523</v>
      </c>
      <c r="H35" s="40">
        <f t="shared" si="2"/>
        <v>176.07527349910129</v>
      </c>
      <c r="P35" s="101">
        <v>2018</v>
      </c>
      <c r="Q35" s="72">
        <f t="shared" ref="Q35:V35" si="11">I81</f>
        <v>1162.0585539999997</v>
      </c>
      <c r="R35" s="72">
        <f t="shared" si="11"/>
        <v>486.8783245727908</v>
      </c>
      <c r="S35" s="72">
        <f t="shared" si="11"/>
        <v>48225.42999099991</v>
      </c>
      <c r="T35" s="72">
        <f t="shared" si="11"/>
        <v>49874.36686957271</v>
      </c>
      <c r="U35" s="72">
        <f t="shared" si="11"/>
        <v>4421998.2766830195</v>
      </c>
      <c r="V35" s="72">
        <f t="shared" si="11"/>
        <v>1648.9368785727902</v>
      </c>
    </row>
    <row r="36" spans="1:23" x14ac:dyDescent="0.25">
      <c r="A36" s="139">
        <v>15</v>
      </c>
      <c r="B36" s="139"/>
      <c r="C36" s="40">
        <f t="shared" si="0"/>
        <v>96.83821283333333</v>
      </c>
      <c r="D36" s="40">
        <f t="shared" si="3"/>
        <v>78.282397284252681</v>
      </c>
      <c r="E36" s="40">
        <f t="shared" si="4"/>
        <v>7843.8952394999906</v>
      </c>
      <c r="F36" s="40">
        <f t="shared" si="1"/>
        <v>8019.0158496175764</v>
      </c>
      <c r="G36" s="40">
        <f t="shared" si="5"/>
        <v>130553.4897468228</v>
      </c>
      <c r="H36" s="40">
        <f t="shared" si="2"/>
        <v>175.12061011758601</v>
      </c>
      <c r="P36" s="101">
        <v>2019</v>
      </c>
      <c r="Q36" s="72">
        <f t="shared" ref="Q36:V36" si="12">I93</f>
        <v>1162.0585539999997</v>
      </c>
      <c r="R36" s="72">
        <f t="shared" si="12"/>
        <v>349.40679763459087</v>
      </c>
      <c r="S36" s="72">
        <f t="shared" si="12"/>
        <v>34280.727342999926</v>
      </c>
      <c r="T36" s="72">
        <f t="shared" si="12"/>
        <v>35792.192694634519</v>
      </c>
      <c r="U36" s="72">
        <f t="shared" si="12"/>
        <v>4928956.5469807936</v>
      </c>
      <c r="V36" s="72">
        <f t="shared" si="12"/>
        <v>1511.4653516345907</v>
      </c>
      <c r="W36" t="s">
        <v>333</v>
      </c>
    </row>
    <row r="37" spans="1:23" x14ac:dyDescent="0.25">
      <c r="A37" s="139">
        <v>16</v>
      </c>
      <c r="B37" s="139"/>
      <c r="C37" s="40">
        <f t="shared" si="0"/>
        <v>96.83821283333333</v>
      </c>
      <c r="D37" s="40">
        <f t="shared" si="3"/>
        <v>77.327733902737407</v>
      </c>
      <c r="E37" s="40">
        <f t="shared" si="4"/>
        <v>7747.0570266666573</v>
      </c>
      <c r="F37" s="40">
        <f t="shared" si="1"/>
        <v>7921.2229734027278</v>
      </c>
      <c r="G37" s="40">
        <f t="shared" si="5"/>
        <v>138474.71272022554</v>
      </c>
      <c r="H37" s="40">
        <f t="shared" si="2"/>
        <v>174.16594673607074</v>
      </c>
      <c r="P37" s="101">
        <v>2020</v>
      </c>
      <c r="Q37" s="72">
        <f t="shared" ref="Q37:V37" si="13">I105</f>
        <v>1162.0585539999997</v>
      </c>
      <c r="R37" s="72">
        <f t="shared" si="13"/>
        <v>211.93527069639103</v>
      </c>
      <c r="S37" s="72">
        <f t="shared" si="13"/>
        <v>20336.024694999935</v>
      </c>
      <c r="T37" s="72">
        <f t="shared" si="13"/>
        <v>21710.018519696325</v>
      </c>
      <c r="U37" s="72">
        <f t="shared" si="13"/>
        <v>5266928.7271793084</v>
      </c>
      <c r="V37" s="72">
        <f t="shared" si="13"/>
        <v>1373.9938246963907</v>
      </c>
    </row>
    <row r="38" spans="1:23" x14ac:dyDescent="0.25">
      <c r="A38" s="139">
        <v>17</v>
      </c>
      <c r="B38" s="139"/>
      <c r="C38" s="40">
        <f t="shared" si="0"/>
        <v>96.83821283333333</v>
      </c>
      <c r="D38" s="40">
        <f t="shared" si="3"/>
        <v>76.373070521222132</v>
      </c>
      <c r="E38" s="40">
        <f t="shared" si="4"/>
        <v>7650.218813833324</v>
      </c>
      <c r="F38" s="40">
        <f t="shared" si="1"/>
        <v>7823.4300971878793</v>
      </c>
      <c r="G38" s="40">
        <f t="shared" si="5"/>
        <v>146298.14281741341</v>
      </c>
      <c r="H38" s="40">
        <f t="shared" si="2"/>
        <v>173.21128335455546</v>
      </c>
      <c r="P38" s="101">
        <v>2021</v>
      </c>
      <c r="Q38" s="72">
        <f t="shared" ref="Q38:V38" si="14">I117</f>
        <v>1162.0585539999997</v>
      </c>
      <c r="R38" s="72">
        <f t="shared" si="14"/>
        <v>74.463743758191086</v>
      </c>
      <c r="S38" s="72">
        <f t="shared" si="14"/>
        <v>6391.3220469999414</v>
      </c>
      <c r="T38" s="72">
        <f t="shared" si="14"/>
        <v>7627.8443447581321</v>
      </c>
      <c r="U38" s="72">
        <f t="shared" si="14"/>
        <v>5435914.8172785677</v>
      </c>
      <c r="V38" s="72">
        <f t="shared" si="14"/>
        <v>1236.5222977581909</v>
      </c>
    </row>
    <row r="39" spans="1:23" x14ac:dyDescent="0.25">
      <c r="A39" s="139">
        <v>18</v>
      </c>
      <c r="B39" s="139"/>
      <c r="C39" s="40">
        <f t="shared" si="0"/>
        <v>96.83821283333333</v>
      </c>
      <c r="D39" s="40">
        <f t="shared" si="3"/>
        <v>75.418407139706858</v>
      </c>
      <c r="E39" s="40">
        <f t="shared" si="4"/>
        <v>7553.3806009999907</v>
      </c>
      <c r="F39" s="40">
        <f t="shared" si="1"/>
        <v>7725.6372209730307</v>
      </c>
      <c r="G39" s="40">
        <f t="shared" si="5"/>
        <v>154023.78003838644</v>
      </c>
      <c r="H39" s="40">
        <f t="shared" si="2"/>
        <v>172.25661997304019</v>
      </c>
      <c r="V39" s="69"/>
    </row>
    <row r="40" spans="1:23" x14ac:dyDescent="0.25">
      <c r="A40" s="139">
        <v>19</v>
      </c>
      <c r="B40" s="139"/>
      <c r="C40" s="40">
        <f t="shared" si="0"/>
        <v>96.83821283333333</v>
      </c>
      <c r="D40" s="40">
        <f t="shared" si="3"/>
        <v>74.463743758191569</v>
      </c>
      <c r="E40" s="40">
        <f t="shared" si="4"/>
        <v>7456.5423881666575</v>
      </c>
      <c r="F40" s="40">
        <f t="shared" si="1"/>
        <v>7627.8443447581822</v>
      </c>
      <c r="G40" s="40">
        <f t="shared" si="5"/>
        <v>161651.62438314463</v>
      </c>
      <c r="H40" s="40">
        <f t="shared" si="2"/>
        <v>171.30195659152491</v>
      </c>
    </row>
    <row r="41" spans="1:23" x14ac:dyDescent="0.25">
      <c r="A41" s="139">
        <v>20</v>
      </c>
      <c r="B41" s="139"/>
      <c r="C41" s="40">
        <f t="shared" si="0"/>
        <v>96.83821283333333</v>
      </c>
      <c r="D41" s="40">
        <f t="shared" si="3"/>
        <v>73.509080376676295</v>
      </c>
      <c r="E41" s="40">
        <f t="shared" si="4"/>
        <v>7359.7041753333242</v>
      </c>
      <c r="F41" s="40">
        <f t="shared" si="1"/>
        <v>7530.0514685433336</v>
      </c>
      <c r="G41" s="40">
        <f t="shared" si="5"/>
        <v>169181.67585168796</v>
      </c>
      <c r="H41" s="40">
        <f t="shared" si="2"/>
        <v>170.34729321000964</v>
      </c>
    </row>
    <row r="42" spans="1:23" x14ac:dyDescent="0.25">
      <c r="A42" s="139">
        <v>21</v>
      </c>
      <c r="B42" s="139"/>
      <c r="C42" s="40">
        <f t="shared" si="0"/>
        <v>96.83821283333333</v>
      </c>
      <c r="D42" s="40">
        <f t="shared" si="3"/>
        <v>72.55441699516102</v>
      </c>
      <c r="E42" s="40">
        <f t="shared" si="4"/>
        <v>7262.8659624999909</v>
      </c>
      <c r="F42" s="40">
        <f t="shared" si="1"/>
        <v>7432.2585923284851</v>
      </c>
      <c r="G42" s="40">
        <f t="shared" si="5"/>
        <v>176613.93444401646</v>
      </c>
      <c r="H42" s="40">
        <f t="shared" si="2"/>
        <v>169.39262982849436</v>
      </c>
    </row>
    <row r="43" spans="1:23" x14ac:dyDescent="0.25">
      <c r="A43" s="139">
        <v>22</v>
      </c>
      <c r="B43" s="139"/>
      <c r="C43" s="40">
        <f t="shared" si="0"/>
        <v>96.83821283333333</v>
      </c>
      <c r="D43" s="40">
        <f t="shared" si="3"/>
        <v>71.599753613645746</v>
      </c>
      <c r="E43" s="40">
        <f t="shared" si="4"/>
        <v>7166.0277496666577</v>
      </c>
      <c r="F43" s="40">
        <f t="shared" si="1"/>
        <v>7334.4657161136365</v>
      </c>
      <c r="G43" s="40">
        <f t="shared" si="5"/>
        <v>183948.40016013008</v>
      </c>
      <c r="H43" s="40">
        <f t="shared" si="2"/>
        <v>168.43796644697909</v>
      </c>
      <c r="I43" s="140" t="s">
        <v>332</v>
      </c>
      <c r="J43" s="140"/>
      <c r="K43" s="140"/>
      <c r="L43" s="140"/>
      <c r="M43" s="140"/>
      <c r="N43" s="140"/>
    </row>
    <row r="44" spans="1:23" x14ac:dyDescent="0.25">
      <c r="A44" s="139">
        <v>23</v>
      </c>
      <c r="B44" s="139"/>
      <c r="C44" s="40">
        <f t="shared" si="0"/>
        <v>96.83821283333333</v>
      </c>
      <c r="D44" s="40">
        <f t="shared" si="3"/>
        <v>70.645090232130471</v>
      </c>
      <c r="E44" s="40">
        <f t="shared" si="4"/>
        <v>7069.1895368333244</v>
      </c>
      <c r="F44" s="40">
        <f t="shared" si="1"/>
        <v>7236.672839898788</v>
      </c>
      <c r="G44" s="40">
        <f t="shared" si="5"/>
        <v>191185.07300002887</v>
      </c>
      <c r="H44" s="40">
        <f t="shared" si="2"/>
        <v>167.48330306546382</v>
      </c>
      <c r="I44" s="15" t="s">
        <v>325</v>
      </c>
      <c r="J44" s="15" t="s">
        <v>326</v>
      </c>
      <c r="K44" s="15" t="s">
        <v>327</v>
      </c>
      <c r="L44" s="15" t="s">
        <v>328</v>
      </c>
      <c r="M44" s="15" t="s">
        <v>329</v>
      </c>
      <c r="N44" s="15" t="s">
        <v>330</v>
      </c>
    </row>
    <row r="45" spans="1:23" x14ac:dyDescent="0.25">
      <c r="A45" s="139">
        <v>24</v>
      </c>
      <c r="B45" s="139"/>
      <c r="C45" s="40">
        <f t="shared" si="0"/>
        <v>96.83821283333333</v>
      </c>
      <c r="D45" s="40">
        <f t="shared" si="3"/>
        <v>69.690426850615196</v>
      </c>
      <c r="E45" s="40">
        <f t="shared" si="4"/>
        <v>6972.3513239999911</v>
      </c>
      <c r="F45" s="40">
        <f t="shared" si="1"/>
        <v>7138.8799636839394</v>
      </c>
      <c r="G45" s="40">
        <f t="shared" si="5"/>
        <v>198323.9529637128</v>
      </c>
      <c r="H45" s="40">
        <f t="shared" si="2"/>
        <v>166.52863968394854</v>
      </c>
      <c r="I45" s="72">
        <f t="shared" ref="I45:N45" si="15">SUM(C34:C45)</f>
        <v>1162.0585539999997</v>
      </c>
      <c r="J45" s="72">
        <f t="shared" si="15"/>
        <v>899.29290538739031</v>
      </c>
      <c r="K45" s="72">
        <f t="shared" si="15"/>
        <v>90059.537934999884</v>
      </c>
      <c r="L45" s="72">
        <f t="shared" si="15"/>
        <v>92120.889394387283</v>
      </c>
      <c r="M45" s="72">
        <f t="shared" si="15"/>
        <v>1887206.9251941473</v>
      </c>
      <c r="N45" s="72">
        <f t="shared" si="15"/>
        <v>2061.3514593873906</v>
      </c>
    </row>
    <row r="46" spans="1:23" x14ac:dyDescent="0.25">
      <c r="A46" s="139">
        <v>25</v>
      </c>
      <c r="B46" s="139"/>
      <c r="C46" s="40">
        <f t="shared" si="0"/>
        <v>96.83821283333333</v>
      </c>
      <c r="D46" s="40">
        <f t="shared" si="3"/>
        <v>68.735763469099922</v>
      </c>
      <c r="E46" s="40">
        <f t="shared" si="4"/>
        <v>6875.5131111666578</v>
      </c>
      <c r="F46" s="40">
        <f t="shared" si="1"/>
        <v>7041.0870874690909</v>
      </c>
      <c r="G46" s="40">
        <f t="shared" si="5"/>
        <v>205365.04005118189</v>
      </c>
      <c r="H46" s="40">
        <f t="shared" si="2"/>
        <v>165.57397630243327</v>
      </c>
    </row>
    <row r="47" spans="1:23" x14ac:dyDescent="0.25">
      <c r="A47" s="139">
        <v>26</v>
      </c>
      <c r="B47" s="139"/>
      <c r="C47" s="40">
        <f t="shared" si="0"/>
        <v>96.83821283333333</v>
      </c>
      <c r="D47" s="40">
        <f t="shared" si="3"/>
        <v>67.781100087584633</v>
      </c>
      <c r="E47" s="40">
        <f t="shared" si="4"/>
        <v>6778.6748983333246</v>
      </c>
      <c r="F47" s="40">
        <f t="shared" si="1"/>
        <v>6943.2942112542423</v>
      </c>
      <c r="G47" s="40">
        <f t="shared" si="5"/>
        <v>212308.33426243614</v>
      </c>
      <c r="H47" s="40">
        <f t="shared" si="2"/>
        <v>164.61931292091796</v>
      </c>
    </row>
    <row r="48" spans="1:23" x14ac:dyDescent="0.25">
      <c r="A48" s="139">
        <v>27</v>
      </c>
      <c r="B48" s="139"/>
      <c r="C48" s="40">
        <f t="shared" si="0"/>
        <v>96.83821283333333</v>
      </c>
      <c r="D48" s="40">
        <f t="shared" si="3"/>
        <v>66.826436706069359</v>
      </c>
      <c r="E48" s="40">
        <f t="shared" si="4"/>
        <v>6681.8366854999913</v>
      </c>
      <c r="F48" s="40">
        <f t="shared" si="1"/>
        <v>6845.5013350393938</v>
      </c>
      <c r="G48" s="40">
        <f t="shared" si="5"/>
        <v>219153.83559747552</v>
      </c>
      <c r="H48" s="40">
        <f t="shared" si="2"/>
        <v>163.66464953940269</v>
      </c>
    </row>
    <row r="49" spans="1:14" x14ac:dyDescent="0.25">
      <c r="A49" s="139">
        <v>28</v>
      </c>
      <c r="B49" s="139"/>
      <c r="C49" s="40">
        <f t="shared" si="0"/>
        <v>96.83821283333333</v>
      </c>
      <c r="D49" s="40">
        <f t="shared" si="3"/>
        <v>65.871773324554084</v>
      </c>
      <c r="E49" s="40">
        <f t="shared" si="4"/>
        <v>6584.998472666658</v>
      </c>
      <c r="F49" s="40">
        <f t="shared" si="1"/>
        <v>6747.7084588245452</v>
      </c>
      <c r="G49" s="40">
        <f t="shared" si="5"/>
        <v>225901.54405630007</v>
      </c>
      <c r="H49" s="40">
        <f t="shared" si="2"/>
        <v>162.70998615788741</v>
      </c>
    </row>
    <row r="50" spans="1:14" x14ac:dyDescent="0.25">
      <c r="A50" s="139">
        <v>29</v>
      </c>
      <c r="B50" s="139"/>
      <c r="C50" s="40">
        <f t="shared" si="0"/>
        <v>96.83821283333333</v>
      </c>
      <c r="D50" s="40">
        <f t="shared" si="3"/>
        <v>64.917109943038795</v>
      </c>
      <c r="E50" s="40">
        <f t="shared" si="4"/>
        <v>6488.1602598333247</v>
      </c>
      <c r="F50" s="40">
        <f t="shared" si="1"/>
        <v>6649.9155826096967</v>
      </c>
      <c r="G50" s="40">
        <f t="shared" si="5"/>
        <v>232551.45963890976</v>
      </c>
      <c r="H50" s="40">
        <f t="shared" si="2"/>
        <v>161.75532277637211</v>
      </c>
    </row>
    <row r="51" spans="1:14" x14ac:dyDescent="0.25">
      <c r="A51" s="139">
        <v>30</v>
      </c>
      <c r="B51" s="139"/>
      <c r="C51" s="40">
        <f t="shared" si="0"/>
        <v>96.83821283333333</v>
      </c>
      <c r="D51" s="40">
        <f t="shared" si="3"/>
        <v>63.962446561523521</v>
      </c>
      <c r="E51" s="40">
        <f t="shared" si="4"/>
        <v>6391.3220469999915</v>
      </c>
      <c r="F51" s="40">
        <f t="shared" si="1"/>
        <v>6552.1227063948481</v>
      </c>
      <c r="G51" s="40">
        <f t="shared" si="5"/>
        <v>239103.5823453046</v>
      </c>
      <c r="H51" s="40">
        <f t="shared" si="2"/>
        <v>160.80065939485684</v>
      </c>
    </row>
    <row r="52" spans="1:14" x14ac:dyDescent="0.25">
      <c r="A52" s="139">
        <v>31</v>
      </c>
      <c r="B52" s="139"/>
      <c r="C52" s="40">
        <f t="shared" si="0"/>
        <v>96.83821283333333</v>
      </c>
      <c r="D52" s="40">
        <f t="shared" si="3"/>
        <v>63.007783180008246</v>
      </c>
      <c r="E52" s="40">
        <f t="shared" si="4"/>
        <v>6294.4838341666582</v>
      </c>
      <c r="F52" s="40">
        <f t="shared" si="1"/>
        <v>6454.3298301799996</v>
      </c>
      <c r="G52" s="40">
        <f t="shared" si="5"/>
        <v>245557.91217548461</v>
      </c>
      <c r="H52" s="40">
        <f t="shared" si="2"/>
        <v>159.84599601334156</v>
      </c>
    </row>
    <row r="53" spans="1:14" x14ac:dyDescent="0.25">
      <c r="A53" s="139">
        <v>32</v>
      </c>
      <c r="B53" s="139"/>
      <c r="C53" s="40">
        <f t="shared" si="0"/>
        <v>96.83821283333333</v>
      </c>
      <c r="D53" s="40">
        <f t="shared" si="3"/>
        <v>62.053119798492972</v>
      </c>
      <c r="E53" s="40">
        <f t="shared" si="4"/>
        <v>6197.6456213333249</v>
      </c>
      <c r="F53" s="40">
        <f t="shared" si="1"/>
        <v>6356.536953965151</v>
      </c>
      <c r="G53" s="40">
        <f t="shared" si="5"/>
        <v>251914.44912944976</v>
      </c>
      <c r="H53" s="40">
        <f t="shared" si="2"/>
        <v>158.89133263182629</v>
      </c>
    </row>
    <row r="54" spans="1:14" x14ac:dyDescent="0.25">
      <c r="A54" s="139">
        <v>33</v>
      </c>
      <c r="B54" s="139"/>
      <c r="C54" s="40">
        <f t="shared" ref="C54:C85" si="16">$U$7/$U$10</f>
        <v>96.83821283333333</v>
      </c>
      <c r="D54" s="40">
        <f t="shared" si="3"/>
        <v>61.09845641697769</v>
      </c>
      <c r="E54" s="40">
        <f t="shared" si="4"/>
        <v>6100.8074084999917</v>
      </c>
      <c r="F54" s="40">
        <f t="shared" ref="F54:F85" si="17">SUM(C54:E54)</f>
        <v>6258.7440777503025</v>
      </c>
      <c r="G54" s="40">
        <f t="shared" si="5"/>
        <v>258173.19320720006</v>
      </c>
      <c r="H54" s="40">
        <f t="shared" ref="H54:H85" si="18">C54+D54</f>
        <v>157.93666925031101</v>
      </c>
    </row>
    <row r="55" spans="1:14" x14ac:dyDescent="0.25">
      <c r="A55" s="139">
        <v>34</v>
      </c>
      <c r="B55" s="139"/>
      <c r="C55" s="40">
        <f t="shared" si="16"/>
        <v>96.83821283333333</v>
      </c>
      <c r="D55" s="40">
        <f t="shared" ref="D55:D86" si="19">(E54*$U$11*$U$9)/360</f>
        <v>60.143793035462416</v>
      </c>
      <c r="E55" s="40">
        <f t="shared" ref="E55:E86" si="20">E54-C54</f>
        <v>6003.9691956666584</v>
      </c>
      <c r="F55" s="40">
        <f t="shared" si="17"/>
        <v>6160.9512015354539</v>
      </c>
      <c r="G55" s="40">
        <f t="shared" ref="G55:G86" si="21">G54+F55</f>
        <v>264334.1444087355</v>
      </c>
      <c r="H55" s="40">
        <f t="shared" si="18"/>
        <v>156.98200586879574</v>
      </c>
      <c r="I55" s="140" t="s">
        <v>332</v>
      </c>
      <c r="J55" s="140"/>
      <c r="K55" s="140"/>
      <c r="L55" s="140"/>
      <c r="M55" s="140"/>
      <c r="N55" s="140"/>
    </row>
    <row r="56" spans="1:14" x14ac:dyDescent="0.25">
      <c r="A56" s="139">
        <v>35</v>
      </c>
      <c r="B56" s="139"/>
      <c r="C56" s="40">
        <f t="shared" si="16"/>
        <v>96.83821283333333</v>
      </c>
      <c r="D56" s="40">
        <f t="shared" si="19"/>
        <v>59.189129653947141</v>
      </c>
      <c r="E56" s="40">
        <f t="shared" si="20"/>
        <v>5907.1309828333251</v>
      </c>
      <c r="F56" s="40">
        <f t="shared" si="17"/>
        <v>6063.1583253206054</v>
      </c>
      <c r="G56" s="40">
        <f t="shared" si="21"/>
        <v>270397.30273405614</v>
      </c>
      <c r="H56" s="40">
        <f t="shared" si="18"/>
        <v>156.02734248728046</v>
      </c>
      <c r="I56" s="15" t="s">
        <v>325</v>
      </c>
      <c r="J56" s="15" t="s">
        <v>326</v>
      </c>
      <c r="K56" s="15" t="s">
        <v>327</v>
      </c>
      <c r="L56" s="15" t="s">
        <v>328</v>
      </c>
      <c r="M56" s="15" t="s">
        <v>329</v>
      </c>
      <c r="N56" s="15" t="s">
        <v>330</v>
      </c>
    </row>
    <row r="57" spans="1:14" x14ac:dyDescent="0.25">
      <c r="A57" s="139">
        <v>36</v>
      </c>
      <c r="B57" s="139"/>
      <c r="C57" s="40">
        <f t="shared" si="16"/>
        <v>96.83821283333333</v>
      </c>
      <c r="D57" s="40">
        <f t="shared" si="19"/>
        <v>58.234466272431867</v>
      </c>
      <c r="E57" s="40">
        <f t="shared" si="20"/>
        <v>5810.2927699999918</v>
      </c>
      <c r="F57" s="40">
        <f t="shared" si="17"/>
        <v>5965.3654491057569</v>
      </c>
      <c r="G57" s="40">
        <f t="shared" si="21"/>
        <v>276362.66818316188</v>
      </c>
      <c r="H57" s="40">
        <f t="shared" si="18"/>
        <v>155.07267910576519</v>
      </c>
      <c r="I57" s="72">
        <f t="shared" ref="I57:N57" si="22">SUM(C46:C57)</f>
        <v>1162.0585539999997</v>
      </c>
      <c r="J57" s="72">
        <f t="shared" si="22"/>
        <v>761.82137844919055</v>
      </c>
      <c r="K57" s="72">
        <f t="shared" si="22"/>
        <v>76114.835286999893</v>
      </c>
      <c r="L57" s="72">
        <f t="shared" si="22"/>
        <v>78038.715219449077</v>
      </c>
      <c r="M57" s="72">
        <f t="shared" si="22"/>
        <v>2901123.4657896957</v>
      </c>
      <c r="N57" s="72">
        <f t="shared" si="22"/>
        <v>1923.8799324491911</v>
      </c>
    </row>
    <row r="58" spans="1:14" x14ac:dyDescent="0.25">
      <c r="A58" s="139">
        <v>37</v>
      </c>
      <c r="B58" s="139"/>
      <c r="C58" s="40">
        <f t="shared" si="16"/>
        <v>96.83821283333333</v>
      </c>
      <c r="D58" s="40">
        <f t="shared" si="19"/>
        <v>57.279802890916585</v>
      </c>
      <c r="E58" s="40">
        <f t="shared" si="20"/>
        <v>5713.4545571666586</v>
      </c>
      <c r="F58" s="40">
        <f t="shared" si="17"/>
        <v>5867.5725728909083</v>
      </c>
      <c r="G58" s="40">
        <f t="shared" si="21"/>
        <v>282230.24075605278</v>
      </c>
      <c r="H58" s="40">
        <f t="shared" si="18"/>
        <v>154.11801572424991</v>
      </c>
    </row>
    <row r="59" spans="1:14" x14ac:dyDescent="0.25">
      <c r="A59" s="139">
        <v>38</v>
      </c>
      <c r="B59" s="139"/>
      <c r="C59" s="40">
        <f t="shared" si="16"/>
        <v>96.83821283333333</v>
      </c>
      <c r="D59" s="40">
        <f t="shared" si="19"/>
        <v>56.325139509401311</v>
      </c>
      <c r="E59" s="40">
        <f t="shared" si="20"/>
        <v>5616.6163443333253</v>
      </c>
      <c r="F59" s="40">
        <f t="shared" si="17"/>
        <v>5769.7796966760598</v>
      </c>
      <c r="G59" s="40">
        <f t="shared" si="21"/>
        <v>288000.02045272884</v>
      </c>
      <c r="H59" s="40">
        <f t="shared" si="18"/>
        <v>153.16335234273464</v>
      </c>
    </row>
    <row r="60" spans="1:14" x14ac:dyDescent="0.25">
      <c r="A60" s="139">
        <v>39</v>
      </c>
      <c r="B60" s="139"/>
      <c r="C60" s="40">
        <f t="shared" si="16"/>
        <v>96.83821283333333</v>
      </c>
      <c r="D60" s="40">
        <f t="shared" si="19"/>
        <v>55.370476127886036</v>
      </c>
      <c r="E60" s="40">
        <f t="shared" si="20"/>
        <v>5519.778131499992</v>
      </c>
      <c r="F60" s="40">
        <f t="shared" si="17"/>
        <v>5671.9868204612112</v>
      </c>
      <c r="G60" s="40">
        <f t="shared" si="21"/>
        <v>293672.00727319007</v>
      </c>
      <c r="H60" s="40">
        <f t="shared" si="18"/>
        <v>152.20868896121937</v>
      </c>
    </row>
    <row r="61" spans="1:14" x14ac:dyDescent="0.25">
      <c r="A61" s="139">
        <v>40</v>
      </c>
      <c r="B61" s="139"/>
      <c r="C61" s="40">
        <f t="shared" si="16"/>
        <v>96.83821283333333</v>
      </c>
      <c r="D61" s="40">
        <f t="shared" si="19"/>
        <v>54.415812746370747</v>
      </c>
      <c r="E61" s="40">
        <f t="shared" si="20"/>
        <v>5422.9399186666587</v>
      </c>
      <c r="F61" s="40">
        <f t="shared" si="17"/>
        <v>5574.1939442463627</v>
      </c>
      <c r="G61" s="40">
        <f t="shared" si="21"/>
        <v>299246.20121743646</v>
      </c>
      <c r="H61" s="40">
        <f t="shared" si="18"/>
        <v>151.25402557970409</v>
      </c>
    </row>
    <row r="62" spans="1:14" x14ac:dyDescent="0.25">
      <c r="A62" s="139">
        <v>41</v>
      </c>
      <c r="B62" s="139"/>
      <c r="C62" s="40">
        <f t="shared" si="16"/>
        <v>96.83821283333333</v>
      </c>
      <c r="D62" s="40">
        <f t="shared" si="19"/>
        <v>53.461149364855473</v>
      </c>
      <c r="E62" s="40">
        <f t="shared" si="20"/>
        <v>5326.1017058333255</v>
      </c>
      <c r="F62" s="40">
        <f t="shared" si="17"/>
        <v>5476.4010680315141</v>
      </c>
      <c r="G62" s="40">
        <f t="shared" si="21"/>
        <v>304722.60228546796</v>
      </c>
      <c r="H62" s="40">
        <f t="shared" si="18"/>
        <v>150.29936219818882</v>
      </c>
    </row>
    <row r="63" spans="1:14" x14ac:dyDescent="0.25">
      <c r="A63" s="139">
        <v>42</v>
      </c>
      <c r="B63" s="139"/>
      <c r="C63" s="40">
        <f t="shared" si="16"/>
        <v>96.83821283333333</v>
      </c>
      <c r="D63" s="40">
        <f t="shared" si="19"/>
        <v>52.506485983340198</v>
      </c>
      <c r="E63" s="40">
        <f t="shared" si="20"/>
        <v>5229.2634929999922</v>
      </c>
      <c r="F63" s="40">
        <f t="shared" si="17"/>
        <v>5378.6081918166656</v>
      </c>
      <c r="G63" s="40">
        <f t="shared" si="21"/>
        <v>310101.21047728462</v>
      </c>
      <c r="H63" s="40">
        <f t="shared" si="18"/>
        <v>149.34469881667354</v>
      </c>
    </row>
    <row r="64" spans="1:14" x14ac:dyDescent="0.25">
      <c r="A64" s="139">
        <v>43</v>
      </c>
      <c r="B64" s="139"/>
      <c r="C64" s="40">
        <f t="shared" si="16"/>
        <v>96.83821283333333</v>
      </c>
      <c r="D64" s="40">
        <f t="shared" si="19"/>
        <v>51.551822601824924</v>
      </c>
      <c r="E64" s="40">
        <f t="shared" si="20"/>
        <v>5132.4252801666589</v>
      </c>
      <c r="F64" s="40">
        <f t="shared" si="17"/>
        <v>5280.815315601817</v>
      </c>
      <c r="G64" s="40">
        <f t="shared" si="21"/>
        <v>315382.02579288644</v>
      </c>
      <c r="H64" s="40">
        <f t="shared" si="18"/>
        <v>148.39003543515827</v>
      </c>
    </row>
    <row r="65" spans="1:14" x14ac:dyDescent="0.25">
      <c r="A65" s="139">
        <v>44</v>
      </c>
      <c r="B65" s="139"/>
      <c r="C65" s="40">
        <f t="shared" si="16"/>
        <v>96.83821283333333</v>
      </c>
      <c r="D65" s="40">
        <f t="shared" si="19"/>
        <v>50.597159220309642</v>
      </c>
      <c r="E65" s="40">
        <f t="shared" si="20"/>
        <v>5035.5870673333256</v>
      </c>
      <c r="F65" s="40">
        <f t="shared" si="17"/>
        <v>5183.0224393869685</v>
      </c>
      <c r="G65" s="40">
        <f t="shared" si="21"/>
        <v>320565.04823227343</v>
      </c>
      <c r="H65" s="40">
        <f t="shared" si="18"/>
        <v>147.43537205364296</v>
      </c>
    </row>
    <row r="66" spans="1:14" x14ac:dyDescent="0.25">
      <c r="A66" s="139">
        <v>45</v>
      </c>
      <c r="B66" s="139"/>
      <c r="C66" s="40">
        <f t="shared" si="16"/>
        <v>96.83821283333333</v>
      </c>
      <c r="D66" s="40">
        <f t="shared" si="19"/>
        <v>49.642495838794368</v>
      </c>
      <c r="E66" s="40">
        <f t="shared" si="20"/>
        <v>4938.7488544999924</v>
      </c>
      <c r="F66" s="40">
        <f t="shared" si="17"/>
        <v>5085.2295631721199</v>
      </c>
      <c r="G66" s="40">
        <f t="shared" si="21"/>
        <v>325650.27779544552</v>
      </c>
      <c r="H66" s="40">
        <f t="shared" si="18"/>
        <v>146.48070867212769</v>
      </c>
    </row>
    <row r="67" spans="1:14" x14ac:dyDescent="0.25">
      <c r="A67" s="139">
        <v>46</v>
      </c>
      <c r="B67" s="139"/>
      <c r="C67" s="40">
        <f t="shared" si="16"/>
        <v>96.83821283333333</v>
      </c>
      <c r="D67" s="40">
        <f t="shared" si="19"/>
        <v>48.687832457279093</v>
      </c>
      <c r="E67" s="40">
        <f t="shared" si="20"/>
        <v>4841.9106416666591</v>
      </c>
      <c r="F67" s="40">
        <f t="shared" si="17"/>
        <v>4987.4366869572714</v>
      </c>
      <c r="G67" s="40">
        <f t="shared" si="21"/>
        <v>330637.71448240278</v>
      </c>
      <c r="H67" s="40">
        <f t="shared" si="18"/>
        <v>145.52604529061242</v>
      </c>
      <c r="I67" s="140" t="s">
        <v>332</v>
      </c>
      <c r="J67" s="140"/>
      <c r="K67" s="140"/>
      <c r="L67" s="140"/>
      <c r="M67" s="140"/>
      <c r="N67" s="140"/>
    </row>
    <row r="68" spans="1:14" x14ac:dyDescent="0.25">
      <c r="A68" s="139">
        <v>47</v>
      </c>
      <c r="B68" s="139"/>
      <c r="C68" s="40">
        <f t="shared" si="16"/>
        <v>96.83821283333333</v>
      </c>
      <c r="D68" s="40">
        <f t="shared" si="19"/>
        <v>47.733169075763804</v>
      </c>
      <c r="E68" s="40">
        <f t="shared" si="20"/>
        <v>4745.0724288333258</v>
      </c>
      <c r="F68" s="40">
        <f t="shared" si="17"/>
        <v>4889.6438107424228</v>
      </c>
      <c r="G68" s="40">
        <f t="shared" si="21"/>
        <v>335527.3582931452</v>
      </c>
      <c r="H68" s="40">
        <f t="shared" si="18"/>
        <v>144.57138190909714</v>
      </c>
      <c r="I68" s="15" t="s">
        <v>325</v>
      </c>
      <c r="J68" s="15" t="s">
        <v>326</v>
      </c>
      <c r="K68" s="15" t="s">
        <v>327</v>
      </c>
      <c r="L68" s="15" t="s">
        <v>328</v>
      </c>
      <c r="M68" s="15" t="s">
        <v>329</v>
      </c>
      <c r="N68" s="15" t="s">
        <v>330</v>
      </c>
    </row>
    <row r="69" spans="1:14" x14ac:dyDescent="0.25">
      <c r="A69" s="139">
        <v>48</v>
      </c>
      <c r="B69" s="139"/>
      <c r="C69" s="40">
        <f t="shared" si="16"/>
        <v>96.83821283333333</v>
      </c>
      <c r="D69" s="40">
        <f t="shared" si="19"/>
        <v>46.77850569424853</v>
      </c>
      <c r="E69" s="40">
        <f t="shared" si="20"/>
        <v>4648.2342159999926</v>
      </c>
      <c r="F69" s="40">
        <f t="shared" si="17"/>
        <v>4791.8509345275743</v>
      </c>
      <c r="G69" s="40">
        <f t="shared" si="21"/>
        <v>340319.20922767278</v>
      </c>
      <c r="H69" s="40">
        <f t="shared" si="18"/>
        <v>143.61671852758187</v>
      </c>
      <c r="I69" s="72">
        <f t="shared" ref="I69:N69" si="23">SUM(C58:C69)</f>
        <v>1162.0585539999997</v>
      </c>
      <c r="J69" s="72">
        <f t="shared" si="23"/>
        <v>624.3498515109909</v>
      </c>
      <c r="K69" s="72">
        <f t="shared" si="23"/>
        <v>62170.132638999909</v>
      </c>
      <c r="L69" s="72">
        <f t="shared" si="23"/>
        <v>63956.541044510901</v>
      </c>
      <c r="M69" s="72">
        <f t="shared" si="23"/>
        <v>3746053.916285987</v>
      </c>
      <c r="N69" s="72">
        <f t="shared" si="23"/>
        <v>1786.4084055109913</v>
      </c>
    </row>
    <row r="70" spans="1:14" x14ac:dyDescent="0.25">
      <c r="A70" s="139">
        <v>49</v>
      </c>
      <c r="B70" s="139"/>
      <c r="C70" s="40">
        <f t="shared" si="16"/>
        <v>96.83821283333333</v>
      </c>
      <c r="D70" s="40">
        <f t="shared" si="19"/>
        <v>45.823842312733255</v>
      </c>
      <c r="E70" s="40">
        <f t="shared" si="20"/>
        <v>4551.3960031666593</v>
      </c>
      <c r="F70" s="40">
        <f t="shared" si="17"/>
        <v>4694.0580583127257</v>
      </c>
      <c r="G70" s="40">
        <f t="shared" si="21"/>
        <v>345013.26728598552</v>
      </c>
      <c r="H70" s="40">
        <f t="shared" si="18"/>
        <v>142.66205514606659</v>
      </c>
    </row>
    <row r="71" spans="1:14" x14ac:dyDescent="0.25">
      <c r="A71" s="139">
        <v>50</v>
      </c>
      <c r="B71" s="139"/>
      <c r="C71" s="40">
        <f t="shared" si="16"/>
        <v>96.83821283333333</v>
      </c>
      <c r="D71" s="40">
        <f t="shared" si="19"/>
        <v>44.869178931217988</v>
      </c>
      <c r="E71" s="40">
        <f t="shared" si="20"/>
        <v>4454.557790333326</v>
      </c>
      <c r="F71" s="40">
        <f t="shared" si="17"/>
        <v>4596.2651820978772</v>
      </c>
      <c r="G71" s="40">
        <f t="shared" si="21"/>
        <v>349609.53246808337</v>
      </c>
      <c r="H71" s="40">
        <f t="shared" si="18"/>
        <v>141.70739176455132</v>
      </c>
    </row>
    <row r="72" spans="1:14" x14ac:dyDescent="0.25">
      <c r="A72" s="139">
        <v>51</v>
      </c>
      <c r="B72" s="139"/>
      <c r="C72" s="40">
        <f t="shared" si="16"/>
        <v>96.83821283333333</v>
      </c>
      <c r="D72" s="40">
        <f t="shared" si="19"/>
        <v>43.914515549702706</v>
      </c>
      <c r="E72" s="40">
        <f t="shared" si="20"/>
        <v>4357.7195774999927</v>
      </c>
      <c r="F72" s="40">
        <f t="shared" si="17"/>
        <v>4498.4723058830286</v>
      </c>
      <c r="G72" s="40">
        <f t="shared" si="21"/>
        <v>354108.00477396639</v>
      </c>
      <c r="H72" s="40">
        <f t="shared" si="18"/>
        <v>140.75272838303604</v>
      </c>
    </row>
    <row r="73" spans="1:14" x14ac:dyDescent="0.25">
      <c r="A73" s="139">
        <v>52</v>
      </c>
      <c r="B73" s="139"/>
      <c r="C73" s="40">
        <f t="shared" si="16"/>
        <v>96.83821283333333</v>
      </c>
      <c r="D73" s="40">
        <f t="shared" si="19"/>
        <v>42.959852168187432</v>
      </c>
      <c r="E73" s="40">
        <f t="shared" si="20"/>
        <v>4260.8813646666595</v>
      </c>
      <c r="F73" s="40">
        <f t="shared" si="17"/>
        <v>4400.6794296681801</v>
      </c>
      <c r="G73" s="40">
        <f t="shared" si="21"/>
        <v>358508.68420363456</v>
      </c>
      <c r="H73" s="40">
        <f t="shared" si="18"/>
        <v>139.79806500152077</v>
      </c>
    </row>
    <row r="74" spans="1:14" x14ac:dyDescent="0.25">
      <c r="A74" s="139">
        <v>53</v>
      </c>
      <c r="B74" s="139"/>
      <c r="C74" s="40">
        <f t="shared" si="16"/>
        <v>96.83821283333333</v>
      </c>
      <c r="D74" s="40">
        <f t="shared" si="19"/>
        <v>42.00518878667215</v>
      </c>
      <c r="E74" s="40">
        <f t="shared" si="20"/>
        <v>4164.0431518333262</v>
      </c>
      <c r="F74" s="40">
        <f t="shared" si="17"/>
        <v>4302.8865534533315</v>
      </c>
      <c r="G74" s="40">
        <f t="shared" si="21"/>
        <v>362811.5707570879</v>
      </c>
      <c r="H74" s="40">
        <f t="shared" si="18"/>
        <v>138.84340162000547</v>
      </c>
    </row>
    <row r="75" spans="1:14" x14ac:dyDescent="0.25">
      <c r="A75" s="139">
        <v>54</v>
      </c>
      <c r="B75" s="139"/>
      <c r="C75" s="40">
        <f t="shared" si="16"/>
        <v>96.83821283333333</v>
      </c>
      <c r="D75" s="40">
        <f t="shared" si="19"/>
        <v>41.050525405156876</v>
      </c>
      <c r="E75" s="40">
        <f t="shared" si="20"/>
        <v>4067.2049389999929</v>
      </c>
      <c r="F75" s="40">
        <f t="shared" si="17"/>
        <v>4205.093677238483</v>
      </c>
      <c r="G75" s="40">
        <f t="shared" si="21"/>
        <v>367016.66443432641</v>
      </c>
      <c r="H75" s="40">
        <f t="shared" si="18"/>
        <v>137.88873823849019</v>
      </c>
    </row>
    <row r="76" spans="1:14" x14ac:dyDescent="0.25">
      <c r="A76" s="139">
        <v>55</v>
      </c>
      <c r="B76" s="139"/>
      <c r="C76" s="40">
        <f t="shared" si="16"/>
        <v>96.83821283333333</v>
      </c>
      <c r="D76" s="40">
        <f t="shared" si="19"/>
        <v>40.095862023641594</v>
      </c>
      <c r="E76" s="40">
        <f t="shared" si="20"/>
        <v>3970.3667261666596</v>
      </c>
      <c r="F76" s="40">
        <f t="shared" si="17"/>
        <v>4107.3008010236344</v>
      </c>
      <c r="G76" s="40">
        <f t="shared" si="21"/>
        <v>371123.96523535001</v>
      </c>
      <c r="H76" s="40">
        <f t="shared" si="18"/>
        <v>136.93407485697492</v>
      </c>
    </row>
    <row r="77" spans="1:14" x14ac:dyDescent="0.25">
      <c r="A77" s="139">
        <v>56</v>
      </c>
      <c r="B77" s="139"/>
      <c r="C77" s="40">
        <f t="shared" si="16"/>
        <v>96.83821283333333</v>
      </c>
      <c r="D77" s="40">
        <f t="shared" si="19"/>
        <v>39.141198642126319</v>
      </c>
      <c r="E77" s="40">
        <f t="shared" si="20"/>
        <v>3873.5285133333264</v>
      </c>
      <c r="F77" s="40">
        <f t="shared" si="17"/>
        <v>4009.5079248087859</v>
      </c>
      <c r="G77" s="40">
        <f t="shared" si="21"/>
        <v>375133.47316015878</v>
      </c>
      <c r="H77" s="40">
        <f t="shared" si="18"/>
        <v>135.97941147545964</v>
      </c>
    </row>
    <row r="78" spans="1:14" x14ac:dyDescent="0.25">
      <c r="A78" s="139">
        <v>57</v>
      </c>
      <c r="B78" s="139"/>
      <c r="C78" s="40">
        <f t="shared" si="16"/>
        <v>96.83821283333333</v>
      </c>
      <c r="D78" s="40">
        <f t="shared" si="19"/>
        <v>38.186535260611045</v>
      </c>
      <c r="E78" s="40">
        <f t="shared" si="20"/>
        <v>3776.6903004999931</v>
      </c>
      <c r="F78" s="40">
        <f t="shared" si="17"/>
        <v>3911.7150485939374</v>
      </c>
      <c r="G78" s="40">
        <f t="shared" si="21"/>
        <v>379045.18820875272</v>
      </c>
      <c r="H78" s="40">
        <f t="shared" si="18"/>
        <v>135.02474809394437</v>
      </c>
    </row>
    <row r="79" spans="1:14" x14ac:dyDescent="0.25">
      <c r="A79" s="139">
        <v>58</v>
      </c>
      <c r="B79" s="139"/>
      <c r="C79" s="40">
        <f t="shared" si="16"/>
        <v>96.83821283333333</v>
      </c>
      <c r="D79" s="40">
        <f t="shared" si="19"/>
        <v>37.23187187909577</v>
      </c>
      <c r="E79" s="40">
        <f t="shared" si="20"/>
        <v>3679.8520876666598</v>
      </c>
      <c r="F79" s="40">
        <f t="shared" si="17"/>
        <v>3813.9221723790888</v>
      </c>
      <c r="G79" s="40">
        <f t="shared" si="21"/>
        <v>382859.11038113182</v>
      </c>
      <c r="H79" s="40">
        <f t="shared" si="18"/>
        <v>134.07008471242909</v>
      </c>
      <c r="I79" s="140" t="s">
        <v>332</v>
      </c>
      <c r="J79" s="140"/>
      <c r="K79" s="140"/>
      <c r="L79" s="140"/>
      <c r="M79" s="140"/>
      <c r="N79" s="140"/>
    </row>
    <row r="80" spans="1:14" x14ac:dyDescent="0.25">
      <c r="A80" s="139">
        <v>59</v>
      </c>
      <c r="B80" s="139"/>
      <c r="C80" s="40">
        <f t="shared" si="16"/>
        <v>96.83821283333333</v>
      </c>
      <c r="D80" s="40">
        <f t="shared" si="19"/>
        <v>36.277208497580489</v>
      </c>
      <c r="E80" s="40">
        <f t="shared" si="20"/>
        <v>3583.0138748333266</v>
      </c>
      <c r="F80" s="40">
        <f t="shared" si="17"/>
        <v>3716.1292961642403</v>
      </c>
      <c r="G80" s="40">
        <f t="shared" si="21"/>
        <v>386575.23967729608</v>
      </c>
      <c r="H80" s="40">
        <f t="shared" si="18"/>
        <v>133.11542133091382</v>
      </c>
      <c r="I80" s="15" t="s">
        <v>325</v>
      </c>
      <c r="J80" s="15" t="s">
        <v>326</v>
      </c>
      <c r="K80" s="15" t="s">
        <v>327</v>
      </c>
      <c r="L80" s="15" t="s">
        <v>328</v>
      </c>
      <c r="M80" s="15" t="s">
        <v>329</v>
      </c>
      <c r="N80" s="15" t="s">
        <v>330</v>
      </c>
    </row>
    <row r="81" spans="1:14" x14ac:dyDescent="0.25">
      <c r="A81" s="139">
        <v>60</v>
      </c>
      <c r="B81" s="139"/>
      <c r="C81" s="40">
        <f t="shared" si="16"/>
        <v>96.83821283333333</v>
      </c>
      <c r="D81" s="40">
        <f t="shared" si="19"/>
        <v>35.322545116065207</v>
      </c>
      <c r="E81" s="40">
        <f t="shared" si="20"/>
        <v>3486.1756619999933</v>
      </c>
      <c r="F81" s="40">
        <f t="shared" si="17"/>
        <v>3618.3364199493917</v>
      </c>
      <c r="G81" s="40">
        <f t="shared" si="21"/>
        <v>390193.57609724544</v>
      </c>
      <c r="H81" s="40">
        <f t="shared" si="18"/>
        <v>132.16075794939854</v>
      </c>
      <c r="I81" s="72">
        <f t="shared" ref="I81:N81" si="24">SUM(C70:C81)</f>
        <v>1162.0585539999997</v>
      </c>
      <c r="J81" s="72">
        <f t="shared" si="24"/>
        <v>486.8783245727908</v>
      </c>
      <c r="K81" s="72">
        <f t="shared" si="24"/>
        <v>48225.42999099991</v>
      </c>
      <c r="L81" s="72">
        <f t="shared" si="24"/>
        <v>49874.36686957271</v>
      </c>
      <c r="M81" s="72">
        <f t="shared" si="24"/>
        <v>4421998.2766830195</v>
      </c>
      <c r="N81" s="72">
        <f t="shared" si="24"/>
        <v>1648.9368785727902</v>
      </c>
    </row>
    <row r="82" spans="1:14" x14ac:dyDescent="0.25">
      <c r="A82" s="139">
        <v>61</v>
      </c>
      <c r="B82" s="139"/>
      <c r="C82" s="40">
        <f t="shared" si="16"/>
        <v>96.83821283333333</v>
      </c>
      <c r="D82" s="40">
        <f t="shared" si="19"/>
        <v>34.367881734549933</v>
      </c>
      <c r="E82" s="40">
        <f t="shared" si="20"/>
        <v>3389.33744916666</v>
      </c>
      <c r="F82" s="40">
        <f t="shared" si="17"/>
        <v>3520.5435437345432</v>
      </c>
      <c r="G82" s="40">
        <f t="shared" si="21"/>
        <v>393714.11964097997</v>
      </c>
      <c r="H82" s="40">
        <f t="shared" si="18"/>
        <v>131.20609456788327</v>
      </c>
    </row>
    <row r="83" spans="1:14" x14ac:dyDescent="0.25">
      <c r="A83" s="139">
        <v>62</v>
      </c>
      <c r="B83" s="139"/>
      <c r="C83" s="40">
        <f t="shared" si="16"/>
        <v>96.83821283333333</v>
      </c>
      <c r="D83" s="40">
        <f t="shared" si="19"/>
        <v>33.413218353034651</v>
      </c>
      <c r="E83" s="40">
        <f t="shared" si="20"/>
        <v>3292.4992363333267</v>
      </c>
      <c r="F83" s="40">
        <f t="shared" si="17"/>
        <v>3422.7506675196946</v>
      </c>
      <c r="G83" s="40">
        <f t="shared" si="21"/>
        <v>397136.87030849967</v>
      </c>
      <c r="H83" s="40">
        <f t="shared" si="18"/>
        <v>130.25143118636799</v>
      </c>
    </row>
    <row r="84" spans="1:14" x14ac:dyDescent="0.25">
      <c r="A84" s="139">
        <v>63</v>
      </c>
      <c r="B84" s="139"/>
      <c r="C84" s="40">
        <f t="shared" si="16"/>
        <v>96.83821283333333</v>
      </c>
      <c r="D84" s="40">
        <f t="shared" si="19"/>
        <v>32.458554971519376</v>
      </c>
      <c r="E84" s="40">
        <f t="shared" si="20"/>
        <v>3195.6610234999935</v>
      </c>
      <c r="F84" s="40">
        <f t="shared" si="17"/>
        <v>3324.9577913048461</v>
      </c>
      <c r="G84" s="40">
        <f t="shared" si="21"/>
        <v>400461.82809980452</v>
      </c>
      <c r="H84" s="40">
        <f t="shared" si="18"/>
        <v>129.29676780485272</v>
      </c>
    </row>
    <row r="85" spans="1:14" x14ac:dyDescent="0.25">
      <c r="A85" s="139">
        <v>64</v>
      </c>
      <c r="B85" s="139"/>
      <c r="C85" s="40">
        <f t="shared" si="16"/>
        <v>96.83821283333333</v>
      </c>
      <c r="D85" s="40">
        <f t="shared" si="19"/>
        <v>31.503891590004098</v>
      </c>
      <c r="E85" s="40">
        <f t="shared" si="20"/>
        <v>3098.8228106666602</v>
      </c>
      <c r="F85" s="40">
        <f t="shared" si="17"/>
        <v>3227.1649150899975</v>
      </c>
      <c r="G85" s="40">
        <f t="shared" si="21"/>
        <v>403688.99301489454</v>
      </c>
      <c r="H85" s="40">
        <f t="shared" si="18"/>
        <v>128.34210442333742</v>
      </c>
    </row>
    <row r="86" spans="1:14" x14ac:dyDescent="0.25">
      <c r="A86" s="139">
        <v>65</v>
      </c>
      <c r="B86" s="139"/>
      <c r="C86" s="40">
        <f t="shared" ref="C86:C117" si="25">$U$7/$U$10</f>
        <v>96.83821283333333</v>
      </c>
      <c r="D86" s="40">
        <f t="shared" si="19"/>
        <v>30.549228208488824</v>
      </c>
      <c r="E86" s="40">
        <f t="shared" si="20"/>
        <v>3001.9845978333269</v>
      </c>
      <c r="F86" s="40">
        <f t="shared" ref="F86:F117" si="26">SUM(C86:E86)</f>
        <v>3129.372038875149</v>
      </c>
      <c r="G86" s="40">
        <f t="shared" si="21"/>
        <v>406818.36505376967</v>
      </c>
      <c r="H86" s="40">
        <f t="shared" ref="H86:H118" si="27">C86+D86</f>
        <v>127.38744104182216</v>
      </c>
    </row>
    <row r="87" spans="1:14" x14ac:dyDescent="0.25">
      <c r="A87" s="139">
        <v>66</v>
      </c>
      <c r="B87" s="139"/>
      <c r="C87" s="40">
        <f t="shared" si="25"/>
        <v>96.83821283333333</v>
      </c>
      <c r="D87" s="40">
        <f t="shared" ref="D87:D118" si="28">(E86*$U$11*$U$9)/360</f>
        <v>29.594564826973549</v>
      </c>
      <c r="E87" s="40">
        <f t="shared" ref="E87:E118" si="29">E86-C86</f>
        <v>2905.1463849999936</v>
      </c>
      <c r="F87" s="40">
        <f t="shared" si="26"/>
        <v>3031.5791626603004</v>
      </c>
      <c r="G87" s="40">
        <f t="shared" ref="G87:G118" si="30">G86+F87</f>
        <v>409849.94421642995</v>
      </c>
      <c r="H87" s="40">
        <f t="shared" si="27"/>
        <v>126.43277766030688</v>
      </c>
    </row>
    <row r="88" spans="1:14" x14ac:dyDescent="0.25">
      <c r="A88" s="139">
        <v>67</v>
      </c>
      <c r="B88" s="139"/>
      <c r="C88" s="40">
        <f t="shared" si="25"/>
        <v>96.83821283333333</v>
      </c>
      <c r="D88" s="40">
        <f t="shared" si="28"/>
        <v>28.639901445458275</v>
      </c>
      <c r="E88" s="40">
        <f t="shared" si="29"/>
        <v>2808.3081721666604</v>
      </c>
      <c r="F88" s="40">
        <f t="shared" si="26"/>
        <v>2933.7862864454519</v>
      </c>
      <c r="G88" s="40">
        <f t="shared" si="30"/>
        <v>412783.73050287541</v>
      </c>
      <c r="H88" s="40">
        <f t="shared" si="27"/>
        <v>125.47811427879161</v>
      </c>
    </row>
    <row r="89" spans="1:14" x14ac:dyDescent="0.25">
      <c r="A89" s="139">
        <v>68</v>
      </c>
      <c r="B89" s="139"/>
      <c r="C89" s="40">
        <f t="shared" si="25"/>
        <v>96.83821283333333</v>
      </c>
      <c r="D89" s="40">
        <f t="shared" si="28"/>
        <v>27.685238063942997</v>
      </c>
      <c r="E89" s="40">
        <f t="shared" si="29"/>
        <v>2711.4699593333271</v>
      </c>
      <c r="F89" s="40">
        <f t="shared" si="26"/>
        <v>2835.9934102306033</v>
      </c>
      <c r="G89" s="40">
        <f t="shared" si="30"/>
        <v>415619.72391310602</v>
      </c>
      <c r="H89" s="40">
        <f t="shared" si="27"/>
        <v>124.52345089727632</v>
      </c>
    </row>
    <row r="90" spans="1:14" x14ac:dyDescent="0.25">
      <c r="A90" s="139">
        <v>69</v>
      </c>
      <c r="B90" s="139"/>
      <c r="C90" s="40">
        <f t="shared" si="25"/>
        <v>96.83821283333333</v>
      </c>
      <c r="D90" s="40">
        <f t="shared" si="28"/>
        <v>26.730574682427719</v>
      </c>
      <c r="E90" s="40">
        <f t="shared" si="29"/>
        <v>2614.6317464999938</v>
      </c>
      <c r="F90" s="40">
        <f t="shared" si="26"/>
        <v>2738.2005340157548</v>
      </c>
      <c r="G90" s="40">
        <f t="shared" si="30"/>
        <v>418357.9244471218</v>
      </c>
      <c r="H90" s="40">
        <f t="shared" si="27"/>
        <v>123.56878751576104</v>
      </c>
    </row>
    <row r="91" spans="1:14" x14ac:dyDescent="0.25">
      <c r="A91" s="139">
        <v>70</v>
      </c>
      <c r="B91" s="139"/>
      <c r="C91" s="40">
        <f t="shared" si="25"/>
        <v>96.83821283333333</v>
      </c>
      <c r="D91" s="40">
        <f t="shared" si="28"/>
        <v>25.775911300912444</v>
      </c>
      <c r="E91" s="40">
        <f t="shared" si="29"/>
        <v>2517.7935336666606</v>
      </c>
      <c r="F91" s="40">
        <f t="shared" si="26"/>
        <v>2640.4076578009062</v>
      </c>
      <c r="G91" s="40">
        <f t="shared" si="30"/>
        <v>420998.33210492268</v>
      </c>
      <c r="H91" s="40">
        <f t="shared" si="27"/>
        <v>122.61412413424577</v>
      </c>
      <c r="I91" s="140" t="s">
        <v>332</v>
      </c>
      <c r="J91" s="140"/>
      <c r="K91" s="140"/>
      <c r="L91" s="140"/>
      <c r="M91" s="140"/>
      <c r="N91" s="140"/>
    </row>
    <row r="92" spans="1:14" x14ac:dyDescent="0.25">
      <c r="A92" s="139">
        <v>71</v>
      </c>
      <c r="B92" s="139"/>
      <c r="C92" s="40">
        <f t="shared" si="25"/>
        <v>96.83821283333333</v>
      </c>
      <c r="D92" s="40">
        <f t="shared" si="28"/>
        <v>24.821247919397162</v>
      </c>
      <c r="E92" s="40">
        <f t="shared" si="29"/>
        <v>2420.9553208333273</v>
      </c>
      <c r="F92" s="40">
        <f t="shared" si="26"/>
        <v>2542.6147815860577</v>
      </c>
      <c r="G92" s="40">
        <f t="shared" si="30"/>
        <v>423540.94688650873</v>
      </c>
      <c r="H92" s="40">
        <f t="shared" si="27"/>
        <v>121.6594607527305</v>
      </c>
      <c r="I92" s="15" t="s">
        <v>325</v>
      </c>
      <c r="J92" s="15" t="s">
        <v>326</v>
      </c>
      <c r="K92" s="15" t="s">
        <v>327</v>
      </c>
      <c r="L92" s="15" t="s">
        <v>328</v>
      </c>
      <c r="M92" s="15" t="s">
        <v>329</v>
      </c>
      <c r="N92" s="15" t="s">
        <v>330</v>
      </c>
    </row>
    <row r="93" spans="1:14" x14ac:dyDescent="0.25">
      <c r="A93" s="139">
        <v>72</v>
      </c>
      <c r="B93" s="139"/>
      <c r="C93" s="40">
        <f t="shared" si="25"/>
        <v>96.83821283333333</v>
      </c>
      <c r="D93" s="40">
        <f t="shared" si="28"/>
        <v>23.866584537881888</v>
      </c>
      <c r="E93" s="40">
        <f t="shared" si="29"/>
        <v>2324.117107999994</v>
      </c>
      <c r="F93" s="40">
        <f t="shared" si="26"/>
        <v>2444.8219053712091</v>
      </c>
      <c r="G93" s="40">
        <f t="shared" si="30"/>
        <v>425985.76879187993</v>
      </c>
      <c r="H93" s="40">
        <f t="shared" si="27"/>
        <v>120.70479737121522</v>
      </c>
      <c r="I93" s="72">
        <f t="shared" ref="I93:N93" si="31">SUM(C82:C93)</f>
        <v>1162.0585539999997</v>
      </c>
      <c r="J93" s="72">
        <f t="shared" si="31"/>
        <v>349.40679763459087</v>
      </c>
      <c r="K93" s="72">
        <f t="shared" si="31"/>
        <v>34280.727342999926</v>
      </c>
      <c r="L93" s="72">
        <f t="shared" si="31"/>
        <v>35792.192694634519</v>
      </c>
      <c r="M93" s="72">
        <f t="shared" si="31"/>
        <v>4928956.5469807936</v>
      </c>
      <c r="N93" s="72">
        <f t="shared" si="31"/>
        <v>1511.4653516345907</v>
      </c>
    </row>
    <row r="94" spans="1:14" x14ac:dyDescent="0.25">
      <c r="A94" s="139">
        <v>73</v>
      </c>
      <c r="B94" s="139"/>
      <c r="C94" s="40">
        <f t="shared" si="25"/>
        <v>96.83821283333333</v>
      </c>
      <c r="D94" s="40">
        <f t="shared" si="28"/>
        <v>22.91192115636661</v>
      </c>
      <c r="E94" s="40">
        <f t="shared" si="29"/>
        <v>2227.2788951666607</v>
      </c>
      <c r="F94" s="40">
        <f t="shared" si="26"/>
        <v>2347.0290291563606</v>
      </c>
      <c r="G94" s="40">
        <f t="shared" si="30"/>
        <v>428332.79782103631</v>
      </c>
      <c r="H94" s="40">
        <f t="shared" si="27"/>
        <v>119.75013398969995</v>
      </c>
    </row>
    <row r="95" spans="1:14" x14ac:dyDescent="0.25">
      <c r="A95" s="139">
        <v>74</v>
      </c>
      <c r="B95" s="139"/>
      <c r="C95" s="40">
        <f t="shared" si="25"/>
        <v>96.83821283333333</v>
      </c>
      <c r="D95" s="40">
        <f t="shared" si="28"/>
        <v>21.957257774851335</v>
      </c>
      <c r="E95" s="40">
        <f t="shared" si="29"/>
        <v>2130.4406823333275</v>
      </c>
      <c r="F95" s="40">
        <f t="shared" si="26"/>
        <v>2249.236152941512</v>
      </c>
      <c r="G95" s="40">
        <f t="shared" si="30"/>
        <v>430582.03397397784</v>
      </c>
      <c r="H95" s="40">
        <f t="shared" si="27"/>
        <v>118.79547060818467</v>
      </c>
    </row>
    <row r="96" spans="1:14" x14ac:dyDescent="0.25">
      <c r="A96" s="139">
        <v>75</v>
      </c>
      <c r="B96" s="139"/>
      <c r="C96" s="40">
        <f t="shared" si="25"/>
        <v>96.83821283333333</v>
      </c>
      <c r="D96" s="40">
        <f t="shared" si="28"/>
        <v>21.002594393336054</v>
      </c>
      <c r="E96" s="40">
        <f t="shared" si="29"/>
        <v>2033.6024694999942</v>
      </c>
      <c r="F96" s="40">
        <f t="shared" si="26"/>
        <v>2151.4432767266635</v>
      </c>
      <c r="G96" s="40">
        <f t="shared" si="30"/>
        <v>432733.47725070448</v>
      </c>
      <c r="H96" s="40">
        <f t="shared" si="27"/>
        <v>117.84080722666938</v>
      </c>
    </row>
    <row r="97" spans="1:14" x14ac:dyDescent="0.25">
      <c r="A97" s="139">
        <v>76</v>
      </c>
      <c r="B97" s="139"/>
      <c r="C97" s="40">
        <f t="shared" si="25"/>
        <v>96.83821283333333</v>
      </c>
      <c r="D97" s="40">
        <f t="shared" si="28"/>
        <v>20.047931011820779</v>
      </c>
      <c r="E97" s="40">
        <f t="shared" si="29"/>
        <v>1936.7642566666609</v>
      </c>
      <c r="F97" s="40">
        <f t="shared" si="26"/>
        <v>2053.650400511815</v>
      </c>
      <c r="G97" s="40">
        <f t="shared" si="30"/>
        <v>434787.12765121629</v>
      </c>
      <c r="H97" s="40">
        <f t="shared" si="27"/>
        <v>116.88614384515411</v>
      </c>
    </row>
    <row r="98" spans="1:14" x14ac:dyDescent="0.25">
      <c r="A98" s="139">
        <v>77</v>
      </c>
      <c r="B98" s="139"/>
      <c r="C98" s="40">
        <f t="shared" si="25"/>
        <v>96.83821283333333</v>
      </c>
      <c r="D98" s="40">
        <f t="shared" si="28"/>
        <v>19.093267630305501</v>
      </c>
      <c r="E98" s="40">
        <f t="shared" si="29"/>
        <v>1839.9260438333276</v>
      </c>
      <c r="F98" s="40">
        <f t="shared" si="26"/>
        <v>1955.8575242969664</v>
      </c>
      <c r="G98" s="40">
        <f t="shared" si="30"/>
        <v>436742.98517551325</v>
      </c>
      <c r="H98" s="40">
        <f t="shared" si="27"/>
        <v>115.93148046363883</v>
      </c>
    </row>
    <row r="99" spans="1:14" x14ac:dyDescent="0.25">
      <c r="A99" s="139">
        <v>78</v>
      </c>
      <c r="B99" s="139"/>
      <c r="C99" s="40">
        <f t="shared" si="25"/>
        <v>96.83821283333333</v>
      </c>
      <c r="D99" s="40">
        <f t="shared" si="28"/>
        <v>18.138604248790223</v>
      </c>
      <c r="E99" s="40">
        <f t="shared" si="29"/>
        <v>1743.0878309999944</v>
      </c>
      <c r="F99" s="40">
        <f t="shared" si="26"/>
        <v>1858.0646480821179</v>
      </c>
      <c r="G99" s="40">
        <f t="shared" si="30"/>
        <v>438601.04982359539</v>
      </c>
      <c r="H99" s="40">
        <f t="shared" si="27"/>
        <v>114.97681708212355</v>
      </c>
    </row>
    <row r="100" spans="1:14" x14ac:dyDescent="0.25">
      <c r="A100" s="139">
        <v>79</v>
      </c>
      <c r="B100" s="139"/>
      <c r="C100" s="40">
        <f t="shared" si="25"/>
        <v>96.83821283333333</v>
      </c>
      <c r="D100" s="40">
        <f t="shared" si="28"/>
        <v>17.183940867274945</v>
      </c>
      <c r="E100" s="40">
        <f t="shared" si="29"/>
        <v>1646.2496181666611</v>
      </c>
      <c r="F100" s="40">
        <f t="shared" si="26"/>
        <v>1760.2717718672693</v>
      </c>
      <c r="G100" s="40">
        <f t="shared" si="30"/>
        <v>440361.32159546268</v>
      </c>
      <c r="H100" s="40">
        <f t="shared" si="27"/>
        <v>114.02215370060827</v>
      </c>
    </row>
    <row r="101" spans="1:14" x14ac:dyDescent="0.25">
      <c r="A101" s="139">
        <v>80</v>
      </c>
      <c r="B101" s="139"/>
      <c r="C101" s="40">
        <f t="shared" si="25"/>
        <v>96.83821283333333</v>
      </c>
      <c r="D101" s="40">
        <f t="shared" si="28"/>
        <v>16.229277485759667</v>
      </c>
      <c r="E101" s="40">
        <f t="shared" si="29"/>
        <v>1549.4114053333278</v>
      </c>
      <c r="F101" s="40">
        <f t="shared" si="26"/>
        <v>1662.4788956524208</v>
      </c>
      <c r="G101" s="40">
        <f t="shared" si="30"/>
        <v>442023.80049111508</v>
      </c>
      <c r="H101" s="40">
        <f t="shared" si="27"/>
        <v>113.067490319093</v>
      </c>
    </row>
    <row r="102" spans="1:14" x14ac:dyDescent="0.25">
      <c r="A102" s="139">
        <v>81</v>
      </c>
      <c r="B102" s="139"/>
      <c r="C102" s="40">
        <f t="shared" si="25"/>
        <v>96.83821283333333</v>
      </c>
      <c r="D102" s="40">
        <f t="shared" si="28"/>
        <v>15.274614104244391</v>
      </c>
      <c r="E102" s="40">
        <f t="shared" si="29"/>
        <v>1452.5731924999945</v>
      </c>
      <c r="F102" s="40">
        <f t="shared" si="26"/>
        <v>1564.6860194375722</v>
      </c>
      <c r="G102" s="40">
        <f t="shared" si="30"/>
        <v>443588.48651055264</v>
      </c>
      <c r="H102" s="40">
        <f t="shared" si="27"/>
        <v>112.11282693757772</v>
      </c>
    </row>
    <row r="103" spans="1:14" x14ac:dyDescent="0.25">
      <c r="A103" s="139">
        <v>82</v>
      </c>
      <c r="B103" s="139"/>
      <c r="C103" s="40">
        <f t="shared" si="25"/>
        <v>96.83821283333333</v>
      </c>
      <c r="D103" s="40">
        <f t="shared" si="28"/>
        <v>14.319950722729113</v>
      </c>
      <c r="E103" s="40">
        <f t="shared" si="29"/>
        <v>1355.7349796666613</v>
      </c>
      <c r="F103" s="40">
        <f t="shared" si="26"/>
        <v>1466.8931432227237</v>
      </c>
      <c r="G103" s="40">
        <f t="shared" si="30"/>
        <v>445055.37965377537</v>
      </c>
      <c r="H103" s="40">
        <f t="shared" si="27"/>
        <v>111.15816355606245</v>
      </c>
      <c r="I103" s="140" t="s">
        <v>332</v>
      </c>
      <c r="J103" s="140"/>
      <c r="K103" s="140"/>
      <c r="L103" s="140"/>
      <c r="M103" s="140"/>
      <c r="N103" s="140"/>
    </row>
    <row r="104" spans="1:14" x14ac:dyDescent="0.25">
      <c r="A104" s="139">
        <v>83</v>
      </c>
      <c r="B104" s="139"/>
      <c r="C104" s="40">
        <f t="shared" si="25"/>
        <v>96.83821283333333</v>
      </c>
      <c r="D104" s="40">
        <f t="shared" si="28"/>
        <v>13.365287341213836</v>
      </c>
      <c r="E104" s="40">
        <f t="shared" si="29"/>
        <v>1258.896766833328</v>
      </c>
      <c r="F104" s="40">
        <f t="shared" si="26"/>
        <v>1369.1002670078751</v>
      </c>
      <c r="G104" s="40">
        <f t="shared" si="30"/>
        <v>446424.47992078325</v>
      </c>
      <c r="H104" s="40">
        <f t="shared" si="27"/>
        <v>110.20350017454717</v>
      </c>
      <c r="I104" s="15" t="s">
        <v>325</v>
      </c>
      <c r="J104" s="15" t="s">
        <v>326</v>
      </c>
      <c r="K104" s="15" t="s">
        <v>327</v>
      </c>
      <c r="L104" s="15" t="s">
        <v>328</v>
      </c>
      <c r="M104" s="15" t="s">
        <v>329</v>
      </c>
      <c r="N104" s="15" t="s">
        <v>330</v>
      </c>
    </row>
    <row r="105" spans="1:14" x14ac:dyDescent="0.25">
      <c r="A105" s="139">
        <v>84</v>
      </c>
      <c r="B105" s="139"/>
      <c r="C105" s="40">
        <f t="shared" si="25"/>
        <v>96.83821283333333</v>
      </c>
      <c r="D105" s="40">
        <f t="shared" si="28"/>
        <v>12.410623959698558</v>
      </c>
      <c r="E105" s="40">
        <f t="shared" si="29"/>
        <v>1162.0585539999947</v>
      </c>
      <c r="F105" s="40">
        <f t="shared" si="26"/>
        <v>1271.3073907930266</v>
      </c>
      <c r="G105" s="40">
        <f t="shared" si="30"/>
        <v>447695.78731157631</v>
      </c>
      <c r="H105" s="40">
        <f t="shared" si="27"/>
        <v>109.24883679303188</v>
      </c>
      <c r="I105" s="72">
        <f t="shared" ref="I105:N105" si="32">SUM(C94:C105)</f>
        <v>1162.0585539999997</v>
      </c>
      <c r="J105" s="72">
        <f t="shared" si="32"/>
        <v>211.93527069639103</v>
      </c>
      <c r="K105" s="72">
        <f t="shared" si="32"/>
        <v>20336.024694999935</v>
      </c>
      <c r="L105" s="72">
        <f t="shared" si="32"/>
        <v>21710.018519696325</v>
      </c>
      <c r="M105" s="72">
        <f t="shared" si="32"/>
        <v>5266928.7271793084</v>
      </c>
      <c r="N105" s="72">
        <f t="shared" si="32"/>
        <v>1373.9938246963907</v>
      </c>
    </row>
    <row r="106" spans="1:14" x14ac:dyDescent="0.25">
      <c r="A106" s="139">
        <v>85</v>
      </c>
      <c r="B106" s="139"/>
      <c r="C106" s="40">
        <f t="shared" si="25"/>
        <v>96.83821283333333</v>
      </c>
      <c r="D106" s="40">
        <f t="shared" si="28"/>
        <v>11.455960578183282</v>
      </c>
      <c r="E106" s="40">
        <f t="shared" si="29"/>
        <v>1065.2203411666615</v>
      </c>
      <c r="F106" s="40">
        <f t="shared" si="26"/>
        <v>1173.514514578178</v>
      </c>
      <c r="G106" s="40">
        <f t="shared" si="30"/>
        <v>448869.30182615446</v>
      </c>
      <c r="H106" s="40">
        <f t="shared" si="27"/>
        <v>108.29417341151661</v>
      </c>
    </row>
    <row r="107" spans="1:14" x14ac:dyDescent="0.25">
      <c r="A107" s="139">
        <v>86</v>
      </c>
      <c r="B107" s="139"/>
      <c r="C107" s="40">
        <f t="shared" si="25"/>
        <v>96.83821283333333</v>
      </c>
      <c r="D107" s="40">
        <f t="shared" si="28"/>
        <v>10.501297196668004</v>
      </c>
      <c r="E107" s="40">
        <f t="shared" si="29"/>
        <v>968.38212833332818</v>
      </c>
      <c r="F107" s="40">
        <f t="shared" si="26"/>
        <v>1075.7216383633295</v>
      </c>
      <c r="G107" s="40">
        <f t="shared" si="30"/>
        <v>449945.02346451778</v>
      </c>
      <c r="H107" s="40">
        <f t="shared" si="27"/>
        <v>107.33951003000134</v>
      </c>
    </row>
    <row r="108" spans="1:14" x14ac:dyDescent="0.25">
      <c r="A108" s="139">
        <v>87</v>
      </c>
      <c r="B108" s="139"/>
      <c r="C108" s="40">
        <f t="shared" si="25"/>
        <v>96.83821283333333</v>
      </c>
      <c r="D108" s="40">
        <f t="shared" si="28"/>
        <v>9.5466338151527275</v>
      </c>
      <c r="E108" s="40">
        <f t="shared" si="29"/>
        <v>871.54391549999491</v>
      </c>
      <c r="F108" s="40">
        <f t="shared" si="26"/>
        <v>977.92876214848093</v>
      </c>
      <c r="G108" s="40">
        <f t="shared" si="30"/>
        <v>450922.95222666627</v>
      </c>
      <c r="H108" s="40">
        <f t="shared" si="27"/>
        <v>106.38484664848606</v>
      </c>
    </row>
    <row r="109" spans="1:14" x14ac:dyDescent="0.25">
      <c r="A109" s="139">
        <v>88</v>
      </c>
      <c r="B109" s="139"/>
      <c r="C109" s="40">
        <f t="shared" si="25"/>
        <v>96.83821283333333</v>
      </c>
      <c r="D109" s="40">
        <f t="shared" si="28"/>
        <v>8.5919704336374512</v>
      </c>
      <c r="E109" s="40">
        <f t="shared" si="29"/>
        <v>774.70570266666164</v>
      </c>
      <c r="F109" s="40">
        <f t="shared" si="26"/>
        <v>880.13588593363238</v>
      </c>
      <c r="G109" s="40">
        <f t="shared" si="30"/>
        <v>451803.08811259991</v>
      </c>
      <c r="H109" s="40">
        <f t="shared" si="27"/>
        <v>105.43018326697079</v>
      </c>
    </row>
    <row r="110" spans="1:14" x14ac:dyDescent="0.25">
      <c r="A110" s="139">
        <v>89</v>
      </c>
      <c r="B110" s="139"/>
      <c r="C110" s="40">
        <f t="shared" si="25"/>
        <v>96.83821283333333</v>
      </c>
      <c r="D110" s="40">
        <f t="shared" si="28"/>
        <v>7.6373070521221722</v>
      </c>
      <c r="E110" s="40">
        <f t="shared" si="29"/>
        <v>677.86748983332836</v>
      </c>
      <c r="F110" s="40">
        <f t="shared" si="26"/>
        <v>782.34300971878383</v>
      </c>
      <c r="G110" s="40">
        <f t="shared" si="30"/>
        <v>452585.43112231873</v>
      </c>
      <c r="H110" s="40">
        <f t="shared" si="27"/>
        <v>104.4755198854555</v>
      </c>
    </row>
    <row r="111" spans="1:14" x14ac:dyDescent="0.25">
      <c r="A111" s="139">
        <v>90</v>
      </c>
      <c r="B111" s="139"/>
      <c r="C111" s="40">
        <f t="shared" si="25"/>
        <v>96.83821283333333</v>
      </c>
      <c r="D111" s="40">
        <f t="shared" si="28"/>
        <v>6.682643670606895</v>
      </c>
      <c r="E111" s="40">
        <f t="shared" si="29"/>
        <v>581.02927699999509</v>
      </c>
      <c r="F111" s="40">
        <f t="shared" si="26"/>
        <v>684.55013350393529</v>
      </c>
      <c r="G111" s="40">
        <f t="shared" si="30"/>
        <v>453269.98125582264</v>
      </c>
      <c r="H111" s="40">
        <f t="shared" si="27"/>
        <v>103.52085650394022</v>
      </c>
    </row>
    <row r="112" spans="1:14" x14ac:dyDescent="0.25">
      <c r="A112" s="139">
        <v>91</v>
      </c>
      <c r="B112" s="139"/>
      <c r="C112" s="40">
        <f t="shared" si="25"/>
        <v>96.83821283333333</v>
      </c>
      <c r="D112" s="40">
        <f t="shared" si="28"/>
        <v>5.7279802890916196</v>
      </c>
      <c r="E112" s="40">
        <f t="shared" si="29"/>
        <v>484.19106416666176</v>
      </c>
      <c r="F112" s="40">
        <f t="shared" si="26"/>
        <v>586.75725728908674</v>
      </c>
      <c r="G112" s="40">
        <f t="shared" si="30"/>
        <v>453856.73851311172</v>
      </c>
      <c r="H112" s="40">
        <f t="shared" si="27"/>
        <v>102.56619312242495</v>
      </c>
    </row>
    <row r="113" spans="1:14" x14ac:dyDescent="0.25">
      <c r="A113" s="139">
        <v>92</v>
      </c>
      <c r="B113" s="139"/>
      <c r="C113" s="40">
        <f t="shared" si="25"/>
        <v>96.83821283333333</v>
      </c>
      <c r="D113" s="40">
        <f t="shared" si="28"/>
        <v>4.7733169075763406</v>
      </c>
      <c r="E113" s="40">
        <f t="shared" si="29"/>
        <v>387.35285133332843</v>
      </c>
      <c r="F113" s="40">
        <f t="shared" si="26"/>
        <v>488.96438107423808</v>
      </c>
      <c r="G113" s="40">
        <f t="shared" si="30"/>
        <v>454345.70289418596</v>
      </c>
      <c r="H113" s="40">
        <f t="shared" si="27"/>
        <v>101.61152974090967</v>
      </c>
    </row>
    <row r="114" spans="1:14" x14ac:dyDescent="0.25">
      <c r="A114" s="139">
        <v>93</v>
      </c>
      <c r="B114" s="139"/>
      <c r="C114" s="40">
        <f t="shared" si="25"/>
        <v>96.83821283333333</v>
      </c>
      <c r="D114" s="40">
        <f t="shared" si="28"/>
        <v>3.8186535260610626</v>
      </c>
      <c r="E114" s="40">
        <f t="shared" si="29"/>
        <v>290.5146384999951</v>
      </c>
      <c r="F114" s="40">
        <f t="shared" si="26"/>
        <v>391.17150485938953</v>
      </c>
      <c r="G114" s="40">
        <f t="shared" si="30"/>
        <v>454736.87439904537</v>
      </c>
      <c r="H114" s="40">
        <f t="shared" si="27"/>
        <v>100.6568663593944</v>
      </c>
    </row>
    <row r="115" spans="1:14" x14ac:dyDescent="0.25">
      <c r="A115" s="139">
        <v>94</v>
      </c>
      <c r="B115" s="139"/>
      <c r="C115" s="40">
        <f t="shared" si="25"/>
        <v>96.83821283333333</v>
      </c>
      <c r="D115" s="40">
        <f t="shared" si="28"/>
        <v>2.8639901445457849</v>
      </c>
      <c r="E115" s="40">
        <f t="shared" si="29"/>
        <v>193.67642566666177</v>
      </c>
      <c r="F115" s="40">
        <f t="shared" si="26"/>
        <v>293.37862864454087</v>
      </c>
      <c r="G115" s="40">
        <f t="shared" si="30"/>
        <v>455030.25302768993</v>
      </c>
      <c r="H115" s="40">
        <f t="shared" si="27"/>
        <v>99.702202977879111</v>
      </c>
      <c r="I115" s="140" t="s">
        <v>332</v>
      </c>
      <c r="J115" s="140"/>
      <c r="K115" s="140"/>
      <c r="L115" s="140"/>
      <c r="M115" s="140"/>
      <c r="N115" s="140"/>
    </row>
    <row r="116" spans="1:14" x14ac:dyDescent="0.25">
      <c r="A116" s="139">
        <v>95</v>
      </c>
      <c r="B116" s="139"/>
      <c r="C116" s="40">
        <f t="shared" si="25"/>
        <v>96.83821283333333</v>
      </c>
      <c r="D116" s="40">
        <f t="shared" si="28"/>
        <v>1.9093267630305073</v>
      </c>
      <c r="E116" s="40">
        <f t="shared" si="29"/>
        <v>96.838212833328441</v>
      </c>
      <c r="F116" s="40">
        <f t="shared" si="26"/>
        <v>195.58575242969226</v>
      </c>
      <c r="G116" s="40">
        <f t="shared" si="30"/>
        <v>455225.83878011961</v>
      </c>
      <c r="H116" s="40">
        <f t="shared" si="27"/>
        <v>98.747539596363836</v>
      </c>
      <c r="I116" s="15" t="s">
        <v>325</v>
      </c>
      <c r="J116" s="15" t="s">
        <v>326</v>
      </c>
      <c r="K116" s="15" t="s">
        <v>327</v>
      </c>
      <c r="L116" s="15" t="s">
        <v>328</v>
      </c>
      <c r="M116" s="15" t="s">
        <v>329</v>
      </c>
      <c r="N116" s="15" t="s">
        <v>330</v>
      </c>
    </row>
    <row r="117" spans="1:14" x14ac:dyDescent="0.25">
      <c r="A117" s="139">
        <v>96</v>
      </c>
      <c r="B117" s="139"/>
      <c r="C117" s="40">
        <f t="shared" si="25"/>
        <v>96.83821283333333</v>
      </c>
      <c r="D117" s="40">
        <f t="shared" si="28"/>
        <v>0.95466338151522956</v>
      </c>
      <c r="E117" s="40">
        <f t="shared" si="29"/>
        <v>-4.8885340220294893E-12</v>
      </c>
      <c r="F117" s="40">
        <f t="shared" si="26"/>
        <v>97.792876214843673</v>
      </c>
      <c r="G117" s="40">
        <f t="shared" si="30"/>
        <v>455323.63165633444</v>
      </c>
      <c r="H117" s="40">
        <f t="shared" si="27"/>
        <v>97.792876214848562</v>
      </c>
      <c r="I117" s="72">
        <f t="shared" ref="I117:N117" si="33">SUM(C106:C117)</f>
        <v>1162.0585539999997</v>
      </c>
      <c r="J117" s="72">
        <f t="shared" si="33"/>
        <v>74.463743758191086</v>
      </c>
      <c r="K117" s="72">
        <f t="shared" si="33"/>
        <v>6391.3220469999414</v>
      </c>
      <c r="L117" s="72">
        <f t="shared" si="33"/>
        <v>7627.8443447581321</v>
      </c>
      <c r="M117" s="72">
        <f t="shared" si="33"/>
        <v>5435914.8172785677</v>
      </c>
      <c r="N117" s="72">
        <f t="shared" si="33"/>
        <v>1236.5222977581909</v>
      </c>
    </row>
    <row r="118" spans="1:14" ht="15" customHeight="1" x14ac:dyDescent="0.25">
      <c r="A118" s="141" t="s">
        <v>290</v>
      </c>
      <c r="B118" s="141"/>
      <c r="C118" s="40">
        <f>SUM(C22:C117)</f>
        <v>9296.4684320000051</v>
      </c>
      <c r="D118" s="40">
        <f t="shared" si="28"/>
        <v>-4.8192797900507382E-14</v>
      </c>
      <c r="E118" s="40">
        <f t="shared" si="29"/>
        <v>-96.838212833338218</v>
      </c>
      <c r="F118" s="40">
        <f t="shared" ref="F118" si="34">SUM(C118:E118)</f>
        <v>9199.6302191666673</v>
      </c>
      <c r="G118" s="40">
        <f t="shared" si="30"/>
        <v>464523.26187550114</v>
      </c>
      <c r="H118" s="40">
        <f t="shared" si="27"/>
        <v>9296.4684320000051</v>
      </c>
      <c r="I118" s="72">
        <f>SUM(I33:I117)</f>
        <v>9296.468431999996</v>
      </c>
    </row>
  </sheetData>
  <mergeCells count="108">
    <mergeCell ref="A111:B111"/>
    <mergeCell ref="A112:B112"/>
    <mergeCell ref="A113:B113"/>
    <mergeCell ref="A114:B114"/>
    <mergeCell ref="A115:B115"/>
    <mergeCell ref="I115:N115"/>
    <mergeCell ref="A116:B116"/>
    <mergeCell ref="A117:B117"/>
    <mergeCell ref="A118:B118"/>
    <mergeCell ref="A103:B103"/>
    <mergeCell ref="I103:N103"/>
    <mergeCell ref="A104:B104"/>
    <mergeCell ref="A105:B105"/>
    <mergeCell ref="A106:B106"/>
    <mergeCell ref="A107:B107"/>
    <mergeCell ref="A108:B108"/>
    <mergeCell ref="A109:B109"/>
    <mergeCell ref="A110:B110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86:B86"/>
    <mergeCell ref="A87:B87"/>
    <mergeCell ref="A88:B88"/>
    <mergeCell ref="A89:B89"/>
    <mergeCell ref="A90:B90"/>
    <mergeCell ref="A91:B91"/>
    <mergeCell ref="I91:N91"/>
    <mergeCell ref="A92:B92"/>
    <mergeCell ref="A93:B93"/>
    <mergeCell ref="A78:B78"/>
    <mergeCell ref="A79:B79"/>
    <mergeCell ref="I79:N79"/>
    <mergeCell ref="A80:B80"/>
    <mergeCell ref="A81:B81"/>
    <mergeCell ref="A82:B82"/>
    <mergeCell ref="A83:B83"/>
    <mergeCell ref="A84:B84"/>
    <mergeCell ref="A85:B85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61:B61"/>
    <mergeCell ref="A62:B62"/>
    <mergeCell ref="A63:B63"/>
    <mergeCell ref="A64:B64"/>
    <mergeCell ref="A65:B65"/>
    <mergeCell ref="A66:B66"/>
    <mergeCell ref="A67:B67"/>
    <mergeCell ref="I67:N67"/>
    <mergeCell ref="A68:B68"/>
    <mergeCell ref="A53:B53"/>
    <mergeCell ref="A54:B54"/>
    <mergeCell ref="A55:B55"/>
    <mergeCell ref="I55:N55"/>
    <mergeCell ref="A56:B56"/>
    <mergeCell ref="A57:B57"/>
    <mergeCell ref="A58:B58"/>
    <mergeCell ref="A59:B59"/>
    <mergeCell ref="A60:B60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36:B36"/>
    <mergeCell ref="A37:B37"/>
    <mergeCell ref="A38:B38"/>
    <mergeCell ref="A39:B39"/>
    <mergeCell ref="A40:B40"/>
    <mergeCell ref="A41:B41"/>
    <mergeCell ref="A42:B42"/>
    <mergeCell ref="A43:B43"/>
    <mergeCell ref="I43:N43"/>
    <mergeCell ref="A28:B28"/>
    <mergeCell ref="A29:B29"/>
    <mergeCell ref="A30:B30"/>
    <mergeCell ref="A31:B31"/>
    <mergeCell ref="I31:N31"/>
    <mergeCell ref="A32:B32"/>
    <mergeCell ref="A33:B33"/>
    <mergeCell ref="A34:B34"/>
    <mergeCell ref="A35:B35"/>
    <mergeCell ref="T3:V3"/>
    <mergeCell ref="A19:H19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W143"/>
  <sheetViews>
    <sheetView topLeftCell="H28" zoomScaleNormal="100" workbookViewId="0">
      <selection activeCell="M44" sqref="M44"/>
    </sheetView>
  </sheetViews>
  <sheetFormatPr baseColWidth="10" defaultColWidth="9.140625" defaultRowHeight="15" x14ac:dyDescent="0.25"/>
  <cols>
    <col min="1" max="1" width="6.85546875"/>
    <col min="2" max="2" width="5.7109375"/>
    <col min="3" max="3" width="13.5703125"/>
    <col min="4" max="16" width="11.42578125"/>
    <col min="17" max="17" width="13"/>
    <col min="18" max="1025" width="11.42578125"/>
  </cols>
  <sheetData>
    <row r="3" spans="20:22" x14ac:dyDescent="0.25">
      <c r="T3" s="133" t="s">
        <v>310</v>
      </c>
      <c r="U3" s="133"/>
      <c r="V3" s="133"/>
    </row>
    <row r="4" spans="20:22" ht="22.5" x14ac:dyDescent="0.25">
      <c r="T4" s="24" t="s">
        <v>311</v>
      </c>
      <c r="U4" s="40" t="s">
        <v>312</v>
      </c>
      <c r="V4" s="40" t="s">
        <v>313</v>
      </c>
    </row>
    <row r="5" spans="20:22" ht="22.5" x14ac:dyDescent="0.25">
      <c r="T5" s="24" t="s">
        <v>334</v>
      </c>
      <c r="U5" s="40">
        <f>V5*'inversion total inicial'!F10</f>
        <v>0</v>
      </c>
      <c r="V5" s="100">
        <v>0</v>
      </c>
    </row>
    <row r="6" spans="20:22" x14ac:dyDescent="0.25">
      <c r="T6" s="24" t="s">
        <v>315</v>
      </c>
      <c r="U6" s="40">
        <f>V6*'inversion total inicial'!F10</f>
        <v>46482.34216</v>
      </c>
      <c r="V6" s="100">
        <v>1</v>
      </c>
    </row>
    <row r="7" spans="20:22" x14ac:dyDescent="0.25">
      <c r="T7" s="24" t="s">
        <v>316</v>
      </c>
      <c r="U7" s="40">
        <f>U6</f>
        <v>46482.34216</v>
      </c>
      <c r="V7" s="40"/>
    </row>
    <row r="8" spans="20:22" x14ac:dyDescent="0.25">
      <c r="T8" s="24" t="s">
        <v>317</v>
      </c>
      <c r="U8" s="40">
        <v>10</v>
      </c>
      <c r="V8" s="40"/>
    </row>
    <row r="9" spans="20:22" ht="22.5" x14ac:dyDescent="0.25">
      <c r="T9" s="24" t="s">
        <v>318</v>
      </c>
      <c r="U9" s="40">
        <v>30</v>
      </c>
      <c r="V9" s="40"/>
    </row>
    <row r="10" spans="20:22" ht="22.5" x14ac:dyDescent="0.25">
      <c r="T10" s="24" t="s">
        <v>319</v>
      </c>
      <c r="U10" s="40">
        <f>(U8*12)/(U9/30)</f>
        <v>120</v>
      </c>
      <c r="V10" s="40"/>
    </row>
    <row r="11" spans="20:22" ht="22.5" x14ac:dyDescent="0.25">
      <c r="T11" s="24" t="s">
        <v>320</v>
      </c>
      <c r="U11" s="100">
        <v>0.1183</v>
      </c>
      <c r="V11" s="40"/>
    </row>
    <row r="12" spans="20:22" ht="22.5" x14ac:dyDescent="0.25">
      <c r="T12" s="24" t="s">
        <v>321</v>
      </c>
      <c r="U12" s="100">
        <f>((1+U11)^(1/12)-1)*12</f>
        <v>0.11233218843573312</v>
      </c>
      <c r="V12" s="40"/>
    </row>
    <row r="13" spans="20:22" x14ac:dyDescent="0.25">
      <c r="T13" s="24" t="s">
        <v>322</v>
      </c>
      <c r="U13" s="40">
        <f>U7/U10</f>
        <v>387.35285133333332</v>
      </c>
      <c r="V13" s="40"/>
    </row>
    <row r="19" spans="1:22" x14ac:dyDescent="0.25">
      <c r="A19" s="138" t="s">
        <v>323</v>
      </c>
      <c r="B19" s="138"/>
      <c r="C19" s="138"/>
      <c r="D19" s="138"/>
      <c r="E19" s="138"/>
      <c r="F19" s="138"/>
      <c r="G19" s="138"/>
      <c r="H19" s="138"/>
    </row>
    <row r="20" spans="1:22" x14ac:dyDescent="0.25">
      <c r="A20" s="15" t="s">
        <v>324</v>
      </c>
      <c r="B20" s="15"/>
      <c r="C20" s="15" t="s">
        <v>325</v>
      </c>
      <c r="D20" s="15" t="s">
        <v>326</v>
      </c>
      <c r="E20" s="15" t="s">
        <v>327</v>
      </c>
      <c r="F20" s="15" t="s">
        <v>328</v>
      </c>
      <c r="G20" s="15" t="s">
        <v>329</v>
      </c>
      <c r="H20" s="15" t="s">
        <v>330</v>
      </c>
    </row>
    <row r="21" spans="1:22" x14ac:dyDescent="0.25">
      <c r="A21" s="128"/>
      <c r="B21" s="128"/>
      <c r="C21" s="58"/>
      <c r="D21" s="58"/>
      <c r="E21" s="58"/>
      <c r="F21" s="58"/>
      <c r="G21" s="58"/>
      <c r="H21" s="40">
        <f>U7</f>
        <v>46482.34216</v>
      </c>
    </row>
    <row r="22" spans="1:22" x14ac:dyDescent="0.25">
      <c r="A22" s="139">
        <v>1</v>
      </c>
      <c r="B22" s="139"/>
      <c r="C22" s="40">
        <f t="shared" ref="C22:C53" si="0">$U$7/$U$10</f>
        <v>387.35285133333332</v>
      </c>
      <c r="D22" s="40">
        <f>(U7*U11*U9)/360</f>
        <v>458.23842312733336</v>
      </c>
      <c r="E22" s="40">
        <f>U7-C22</f>
        <v>46094.989308666663</v>
      </c>
      <c r="F22" s="40">
        <f t="shared" ref="F22:F53" si="1">SUM(C22:E22)</f>
        <v>46940.580583127332</v>
      </c>
      <c r="G22" s="40">
        <f>F22</f>
        <v>46940.580583127332</v>
      </c>
      <c r="H22" s="40">
        <f t="shared" ref="H22:H53" si="2">C22+D22</f>
        <v>845.59127446066668</v>
      </c>
    </row>
    <row r="23" spans="1:22" x14ac:dyDescent="0.25">
      <c r="A23" s="139">
        <v>2</v>
      </c>
      <c r="B23" s="139"/>
      <c r="C23" s="40">
        <f t="shared" si="0"/>
        <v>387.35285133333332</v>
      </c>
      <c r="D23" s="40">
        <f t="shared" ref="D23:D54" si="3">(E22*$U$11*$U$9)/360</f>
        <v>454.41976960127221</v>
      </c>
      <c r="E23" s="40">
        <f t="shared" ref="E23:E54" si="4">E22-C22</f>
        <v>45707.636457333327</v>
      </c>
      <c r="F23" s="40">
        <f t="shared" si="1"/>
        <v>46549.409078267934</v>
      </c>
      <c r="G23" s="40">
        <f t="shared" ref="G23:G54" si="5">G22+F23</f>
        <v>93489.989661395259</v>
      </c>
      <c r="H23" s="40">
        <f t="shared" si="2"/>
        <v>841.77262093460558</v>
      </c>
    </row>
    <row r="24" spans="1:22" x14ac:dyDescent="0.25">
      <c r="A24" s="139">
        <v>3</v>
      </c>
      <c r="B24" s="139"/>
      <c r="C24" s="40">
        <f t="shared" si="0"/>
        <v>387.35285133333332</v>
      </c>
      <c r="D24" s="40">
        <f t="shared" si="3"/>
        <v>450.60111607521111</v>
      </c>
      <c r="E24" s="40">
        <f t="shared" si="4"/>
        <v>45320.28360599999</v>
      </c>
      <c r="F24" s="40">
        <f t="shared" si="1"/>
        <v>46158.237573408536</v>
      </c>
      <c r="G24" s="40">
        <f t="shared" si="5"/>
        <v>139648.22723480378</v>
      </c>
      <c r="H24" s="40">
        <f t="shared" si="2"/>
        <v>837.95396740854449</v>
      </c>
    </row>
    <row r="25" spans="1:22" x14ac:dyDescent="0.25">
      <c r="A25" s="139">
        <v>4</v>
      </c>
      <c r="B25" s="139"/>
      <c r="C25" s="40">
        <f t="shared" si="0"/>
        <v>387.35285133333332</v>
      </c>
      <c r="D25" s="40">
        <f t="shared" si="3"/>
        <v>446.78246254914995</v>
      </c>
      <c r="E25" s="40">
        <f t="shared" si="4"/>
        <v>44932.930754666653</v>
      </c>
      <c r="F25" s="40">
        <f t="shared" si="1"/>
        <v>45767.066068549138</v>
      </c>
      <c r="G25" s="40">
        <f t="shared" si="5"/>
        <v>185415.29330335293</v>
      </c>
      <c r="H25" s="40">
        <f t="shared" si="2"/>
        <v>834.13531388248327</v>
      </c>
    </row>
    <row r="26" spans="1:22" x14ac:dyDescent="0.25">
      <c r="A26" s="139">
        <v>5</v>
      </c>
      <c r="B26" s="139"/>
      <c r="C26" s="40">
        <f t="shared" si="0"/>
        <v>387.35285133333332</v>
      </c>
      <c r="D26" s="40">
        <f t="shared" si="3"/>
        <v>442.96380902308874</v>
      </c>
      <c r="E26" s="40">
        <f t="shared" si="4"/>
        <v>44545.577903333316</v>
      </c>
      <c r="F26" s="40">
        <f t="shared" si="1"/>
        <v>45375.894563689741</v>
      </c>
      <c r="G26" s="40">
        <f t="shared" si="5"/>
        <v>230791.18786704267</v>
      </c>
      <c r="H26" s="40">
        <f t="shared" si="2"/>
        <v>830.31666035642206</v>
      </c>
    </row>
    <row r="27" spans="1:22" x14ac:dyDescent="0.25">
      <c r="A27" s="139">
        <v>6</v>
      </c>
      <c r="B27" s="139"/>
      <c r="C27" s="40">
        <f t="shared" si="0"/>
        <v>387.35285133333332</v>
      </c>
      <c r="D27" s="40">
        <f t="shared" si="3"/>
        <v>439.14515549702764</v>
      </c>
      <c r="E27" s="40">
        <f t="shared" si="4"/>
        <v>44158.22505199998</v>
      </c>
      <c r="F27" s="40">
        <f t="shared" si="1"/>
        <v>44984.723058830343</v>
      </c>
      <c r="G27" s="40">
        <f t="shared" si="5"/>
        <v>275775.91092587303</v>
      </c>
      <c r="H27" s="40">
        <f t="shared" si="2"/>
        <v>826.49800683036096</v>
      </c>
    </row>
    <row r="28" spans="1:22" x14ac:dyDescent="0.25">
      <c r="A28" s="139">
        <v>7</v>
      </c>
      <c r="B28" s="139"/>
      <c r="C28" s="40">
        <f t="shared" si="0"/>
        <v>387.35285133333332</v>
      </c>
      <c r="D28" s="40">
        <f t="shared" si="3"/>
        <v>435.32650197096649</v>
      </c>
      <c r="E28" s="40">
        <f t="shared" si="4"/>
        <v>43770.872200666643</v>
      </c>
      <c r="F28" s="40">
        <f t="shared" si="1"/>
        <v>44593.551553970945</v>
      </c>
      <c r="G28" s="40">
        <f t="shared" si="5"/>
        <v>320369.46247984399</v>
      </c>
      <c r="H28" s="40">
        <f t="shared" si="2"/>
        <v>822.67935330429987</v>
      </c>
    </row>
    <row r="29" spans="1:22" x14ac:dyDescent="0.25">
      <c r="A29" s="139">
        <v>8</v>
      </c>
      <c r="B29" s="139"/>
      <c r="C29" s="40">
        <f t="shared" si="0"/>
        <v>387.35285133333332</v>
      </c>
      <c r="D29" s="40">
        <f t="shared" si="3"/>
        <v>431.50784844490528</v>
      </c>
      <c r="E29" s="40">
        <f t="shared" si="4"/>
        <v>43383.519349333306</v>
      </c>
      <c r="F29" s="40">
        <f t="shared" si="1"/>
        <v>44202.380049111547</v>
      </c>
      <c r="G29" s="40">
        <f t="shared" si="5"/>
        <v>364571.84252895555</v>
      </c>
      <c r="H29" s="40">
        <f t="shared" si="2"/>
        <v>818.86069977823854</v>
      </c>
      <c r="P29" s="15" t="s">
        <v>324</v>
      </c>
      <c r="Q29" s="15" t="s">
        <v>331</v>
      </c>
      <c r="R29" s="15" t="s">
        <v>326</v>
      </c>
      <c r="S29" s="15" t="s">
        <v>327</v>
      </c>
      <c r="T29" s="15" t="s">
        <v>328</v>
      </c>
      <c r="U29" s="15" t="s">
        <v>329</v>
      </c>
      <c r="V29" s="15" t="s">
        <v>330</v>
      </c>
    </row>
    <row r="30" spans="1:22" x14ac:dyDescent="0.25">
      <c r="A30" s="139">
        <v>9</v>
      </c>
      <c r="B30" s="139"/>
      <c r="C30" s="40">
        <f t="shared" si="0"/>
        <v>387.35285133333332</v>
      </c>
      <c r="D30" s="40">
        <f t="shared" si="3"/>
        <v>427.68919491884418</v>
      </c>
      <c r="E30" s="40">
        <f t="shared" si="4"/>
        <v>42996.16649799997</v>
      </c>
      <c r="F30" s="40">
        <f t="shared" si="1"/>
        <v>43811.208544252149</v>
      </c>
      <c r="G30" s="40">
        <f t="shared" si="5"/>
        <v>408383.05107320769</v>
      </c>
      <c r="H30" s="40">
        <f t="shared" si="2"/>
        <v>815.04204625217744</v>
      </c>
      <c r="P30" s="101">
        <v>0</v>
      </c>
      <c r="Q30" s="72"/>
      <c r="R30" s="72"/>
      <c r="S30" s="72"/>
      <c r="T30" s="72"/>
      <c r="U30" s="72"/>
      <c r="V30" s="72"/>
    </row>
    <row r="31" spans="1:22" x14ac:dyDescent="0.25">
      <c r="A31" s="139">
        <v>10</v>
      </c>
      <c r="B31" s="139"/>
      <c r="C31" s="40">
        <f t="shared" si="0"/>
        <v>387.35285133333332</v>
      </c>
      <c r="D31" s="40">
        <f t="shared" si="3"/>
        <v>423.87054139278303</v>
      </c>
      <c r="E31" s="40">
        <f t="shared" si="4"/>
        <v>42608.813646666633</v>
      </c>
      <c r="F31" s="40">
        <f t="shared" si="1"/>
        <v>43420.037039392751</v>
      </c>
      <c r="G31" s="40">
        <f t="shared" si="5"/>
        <v>451803.08811260044</v>
      </c>
      <c r="H31" s="40">
        <f t="shared" si="2"/>
        <v>811.22339272611634</v>
      </c>
      <c r="I31" s="140" t="s">
        <v>332</v>
      </c>
      <c r="J31" s="140"/>
      <c r="K31" s="140"/>
      <c r="L31" s="140"/>
      <c r="M31" s="140"/>
      <c r="N31" s="140"/>
      <c r="P31" s="101">
        <v>2014</v>
      </c>
      <c r="Q31" s="72">
        <f t="shared" ref="Q31:V31" si="6">I33</f>
        <v>4648.2342159999989</v>
      </c>
      <c r="R31" s="72">
        <f t="shared" si="6"/>
        <v>5246.8299448079651</v>
      </c>
      <c r="S31" s="72">
        <f t="shared" si="6"/>
        <v>527574.58351599972</v>
      </c>
      <c r="T31" s="72">
        <f t="shared" si="6"/>
        <v>537469.64767680771</v>
      </c>
      <c r="U31" s="72">
        <f t="shared" si="6"/>
        <v>3549490.2350941445</v>
      </c>
      <c r="V31" s="72">
        <f t="shared" si="6"/>
        <v>9895.0641608079677</v>
      </c>
    </row>
    <row r="32" spans="1:22" x14ac:dyDescent="0.25">
      <c r="A32" s="139">
        <v>11</v>
      </c>
      <c r="B32" s="139"/>
      <c r="C32" s="40">
        <f t="shared" si="0"/>
        <v>387.35285133333332</v>
      </c>
      <c r="D32" s="40">
        <f t="shared" si="3"/>
        <v>420.05188786672193</v>
      </c>
      <c r="E32" s="40">
        <f t="shared" si="4"/>
        <v>42221.460795333296</v>
      </c>
      <c r="F32" s="40">
        <f t="shared" si="1"/>
        <v>43028.865534533354</v>
      </c>
      <c r="G32" s="40">
        <f t="shared" si="5"/>
        <v>494831.95364713378</v>
      </c>
      <c r="H32" s="40">
        <f t="shared" si="2"/>
        <v>807.40473920005525</v>
      </c>
      <c r="I32" s="15" t="s">
        <v>325</v>
      </c>
      <c r="J32" s="15" t="s">
        <v>326</v>
      </c>
      <c r="K32" s="15" t="s">
        <v>327</v>
      </c>
      <c r="L32" s="15" t="s">
        <v>328</v>
      </c>
      <c r="M32" s="15" t="s">
        <v>329</v>
      </c>
      <c r="N32" s="15" t="s">
        <v>330</v>
      </c>
      <c r="P32" s="101">
        <v>2015</v>
      </c>
      <c r="Q32" s="72">
        <f t="shared" ref="Q32:V32" si="7">I45</f>
        <v>4648.2342159999989</v>
      </c>
      <c r="R32" s="72">
        <f t="shared" si="7"/>
        <v>4696.9438370551597</v>
      </c>
      <c r="S32" s="72">
        <f t="shared" si="7"/>
        <v>471795.77292399923</v>
      </c>
      <c r="T32" s="72">
        <f t="shared" si="7"/>
        <v>481140.95097705448</v>
      </c>
      <c r="U32" s="72">
        <f t="shared" si="7"/>
        <v>9632989.4786674399</v>
      </c>
      <c r="V32" s="72">
        <f t="shared" si="7"/>
        <v>9345.1780530551587</v>
      </c>
    </row>
    <row r="33" spans="1:23" x14ac:dyDescent="0.25">
      <c r="A33" s="139">
        <v>12</v>
      </c>
      <c r="B33" s="139"/>
      <c r="C33" s="40">
        <f t="shared" si="0"/>
        <v>387.35285133333332</v>
      </c>
      <c r="D33" s="40">
        <f t="shared" si="3"/>
        <v>416.23323434066072</v>
      </c>
      <c r="E33" s="40">
        <f t="shared" si="4"/>
        <v>41834.107943999959</v>
      </c>
      <c r="F33" s="40">
        <f t="shared" si="1"/>
        <v>42637.694029673956</v>
      </c>
      <c r="G33" s="40">
        <f t="shared" si="5"/>
        <v>537469.64767680771</v>
      </c>
      <c r="H33" s="40">
        <f t="shared" si="2"/>
        <v>803.58608567399403</v>
      </c>
      <c r="I33" s="72">
        <f t="shared" ref="I33:N33" si="8">SUM(C22:C33)</f>
        <v>4648.2342159999989</v>
      </c>
      <c r="J33" s="72">
        <f t="shared" si="8"/>
        <v>5246.8299448079651</v>
      </c>
      <c r="K33" s="72">
        <f t="shared" si="8"/>
        <v>527574.58351599972</v>
      </c>
      <c r="L33" s="72">
        <f t="shared" si="8"/>
        <v>537469.64767680771</v>
      </c>
      <c r="M33" s="72">
        <f t="shared" si="8"/>
        <v>3549490.2350941445</v>
      </c>
      <c r="N33" s="72">
        <f t="shared" si="8"/>
        <v>9895.0641608079677</v>
      </c>
      <c r="P33" s="101">
        <v>2016</v>
      </c>
      <c r="Q33" s="72">
        <f t="shared" ref="Q33:V33" si="9">I57</f>
        <v>4648.2342159999989</v>
      </c>
      <c r="R33" s="72">
        <f t="shared" si="9"/>
        <v>4147.0577293023553</v>
      </c>
      <c r="S33" s="72">
        <f t="shared" si="9"/>
        <v>416016.9623319988</v>
      </c>
      <c r="T33" s="72">
        <f t="shared" si="9"/>
        <v>424812.25427730108</v>
      </c>
      <c r="U33" s="72">
        <f t="shared" si="9"/>
        <v>15040544.361843701</v>
      </c>
      <c r="V33" s="72">
        <f t="shared" si="9"/>
        <v>8795.2919453023533</v>
      </c>
    </row>
    <row r="34" spans="1:23" x14ac:dyDescent="0.25">
      <c r="A34" s="139">
        <v>13</v>
      </c>
      <c r="B34" s="139"/>
      <c r="C34" s="40">
        <f t="shared" si="0"/>
        <v>387.35285133333332</v>
      </c>
      <c r="D34" s="40">
        <f t="shared" si="3"/>
        <v>412.41458081459956</v>
      </c>
      <c r="E34" s="40">
        <f t="shared" si="4"/>
        <v>41446.755092666623</v>
      </c>
      <c r="F34" s="40">
        <f t="shared" si="1"/>
        <v>42246.522524814558</v>
      </c>
      <c r="G34" s="40">
        <f t="shared" si="5"/>
        <v>579716.1702016223</v>
      </c>
      <c r="H34" s="40">
        <f t="shared" si="2"/>
        <v>799.76743214793282</v>
      </c>
      <c r="P34" s="101">
        <v>2017</v>
      </c>
      <c r="Q34" s="72">
        <f t="shared" ref="Q34:V34" si="10">I69</f>
        <v>4648.2342159999989</v>
      </c>
      <c r="R34" s="72">
        <f t="shared" si="10"/>
        <v>3597.1716215495535</v>
      </c>
      <c r="S34" s="72">
        <f t="shared" si="10"/>
        <v>360238.1517399986</v>
      </c>
      <c r="T34" s="72">
        <f t="shared" si="10"/>
        <v>368483.55757754814</v>
      </c>
      <c r="U34" s="72">
        <f t="shared" si="10"/>
        <v>19772154.884622917</v>
      </c>
      <c r="V34" s="72">
        <f t="shared" si="10"/>
        <v>8245.4058375495515</v>
      </c>
    </row>
    <row r="35" spans="1:23" x14ac:dyDescent="0.25">
      <c r="A35" s="139">
        <v>14</v>
      </c>
      <c r="B35" s="139"/>
      <c r="C35" s="40">
        <f t="shared" si="0"/>
        <v>387.35285133333332</v>
      </c>
      <c r="D35" s="40">
        <f t="shared" si="3"/>
        <v>408.59592728853846</v>
      </c>
      <c r="E35" s="40">
        <f t="shared" si="4"/>
        <v>41059.402241333286</v>
      </c>
      <c r="F35" s="40">
        <f t="shared" si="1"/>
        <v>41855.35101995516</v>
      </c>
      <c r="G35" s="40">
        <f t="shared" si="5"/>
        <v>621571.52122157742</v>
      </c>
      <c r="H35" s="40">
        <f t="shared" si="2"/>
        <v>795.94877862187172</v>
      </c>
      <c r="P35" s="101">
        <v>2018</v>
      </c>
      <c r="Q35" s="72">
        <f t="shared" ref="Q35:V35" si="11">I81</f>
        <v>4648.2342159999989</v>
      </c>
      <c r="R35" s="72">
        <f t="shared" si="11"/>
        <v>3047.2855137967526</v>
      </c>
      <c r="S35" s="72">
        <f t="shared" si="11"/>
        <v>304459.34114799864</v>
      </c>
      <c r="T35" s="72">
        <f t="shared" si="11"/>
        <v>312154.86087779544</v>
      </c>
      <c r="U35" s="72">
        <f t="shared" si="11"/>
        <v>23827821.047005102</v>
      </c>
      <c r="V35" s="72">
        <f t="shared" si="11"/>
        <v>7695.5197297967534</v>
      </c>
    </row>
    <row r="36" spans="1:23" x14ac:dyDescent="0.25">
      <c r="A36" s="139">
        <v>15</v>
      </c>
      <c r="B36" s="139"/>
      <c r="C36" s="40">
        <f t="shared" si="0"/>
        <v>387.35285133333332</v>
      </c>
      <c r="D36" s="40">
        <f t="shared" si="3"/>
        <v>404.77727376247731</v>
      </c>
      <c r="E36" s="40">
        <f t="shared" si="4"/>
        <v>40672.049389999949</v>
      </c>
      <c r="F36" s="40">
        <f t="shared" si="1"/>
        <v>41464.179515095762</v>
      </c>
      <c r="G36" s="40">
        <f t="shared" si="5"/>
        <v>663035.7007366732</v>
      </c>
      <c r="H36" s="40">
        <f t="shared" si="2"/>
        <v>792.13012509581063</v>
      </c>
      <c r="P36" s="101">
        <v>2019</v>
      </c>
      <c r="Q36" s="72">
        <f t="shared" ref="Q36:V36" si="12">I93</f>
        <v>4648.2342159999989</v>
      </c>
      <c r="R36" s="72">
        <f t="shared" si="12"/>
        <v>2497.3994060439536</v>
      </c>
      <c r="S36" s="72">
        <f t="shared" si="12"/>
        <v>248680.53055599867</v>
      </c>
      <c r="T36" s="72">
        <f t="shared" si="12"/>
        <v>255826.16417804261</v>
      </c>
      <c r="U36" s="72">
        <f t="shared" si="12"/>
        <v>27207542.848990254</v>
      </c>
      <c r="V36" s="72">
        <f t="shared" si="12"/>
        <v>7145.6336220439543</v>
      </c>
      <c r="W36" t="s">
        <v>333</v>
      </c>
    </row>
    <row r="37" spans="1:23" x14ac:dyDescent="0.25">
      <c r="A37" s="139">
        <v>16</v>
      </c>
      <c r="B37" s="139"/>
      <c r="C37" s="40">
        <f t="shared" si="0"/>
        <v>387.35285133333332</v>
      </c>
      <c r="D37" s="40">
        <f t="shared" si="3"/>
        <v>400.95862023641621</v>
      </c>
      <c r="E37" s="40">
        <f t="shared" si="4"/>
        <v>40284.696538666612</v>
      </c>
      <c r="F37" s="40">
        <f t="shared" si="1"/>
        <v>41073.008010236364</v>
      </c>
      <c r="G37" s="40">
        <f t="shared" si="5"/>
        <v>704108.70874690951</v>
      </c>
      <c r="H37" s="40">
        <f t="shared" si="2"/>
        <v>788.31147156974953</v>
      </c>
      <c r="P37" s="101">
        <v>2020</v>
      </c>
      <c r="Q37" s="72">
        <f t="shared" ref="Q37:V37" si="13">I105</f>
        <v>4648.2342159999989</v>
      </c>
      <c r="R37" s="72">
        <f t="shared" si="13"/>
        <v>1947.5132982911546</v>
      </c>
      <c r="S37" s="72">
        <f t="shared" si="13"/>
        <v>192901.71996399868</v>
      </c>
      <c r="T37" s="72">
        <f t="shared" si="13"/>
        <v>199497.46747828988</v>
      </c>
      <c r="U37" s="72">
        <f t="shared" si="13"/>
        <v>29911320.290578373</v>
      </c>
      <c r="V37" s="72">
        <f t="shared" si="13"/>
        <v>6595.7475142911562</v>
      </c>
    </row>
    <row r="38" spans="1:23" x14ac:dyDescent="0.25">
      <c r="A38" s="139">
        <v>17</v>
      </c>
      <c r="B38" s="139"/>
      <c r="C38" s="40">
        <f t="shared" si="0"/>
        <v>387.35285133333332</v>
      </c>
      <c r="D38" s="40">
        <f t="shared" si="3"/>
        <v>397.139966710355</v>
      </c>
      <c r="E38" s="40">
        <f t="shared" si="4"/>
        <v>39897.343687333276</v>
      </c>
      <c r="F38" s="40">
        <f t="shared" si="1"/>
        <v>40681.836505376967</v>
      </c>
      <c r="G38" s="40">
        <f t="shared" si="5"/>
        <v>744790.54525228648</v>
      </c>
      <c r="H38" s="40">
        <f t="shared" si="2"/>
        <v>784.49281804368832</v>
      </c>
      <c r="P38" s="101">
        <v>2021</v>
      </c>
      <c r="Q38" s="72">
        <f t="shared" ref="Q38:V38" si="14">I117</f>
        <v>4648.2342159999989</v>
      </c>
      <c r="R38" s="72">
        <f t="shared" si="14"/>
        <v>1397.6271905383542</v>
      </c>
      <c r="S38" s="72">
        <f t="shared" si="14"/>
        <v>137122.90937199874</v>
      </c>
      <c r="T38" s="72">
        <f t="shared" si="14"/>
        <v>143168.77077853709</v>
      </c>
      <c r="U38" s="72">
        <f t="shared" si="14"/>
        <v>31939153.371769458</v>
      </c>
      <c r="V38" s="72">
        <f t="shared" si="14"/>
        <v>6045.8614065383554</v>
      </c>
    </row>
    <row r="39" spans="1:23" x14ac:dyDescent="0.25">
      <c r="A39" s="139">
        <v>18</v>
      </c>
      <c r="B39" s="139"/>
      <c r="C39" s="40">
        <f t="shared" si="0"/>
        <v>387.35285133333332</v>
      </c>
      <c r="D39" s="40">
        <f t="shared" si="3"/>
        <v>393.32131318429384</v>
      </c>
      <c r="E39" s="40">
        <f t="shared" si="4"/>
        <v>39509.990835999939</v>
      </c>
      <c r="F39" s="40">
        <f t="shared" si="1"/>
        <v>40290.665000517569</v>
      </c>
      <c r="G39" s="40">
        <f t="shared" si="5"/>
        <v>785081.2102528041</v>
      </c>
      <c r="H39" s="40">
        <f t="shared" si="2"/>
        <v>780.6741645176271</v>
      </c>
      <c r="P39" s="101">
        <v>2022</v>
      </c>
      <c r="Q39" s="72">
        <f t="shared" ref="Q39:V39" si="15">I129</f>
        <v>4648.2342159999989</v>
      </c>
      <c r="R39" s="72">
        <f t="shared" si="15"/>
        <v>847.74108278555457</v>
      </c>
      <c r="S39" s="72">
        <f t="shared" si="15"/>
        <v>81344.098779998778</v>
      </c>
      <c r="T39" s="72">
        <f t="shared" si="15"/>
        <v>86840.074078784324</v>
      </c>
      <c r="U39" s="72">
        <f t="shared" si="15"/>
        <v>33291042.09256351</v>
      </c>
      <c r="V39" s="72">
        <f t="shared" si="15"/>
        <v>5495.9752987855536</v>
      </c>
    </row>
    <row r="40" spans="1:23" x14ac:dyDescent="0.25">
      <c r="A40" s="139">
        <v>19</v>
      </c>
      <c r="B40" s="139"/>
      <c r="C40" s="40">
        <f t="shared" si="0"/>
        <v>387.35285133333332</v>
      </c>
      <c r="D40" s="40">
        <f t="shared" si="3"/>
        <v>389.50265965823274</v>
      </c>
      <c r="E40" s="40">
        <f t="shared" si="4"/>
        <v>39122.637984666602</v>
      </c>
      <c r="F40" s="40">
        <f t="shared" si="1"/>
        <v>39899.493495658171</v>
      </c>
      <c r="G40" s="40">
        <f t="shared" si="5"/>
        <v>824980.70374846226</v>
      </c>
      <c r="H40" s="40">
        <f t="shared" si="2"/>
        <v>776.85551099156601</v>
      </c>
      <c r="P40" s="101">
        <v>2023</v>
      </c>
      <c r="Q40" s="72">
        <f t="shared" ref="Q40:V40" si="16">I141</f>
        <v>4648.2342159999989</v>
      </c>
      <c r="R40" s="72">
        <f t="shared" si="16"/>
        <v>297.85497503275485</v>
      </c>
      <c r="S40" s="72">
        <f t="shared" si="16"/>
        <v>25565.288187998805</v>
      </c>
      <c r="T40" s="72">
        <f t="shared" si="16"/>
        <v>30511.377379031557</v>
      </c>
      <c r="U40" s="72">
        <f t="shared" si="16"/>
        <v>33966986.452960528</v>
      </c>
      <c r="V40" s="72">
        <f t="shared" si="16"/>
        <v>4946.0891910327537</v>
      </c>
    </row>
    <row r="41" spans="1:23" x14ac:dyDescent="0.25">
      <c r="A41" s="139">
        <v>20</v>
      </c>
      <c r="B41" s="139"/>
      <c r="C41" s="40">
        <f t="shared" si="0"/>
        <v>387.35285133333332</v>
      </c>
      <c r="D41" s="40">
        <f t="shared" si="3"/>
        <v>385.68400613217153</v>
      </c>
      <c r="E41" s="40">
        <f t="shared" si="4"/>
        <v>38735.285133333266</v>
      </c>
      <c r="F41" s="40">
        <f t="shared" si="1"/>
        <v>39508.321990798773</v>
      </c>
      <c r="G41" s="40">
        <f t="shared" si="5"/>
        <v>864489.02573926107</v>
      </c>
      <c r="H41" s="40">
        <f t="shared" si="2"/>
        <v>773.03685746550491</v>
      </c>
    </row>
    <row r="42" spans="1:23" x14ac:dyDescent="0.25">
      <c r="A42" s="139">
        <v>21</v>
      </c>
      <c r="B42" s="139"/>
      <c r="C42" s="40">
        <f t="shared" si="0"/>
        <v>387.35285133333332</v>
      </c>
      <c r="D42" s="40">
        <f t="shared" si="3"/>
        <v>381.86535260611043</v>
      </c>
      <c r="E42" s="40">
        <f t="shared" si="4"/>
        <v>38347.932281999929</v>
      </c>
      <c r="F42" s="40">
        <f t="shared" si="1"/>
        <v>39117.150485939375</v>
      </c>
      <c r="G42" s="40">
        <f t="shared" si="5"/>
        <v>903606.17622520041</v>
      </c>
      <c r="H42" s="40">
        <f t="shared" si="2"/>
        <v>769.21820393944381</v>
      </c>
    </row>
    <row r="43" spans="1:23" x14ac:dyDescent="0.25">
      <c r="A43" s="139">
        <v>22</v>
      </c>
      <c r="B43" s="139"/>
      <c r="C43" s="40">
        <f t="shared" si="0"/>
        <v>387.35285133333332</v>
      </c>
      <c r="D43" s="40">
        <f t="shared" si="3"/>
        <v>378.04669908004934</v>
      </c>
      <c r="E43" s="40">
        <f t="shared" si="4"/>
        <v>37960.579430666592</v>
      </c>
      <c r="F43" s="40">
        <f t="shared" si="1"/>
        <v>38725.978981079978</v>
      </c>
      <c r="G43" s="40">
        <f t="shared" si="5"/>
        <v>942332.15520628041</v>
      </c>
      <c r="H43" s="40">
        <f t="shared" si="2"/>
        <v>765.39955041338271</v>
      </c>
      <c r="I43" s="140" t="s">
        <v>332</v>
      </c>
      <c r="J43" s="140"/>
      <c r="K43" s="140"/>
      <c r="L43" s="140"/>
      <c r="M43" s="140"/>
      <c r="N43" s="140"/>
    </row>
    <row r="44" spans="1:23" x14ac:dyDescent="0.25">
      <c r="A44" s="139">
        <v>23</v>
      </c>
      <c r="B44" s="139"/>
      <c r="C44" s="40">
        <f t="shared" si="0"/>
        <v>387.35285133333332</v>
      </c>
      <c r="D44" s="40">
        <f t="shared" si="3"/>
        <v>374.22804555398818</v>
      </c>
      <c r="E44" s="40">
        <f t="shared" si="4"/>
        <v>37573.226579333255</v>
      </c>
      <c r="F44" s="40">
        <f t="shared" si="1"/>
        <v>38334.80747622058</v>
      </c>
      <c r="G44" s="40">
        <f t="shared" si="5"/>
        <v>980666.96268250095</v>
      </c>
      <c r="H44" s="40">
        <f t="shared" si="2"/>
        <v>761.5808968873215</v>
      </c>
      <c r="I44" s="15" t="s">
        <v>325</v>
      </c>
      <c r="J44" s="15" t="s">
        <v>326</v>
      </c>
      <c r="K44" s="15" t="s">
        <v>327</v>
      </c>
      <c r="L44" s="15" t="s">
        <v>328</v>
      </c>
      <c r="M44" s="15" t="s">
        <v>329</v>
      </c>
      <c r="N44" s="15" t="s">
        <v>330</v>
      </c>
    </row>
    <row r="45" spans="1:23" x14ac:dyDescent="0.25">
      <c r="A45" s="139">
        <v>24</v>
      </c>
      <c r="B45" s="139"/>
      <c r="C45" s="40">
        <f t="shared" si="0"/>
        <v>387.35285133333332</v>
      </c>
      <c r="D45" s="40">
        <f t="shared" si="3"/>
        <v>370.40939202792708</v>
      </c>
      <c r="E45" s="40">
        <f t="shared" si="4"/>
        <v>37185.873727999919</v>
      </c>
      <c r="F45" s="40">
        <f t="shared" si="1"/>
        <v>37943.635971361182</v>
      </c>
      <c r="G45" s="40">
        <f t="shared" si="5"/>
        <v>1018610.5986538621</v>
      </c>
      <c r="H45" s="40">
        <f t="shared" si="2"/>
        <v>757.7622433612604</v>
      </c>
      <c r="I45" s="72">
        <f t="shared" ref="I45:N45" si="17">SUM(C34:C45)</f>
        <v>4648.2342159999989</v>
      </c>
      <c r="J45" s="72">
        <f t="shared" si="17"/>
        <v>4696.9438370551597</v>
      </c>
      <c r="K45" s="72">
        <f t="shared" si="17"/>
        <v>471795.77292399923</v>
      </c>
      <c r="L45" s="72">
        <f t="shared" si="17"/>
        <v>481140.95097705448</v>
      </c>
      <c r="M45" s="72">
        <f t="shared" si="17"/>
        <v>9632989.4786674399</v>
      </c>
      <c r="N45" s="72">
        <f t="shared" si="17"/>
        <v>9345.1780530551587</v>
      </c>
    </row>
    <row r="46" spans="1:23" x14ac:dyDescent="0.25">
      <c r="A46" s="139">
        <v>25</v>
      </c>
      <c r="B46" s="139"/>
      <c r="C46" s="40">
        <f t="shared" si="0"/>
        <v>387.35285133333332</v>
      </c>
      <c r="D46" s="40">
        <f t="shared" si="3"/>
        <v>366.59073850186593</v>
      </c>
      <c r="E46" s="40">
        <f t="shared" si="4"/>
        <v>36798.520876666582</v>
      </c>
      <c r="F46" s="40">
        <f t="shared" si="1"/>
        <v>37552.464466501784</v>
      </c>
      <c r="G46" s="40">
        <f t="shared" si="5"/>
        <v>1056163.063120364</v>
      </c>
      <c r="H46" s="40">
        <f t="shared" si="2"/>
        <v>753.94358983519919</v>
      </c>
    </row>
    <row r="47" spans="1:23" x14ac:dyDescent="0.25">
      <c r="A47" s="139">
        <v>26</v>
      </c>
      <c r="B47" s="139"/>
      <c r="C47" s="40">
        <f t="shared" si="0"/>
        <v>387.35285133333332</v>
      </c>
      <c r="D47" s="40">
        <f t="shared" si="3"/>
        <v>362.77208497580466</v>
      </c>
      <c r="E47" s="40">
        <f t="shared" si="4"/>
        <v>36411.168025333245</v>
      </c>
      <c r="F47" s="40">
        <f t="shared" si="1"/>
        <v>37161.292961642386</v>
      </c>
      <c r="G47" s="40">
        <f t="shared" si="5"/>
        <v>1093324.3560820064</v>
      </c>
      <c r="H47" s="40">
        <f t="shared" si="2"/>
        <v>750.12493630913798</v>
      </c>
    </row>
    <row r="48" spans="1:23" x14ac:dyDescent="0.25">
      <c r="A48" s="139">
        <v>27</v>
      </c>
      <c r="B48" s="139"/>
      <c r="C48" s="40">
        <f t="shared" si="0"/>
        <v>387.35285133333332</v>
      </c>
      <c r="D48" s="40">
        <f t="shared" si="3"/>
        <v>358.95343144974356</v>
      </c>
      <c r="E48" s="40">
        <f t="shared" si="4"/>
        <v>36023.815173999908</v>
      </c>
      <c r="F48" s="40">
        <f t="shared" si="1"/>
        <v>36770.121456782988</v>
      </c>
      <c r="G48" s="40">
        <f t="shared" si="5"/>
        <v>1130094.4775387894</v>
      </c>
      <c r="H48" s="40">
        <f t="shared" si="2"/>
        <v>746.30628278307688</v>
      </c>
    </row>
    <row r="49" spans="1:14" x14ac:dyDescent="0.25">
      <c r="A49" s="139">
        <v>28</v>
      </c>
      <c r="B49" s="139"/>
      <c r="C49" s="40">
        <f t="shared" si="0"/>
        <v>387.35285133333332</v>
      </c>
      <c r="D49" s="40">
        <f t="shared" si="3"/>
        <v>355.13477792368246</v>
      </c>
      <c r="E49" s="40">
        <f t="shared" si="4"/>
        <v>35636.462322666572</v>
      </c>
      <c r="F49" s="40">
        <f t="shared" si="1"/>
        <v>36378.949951923591</v>
      </c>
      <c r="G49" s="40">
        <f t="shared" si="5"/>
        <v>1166473.4274907131</v>
      </c>
      <c r="H49" s="40">
        <f t="shared" si="2"/>
        <v>742.48762925701578</v>
      </c>
    </row>
    <row r="50" spans="1:14" x14ac:dyDescent="0.25">
      <c r="A50" s="139">
        <v>29</v>
      </c>
      <c r="B50" s="139"/>
      <c r="C50" s="40">
        <f t="shared" si="0"/>
        <v>387.35285133333332</v>
      </c>
      <c r="D50" s="40">
        <f t="shared" si="3"/>
        <v>351.31612439762137</v>
      </c>
      <c r="E50" s="40">
        <f t="shared" si="4"/>
        <v>35249.109471333235</v>
      </c>
      <c r="F50" s="40">
        <f t="shared" si="1"/>
        <v>35987.778447064193</v>
      </c>
      <c r="G50" s="40">
        <f t="shared" si="5"/>
        <v>1202461.2059377772</v>
      </c>
      <c r="H50" s="40">
        <f t="shared" si="2"/>
        <v>738.66897573095468</v>
      </c>
    </row>
    <row r="51" spans="1:14" x14ac:dyDescent="0.25">
      <c r="A51" s="139">
        <v>30</v>
      </c>
      <c r="B51" s="139"/>
      <c r="C51" s="40">
        <f t="shared" si="0"/>
        <v>387.35285133333332</v>
      </c>
      <c r="D51" s="40">
        <f t="shared" si="3"/>
        <v>347.49747087156015</v>
      </c>
      <c r="E51" s="40">
        <f t="shared" si="4"/>
        <v>34861.756619999898</v>
      </c>
      <c r="F51" s="40">
        <f t="shared" si="1"/>
        <v>35596.606942204795</v>
      </c>
      <c r="G51" s="40">
        <f t="shared" si="5"/>
        <v>1238057.8128799819</v>
      </c>
      <c r="H51" s="40">
        <f t="shared" si="2"/>
        <v>734.85032220489347</v>
      </c>
    </row>
    <row r="52" spans="1:14" x14ac:dyDescent="0.25">
      <c r="A52" s="139">
        <v>31</v>
      </c>
      <c r="B52" s="139"/>
      <c r="C52" s="40">
        <f t="shared" si="0"/>
        <v>387.35285133333332</v>
      </c>
      <c r="D52" s="40">
        <f t="shared" si="3"/>
        <v>343.678817345499</v>
      </c>
      <c r="E52" s="40">
        <f t="shared" si="4"/>
        <v>34474.403768666562</v>
      </c>
      <c r="F52" s="40">
        <f t="shared" si="1"/>
        <v>35205.435437345397</v>
      </c>
      <c r="G52" s="40">
        <f t="shared" si="5"/>
        <v>1273263.2483173274</v>
      </c>
      <c r="H52" s="40">
        <f t="shared" si="2"/>
        <v>731.03166867883238</v>
      </c>
    </row>
    <row r="53" spans="1:14" x14ac:dyDescent="0.25">
      <c r="A53" s="139">
        <v>32</v>
      </c>
      <c r="B53" s="139"/>
      <c r="C53" s="40">
        <f t="shared" si="0"/>
        <v>387.35285133333332</v>
      </c>
      <c r="D53" s="40">
        <f t="shared" si="3"/>
        <v>339.86016381943784</v>
      </c>
      <c r="E53" s="40">
        <f t="shared" si="4"/>
        <v>34087.050917333225</v>
      </c>
      <c r="F53" s="40">
        <f t="shared" si="1"/>
        <v>34814.263932485999</v>
      </c>
      <c r="G53" s="40">
        <f t="shared" si="5"/>
        <v>1308077.5122498134</v>
      </c>
      <c r="H53" s="40">
        <f t="shared" si="2"/>
        <v>727.21301515277116</v>
      </c>
    </row>
    <row r="54" spans="1:14" x14ac:dyDescent="0.25">
      <c r="A54" s="139">
        <v>33</v>
      </c>
      <c r="B54" s="139"/>
      <c r="C54" s="40">
        <f t="shared" ref="C54:C85" si="18">$U$7/$U$10</f>
        <v>387.35285133333332</v>
      </c>
      <c r="D54" s="40">
        <f t="shared" si="3"/>
        <v>336.04151029337669</v>
      </c>
      <c r="E54" s="40">
        <f t="shared" si="4"/>
        <v>33699.698065999888</v>
      </c>
      <c r="F54" s="40">
        <f t="shared" ref="F54:F85" si="19">SUM(C54:E54)</f>
        <v>34423.092427626601</v>
      </c>
      <c r="G54" s="40">
        <f t="shared" si="5"/>
        <v>1342500.6046774401</v>
      </c>
      <c r="H54" s="40">
        <f t="shared" ref="H54:H85" si="20">C54+D54</f>
        <v>723.39436162670995</v>
      </c>
    </row>
    <row r="55" spans="1:14" x14ac:dyDescent="0.25">
      <c r="A55" s="139">
        <v>34</v>
      </c>
      <c r="B55" s="139"/>
      <c r="C55" s="40">
        <f t="shared" si="18"/>
        <v>387.35285133333332</v>
      </c>
      <c r="D55" s="40">
        <f t="shared" ref="D55:D86" si="21">(E54*$U$11*$U$9)/360</f>
        <v>332.22285676731559</v>
      </c>
      <c r="E55" s="40">
        <f t="shared" ref="E55:E86" si="22">E54-C54</f>
        <v>33312.345214666551</v>
      </c>
      <c r="F55" s="40">
        <f t="shared" si="19"/>
        <v>34031.920922767204</v>
      </c>
      <c r="G55" s="40">
        <f t="shared" ref="G55:G86" si="23">G54+F55</f>
        <v>1376532.5256002073</v>
      </c>
      <c r="H55" s="40">
        <f t="shared" si="20"/>
        <v>719.57570810064885</v>
      </c>
      <c r="I55" s="140" t="s">
        <v>332</v>
      </c>
      <c r="J55" s="140"/>
      <c r="K55" s="140"/>
      <c r="L55" s="140"/>
      <c r="M55" s="140"/>
      <c r="N55" s="140"/>
    </row>
    <row r="56" spans="1:14" x14ac:dyDescent="0.25">
      <c r="A56" s="139">
        <v>35</v>
      </c>
      <c r="B56" s="139"/>
      <c r="C56" s="40">
        <f t="shared" si="18"/>
        <v>387.35285133333332</v>
      </c>
      <c r="D56" s="40">
        <f t="shared" si="21"/>
        <v>328.40420324125444</v>
      </c>
      <c r="E56" s="40">
        <f t="shared" si="22"/>
        <v>32924.992363333215</v>
      </c>
      <c r="F56" s="40">
        <f t="shared" si="19"/>
        <v>33640.749417907806</v>
      </c>
      <c r="G56" s="40">
        <f t="shared" si="23"/>
        <v>1410173.2750181151</v>
      </c>
      <c r="H56" s="40">
        <f t="shared" si="20"/>
        <v>715.75705457458776</v>
      </c>
      <c r="I56" s="15" t="s">
        <v>325</v>
      </c>
      <c r="J56" s="15" t="s">
        <v>326</v>
      </c>
      <c r="K56" s="15" t="s">
        <v>327</v>
      </c>
      <c r="L56" s="15" t="s">
        <v>328</v>
      </c>
      <c r="M56" s="15" t="s">
        <v>329</v>
      </c>
      <c r="N56" s="15" t="s">
        <v>330</v>
      </c>
    </row>
    <row r="57" spans="1:14" x14ac:dyDescent="0.25">
      <c r="A57" s="139">
        <v>36</v>
      </c>
      <c r="B57" s="139"/>
      <c r="C57" s="40">
        <f t="shared" si="18"/>
        <v>387.35285133333332</v>
      </c>
      <c r="D57" s="40">
        <f t="shared" si="21"/>
        <v>324.58554971519328</v>
      </c>
      <c r="E57" s="40">
        <f t="shared" si="22"/>
        <v>32537.639511999882</v>
      </c>
      <c r="F57" s="40">
        <f t="shared" si="19"/>
        <v>33249.577913048408</v>
      </c>
      <c r="G57" s="40">
        <f t="shared" si="23"/>
        <v>1443422.8529311635</v>
      </c>
      <c r="H57" s="40">
        <f t="shared" si="20"/>
        <v>711.93840104852666</v>
      </c>
      <c r="I57" s="72">
        <f t="shared" ref="I57:N57" si="24">SUM(C46:C57)</f>
        <v>4648.2342159999989</v>
      </c>
      <c r="J57" s="72">
        <f t="shared" si="24"/>
        <v>4147.0577293023553</v>
      </c>
      <c r="K57" s="72">
        <f t="shared" si="24"/>
        <v>416016.9623319988</v>
      </c>
      <c r="L57" s="72">
        <f t="shared" si="24"/>
        <v>424812.25427730108</v>
      </c>
      <c r="M57" s="72">
        <f t="shared" si="24"/>
        <v>15040544.361843701</v>
      </c>
      <c r="N57" s="72">
        <f t="shared" si="24"/>
        <v>8795.2919453023533</v>
      </c>
    </row>
    <row r="58" spans="1:14" x14ac:dyDescent="0.25">
      <c r="A58" s="139">
        <v>37</v>
      </c>
      <c r="B58" s="139"/>
      <c r="C58" s="40">
        <f t="shared" si="18"/>
        <v>387.35285133333332</v>
      </c>
      <c r="D58" s="40">
        <f t="shared" si="21"/>
        <v>320.76689618913218</v>
      </c>
      <c r="E58" s="40">
        <f t="shared" si="22"/>
        <v>32150.286660666548</v>
      </c>
      <c r="F58" s="40">
        <f t="shared" si="19"/>
        <v>32858.406408189017</v>
      </c>
      <c r="G58" s="40">
        <f t="shared" si="23"/>
        <v>1476281.2593393526</v>
      </c>
      <c r="H58" s="40">
        <f t="shared" si="20"/>
        <v>708.11974752246556</v>
      </c>
    </row>
    <row r="59" spans="1:14" x14ac:dyDescent="0.25">
      <c r="A59" s="139">
        <v>38</v>
      </c>
      <c r="B59" s="139"/>
      <c r="C59" s="40">
        <f t="shared" si="18"/>
        <v>387.35285133333332</v>
      </c>
      <c r="D59" s="40">
        <f t="shared" si="21"/>
        <v>316.94824266307108</v>
      </c>
      <c r="E59" s="40">
        <f t="shared" si="22"/>
        <v>31762.933809333215</v>
      </c>
      <c r="F59" s="40">
        <f t="shared" si="19"/>
        <v>32467.23490332962</v>
      </c>
      <c r="G59" s="40">
        <f t="shared" si="23"/>
        <v>1508748.4942426821</v>
      </c>
      <c r="H59" s="40">
        <f t="shared" si="20"/>
        <v>704.30109399640446</v>
      </c>
    </row>
    <row r="60" spans="1:14" x14ac:dyDescent="0.25">
      <c r="A60" s="139">
        <v>39</v>
      </c>
      <c r="B60" s="139"/>
      <c r="C60" s="40">
        <f t="shared" si="18"/>
        <v>387.35285133333332</v>
      </c>
      <c r="D60" s="40">
        <f t="shared" si="21"/>
        <v>313.12958913700999</v>
      </c>
      <c r="E60" s="40">
        <f t="shared" si="22"/>
        <v>31375.580957999882</v>
      </c>
      <c r="F60" s="40">
        <f t="shared" si="19"/>
        <v>32076.063398470225</v>
      </c>
      <c r="G60" s="40">
        <f t="shared" si="23"/>
        <v>1540824.5576411523</v>
      </c>
      <c r="H60" s="40">
        <f t="shared" si="20"/>
        <v>700.48244047034336</v>
      </c>
    </row>
    <row r="61" spans="1:14" x14ac:dyDescent="0.25">
      <c r="A61" s="139">
        <v>40</v>
      </c>
      <c r="B61" s="139"/>
      <c r="C61" s="40">
        <f t="shared" si="18"/>
        <v>387.35285133333332</v>
      </c>
      <c r="D61" s="40">
        <f t="shared" si="21"/>
        <v>309.31093561094883</v>
      </c>
      <c r="E61" s="40">
        <f t="shared" si="22"/>
        <v>30988.228106666549</v>
      </c>
      <c r="F61" s="40">
        <f t="shared" si="19"/>
        <v>31684.891893610831</v>
      </c>
      <c r="G61" s="40">
        <f t="shared" si="23"/>
        <v>1572509.4495347631</v>
      </c>
      <c r="H61" s="40">
        <f t="shared" si="20"/>
        <v>696.66378694428215</v>
      </c>
    </row>
    <row r="62" spans="1:14" x14ac:dyDescent="0.25">
      <c r="A62" s="139">
        <v>41</v>
      </c>
      <c r="B62" s="139"/>
      <c r="C62" s="40">
        <f t="shared" si="18"/>
        <v>387.35285133333332</v>
      </c>
      <c r="D62" s="40">
        <f t="shared" si="21"/>
        <v>305.49228208488773</v>
      </c>
      <c r="E62" s="40">
        <f t="shared" si="22"/>
        <v>30600.875255333216</v>
      </c>
      <c r="F62" s="40">
        <f t="shared" si="19"/>
        <v>31293.720388751437</v>
      </c>
      <c r="G62" s="40">
        <f t="shared" si="23"/>
        <v>1603803.1699235146</v>
      </c>
      <c r="H62" s="40">
        <f t="shared" si="20"/>
        <v>692.84513341822105</v>
      </c>
    </row>
    <row r="63" spans="1:14" x14ac:dyDescent="0.25">
      <c r="A63" s="139">
        <v>42</v>
      </c>
      <c r="B63" s="139"/>
      <c r="C63" s="40">
        <f t="shared" si="18"/>
        <v>387.35285133333332</v>
      </c>
      <c r="D63" s="40">
        <f t="shared" si="21"/>
        <v>301.67362855882664</v>
      </c>
      <c r="E63" s="40">
        <f t="shared" si="22"/>
        <v>30213.522403999883</v>
      </c>
      <c r="F63" s="40">
        <f t="shared" si="19"/>
        <v>30902.548883892043</v>
      </c>
      <c r="G63" s="40">
        <f t="shared" si="23"/>
        <v>1634705.7188074067</v>
      </c>
      <c r="H63" s="40">
        <f t="shared" si="20"/>
        <v>689.02647989215995</v>
      </c>
    </row>
    <row r="64" spans="1:14" x14ac:dyDescent="0.25">
      <c r="A64" s="139">
        <v>43</v>
      </c>
      <c r="B64" s="139"/>
      <c r="C64" s="40">
        <f t="shared" si="18"/>
        <v>387.35285133333332</v>
      </c>
      <c r="D64" s="40">
        <f t="shared" si="21"/>
        <v>297.85497503276554</v>
      </c>
      <c r="E64" s="40">
        <f t="shared" si="22"/>
        <v>29826.16955266655</v>
      </c>
      <c r="F64" s="40">
        <f t="shared" si="19"/>
        <v>30511.377379032649</v>
      </c>
      <c r="G64" s="40">
        <f t="shared" si="23"/>
        <v>1665217.0961864393</v>
      </c>
      <c r="H64" s="40">
        <f t="shared" si="20"/>
        <v>685.20782636609886</v>
      </c>
    </row>
    <row r="65" spans="1:14" x14ac:dyDescent="0.25">
      <c r="A65" s="139">
        <v>44</v>
      </c>
      <c r="B65" s="139"/>
      <c r="C65" s="40">
        <f t="shared" si="18"/>
        <v>387.35285133333332</v>
      </c>
      <c r="D65" s="40">
        <f t="shared" si="21"/>
        <v>294.03632150670438</v>
      </c>
      <c r="E65" s="40">
        <f t="shared" si="22"/>
        <v>29438.816701333217</v>
      </c>
      <c r="F65" s="40">
        <f t="shared" si="19"/>
        <v>30120.205874173254</v>
      </c>
      <c r="G65" s="40">
        <f t="shared" si="23"/>
        <v>1695337.3020606125</v>
      </c>
      <c r="H65" s="40">
        <f t="shared" si="20"/>
        <v>681.38917284003765</v>
      </c>
    </row>
    <row r="66" spans="1:14" x14ac:dyDescent="0.25">
      <c r="A66" s="139">
        <v>45</v>
      </c>
      <c r="B66" s="139"/>
      <c r="C66" s="40">
        <f t="shared" si="18"/>
        <v>387.35285133333332</v>
      </c>
      <c r="D66" s="40">
        <f t="shared" si="21"/>
        <v>290.21766798064328</v>
      </c>
      <c r="E66" s="40">
        <f t="shared" si="22"/>
        <v>29051.463849999884</v>
      </c>
      <c r="F66" s="40">
        <f t="shared" si="19"/>
        <v>29729.03436931386</v>
      </c>
      <c r="G66" s="40">
        <f t="shared" si="23"/>
        <v>1725066.3364299263</v>
      </c>
      <c r="H66" s="40">
        <f t="shared" si="20"/>
        <v>677.57051931397655</v>
      </c>
    </row>
    <row r="67" spans="1:14" x14ac:dyDescent="0.25">
      <c r="A67" s="139">
        <v>46</v>
      </c>
      <c r="B67" s="139"/>
      <c r="C67" s="40">
        <f t="shared" si="18"/>
        <v>387.35285133333332</v>
      </c>
      <c r="D67" s="40">
        <f t="shared" si="21"/>
        <v>286.39901445458219</v>
      </c>
      <c r="E67" s="40">
        <f t="shared" si="22"/>
        <v>28664.110998666551</v>
      </c>
      <c r="F67" s="40">
        <f t="shared" si="19"/>
        <v>29337.862864454466</v>
      </c>
      <c r="G67" s="40">
        <f t="shared" si="23"/>
        <v>1754404.1992943808</v>
      </c>
      <c r="H67" s="40">
        <f t="shared" si="20"/>
        <v>673.75186578791545</v>
      </c>
      <c r="I67" s="140" t="s">
        <v>332</v>
      </c>
      <c r="J67" s="140"/>
      <c r="K67" s="140"/>
      <c r="L67" s="140"/>
      <c r="M67" s="140"/>
      <c r="N67" s="140"/>
    </row>
    <row r="68" spans="1:14" x14ac:dyDescent="0.25">
      <c r="A68" s="139">
        <v>47</v>
      </c>
      <c r="B68" s="139"/>
      <c r="C68" s="40">
        <f t="shared" si="18"/>
        <v>387.35285133333332</v>
      </c>
      <c r="D68" s="40">
        <f t="shared" si="21"/>
        <v>282.58036092852103</v>
      </c>
      <c r="E68" s="40">
        <f t="shared" si="22"/>
        <v>28276.758147333217</v>
      </c>
      <c r="F68" s="40">
        <f t="shared" si="19"/>
        <v>28946.691359595072</v>
      </c>
      <c r="G68" s="40">
        <f t="shared" si="23"/>
        <v>1783350.890653976</v>
      </c>
      <c r="H68" s="40">
        <f t="shared" si="20"/>
        <v>669.93321226185435</v>
      </c>
      <c r="I68" s="15" t="s">
        <v>325</v>
      </c>
      <c r="J68" s="15" t="s">
        <v>326</v>
      </c>
      <c r="K68" s="15" t="s">
        <v>327</v>
      </c>
      <c r="L68" s="15" t="s">
        <v>328</v>
      </c>
      <c r="M68" s="15" t="s">
        <v>329</v>
      </c>
      <c r="N68" s="15" t="s">
        <v>330</v>
      </c>
    </row>
    <row r="69" spans="1:14" x14ac:dyDescent="0.25">
      <c r="A69" s="139">
        <v>48</v>
      </c>
      <c r="B69" s="139"/>
      <c r="C69" s="40">
        <f t="shared" si="18"/>
        <v>387.35285133333332</v>
      </c>
      <c r="D69" s="40">
        <f t="shared" si="21"/>
        <v>278.76170740245993</v>
      </c>
      <c r="E69" s="40">
        <f t="shared" si="22"/>
        <v>27889.405295999884</v>
      </c>
      <c r="F69" s="40">
        <f t="shared" si="19"/>
        <v>28555.519854735678</v>
      </c>
      <c r="G69" s="40">
        <f t="shared" si="23"/>
        <v>1811906.4105087116</v>
      </c>
      <c r="H69" s="40">
        <f t="shared" si="20"/>
        <v>666.11455873579325</v>
      </c>
      <c r="I69" s="72">
        <f t="shared" ref="I69:N69" si="25">SUM(C58:C69)</f>
        <v>4648.2342159999989</v>
      </c>
      <c r="J69" s="72">
        <f t="shared" si="25"/>
        <v>3597.1716215495535</v>
      </c>
      <c r="K69" s="72">
        <f t="shared" si="25"/>
        <v>360238.1517399986</v>
      </c>
      <c r="L69" s="72">
        <f t="shared" si="25"/>
        <v>368483.55757754814</v>
      </c>
      <c r="M69" s="72">
        <f t="shared" si="25"/>
        <v>19772154.884622917</v>
      </c>
      <c r="N69" s="72">
        <f t="shared" si="25"/>
        <v>8245.4058375495515</v>
      </c>
    </row>
    <row r="70" spans="1:14" x14ac:dyDescent="0.25">
      <c r="A70" s="139">
        <v>49</v>
      </c>
      <c r="B70" s="139"/>
      <c r="C70" s="40">
        <f t="shared" si="18"/>
        <v>387.35285133333332</v>
      </c>
      <c r="D70" s="40">
        <f t="shared" si="21"/>
        <v>274.94305387639884</v>
      </c>
      <c r="E70" s="40">
        <f t="shared" si="22"/>
        <v>27502.052444666551</v>
      </c>
      <c r="F70" s="40">
        <f t="shared" si="19"/>
        <v>28164.348349876283</v>
      </c>
      <c r="G70" s="40">
        <f t="shared" si="23"/>
        <v>1840070.7588585878</v>
      </c>
      <c r="H70" s="40">
        <f t="shared" si="20"/>
        <v>662.29590520973215</v>
      </c>
    </row>
    <row r="71" spans="1:14" x14ac:dyDescent="0.25">
      <c r="A71" s="139">
        <v>50</v>
      </c>
      <c r="B71" s="139"/>
      <c r="C71" s="40">
        <f t="shared" si="18"/>
        <v>387.35285133333332</v>
      </c>
      <c r="D71" s="40">
        <f t="shared" si="21"/>
        <v>271.12440035033774</v>
      </c>
      <c r="E71" s="40">
        <f t="shared" si="22"/>
        <v>27114.699593333218</v>
      </c>
      <c r="F71" s="40">
        <f t="shared" si="19"/>
        <v>27773.176845016889</v>
      </c>
      <c r="G71" s="40">
        <f t="shared" si="23"/>
        <v>1867843.9357036047</v>
      </c>
      <c r="H71" s="40">
        <f t="shared" si="20"/>
        <v>658.47725168367106</v>
      </c>
    </row>
    <row r="72" spans="1:14" x14ac:dyDescent="0.25">
      <c r="A72" s="139">
        <v>51</v>
      </c>
      <c r="B72" s="139"/>
      <c r="C72" s="40">
        <f t="shared" si="18"/>
        <v>387.35285133333332</v>
      </c>
      <c r="D72" s="40">
        <f t="shared" si="21"/>
        <v>267.30574682427664</v>
      </c>
      <c r="E72" s="40">
        <f t="shared" si="22"/>
        <v>26727.346741999885</v>
      </c>
      <c r="F72" s="40">
        <f t="shared" si="19"/>
        <v>27382.005340157495</v>
      </c>
      <c r="G72" s="40">
        <f t="shared" si="23"/>
        <v>1895225.9410437623</v>
      </c>
      <c r="H72" s="40">
        <f t="shared" si="20"/>
        <v>654.65859815760996</v>
      </c>
    </row>
    <row r="73" spans="1:14" x14ac:dyDescent="0.25">
      <c r="A73" s="139">
        <v>52</v>
      </c>
      <c r="B73" s="139"/>
      <c r="C73" s="40">
        <f t="shared" si="18"/>
        <v>387.35285133333332</v>
      </c>
      <c r="D73" s="40">
        <f t="shared" si="21"/>
        <v>263.48709329821554</v>
      </c>
      <c r="E73" s="40">
        <f t="shared" si="22"/>
        <v>26339.993890666552</v>
      </c>
      <c r="F73" s="40">
        <f t="shared" si="19"/>
        <v>26990.833835298101</v>
      </c>
      <c r="G73" s="40">
        <f t="shared" si="23"/>
        <v>1922216.7748790605</v>
      </c>
      <c r="H73" s="40">
        <f t="shared" si="20"/>
        <v>650.83994463154886</v>
      </c>
    </row>
    <row r="74" spans="1:14" x14ac:dyDescent="0.25">
      <c r="A74" s="139">
        <v>53</v>
      </c>
      <c r="B74" s="139"/>
      <c r="C74" s="40">
        <f t="shared" si="18"/>
        <v>387.35285133333332</v>
      </c>
      <c r="D74" s="40">
        <f t="shared" si="21"/>
        <v>259.66843977215444</v>
      </c>
      <c r="E74" s="40">
        <f t="shared" si="22"/>
        <v>25952.641039333219</v>
      </c>
      <c r="F74" s="40">
        <f t="shared" si="19"/>
        <v>26599.662330438707</v>
      </c>
      <c r="G74" s="40">
        <f t="shared" si="23"/>
        <v>1948816.4372094991</v>
      </c>
      <c r="H74" s="40">
        <f t="shared" si="20"/>
        <v>647.02129110548776</v>
      </c>
    </row>
    <row r="75" spans="1:14" x14ac:dyDescent="0.25">
      <c r="A75" s="139">
        <v>54</v>
      </c>
      <c r="B75" s="139"/>
      <c r="C75" s="40">
        <f t="shared" si="18"/>
        <v>387.35285133333332</v>
      </c>
      <c r="D75" s="40">
        <f t="shared" si="21"/>
        <v>255.84978624609329</v>
      </c>
      <c r="E75" s="40">
        <f t="shared" si="22"/>
        <v>25565.288187999886</v>
      </c>
      <c r="F75" s="40">
        <f t="shared" si="19"/>
        <v>26208.490825579313</v>
      </c>
      <c r="G75" s="40">
        <f t="shared" si="23"/>
        <v>1975024.9280350783</v>
      </c>
      <c r="H75" s="40">
        <f t="shared" si="20"/>
        <v>643.20263757942666</v>
      </c>
    </row>
    <row r="76" spans="1:14" x14ac:dyDescent="0.25">
      <c r="A76" s="139">
        <v>55</v>
      </c>
      <c r="B76" s="139"/>
      <c r="C76" s="40">
        <f t="shared" si="18"/>
        <v>387.35285133333332</v>
      </c>
      <c r="D76" s="40">
        <f t="shared" si="21"/>
        <v>252.03113272003219</v>
      </c>
      <c r="E76" s="40">
        <f t="shared" si="22"/>
        <v>25177.935336666553</v>
      </c>
      <c r="F76" s="40">
        <f t="shared" si="19"/>
        <v>25817.319320719918</v>
      </c>
      <c r="G76" s="40">
        <f t="shared" si="23"/>
        <v>2000842.2473557983</v>
      </c>
      <c r="H76" s="40">
        <f t="shared" si="20"/>
        <v>639.38398405336557</v>
      </c>
    </row>
    <row r="77" spans="1:14" x14ac:dyDescent="0.25">
      <c r="A77" s="139">
        <v>56</v>
      </c>
      <c r="B77" s="139"/>
      <c r="C77" s="40">
        <f t="shared" si="18"/>
        <v>387.35285133333332</v>
      </c>
      <c r="D77" s="40">
        <f t="shared" si="21"/>
        <v>248.21247919397109</v>
      </c>
      <c r="E77" s="40">
        <f t="shared" si="22"/>
        <v>24790.58248533322</v>
      </c>
      <c r="F77" s="40">
        <f t="shared" si="19"/>
        <v>25426.147815860524</v>
      </c>
      <c r="G77" s="40">
        <f t="shared" si="23"/>
        <v>2026268.3951716588</v>
      </c>
      <c r="H77" s="40">
        <f t="shared" si="20"/>
        <v>635.56533052730447</v>
      </c>
    </row>
    <row r="78" spans="1:14" x14ac:dyDescent="0.25">
      <c r="A78" s="139">
        <v>57</v>
      </c>
      <c r="B78" s="139"/>
      <c r="C78" s="40">
        <f t="shared" si="18"/>
        <v>387.35285133333332</v>
      </c>
      <c r="D78" s="40">
        <f t="shared" si="21"/>
        <v>244.39382566790999</v>
      </c>
      <c r="E78" s="40">
        <f t="shared" si="22"/>
        <v>24403.229633999887</v>
      </c>
      <c r="F78" s="40">
        <f t="shared" si="19"/>
        <v>25034.97631100113</v>
      </c>
      <c r="G78" s="40">
        <f t="shared" si="23"/>
        <v>2051303.3714826601</v>
      </c>
      <c r="H78" s="40">
        <f t="shared" si="20"/>
        <v>631.74667700124337</v>
      </c>
    </row>
    <row r="79" spans="1:14" x14ac:dyDescent="0.25">
      <c r="A79" s="139">
        <v>58</v>
      </c>
      <c r="B79" s="139"/>
      <c r="C79" s="40">
        <f t="shared" si="18"/>
        <v>387.35285133333332</v>
      </c>
      <c r="D79" s="40">
        <f t="shared" si="21"/>
        <v>240.57517214184887</v>
      </c>
      <c r="E79" s="40">
        <f t="shared" si="22"/>
        <v>24015.876782666553</v>
      </c>
      <c r="F79" s="40">
        <f t="shared" si="19"/>
        <v>24643.804806141736</v>
      </c>
      <c r="G79" s="40">
        <f t="shared" si="23"/>
        <v>2075947.1762888017</v>
      </c>
      <c r="H79" s="40">
        <f t="shared" si="20"/>
        <v>627.92802347518216</v>
      </c>
      <c r="I79" s="140" t="s">
        <v>332</v>
      </c>
      <c r="J79" s="140"/>
      <c r="K79" s="140"/>
      <c r="L79" s="140"/>
      <c r="M79" s="140"/>
      <c r="N79" s="140"/>
    </row>
    <row r="80" spans="1:14" x14ac:dyDescent="0.25">
      <c r="A80" s="139">
        <v>59</v>
      </c>
      <c r="B80" s="139"/>
      <c r="C80" s="40">
        <f t="shared" si="18"/>
        <v>387.35285133333332</v>
      </c>
      <c r="D80" s="40">
        <f t="shared" si="21"/>
        <v>236.75651861578777</v>
      </c>
      <c r="E80" s="40">
        <f t="shared" si="22"/>
        <v>23628.52393133322</v>
      </c>
      <c r="F80" s="40">
        <f t="shared" si="19"/>
        <v>24252.633301282342</v>
      </c>
      <c r="G80" s="40">
        <f t="shared" si="23"/>
        <v>2100199.809590084</v>
      </c>
      <c r="H80" s="40">
        <f t="shared" si="20"/>
        <v>624.10936994912106</v>
      </c>
      <c r="I80" s="15" t="s">
        <v>325</v>
      </c>
      <c r="J80" s="15" t="s">
        <v>326</v>
      </c>
      <c r="K80" s="15" t="s">
        <v>327</v>
      </c>
      <c r="L80" s="15" t="s">
        <v>328</v>
      </c>
      <c r="M80" s="15" t="s">
        <v>329</v>
      </c>
      <c r="N80" s="15" t="s">
        <v>330</v>
      </c>
    </row>
    <row r="81" spans="1:14" x14ac:dyDescent="0.25">
      <c r="A81" s="139">
        <v>60</v>
      </c>
      <c r="B81" s="139"/>
      <c r="C81" s="40">
        <f t="shared" si="18"/>
        <v>387.35285133333332</v>
      </c>
      <c r="D81" s="40">
        <f t="shared" si="21"/>
        <v>232.93786508972667</v>
      </c>
      <c r="E81" s="40">
        <f t="shared" si="22"/>
        <v>23241.171079999887</v>
      </c>
      <c r="F81" s="40">
        <f t="shared" si="19"/>
        <v>23861.461796422947</v>
      </c>
      <c r="G81" s="40">
        <f t="shared" si="23"/>
        <v>2124061.271386507</v>
      </c>
      <c r="H81" s="40">
        <f t="shared" si="20"/>
        <v>620.29071642305996</v>
      </c>
      <c r="I81" s="72">
        <f t="shared" ref="I81:N81" si="26">SUM(C70:C81)</f>
        <v>4648.2342159999989</v>
      </c>
      <c r="J81" s="72">
        <f t="shared" si="26"/>
        <v>3047.2855137967526</v>
      </c>
      <c r="K81" s="72">
        <f t="shared" si="26"/>
        <v>304459.34114799864</v>
      </c>
      <c r="L81" s="72">
        <f t="shared" si="26"/>
        <v>312154.86087779544</v>
      </c>
      <c r="M81" s="72">
        <f t="shared" si="26"/>
        <v>23827821.047005102</v>
      </c>
      <c r="N81" s="72">
        <f t="shared" si="26"/>
        <v>7695.5197297967534</v>
      </c>
    </row>
    <row r="82" spans="1:14" x14ac:dyDescent="0.25">
      <c r="A82" s="139">
        <v>61</v>
      </c>
      <c r="B82" s="139"/>
      <c r="C82" s="40">
        <f t="shared" si="18"/>
        <v>387.35285133333332</v>
      </c>
      <c r="D82" s="40">
        <f t="shared" si="21"/>
        <v>229.11921156366557</v>
      </c>
      <c r="E82" s="40">
        <f t="shared" si="22"/>
        <v>22853.818228666554</v>
      </c>
      <c r="F82" s="40">
        <f t="shared" si="19"/>
        <v>23470.290291563553</v>
      </c>
      <c r="G82" s="40">
        <f t="shared" si="23"/>
        <v>2147531.5616780706</v>
      </c>
      <c r="H82" s="40">
        <f t="shared" si="20"/>
        <v>616.47206289699886</v>
      </c>
    </row>
    <row r="83" spans="1:14" x14ac:dyDescent="0.25">
      <c r="A83" s="139">
        <v>62</v>
      </c>
      <c r="B83" s="139"/>
      <c r="C83" s="40">
        <f t="shared" si="18"/>
        <v>387.35285133333332</v>
      </c>
      <c r="D83" s="40">
        <f t="shared" si="21"/>
        <v>225.30055803760447</v>
      </c>
      <c r="E83" s="40">
        <f t="shared" si="22"/>
        <v>22466.465377333221</v>
      </c>
      <c r="F83" s="40">
        <f t="shared" si="19"/>
        <v>23079.118786704159</v>
      </c>
      <c r="G83" s="40">
        <f t="shared" si="23"/>
        <v>2170610.6804647748</v>
      </c>
      <c r="H83" s="40">
        <f t="shared" si="20"/>
        <v>612.65340937093777</v>
      </c>
    </row>
    <row r="84" spans="1:14" x14ac:dyDescent="0.25">
      <c r="A84" s="139">
        <v>63</v>
      </c>
      <c r="B84" s="139"/>
      <c r="C84" s="40">
        <f t="shared" si="18"/>
        <v>387.35285133333332</v>
      </c>
      <c r="D84" s="40">
        <f t="shared" si="21"/>
        <v>221.48190451154338</v>
      </c>
      <c r="E84" s="40">
        <f t="shared" si="22"/>
        <v>22079.112525999888</v>
      </c>
      <c r="F84" s="40">
        <f t="shared" si="19"/>
        <v>22687.947281844765</v>
      </c>
      <c r="G84" s="40">
        <f t="shared" si="23"/>
        <v>2193298.6277466197</v>
      </c>
      <c r="H84" s="40">
        <f t="shared" si="20"/>
        <v>608.83475584487667</v>
      </c>
    </row>
    <row r="85" spans="1:14" x14ac:dyDescent="0.25">
      <c r="A85" s="139">
        <v>64</v>
      </c>
      <c r="B85" s="139"/>
      <c r="C85" s="40">
        <f t="shared" si="18"/>
        <v>387.35285133333332</v>
      </c>
      <c r="D85" s="40">
        <f t="shared" si="21"/>
        <v>217.66325098548228</v>
      </c>
      <c r="E85" s="40">
        <f t="shared" si="22"/>
        <v>21691.759674666555</v>
      </c>
      <c r="F85" s="40">
        <f t="shared" si="19"/>
        <v>22296.775776985371</v>
      </c>
      <c r="G85" s="40">
        <f t="shared" si="23"/>
        <v>2215595.4035236053</v>
      </c>
      <c r="H85" s="40">
        <f t="shared" si="20"/>
        <v>605.01610231881557</v>
      </c>
    </row>
    <row r="86" spans="1:14" x14ac:dyDescent="0.25">
      <c r="A86" s="139">
        <v>65</v>
      </c>
      <c r="B86" s="139"/>
      <c r="C86" s="40">
        <f t="shared" ref="C86:C117" si="27">$U$7/$U$10</f>
        <v>387.35285133333332</v>
      </c>
      <c r="D86" s="40">
        <f t="shared" si="21"/>
        <v>213.84459745942112</v>
      </c>
      <c r="E86" s="40">
        <f t="shared" si="22"/>
        <v>21304.406823333222</v>
      </c>
      <c r="F86" s="40">
        <f t="shared" ref="F86:F117" si="28">SUM(C86:E86)</f>
        <v>21905.604272125976</v>
      </c>
      <c r="G86" s="40">
        <f t="shared" si="23"/>
        <v>2237501.0077957311</v>
      </c>
      <c r="H86" s="40">
        <f t="shared" ref="H86:H117" si="29">C86+D86</f>
        <v>601.19744879275447</v>
      </c>
    </row>
    <row r="87" spans="1:14" x14ac:dyDescent="0.25">
      <c r="A87" s="139">
        <v>66</v>
      </c>
      <c r="B87" s="139"/>
      <c r="C87" s="40">
        <f t="shared" si="27"/>
        <v>387.35285133333332</v>
      </c>
      <c r="D87" s="40">
        <f t="shared" ref="D87:D118" si="30">(E86*$U$11*$U$9)/360</f>
        <v>210.02594393336003</v>
      </c>
      <c r="E87" s="40">
        <f t="shared" ref="E87:E118" si="31">E86-C86</f>
        <v>20917.053971999889</v>
      </c>
      <c r="F87" s="40">
        <f t="shared" si="28"/>
        <v>21514.432767266582</v>
      </c>
      <c r="G87" s="40">
        <f t="shared" ref="G87:G118" si="32">G86+F87</f>
        <v>2259015.4405629975</v>
      </c>
      <c r="H87" s="40">
        <f t="shared" si="29"/>
        <v>597.37879526669337</v>
      </c>
    </row>
    <row r="88" spans="1:14" x14ac:dyDescent="0.25">
      <c r="A88" s="139">
        <v>67</v>
      </c>
      <c r="B88" s="139"/>
      <c r="C88" s="40">
        <f t="shared" si="27"/>
        <v>387.35285133333332</v>
      </c>
      <c r="D88" s="40">
        <f t="shared" si="30"/>
        <v>206.20729040729893</v>
      </c>
      <c r="E88" s="40">
        <f t="shared" si="31"/>
        <v>20529.701120666556</v>
      </c>
      <c r="F88" s="40">
        <f t="shared" si="28"/>
        <v>21123.261262407188</v>
      </c>
      <c r="G88" s="40">
        <f t="shared" si="32"/>
        <v>2280138.7018254045</v>
      </c>
      <c r="H88" s="40">
        <f t="shared" si="29"/>
        <v>593.56014174063228</v>
      </c>
    </row>
    <row r="89" spans="1:14" x14ac:dyDescent="0.25">
      <c r="A89" s="139">
        <v>68</v>
      </c>
      <c r="B89" s="139"/>
      <c r="C89" s="40">
        <f t="shared" si="27"/>
        <v>387.35285133333332</v>
      </c>
      <c r="D89" s="40">
        <f t="shared" si="30"/>
        <v>202.3886368812378</v>
      </c>
      <c r="E89" s="40">
        <f t="shared" si="31"/>
        <v>20142.348269333223</v>
      </c>
      <c r="F89" s="40">
        <f t="shared" si="28"/>
        <v>20732.089757547794</v>
      </c>
      <c r="G89" s="40">
        <f t="shared" si="32"/>
        <v>2300870.7915829523</v>
      </c>
      <c r="H89" s="40">
        <f t="shared" si="29"/>
        <v>589.74148821457106</v>
      </c>
    </row>
    <row r="90" spans="1:14" x14ac:dyDescent="0.25">
      <c r="A90" s="139">
        <v>69</v>
      </c>
      <c r="B90" s="139"/>
      <c r="C90" s="40">
        <f t="shared" si="27"/>
        <v>387.35285133333332</v>
      </c>
      <c r="D90" s="40">
        <f t="shared" si="30"/>
        <v>198.5699833551767</v>
      </c>
      <c r="E90" s="40">
        <f t="shared" si="31"/>
        <v>19754.995417999889</v>
      </c>
      <c r="F90" s="40">
        <f t="shared" si="28"/>
        <v>20340.9182526884</v>
      </c>
      <c r="G90" s="40">
        <f t="shared" si="32"/>
        <v>2321211.7098356406</v>
      </c>
      <c r="H90" s="40">
        <f t="shared" si="29"/>
        <v>585.92283468850997</v>
      </c>
    </row>
    <row r="91" spans="1:14" x14ac:dyDescent="0.25">
      <c r="A91" s="139">
        <v>70</v>
      </c>
      <c r="B91" s="139"/>
      <c r="C91" s="40">
        <f t="shared" si="27"/>
        <v>387.35285133333332</v>
      </c>
      <c r="D91" s="40">
        <f t="shared" si="30"/>
        <v>194.7513298291156</v>
      </c>
      <c r="E91" s="40">
        <f t="shared" si="31"/>
        <v>19367.642566666556</v>
      </c>
      <c r="F91" s="40">
        <f t="shared" si="28"/>
        <v>19949.746747829005</v>
      </c>
      <c r="G91" s="40">
        <f t="shared" si="32"/>
        <v>2341161.4565834696</v>
      </c>
      <c r="H91" s="40">
        <f t="shared" si="29"/>
        <v>582.10418116244887</v>
      </c>
      <c r="I91" s="140" t="s">
        <v>332</v>
      </c>
      <c r="J91" s="140"/>
      <c r="K91" s="140"/>
      <c r="L91" s="140"/>
      <c r="M91" s="140"/>
      <c r="N91" s="140"/>
    </row>
    <row r="92" spans="1:14" x14ac:dyDescent="0.25">
      <c r="A92" s="139">
        <v>71</v>
      </c>
      <c r="B92" s="139"/>
      <c r="C92" s="40">
        <f t="shared" si="27"/>
        <v>387.35285133333332</v>
      </c>
      <c r="D92" s="40">
        <f t="shared" si="30"/>
        <v>190.93267630305451</v>
      </c>
      <c r="E92" s="40">
        <f t="shared" si="31"/>
        <v>18980.289715333223</v>
      </c>
      <c r="F92" s="40">
        <f t="shared" si="28"/>
        <v>19558.575242969611</v>
      </c>
      <c r="G92" s="40">
        <f t="shared" si="32"/>
        <v>2360720.0318264393</v>
      </c>
      <c r="H92" s="40">
        <f t="shared" si="29"/>
        <v>578.28552763638777</v>
      </c>
      <c r="I92" s="15" t="s">
        <v>325</v>
      </c>
      <c r="J92" s="15" t="s">
        <v>326</v>
      </c>
      <c r="K92" s="15" t="s">
        <v>327</v>
      </c>
      <c r="L92" s="15" t="s">
        <v>328</v>
      </c>
      <c r="M92" s="15" t="s">
        <v>329</v>
      </c>
      <c r="N92" s="15" t="s">
        <v>330</v>
      </c>
    </row>
    <row r="93" spans="1:14" x14ac:dyDescent="0.25">
      <c r="A93" s="139">
        <v>72</v>
      </c>
      <c r="B93" s="139"/>
      <c r="C93" s="40">
        <f t="shared" si="27"/>
        <v>387.35285133333332</v>
      </c>
      <c r="D93" s="40">
        <f t="shared" si="30"/>
        <v>187.11402277699335</v>
      </c>
      <c r="E93" s="40">
        <f t="shared" si="31"/>
        <v>18592.93686399989</v>
      </c>
      <c r="F93" s="40">
        <f t="shared" si="28"/>
        <v>19167.403738110217</v>
      </c>
      <c r="G93" s="40">
        <f t="shared" si="32"/>
        <v>2379887.4355645496</v>
      </c>
      <c r="H93" s="40">
        <f t="shared" si="29"/>
        <v>574.46687411032667</v>
      </c>
      <c r="I93" s="72">
        <f t="shared" ref="I93:N93" si="33">SUM(C82:C93)</f>
        <v>4648.2342159999989</v>
      </c>
      <c r="J93" s="72">
        <f t="shared" si="33"/>
        <v>2497.3994060439536</v>
      </c>
      <c r="K93" s="72">
        <f t="shared" si="33"/>
        <v>248680.53055599867</v>
      </c>
      <c r="L93" s="72">
        <f t="shared" si="33"/>
        <v>255826.16417804261</v>
      </c>
      <c r="M93" s="72">
        <f t="shared" si="33"/>
        <v>27207542.848990254</v>
      </c>
      <c r="N93" s="72">
        <f t="shared" si="33"/>
        <v>7145.6336220439543</v>
      </c>
    </row>
    <row r="94" spans="1:14" x14ac:dyDescent="0.25">
      <c r="A94" s="139">
        <v>73</v>
      </c>
      <c r="B94" s="139"/>
      <c r="C94" s="40">
        <f t="shared" si="27"/>
        <v>387.35285133333332</v>
      </c>
      <c r="D94" s="40">
        <f t="shared" si="30"/>
        <v>183.29536925093225</v>
      </c>
      <c r="E94" s="40">
        <f t="shared" si="31"/>
        <v>18205.584012666557</v>
      </c>
      <c r="F94" s="40">
        <f t="shared" si="28"/>
        <v>18776.232233250823</v>
      </c>
      <c r="G94" s="40">
        <f t="shared" si="32"/>
        <v>2398663.6677978006</v>
      </c>
      <c r="H94" s="40">
        <f t="shared" si="29"/>
        <v>570.64822058426557</v>
      </c>
    </row>
    <row r="95" spans="1:14" x14ac:dyDescent="0.25">
      <c r="A95" s="139">
        <v>74</v>
      </c>
      <c r="B95" s="139"/>
      <c r="C95" s="40">
        <f t="shared" si="27"/>
        <v>387.35285133333332</v>
      </c>
      <c r="D95" s="40">
        <f t="shared" si="30"/>
        <v>179.47671572487116</v>
      </c>
      <c r="E95" s="40">
        <f t="shared" si="31"/>
        <v>17818.231161333224</v>
      </c>
      <c r="F95" s="40">
        <f t="shared" si="28"/>
        <v>18385.060728391429</v>
      </c>
      <c r="G95" s="40">
        <f t="shared" si="32"/>
        <v>2417048.7285261923</v>
      </c>
      <c r="H95" s="40">
        <f t="shared" si="29"/>
        <v>566.82956705820447</v>
      </c>
    </row>
    <row r="96" spans="1:14" x14ac:dyDescent="0.25">
      <c r="A96" s="139">
        <v>75</v>
      </c>
      <c r="B96" s="139"/>
      <c r="C96" s="40">
        <f t="shared" si="27"/>
        <v>387.35285133333332</v>
      </c>
      <c r="D96" s="40">
        <f t="shared" si="30"/>
        <v>175.65806219881003</v>
      </c>
      <c r="E96" s="40">
        <f t="shared" si="31"/>
        <v>17430.878309999891</v>
      </c>
      <c r="F96" s="40">
        <f t="shared" si="28"/>
        <v>17993.889223532035</v>
      </c>
      <c r="G96" s="40">
        <f t="shared" si="32"/>
        <v>2435042.6177497241</v>
      </c>
      <c r="H96" s="40">
        <f t="shared" si="29"/>
        <v>563.01091353214338</v>
      </c>
    </row>
    <row r="97" spans="1:14" x14ac:dyDescent="0.25">
      <c r="A97" s="139">
        <v>76</v>
      </c>
      <c r="B97" s="139"/>
      <c r="C97" s="40">
        <f t="shared" si="27"/>
        <v>387.35285133333332</v>
      </c>
      <c r="D97" s="40">
        <f t="shared" si="30"/>
        <v>171.83940867274893</v>
      </c>
      <c r="E97" s="40">
        <f t="shared" si="31"/>
        <v>17043.525458666558</v>
      </c>
      <c r="F97" s="40">
        <f t="shared" si="28"/>
        <v>17602.71771867264</v>
      </c>
      <c r="G97" s="40">
        <f t="shared" si="32"/>
        <v>2452645.3354683965</v>
      </c>
      <c r="H97" s="40">
        <f t="shared" si="29"/>
        <v>559.19226000608228</v>
      </c>
    </row>
    <row r="98" spans="1:14" x14ac:dyDescent="0.25">
      <c r="A98" s="139">
        <v>77</v>
      </c>
      <c r="B98" s="139"/>
      <c r="C98" s="40">
        <f t="shared" si="27"/>
        <v>387.35285133333332</v>
      </c>
      <c r="D98" s="40">
        <f t="shared" si="30"/>
        <v>168.02075514668783</v>
      </c>
      <c r="E98" s="40">
        <f t="shared" si="31"/>
        <v>16656.172607333225</v>
      </c>
      <c r="F98" s="40">
        <f t="shared" si="28"/>
        <v>17211.546213813246</v>
      </c>
      <c r="G98" s="40">
        <f t="shared" si="32"/>
        <v>2469856.8816822097</v>
      </c>
      <c r="H98" s="40">
        <f t="shared" si="29"/>
        <v>555.37360648002118</v>
      </c>
    </row>
    <row r="99" spans="1:14" x14ac:dyDescent="0.25">
      <c r="A99" s="139">
        <v>78</v>
      </c>
      <c r="B99" s="139"/>
      <c r="C99" s="40">
        <f t="shared" si="27"/>
        <v>387.35285133333332</v>
      </c>
      <c r="D99" s="40">
        <f t="shared" si="30"/>
        <v>164.20210162062671</v>
      </c>
      <c r="E99" s="40">
        <f t="shared" si="31"/>
        <v>16268.819755999892</v>
      </c>
      <c r="F99" s="40">
        <f t="shared" si="28"/>
        <v>16820.374708953852</v>
      </c>
      <c r="G99" s="40">
        <f t="shared" si="32"/>
        <v>2486677.2563911634</v>
      </c>
      <c r="H99" s="40">
        <f t="shared" si="29"/>
        <v>551.55495295396008</v>
      </c>
    </row>
    <row r="100" spans="1:14" x14ac:dyDescent="0.25">
      <c r="A100" s="139">
        <v>79</v>
      </c>
      <c r="B100" s="139"/>
      <c r="C100" s="40">
        <f t="shared" si="27"/>
        <v>387.35285133333332</v>
      </c>
      <c r="D100" s="40">
        <f t="shared" si="30"/>
        <v>160.38344809456561</v>
      </c>
      <c r="E100" s="40">
        <f t="shared" si="31"/>
        <v>15881.466904666559</v>
      </c>
      <c r="F100" s="40">
        <f t="shared" si="28"/>
        <v>16429.203204094458</v>
      </c>
      <c r="G100" s="40">
        <f t="shared" si="32"/>
        <v>2503106.4595952579</v>
      </c>
      <c r="H100" s="40">
        <f t="shared" si="29"/>
        <v>547.73629942789898</v>
      </c>
    </row>
    <row r="101" spans="1:14" x14ac:dyDescent="0.25">
      <c r="A101" s="139">
        <v>80</v>
      </c>
      <c r="B101" s="139"/>
      <c r="C101" s="40">
        <f t="shared" si="27"/>
        <v>387.35285133333332</v>
      </c>
      <c r="D101" s="40">
        <f t="shared" si="30"/>
        <v>156.56479456850451</v>
      </c>
      <c r="E101" s="40">
        <f t="shared" si="31"/>
        <v>15494.114053333225</v>
      </c>
      <c r="F101" s="40">
        <f t="shared" si="28"/>
        <v>16038.031699235064</v>
      </c>
      <c r="G101" s="40">
        <f t="shared" si="32"/>
        <v>2519144.491294493</v>
      </c>
      <c r="H101" s="40">
        <f t="shared" si="29"/>
        <v>543.91764590183789</v>
      </c>
    </row>
    <row r="102" spans="1:14" x14ac:dyDescent="0.25">
      <c r="A102" s="139">
        <v>81</v>
      </c>
      <c r="B102" s="139"/>
      <c r="C102" s="40">
        <f t="shared" si="27"/>
        <v>387.35285133333332</v>
      </c>
      <c r="D102" s="40">
        <f t="shared" si="30"/>
        <v>152.74614104244341</v>
      </c>
      <c r="E102" s="40">
        <f t="shared" si="31"/>
        <v>15106.761201999892</v>
      </c>
      <c r="F102" s="40">
        <f t="shared" si="28"/>
        <v>15646.860194375669</v>
      </c>
      <c r="G102" s="40">
        <f t="shared" si="32"/>
        <v>2534791.3514888687</v>
      </c>
      <c r="H102" s="40">
        <f t="shared" si="29"/>
        <v>540.09899237577679</v>
      </c>
    </row>
    <row r="103" spans="1:14" x14ac:dyDescent="0.25">
      <c r="A103" s="139">
        <v>82</v>
      </c>
      <c r="B103" s="139"/>
      <c r="C103" s="40">
        <f t="shared" si="27"/>
        <v>387.35285133333332</v>
      </c>
      <c r="D103" s="40">
        <f t="shared" si="30"/>
        <v>148.92748751638229</v>
      </c>
      <c r="E103" s="40">
        <f t="shared" si="31"/>
        <v>14719.408350666559</v>
      </c>
      <c r="F103" s="40">
        <f t="shared" si="28"/>
        <v>15255.688689516275</v>
      </c>
      <c r="G103" s="40">
        <f t="shared" si="32"/>
        <v>2550047.0401783851</v>
      </c>
      <c r="H103" s="40">
        <f t="shared" si="29"/>
        <v>536.28033884971558</v>
      </c>
      <c r="I103" s="140" t="s">
        <v>332</v>
      </c>
      <c r="J103" s="140"/>
      <c r="K103" s="140"/>
      <c r="L103" s="140"/>
      <c r="M103" s="140"/>
      <c r="N103" s="140"/>
    </row>
    <row r="104" spans="1:14" x14ac:dyDescent="0.25">
      <c r="A104" s="139">
        <v>83</v>
      </c>
      <c r="B104" s="139"/>
      <c r="C104" s="40">
        <f t="shared" si="27"/>
        <v>387.35285133333332</v>
      </c>
      <c r="D104" s="40">
        <f t="shared" si="30"/>
        <v>145.10883399032116</v>
      </c>
      <c r="E104" s="40">
        <f t="shared" si="31"/>
        <v>14332.055499333226</v>
      </c>
      <c r="F104" s="40">
        <f t="shared" si="28"/>
        <v>14864.517184656881</v>
      </c>
      <c r="G104" s="40">
        <f t="shared" si="32"/>
        <v>2564911.5573630421</v>
      </c>
      <c r="H104" s="40">
        <f t="shared" si="29"/>
        <v>532.46168532365448</v>
      </c>
      <c r="I104" s="15" t="s">
        <v>325</v>
      </c>
      <c r="J104" s="15" t="s">
        <v>326</v>
      </c>
      <c r="K104" s="15" t="s">
        <v>327</v>
      </c>
      <c r="L104" s="15" t="s">
        <v>328</v>
      </c>
      <c r="M104" s="15" t="s">
        <v>329</v>
      </c>
      <c r="N104" s="15" t="s">
        <v>330</v>
      </c>
    </row>
    <row r="105" spans="1:14" x14ac:dyDescent="0.25">
      <c r="A105" s="139">
        <v>84</v>
      </c>
      <c r="B105" s="139"/>
      <c r="C105" s="40">
        <f t="shared" si="27"/>
        <v>387.35285133333332</v>
      </c>
      <c r="D105" s="40">
        <f t="shared" si="30"/>
        <v>141.29018046426006</v>
      </c>
      <c r="E105" s="40">
        <f t="shared" si="31"/>
        <v>13944.702647999893</v>
      </c>
      <c r="F105" s="40">
        <f t="shared" si="28"/>
        <v>14473.345679797487</v>
      </c>
      <c r="G105" s="40">
        <f t="shared" si="32"/>
        <v>2579384.9030428398</v>
      </c>
      <c r="H105" s="40">
        <f t="shared" si="29"/>
        <v>528.64303179759338</v>
      </c>
      <c r="I105" s="72">
        <f t="shared" ref="I105:N105" si="34">SUM(C94:C105)</f>
        <v>4648.2342159999989</v>
      </c>
      <c r="J105" s="72">
        <f t="shared" si="34"/>
        <v>1947.5132982911546</v>
      </c>
      <c r="K105" s="72">
        <f t="shared" si="34"/>
        <v>192901.71996399868</v>
      </c>
      <c r="L105" s="72">
        <f t="shared" si="34"/>
        <v>199497.46747828988</v>
      </c>
      <c r="M105" s="72">
        <f t="shared" si="34"/>
        <v>29911320.290578373</v>
      </c>
      <c r="N105" s="72">
        <f t="shared" si="34"/>
        <v>6595.7475142911562</v>
      </c>
    </row>
    <row r="106" spans="1:14" x14ac:dyDescent="0.25">
      <c r="A106" s="139">
        <v>85</v>
      </c>
      <c r="B106" s="139"/>
      <c r="C106" s="40">
        <f t="shared" si="27"/>
        <v>387.35285133333332</v>
      </c>
      <c r="D106" s="40">
        <f t="shared" si="30"/>
        <v>137.47152693819893</v>
      </c>
      <c r="E106" s="40">
        <f t="shared" si="31"/>
        <v>13557.34979666656</v>
      </c>
      <c r="F106" s="40">
        <f t="shared" si="28"/>
        <v>14082.174174938093</v>
      </c>
      <c r="G106" s="40">
        <f t="shared" si="32"/>
        <v>2593467.0772177777</v>
      </c>
      <c r="H106" s="40">
        <f t="shared" si="29"/>
        <v>524.82437827153228</v>
      </c>
    </row>
    <row r="107" spans="1:14" x14ac:dyDescent="0.25">
      <c r="A107" s="139">
        <v>86</v>
      </c>
      <c r="B107" s="139"/>
      <c r="C107" s="40">
        <f t="shared" si="27"/>
        <v>387.35285133333332</v>
      </c>
      <c r="D107" s="40">
        <f t="shared" si="30"/>
        <v>133.65287341213784</v>
      </c>
      <c r="E107" s="40">
        <f t="shared" si="31"/>
        <v>13169.996945333227</v>
      </c>
      <c r="F107" s="40">
        <f t="shared" si="28"/>
        <v>13691.002670078698</v>
      </c>
      <c r="G107" s="40">
        <f t="shared" si="32"/>
        <v>2607158.0798878563</v>
      </c>
      <c r="H107" s="40">
        <f t="shared" si="29"/>
        <v>521.00572474547118</v>
      </c>
    </row>
    <row r="108" spans="1:14" x14ac:dyDescent="0.25">
      <c r="A108" s="139">
        <v>87</v>
      </c>
      <c r="B108" s="139"/>
      <c r="C108" s="40">
        <f t="shared" si="27"/>
        <v>387.35285133333332</v>
      </c>
      <c r="D108" s="40">
        <f t="shared" si="30"/>
        <v>129.83421988607674</v>
      </c>
      <c r="E108" s="40">
        <f t="shared" si="31"/>
        <v>12782.644093999894</v>
      </c>
      <c r="F108" s="40">
        <f t="shared" si="28"/>
        <v>13299.831165219304</v>
      </c>
      <c r="G108" s="40">
        <f t="shared" si="32"/>
        <v>2620457.9110530755</v>
      </c>
      <c r="H108" s="40">
        <f t="shared" si="29"/>
        <v>517.18707121941009</v>
      </c>
    </row>
    <row r="109" spans="1:14" x14ac:dyDescent="0.25">
      <c r="A109" s="139">
        <v>88</v>
      </c>
      <c r="B109" s="139"/>
      <c r="C109" s="40">
        <f t="shared" si="27"/>
        <v>387.35285133333332</v>
      </c>
      <c r="D109" s="40">
        <f t="shared" si="30"/>
        <v>126.01556636001563</v>
      </c>
      <c r="E109" s="40">
        <f t="shared" si="31"/>
        <v>12395.291242666561</v>
      </c>
      <c r="F109" s="40">
        <f t="shared" si="28"/>
        <v>12908.65966035991</v>
      </c>
      <c r="G109" s="40">
        <f t="shared" si="32"/>
        <v>2633366.5707134353</v>
      </c>
      <c r="H109" s="40">
        <f t="shared" si="29"/>
        <v>513.36841769334899</v>
      </c>
    </row>
    <row r="110" spans="1:14" x14ac:dyDescent="0.25">
      <c r="A110" s="139">
        <v>89</v>
      </c>
      <c r="B110" s="139"/>
      <c r="C110" s="40">
        <f t="shared" si="27"/>
        <v>387.35285133333332</v>
      </c>
      <c r="D110" s="40">
        <f t="shared" si="30"/>
        <v>122.19691283395451</v>
      </c>
      <c r="E110" s="40">
        <f t="shared" si="31"/>
        <v>12007.938391333228</v>
      </c>
      <c r="F110" s="40">
        <f t="shared" si="28"/>
        <v>12517.488155500516</v>
      </c>
      <c r="G110" s="40">
        <f t="shared" si="32"/>
        <v>2645884.0588689358</v>
      </c>
      <c r="H110" s="40">
        <f t="shared" si="29"/>
        <v>509.54976416728783</v>
      </c>
    </row>
    <row r="111" spans="1:14" x14ac:dyDescent="0.25">
      <c r="A111" s="139">
        <v>90</v>
      </c>
      <c r="B111" s="139"/>
      <c r="C111" s="40">
        <f t="shared" si="27"/>
        <v>387.35285133333332</v>
      </c>
      <c r="D111" s="40">
        <f t="shared" si="30"/>
        <v>118.37825930789339</v>
      </c>
      <c r="E111" s="40">
        <f t="shared" si="31"/>
        <v>11620.585539999895</v>
      </c>
      <c r="F111" s="40">
        <f t="shared" si="28"/>
        <v>12126.316650641122</v>
      </c>
      <c r="G111" s="40">
        <f t="shared" si="32"/>
        <v>2658010.3755195769</v>
      </c>
      <c r="H111" s="40">
        <f t="shared" si="29"/>
        <v>505.73111064122668</v>
      </c>
    </row>
    <row r="112" spans="1:14" x14ac:dyDescent="0.25">
      <c r="A112" s="139">
        <v>91</v>
      </c>
      <c r="B112" s="139"/>
      <c r="C112" s="40">
        <f t="shared" si="27"/>
        <v>387.35285133333332</v>
      </c>
      <c r="D112" s="40">
        <f t="shared" si="30"/>
        <v>114.55960578183229</v>
      </c>
      <c r="E112" s="40">
        <f t="shared" si="31"/>
        <v>11233.232688666561</v>
      </c>
      <c r="F112" s="40">
        <f t="shared" si="28"/>
        <v>11735.145145781727</v>
      </c>
      <c r="G112" s="40">
        <f t="shared" si="32"/>
        <v>2669745.5206653588</v>
      </c>
      <c r="H112" s="40">
        <f t="shared" si="29"/>
        <v>501.91245711516558</v>
      </c>
    </row>
    <row r="113" spans="1:14" x14ac:dyDescent="0.25">
      <c r="A113" s="139">
        <v>92</v>
      </c>
      <c r="B113" s="139"/>
      <c r="C113" s="40">
        <f t="shared" si="27"/>
        <v>387.35285133333332</v>
      </c>
      <c r="D113" s="40">
        <f t="shared" si="30"/>
        <v>110.74095225577118</v>
      </c>
      <c r="E113" s="40">
        <f t="shared" si="31"/>
        <v>10845.879837333228</v>
      </c>
      <c r="F113" s="40">
        <f t="shared" si="28"/>
        <v>11343.973640922333</v>
      </c>
      <c r="G113" s="40">
        <f t="shared" si="32"/>
        <v>2681089.4943062812</v>
      </c>
      <c r="H113" s="40">
        <f t="shared" si="29"/>
        <v>498.09380358910448</v>
      </c>
    </row>
    <row r="114" spans="1:14" x14ac:dyDescent="0.25">
      <c r="A114" s="139">
        <v>93</v>
      </c>
      <c r="B114" s="139"/>
      <c r="C114" s="40">
        <f t="shared" si="27"/>
        <v>387.35285133333332</v>
      </c>
      <c r="D114" s="40">
        <f t="shared" si="30"/>
        <v>106.92229872971008</v>
      </c>
      <c r="E114" s="40">
        <f t="shared" si="31"/>
        <v>10458.526985999895</v>
      </c>
      <c r="F114" s="40">
        <f t="shared" si="28"/>
        <v>10952.802136062939</v>
      </c>
      <c r="G114" s="40">
        <f t="shared" si="32"/>
        <v>2692042.2964423443</v>
      </c>
      <c r="H114" s="40">
        <f t="shared" si="29"/>
        <v>494.27515006304338</v>
      </c>
    </row>
    <row r="115" spans="1:14" x14ac:dyDescent="0.25">
      <c r="A115" s="139">
        <v>94</v>
      </c>
      <c r="B115" s="139"/>
      <c r="C115" s="40">
        <f t="shared" si="27"/>
        <v>387.35285133333332</v>
      </c>
      <c r="D115" s="40">
        <f t="shared" si="30"/>
        <v>103.10364520364897</v>
      </c>
      <c r="E115" s="40">
        <f t="shared" si="31"/>
        <v>10071.174134666562</v>
      </c>
      <c r="F115" s="40">
        <f t="shared" si="28"/>
        <v>10561.630631203545</v>
      </c>
      <c r="G115" s="40">
        <f t="shared" si="32"/>
        <v>2702603.9270735481</v>
      </c>
      <c r="H115" s="40">
        <f t="shared" si="29"/>
        <v>490.45649653698229</v>
      </c>
      <c r="I115" s="140" t="s">
        <v>332</v>
      </c>
      <c r="J115" s="140"/>
      <c r="K115" s="140"/>
      <c r="L115" s="140"/>
      <c r="M115" s="140"/>
      <c r="N115" s="140"/>
    </row>
    <row r="116" spans="1:14" x14ac:dyDescent="0.25">
      <c r="A116" s="139">
        <v>95</v>
      </c>
      <c r="B116" s="139"/>
      <c r="C116" s="40">
        <f t="shared" si="27"/>
        <v>387.35285133333332</v>
      </c>
      <c r="D116" s="40">
        <f t="shared" si="30"/>
        <v>99.284991677587868</v>
      </c>
      <c r="E116" s="40">
        <f t="shared" si="31"/>
        <v>9683.8212833332291</v>
      </c>
      <c r="F116" s="40">
        <f t="shared" si="28"/>
        <v>10170.459126344151</v>
      </c>
      <c r="G116" s="40">
        <f t="shared" si="32"/>
        <v>2712774.386199892</v>
      </c>
      <c r="H116" s="40">
        <f t="shared" si="29"/>
        <v>486.63784301092119</v>
      </c>
      <c r="I116" s="15" t="s">
        <v>325</v>
      </c>
      <c r="J116" s="15" t="s">
        <v>326</v>
      </c>
      <c r="K116" s="15" t="s">
        <v>327</v>
      </c>
      <c r="L116" s="15" t="s">
        <v>328</v>
      </c>
      <c r="M116" s="15" t="s">
        <v>329</v>
      </c>
      <c r="N116" s="15" t="s">
        <v>330</v>
      </c>
    </row>
    <row r="117" spans="1:14" x14ac:dyDescent="0.25">
      <c r="A117" s="139">
        <v>96</v>
      </c>
      <c r="B117" s="139"/>
      <c r="C117" s="40">
        <f t="shared" si="27"/>
        <v>387.35285133333332</v>
      </c>
      <c r="D117" s="40">
        <f t="shared" si="30"/>
        <v>95.466338151526742</v>
      </c>
      <c r="E117" s="40">
        <f t="shared" si="31"/>
        <v>9296.468431999896</v>
      </c>
      <c r="F117" s="40">
        <f t="shared" si="28"/>
        <v>9779.2876214847565</v>
      </c>
      <c r="G117" s="40">
        <f t="shared" si="32"/>
        <v>2722553.6738213766</v>
      </c>
      <c r="H117" s="40">
        <f t="shared" si="29"/>
        <v>482.81918948486009</v>
      </c>
      <c r="I117" s="72">
        <f t="shared" ref="I117:N117" si="35">SUM(C106:C117)</f>
        <v>4648.2342159999989</v>
      </c>
      <c r="J117" s="72">
        <f t="shared" si="35"/>
        <v>1397.6271905383542</v>
      </c>
      <c r="K117" s="72">
        <f t="shared" si="35"/>
        <v>137122.90937199874</v>
      </c>
      <c r="L117" s="72">
        <f t="shared" si="35"/>
        <v>143168.77077853709</v>
      </c>
      <c r="M117" s="72">
        <f t="shared" si="35"/>
        <v>31939153.371769458</v>
      </c>
      <c r="N117" s="72">
        <f t="shared" si="35"/>
        <v>6045.8614065383554</v>
      </c>
    </row>
    <row r="118" spans="1:14" x14ac:dyDescent="0.25">
      <c r="A118" s="139">
        <v>97</v>
      </c>
      <c r="B118" s="139"/>
      <c r="C118" s="40">
        <f t="shared" ref="C118:C141" si="36">$U$7/$U$10</f>
        <v>387.35285133333332</v>
      </c>
      <c r="D118" s="40">
        <f t="shared" si="30"/>
        <v>91.647684625465629</v>
      </c>
      <c r="E118" s="40">
        <f t="shared" si="31"/>
        <v>8909.1155806665629</v>
      </c>
      <c r="F118" s="40">
        <f t="shared" ref="F118:F142" si="37">SUM(C118:E118)</f>
        <v>9388.1161166253623</v>
      </c>
      <c r="G118" s="40">
        <f t="shared" si="32"/>
        <v>2731941.7899380019</v>
      </c>
      <c r="H118" s="40">
        <f t="shared" ref="H118:H142" si="38">C118+D118</f>
        <v>479.00053595879893</v>
      </c>
    </row>
    <row r="119" spans="1:14" x14ac:dyDescent="0.25">
      <c r="A119" s="139">
        <v>98</v>
      </c>
      <c r="B119" s="139"/>
      <c r="C119" s="40">
        <f t="shared" si="36"/>
        <v>387.35285133333332</v>
      </c>
      <c r="D119" s="40">
        <f t="shared" ref="D119:D141" si="39">(E118*$U$11*$U$9)/360</f>
        <v>87.829031099404546</v>
      </c>
      <c r="E119" s="40">
        <f t="shared" ref="E119:E141" si="40">E118-C118</f>
        <v>8521.7627293332298</v>
      </c>
      <c r="F119" s="40">
        <f t="shared" si="37"/>
        <v>8996.9446117659681</v>
      </c>
      <c r="G119" s="40">
        <f t="shared" ref="G119:G141" si="41">G118+F119</f>
        <v>2740938.7345497678</v>
      </c>
      <c r="H119" s="40">
        <f t="shared" si="38"/>
        <v>475.18188243273789</v>
      </c>
    </row>
    <row r="120" spans="1:14" x14ac:dyDescent="0.25">
      <c r="A120" s="139">
        <v>99</v>
      </c>
      <c r="B120" s="139"/>
      <c r="C120" s="40">
        <f t="shared" si="36"/>
        <v>387.35285133333332</v>
      </c>
      <c r="D120" s="40">
        <f t="shared" si="39"/>
        <v>84.010377573343433</v>
      </c>
      <c r="E120" s="40">
        <f t="shared" si="40"/>
        <v>8134.4098779998967</v>
      </c>
      <c r="F120" s="40">
        <f t="shared" si="37"/>
        <v>8605.773106906574</v>
      </c>
      <c r="G120" s="40">
        <f t="shared" si="41"/>
        <v>2749544.5076566744</v>
      </c>
      <c r="H120" s="40">
        <f t="shared" si="38"/>
        <v>471.36322890667674</v>
      </c>
    </row>
    <row r="121" spans="1:14" x14ac:dyDescent="0.25">
      <c r="A121" s="139">
        <v>100</v>
      </c>
      <c r="B121" s="139"/>
      <c r="C121" s="40">
        <f t="shared" si="36"/>
        <v>387.35285133333332</v>
      </c>
      <c r="D121" s="40">
        <f t="shared" si="39"/>
        <v>80.191724047282321</v>
      </c>
      <c r="E121" s="40">
        <f t="shared" si="40"/>
        <v>7747.0570266665636</v>
      </c>
      <c r="F121" s="40">
        <f t="shared" si="37"/>
        <v>8214.6016020471798</v>
      </c>
      <c r="G121" s="40">
        <f t="shared" si="41"/>
        <v>2757759.1092587216</v>
      </c>
      <c r="H121" s="40">
        <f t="shared" si="38"/>
        <v>467.54457538061564</v>
      </c>
    </row>
    <row r="122" spans="1:14" x14ac:dyDescent="0.25">
      <c r="A122" s="139">
        <v>101</v>
      </c>
      <c r="B122" s="139"/>
      <c r="C122" s="40">
        <f t="shared" si="36"/>
        <v>387.35285133333332</v>
      </c>
      <c r="D122" s="40">
        <f t="shared" si="39"/>
        <v>76.373070521221209</v>
      </c>
      <c r="E122" s="40">
        <f t="shared" si="40"/>
        <v>7359.7041753332305</v>
      </c>
      <c r="F122" s="40">
        <f t="shared" si="37"/>
        <v>7823.4300971877847</v>
      </c>
      <c r="G122" s="40">
        <f t="shared" si="41"/>
        <v>2765582.5393559095</v>
      </c>
      <c r="H122" s="40">
        <f t="shared" si="38"/>
        <v>463.72592185455454</v>
      </c>
    </row>
    <row r="123" spans="1:14" x14ac:dyDescent="0.25">
      <c r="A123" s="139">
        <v>102</v>
      </c>
      <c r="B123" s="139"/>
      <c r="C123" s="40">
        <f t="shared" si="36"/>
        <v>387.35285133333332</v>
      </c>
      <c r="D123" s="40">
        <f t="shared" si="39"/>
        <v>72.554416995160096</v>
      </c>
      <c r="E123" s="40">
        <f t="shared" si="40"/>
        <v>6972.3513239998974</v>
      </c>
      <c r="F123" s="40">
        <f t="shared" si="37"/>
        <v>7432.2585923283905</v>
      </c>
      <c r="G123" s="40">
        <f t="shared" si="41"/>
        <v>2773014.797948238</v>
      </c>
      <c r="H123" s="40">
        <f t="shared" si="38"/>
        <v>459.90726832849339</v>
      </c>
    </row>
    <row r="124" spans="1:14" x14ac:dyDescent="0.25">
      <c r="A124" s="139">
        <v>103</v>
      </c>
      <c r="B124" s="139"/>
      <c r="C124" s="40">
        <f t="shared" si="36"/>
        <v>387.35285133333332</v>
      </c>
      <c r="D124" s="40">
        <f t="shared" si="39"/>
        <v>68.735763469098984</v>
      </c>
      <c r="E124" s="40">
        <f t="shared" si="40"/>
        <v>6584.9984726665643</v>
      </c>
      <c r="F124" s="40">
        <f t="shared" si="37"/>
        <v>7041.0870874689963</v>
      </c>
      <c r="G124" s="40">
        <f t="shared" si="41"/>
        <v>2780055.8850357071</v>
      </c>
      <c r="H124" s="40">
        <f t="shared" si="38"/>
        <v>456.08861480243229</v>
      </c>
    </row>
    <row r="125" spans="1:14" x14ac:dyDescent="0.25">
      <c r="A125" s="139">
        <v>104</v>
      </c>
      <c r="B125" s="139"/>
      <c r="C125" s="40">
        <f t="shared" si="36"/>
        <v>387.35285133333332</v>
      </c>
      <c r="D125" s="40">
        <f t="shared" si="39"/>
        <v>64.917109943037886</v>
      </c>
      <c r="E125" s="40">
        <f t="shared" si="40"/>
        <v>6197.6456213332312</v>
      </c>
      <c r="F125" s="40">
        <f t="shared" si="37"/>
        <v>6649.9155826096021</v>
      </c>
      <c r="G125" s="40">
        <f t="shared" si="41"/>
        <v>2786705.800618317</v>
      </c>
      <c r="H125" s="40">
        <f t="shared" si="38"/>
        <v>452.26996127637119</v>
      </c>
    </row>
    <row r="126" spans="1:14" x14ac:dyDescent="0.25">
      <c r="A126" s="139">
        <v>105</v>
      </c>
      <c r="B126" s="139"/>
      <c r="C126" s="40">
        <f t="shared" si="36"/>
        <v>387.35285133333332</v>
      </c>
      <c r="D126" s="40">
        <f t="shared" si="39"/>
        <v>61.098456416976774</v>
      </c>
      <c r="E126" s="40">
        <f t="shared" si="40"/>
        <v>5810.2927699998982</v>
      </c>
      <c r="F126" s="40">
        <f t="shared" si="37"/>
        <v>6258.7440777502079</v>
      </c>
      <c r="G126" s="40">
        <f t="shared" si="41"/>
        <v>2792964.544696067</v>
      </c>
      <c r="H126" s="40">
        <f t="shared" si="38"/>
        <v>448.45130775031009</v>
      </c>
    </row>
    <row r="127" spans="1:14" x14ac:dyDescent="0.25">
      <c r="A127" s="139">
        <v>106</v>
      </c>
      <c r="B127" s="139"/>
      <c r="C127" s="40">
        <f t="shared" si="36"/>
        <v>387.35285133333332</v>
      </c>
      <c r="D127" s="40">
        <f t="shared" si="39"/>
        <v>57.279802890915661</v>
      </c>
      <c r="E127" s="40">
        <f t="shared" si="40"/>
        <v>5422.9399186665651</v>
      </c>
      <c r="F127" s="40">
        <f t="shared" si="37"/>
        <v>5867.5725728908137</v>
      </c>
      <c r="G127" s="40">
        <f t="shared" si="41"/>
        <v>2798832.1172689577</v>
      </c>
      <c r="H127" s="40">
        <f t="shared" si="38"/>
        <v>444.63265422424899</v>
      </c>
      <c r="I127" s="140" t="s">
        <v>332</v>
      </c>
      <c r="J127" s="140"/>
      <c r="K127" s="140"/>
      <c r="L127" s="140"/>
      <c r="M127" s="140"/>
      <c r="N127" s="140"/>
    </row>
    <row r="128" spans="1:14" x14ac:dyDescent="0.25">
      <c r="A128" s="139">
        <v>107</v>
      </c>
      <c r="B128" s="139"/>
      <c r="C128" s="40">
        <f t="shared" si="36"/>
        <v>387.35285133333332</v>
      </c>
      <c r="D128" s="40">
        <f t="shared" si="39"/>
        <v>53.461149364854556</v>
      </c>
      <c r="E128" s="40">
        <f t="shared" si="40"/>
        <v>5035.587067333232</v>
      </c>
      <c r="F128" s="40">
        <f t="shared" si="37"/>
        <v>5476.4010680314195</v>
      </c>
      <c r="G128" s="40">
        <f t="shared" si="41"/>
        <v>2804308.518336989</v>
      </c>
      <c r="H128" s="40">
        <f t="shared" si="38"/>
        <v>440.8140006981879</v>
      </c>
      <c r="I128" s="15" t="s">
        <v>325</v>
      </c>
      <c r="J128" s="15" t="s">
        <v>326</v>
      </c>
      <c r="K128" s="15" t="s">
        <v>327</v>
      </c>
      <c r="L128" s="15" t="s">
        <v>328</v>
      </c>
      <c r="M128" s="15" t="s">
        <v>329</v>
      </c>
      <c r="N128" s="15" t="s">
        <v>330</v>
      </c>
    </row>
    <row r="129" spans="1:14" x14ac:dyDescent="0.25">
      <c r="A129" s="139">
        <v>108</v>
      </c>
      <c r="B129" s="139"/>
      <c r="C129" s="40">
        <f t="shared" si="36"/>
        <v>387.35285133333332</v>
      </c>
      <c r="D129" s="40">
        <f t="shared" si="39"/>
        <v>49.642495838793444</v>
      </c>
      <c r="E129" s="40">
        <f t="shared" si="40"/>
        <v>4648.2342159998989</v>
      </c>
      <c r="F129" s="40">
        <f t="shared" si="37"/>
        <v>5085.2295631720253</v>
      </c>
      <c r="G129" s="40">
        <f t="shared" si="41"/>
        <v>2809393.747900161</v>
      </c>
      <c r="H129" s="40">
        <f t="shared" si="38"/>
        <v>436.99534717212674</v>
      </c>
      <c r="I129" s="72">
        <f t="shared" ref="I129:N129" si="42">SUM(C118:C129)</f>
        <v>4648.2342159999989</v>
      </c>
      <c r="J129" s="72">
        <f t="shared" si="42"/>
        <v>847.74108278555457</v>
      </c>
      <c r="K129" s="72">
        <f t="shared" si="42"/>
        <v>81344.098779998778</v>
      </c>
      <c r="L129" s="72">
        <f t="shared" si="42"/>
        <v>86840.074078784324</v>
      </c>
      <c r="M129" s="72">
        <f t="shared" si="42"/>
        <v>33291042.09256351</v>
      </c>
      <c r="N129" s="72">
        <f t="shared" si="42"/>
        <v>5495.9752987855536</v>
      </c>
    </row>
    <row r="130" spans="1:14" x14ac:dyDescent="0.25">
      <c r="A130" s="139">
        <v>109</v>
      </c>
      <c r="B130" s="139"/>
      <c r="C130" s="40">
        <f t="shared" si="36"/>
        <v>387.35285133333332</v>
      </c>
      <c r="D130" s="40">
        <f t="shared" si="39"/>
        <v>45.823842312732339</v>
      </c>
      <c r="E130" s="40">
        <f t="shared" si="40"/>
        <v>4260.8813646665658</v>
      </c>
      <c r="F130" s="40">
        <f t="shared" si="37"/>
        <v>4694.0580583126311</v>
      </c>
      <c r="G130" s="40">
        <f t="shared" si="41"/>
        <v>2814087.8059584736</v>
      </c>
      <c r="H130" s="40">
        <f t="shared" si="38"/>
        <v>433.17669364606564</v>
      </c>
    </row>
    <row r="131" spans="1:14" x14ac:dyDescent="0.25">
      <c r="A131" s="139">
        <v>110</v>
      </c>
      <c r="B131" s="139"/>
      <c r="C131" s="40">
        <f t="shared" si="36"/>
        <v>387.35285133333332</v>
      </c>
      <c r="D131" s="40">
        <f t="shared" si="39"/>
        <v>42.005188786671226</v>
      </c>
      <c r="E131" s="40">
        <f t="shared" si="40"/>
        <v>3873.5285133332327</v>
      </c>
      <c r="F131" s="40">
        <f t="shared" si="37"/>
        <v>4302.886553453237</v>
      </c>
      <c r="G131" s="40">
        <f t="shared" si="41"/>
        <v>2818390.6925119269</v>
      </c>
      <c r="H131" s="40">
        <f t="shared" si="38"/>
        <v>429.35804012000455</v>
      </c>
    </row>
    <row r="132" spans="1:14" x14ac:dyDescent="0.25">
      <c r="A132" s="139">
        <v>111</v>
      </c>
      <c r="B132" s="139"/>
      <c r="C132" s="40">
        <f t="shared" si="36"/>
        <v>387.35285133333332</v>
      </c>
      <c r="D132" s="40">
        <f t="shared" si="39"/>
        <v>38.186535260610114</v>
      </c>
      <c r="E132" s="40">
        <f t="shared" si="40"/>
        <v>3486.1756619998996</v>
      </c>
      <c r="F132" s="40">
        <f t="shared" si="37"/>
        <v>3911.7150485938432</v>
      </c>
      <c r="G132" s="40">
        <f t="shared" si="41"/>
        <v>2822302.4075605208</v>
      </c>
      <c r="H132" s="40">
        <f t="shared" si="38"/>
        <v>425.53938659394345</v>
      </c>
    </row>
    <row r="133" spans="1:14" x14ac:dyDescent="0.25">
      <c r="A133" s="139">
        <v>112</v>
      </c>
      <c r="B133" s="139"/>
      <c r="C133" s="40">
        <f t="shared" si="36"/>
        <v>387.35285133333332</v>
      </c>
      <c r="D133" s="40">
        <f t="shared" si="39"/>
        <v>34.367881734549016</v>
      </c>
      <c r="E133" s="40">
        <f t="shared" si="40"/>
        <v>3098.8228106665665</v>
      </c>
      <c r="F133" s="40">
        <f t="shared" si="37"/>
        <v>3520.543543734449</v>
      </c>
      <c r="G133" s="40">
        <f t="shared" si="41"/>
        <v>2825822.9511042554</v>
      </c>
      <c r="H133" s="40">
        <f t="shared" si="38"/>
        <v>421.72073306788235</v>
      </c>
    </row>
    <row r="134" spans="1:14" x14ac:dyDescent="0.25">
      <c r="A134" s="139">
        <v>113</v>
      </c>
      <c r="B134" s="139"/>
      <c r="C134" s="40">
        <f t="shared" si="36"/>
        <v>387.35285133333332</v>
      </c>
      <c r="D134" s="40">
        <f t="shared" si="39"/>
        <v>30.549228208487907</v>
      </c>
      <c r="E134" s="40">
        <f t="shared" si="40"/>
        <v>2711.4699593332334</v>
      </c>
      <c r="F134" s="40">
        <f t="shared" si="37"/>
        <v>3129.3720388750548</v>
      </c>
      <c r="G134" s="40">
        <f t="shared" si="41"/>
        <v>2828952.3231431306</v>
      </c>
      <c r="H134" s="40">
        <f t="shared" si="38"/>
        <v>417.90207954182125</v>
      </c>
    </row>
    <row r="135" spans="1:14" x14ac:dyDescent="0.25">
      <c r="A135" s="139">
        <v>114</v>
      </c>
      <c r="B135" s="139"/>
      <c r="C135" s="40">
        <f t="shared" si="36"/>
        <v>387.35285133333332</v>
      </c>
      <c r="D135" s="40">
        <f t="shared" si="39"/>
        <v>26.730574682426791</v>
      </c>
      <c r="E135" s="40">
        <f t="shared" si="40"/>
        <v>2324.1171079999003</v>
      </c>
      <c r="F135" s="40">
        <f t="shared" si="37"/>
        <v>2738.2005340156602</v>
      </c>
      <c r="G135" s="40">
        <f t="shared" si="41"/>
        <v>2831690.5236771461</v>
      </c>
      <c r="H135" s="40">
        <f t="shared" si="38"/>
        <v>414.0834260157601</v>
      </c>
    </row>
    <row r="136" spans="1:14" x14ac:dyDescent="0.25">
      <c r="A136" s="139">
        <v>115</v>
      </c>
      <c r="B136" s="139"/>
      <c r="C136" s="40">
        <f t="shared" si="36"/>
        <v>387.35285133333332</v>
      </c>
      <c r="D136" s="40">
        <f t="shared" si="39"/>
        <v>22.911921156365683</v>
      </c>
      <c r="E136" s="40">
        <f t="shared" si="40"/>
        <v>1936.764256666567</v>
      </c>
      <c r="F136" s="40">
        <f t="shared" si="37"/>
        <v>2347.029029156266</v>
      </c>
      <c r="G136" s="40">
        <f t="shared" si="41"/>
        <v>2834037.5527063021</v>
      </c>
      <c r="H136" s="40">
        <f t="shared" si="38"/>
        <v>410.264772489699</v>
      </c>
    </row>
    <row r="137" spans="1:14" x14ac:dyDescent="0.25">
      <c r="A137" s="139">
        <v>116</v>
      </c>
      <c r="B137" s="139"/>
      <c r="C137" s="40">
        <f t="shared" si="36"/>
        <v>387.35285133333332</v>
      </c>
      <c r="D137" s="40">
        <f t="shared" si="39"/>
        <v>19.093267630304574</v>
      </c>
      <c r="E137" s="40">
        <f t="shared" si="40"/>
        <v>1549.4114053332337</v>
      </c>
      <c r="F137" s="40">
        <f t="shared" si="37"/>
        <v>1955.8575242968716</v>
      </c>
      <c r="G137" s="40">
        <f t="shared" si="41"/>
        <v>2835993.4102305989</v>
      </c>
      <c r="H137" s="40">
        <f t="shared" si="38"/>
        <v>406.4461189636379</v>
      </c>
    </row>
    <row r="138" spans="1:14" x14ac:dyDescent="0.25">
      <c r="A138" s="139">
        <v>117</v>
      </c>
      <c r="B138" s="139"/>
      <c r="C138" s="40">
        <f t="shared" si="36"/>
        <v>387.35285133333332</v>
      </c>
      <c r="D138" s="40">
        <f t="shared" si="39"/>
        <v>15.274614104243463</v>
      </c>
      <c r="E138" s="40">
        <f t="shared" si="40"/>
        <v>1162.0585539999004</v>
      </c>
      <c r="F138" s="40">
        <f t="shared" si="37"/>
        <v>1564.6860194374772</v>
      </c>
      <c r="G138" s="40">
        <f t="shared" si="41"/>
        <v>2837558.0962500363</v>
      </c>
      <c r="H138" s="40">
        <f t="shared" si="38"/>
        <v>402.6274654375768</v>
      </c>
    </row>
    <row r="139" spans="1:14" x14ac:dyDescent="0.25">
      <c r="A139" s="139">
        <v>118</v>
      </c>
      <c r="B139" s="139"/>
      <c r="C139" s="40">
        <f t="shared" si="36"/>
        <v>387.35285133333332</v>
      </c>
      <c r="D139" s="40">
        <f t="shared" si="39"/>
        <v>11.455960578182353</v>
      </c>
      <c r="E139" s="40">
        <f t="shared" si="40"/>
        <v>774.70570266656705</v>
      </c>
      <c r="F139" s="40">
        <f t="shared" si="37"/>
        <v>1173.5145145780828</v>
      </c>
      <c r="G139" s="40">
        <f t="shared" si="41"/>
        <v>2838731.6107646143</v>
      </c>
      <c r="H139" s="40">
        <f t="shared" si="38"/>
        <v>398.80881191151565</v>
      </c>
      <c r="I139" s="140" t="s">
        <v>332</v>
      </c>
      <c r="J139" s="140"/>
      <c r="K139" s="140"/>
      <c r="L139" s="140"/>
      <c r="M139" s="140"/>
      <c r="N139" s="140"/>
    </row>
    <row r="140" spans="1:14" x14ac:dyDescent="0.25">
      <c r="A140" s="139">
        <v>119</v>
      </c>
      <c r="B140" s="139"/>
      <c r="C140" s="40">
        <f t="shared" si="36"/>
        <v>387.35285133333332</v>
      </c>
      <c r="D140" s="40">
        <f t="shared" si="39"/>
        <v>7.6373070521212396</v>
      </c>
      <c r="E140" s="40">
        <f t="shared" si="40"/>
        <v>387.35285133323373</v>
      </c>
      <c r="F140" s="40">
        <f t="shared" si="37"/>
        <v>782.34300971868834</v>
      </c>
      <c r="G140" s="40">
        <f t="shared" si="41"/>
        <v>2839513.953774333</v>
      </c>
      <c r="H140" s="40">
        <f t="shared" si="38"/>
        <v>394.99015838545455</v>
      </c>
      <c r="I140" s="15" t="s">
        <v>325</v>
      </c>
      <c r="J140" s="15" t="s">
        <v>326</v>
      </c>
      <c r="K140" s="15" t="s">
        <v>327</v>
      </c>
      <c r="L140" s="15" t="s">
        <v>328</v>
      </c>
      <c r="M140" s="15" t="s">
        <v>329</v>
      </c>
      <c r="N140" s="15" t="s">
        <v>330</v>
      </c>
    </row>
    <row r="141" spans="1:14" x14ac:dyDescent="0.25">
      <c r="A141" s="139">
        <v>120</v>
      </c>
      <c r="B141" s="139"/>
      <c r="C141" s="40">
        <f t="shared" si="36"/>
        <v>387.35285133333332</v>
      </c>
      <c r="D141" s="40">
        <f t="shared" si="39"/>
        <v>3.8186535260601291</v>
      </c>
      <c r="E141" s="40">
        <f t="shared" si="40"/>
        <v>-9.9589669844135642E-11</v>
      </c>
      <c r="F141" s="40">
        <f t="shared" si="37"/>
        <v>391.17150485929386</v>
      </c>
      <c r="G141" s="40">
        <f t="shared" si="41"/>
        <v>2839905.1252791923</v>
      </c>
      <c r="H141" s="40">
        <f t="shared" si="38"/>
        <v>391.17150485939345</v>
      </c>
      <c r="I141" s="72">
        <f t="shared" ref="I141:N141" si="43">SUM(C130:C141)</f>
        <v>4648.2342159999989</v>
      </c>
      <c r="J141" s="72">
        <f t="shared" si="43"/>
        <v>297.85497503275485</v>
      </c>
      <c r="K141" s="72">
        <f t="shared" si="43"/>
        <v>25565.288187998805</v>
      </c>
      <c r="L141" s="72">
        <f t="shared" si="43"/>
        <v>30511.377379031557</v>
      </c>
      <c r="M141" s="72">
        <f t="shared" si="43"/>
        <v>33966986.452960528</v>
      </c>
      <c r="N141" s="72">
        <f t="shared" si="43"/>
        <v>4946.0891910327537</v>
      </c>
    </row>
    <row r="142" spans="1:14" ht="15.75" customHeight="1" x14ac:dyDescent="0.25">
      <c r="A142" s="141" t="s">
        <v>290</v>
      </c>
      <c r="B142" s="141"/>
      <c r="C142" s="40">
        <f>SUM(C22:C117)</f>
        <v>37185.87372800002</v>
      </c>
      <c r="D142" s="40">
        <f>(E117*$U$11*$U$9)/360</f>
        <v>91.647684625465629</v>
      </c>
      <c r="E142" s="40">
        <f>E117-C117</f>
        <v>8909.1155806665629</v>
      </c>
      <c r="F142" s="40">
        <f t="shared" si="37"/>
        <v>46186.63699329205</v>
      </c>
      <c r="G142" s="40">
        <f>G117+F142</f>
        <v>2768740.3108146689</v>
      </c>
      <c r="H142" s="40">
        <f t="shared" si="38"/>
        <v>37277.521412625487</v>
      </c>
      <c r="I142" s="72">
        <f>SUM(I33:I141)</f>
        <v>46482.342159999978</v>
      </c>
    </row>
    <row r="143" spans="1:14" x14ac:dyDescent="0.25">
      <c r="I143" s="72">
        <f>SUM(I33:I117)</f>
        <v>37185.873727999984</v>
      </c>
      <c r="J143" s="69"/>
    </row>
  </sheetData>
  <mergeCells count="134">
    <mergeCell ref="A136:B136"/>
    <mergeCell ref="A137:B137"/>
    <mergeCell ref="A138:B138"/>
    <mergeCell ref="A139:B139"/>
    <mergeCell ref="I139:N139"/>
    <mergeCell ref="A140:B140"/>
    <mergeCell ref="A141:B141"/>
    <mergeCell ref="A142:B142"/>
    <mergeCell ref="I127:N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1:B111"/>
    <mergeCell ref="A112:B112"/>
    <mergeCell ref="A113:B113"/>
    <mergeCell ref="A114:B114"/>
    <mergeCell ref="A115:B115"/>
    <mergeCell ref="I115:N115"/>
    <mergeCell ref="A116:B116"/>
    <mergeCell ref="A117:B117"/>
    <mergeCell ref="A118:B118"/>
    <mergeCell ref="A103:B103"/>
    <mergeCell ref="I103:N103"/>
    <mergeCell ref="A104:B104"/>
    <mergeCell ref="A105:B105"/>
    <mergeCell ref="A106:B106"/>
    <mergeCell ref="A107:B107"/>
    <mergeCell ref="A108:B108"/>
    <mergeCell ref="A109:B109"/>
    <mergeCell ref="A110:B110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86:B86"/>
    <mergeCell ref="A87:B87"/>
    <mergeCell ref="A88:B88"/>
    <mergeCell ref="A89:B89"/>
    <mergeCell ref="A90:B90"/>
    <mergeCell ref="A91:B91"/>
    <mergeCell ref="I91:N91"/>
    <mergeCell ref="A92:B92"/>
    <mergeCell ref="A93:B93"/>
    <mergeCell ref="A78:B78"/>
    <mergeCell ref="A79:B79"/>
    <mergeCell ref="I79:N79"/>
    <mergeCell ref="A80:B80"/>
    <mergeCell ref="A81:B81"/>
    <mergeCell ref="A82:B82"/>
    <mergeCell ref="A83:B83"/>
    <mergeCell ref="A84:B84"/>
    <mergeCell ref="A85:B85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61:B61"/>
    <mergeCell ref="A62:B62"/>
    <mergeCell ref="A63:B63"/>
    <mergeCell ref="A64:B64"/>
    <mergeCell ref="A65:B65"/>
    <mergeCell ref="A66:B66"/>
    <mergeCell ref="A67:B67"/>
    <mergeCell ref="I67:N67"/>
    <mergeCell ref="A68:B68"/>
    <mergeCell ref="A53:B53"/>
    <mergeCell ref="A54:B54"/>
    <mergeCell ref="A55:B55"/>
    <mergeCell ref="I55:N55"/>
    <mergeCell ref="A56:B56"/>
    <mergeCell ref="A57:B57"/>
    <mergeCell ref="A58:B58"/>
    <mergeCell ref="A59:B59"/>
    <mergeCell ref="A60:B60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36:B36"/>
    <mergeCell ref="A37:B37"/>
    <mergeCell ref="A38:B38"/>
    <mergeCell ref="A39:B39"/>
    <mergeCell ref="A40:B40"/>
    <mergeCell ref="A41:B41"/>
    <mergeCell ref="A42:B42"/>
    <mergeCell ref="A43:B43"/>
    <mergeCell ref="I43:N43"/>
    <mergeCell ref="A28:B28"/>
    <mergeCell ref="A29:B29"/>
    <mergeCell ref="A30:B30"/>
    <mergeCell ref="A31:B31"/>
    <mergeCell ref="I31:N31"/>
    <mergeCell ref="A32:B32"/>
    <mergeCell ref="A33:B33"/>
    <mergeCell ref="A34:B34"/>
    <mergeCell ref="A35:B35"/>
    <mergeCell ref="T3:V3"/>
    <mergeCell ref="A19:H19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6:S33"/>
  <sheetViews>
    <sheetView tabSelected="1" topLeftCell="A8" zoomScaleNormal="100" workbookViewId="0">
      <selection activeCell="F29" sqref="F29"/>
    </sheetView>
  </sheetViews>
  <sheetFormatPr baseColWidth="10" defaultColWidth="9.140625" defaultRowHeight="15" x14ac:dyDescent="0.25"/>
  <cols>
    <col min="1" max="4" width="11.42578125"/>
    <col min="5" max="5" width="28"/>
    <col min="6" max="6" width="10"/>
    <col min="7" max="8" width="8.28515625"/>
    <col min="9" max="9" width="8.7109375"/>
    <col min="10" max="11" width="8.28515625"/>
    <col min="12" max="12" width="8.7109375"/>
    <col min="13" max="15" width="8.28515625"/>
    <col min="16" max="16" width="8.5703125"/>
    <col min="17" max="1025" width="11.42578125"/>
  </cols>
  <sheetData>
    <row r="6" spans="5:17" x14ac:dyDescent="0.25">
      <c r="E6" s="142"/>
      <c r="F6" s="143"/>
      <c r="G6" s="15">
        <f>'ingresos totales'!AB16</f>
        <v>2014</v>
      </c>
      <c r="H6" s="15">
        <f>'ingresos totales'!AC16</f>
        <v>2015</v>
      </c>
      <c r="I6" s="15">
        <f>'ingresos totales'!AD16</f>
        <v>2016</v>
      </c>
      <c r="J6" s="15">
        <f>'ingresos totales'!AE16</f>
        <v>2017</v>
      </c>
      <c r="K6" s="15">
        <f>'ingresos totales'!AF16</f>
        <v>2018</v>
      </c>
      <c r="L6" s="15">
        <f>'ingresos totales'!AG16</f>
        <v>2019</v>
      </c>
      <c r="M6" s="15">
        <f>'ingresos totales'!AH16</f>
        <v>2020</v>
      </c>
      <c r="N6" s="15">
        <f>'ingresos totales'!AI16</f>
        <v>2021</v>
      </c>
      <c r="O6" s="15">
        <f>'ingresos totales'!AJ16</f>
        <v>2022</v>
      </c>
      <c r="P6" s="15">
        <f>'ingresos totales'!AK16</f>
        <v>2023</v>
      </c>
    </row>
    <row r="7" spans="5:17" x14ac:dyDescent="0.25">
      <c r="E7" s="38" t="s">
        <v>335</v>
      </c>
      <c r="F7" s="102"/>
    </row>
    <row r="8" spans="5:17" x14ac:dyDescent="0.25">
      <c r="E8" s="24" t="s">
        <v>336</v>
      </c>
      <c r="F8" s="24"/>
      <c r="G8" s="25">
        <f>'ingresos totales'!AB29</f>
        <v>55451.28</v>
      </c>
      <c r="H8" s="25">
        <f>'ingresos totales'!AC29</f>
        <v>81622.8</v>
      </c>
      <c r="I8" s="40">
        <f>'ingresos totales'!AD29</f>
        <v>168081.72000000003</v>
      </c>
      <c r="J8" s="25">
        <f>'ingresos totales'!AE29</f>
        <v>220197.00000000006</v>
      </c>
      <c r="K8" s="25">
        <f>'ingresos totales'!AF29</f>
        <v>275648.28000000003</v>
      </c>
      <c r="L8" s="25">
        <f>'ingresos totales'!AG29</f>
        <v>309667.68000000005</v>
      </c>
      <c r="M8" s="25">
        <f>'ingresos totales'!AH29</f>
        <v>374298.84</v>
      </c>
      <c r="N8" s="25">
        <f>'ingresos totales'!AI29</f>
        <v>448241.88000000012</v>
      </c>
      <c r="O8" s="25">
        <f>'ingresos totales'!AJ29</f>
        <v>506921.04000000004</v>
      </c>
      <c r="P8" s="25">
        <f>'ingresos totales'!AK29</f>
        <v>529864.68000000005</v>
      </c>
      <c r="Q8" s="69"/>
    </row>
    <row r="9" spans="5:17" x14ac:dyDescent="0.25">
      <c r="E9" s="38" t="s">
        <v>337</v>
      </c>
      <c r="F9" s="102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5:17" x14ac:dyDescent="0.25">
      <c r="E10" s="24" t="s">
        <v>338</v>
      </c>
      <c r="F10" s="24"/>
      <c r="G10" s="40">
        <f>'costos totales anuales'!E90</f>
        <v>4199.5300000000007</v>
      </c>
      <c r="H10" s="40">
        <f>'costos totales anuales'!F90</f>
        <v>6242.5300000000007</v>
      </c>
      <c r="I10" s="40">
        <f>'costos totales anuales'!G90</f>
        <v>13395.060000000001</v>
      </c>
      <c r="J10" s="40">
        <f>'costos totales anuales'!H90</f>
        <v>17177.71</v>
      </c>
      <c r="K10" s="40">
        <f>'costos totales anuales'!I90</f>
        <v>21377.239999999998</v>
      </c>
      <c r="L10" s="40">
        <f>'costos totales anuales'!J90</f>
        <v>25491.77</v>
      </c>
      <c r="M10" s="40">
        <f>'costos totales anuales'!K90</f>
        <v>29274.42</v>
      </c>
      <c r="N10" s="40">
        <f>'costos totales anuales'!L90</f>
        <v>36426.949999999997</v>
      </c>
      <c r="O10" s="40">
        <f>'costos totales anuales'!M90</f>
        <v>40035.83</v>
      </c>
      <c r="P10" s="40">
        <f>'costos totales anuales'!N90</f>
        <v>42669.479999999996</v>
      </c>
      <c r="Q10" s="69"/>
    </row>
    <row r="11" spans="5:17" x14ac:dyDescent="0.25">
      <c r="E11" s="24" t="s">
        <v>339</v>
      </c>
      <c r="F11" s="24"/>
      <c r="G11" s="40">
        <f>'gastos totales'!Y45</f>
        <v>96139.928159999996</v>
      </c>
      <c r="H11" s="40">
        <f>'gastos totales'!Z45</f>
        <v>131843.50649728</v>
      </c>
      <c r="I11" s="40">
        <f>'gastos totales'!AA45</f>
        <v>182066.52470416401</v>
      </c>
      <c r="J11" s="40">
        <f>'gastos totales'!AB45</f>
        <v>218317.1643662354</v>
      </c>
      <c r="K11" s="40">
        <f>'gastos totales'!AC45</f>
        <v>288510.08819873037</v>
      </c>
      <c r="L11" s="40">
        <f>'gastos totales'!AD45</f>
        <v>324917.90404825594</v>
      </c>
      <c r="M11" s="40">
        <f>'gastos totales'!AE45</f>
        <v>341921.51404611295</v>
      </c>
      <c r="N11" s="40">
        <f>'gastos totales'!AF45</f>
        <v>401056.75584310613</v>
      </c>
      <c r="O11" s="40">
        <f>'gastos totales'!AG45</f>
        <v>444891.6589071214</v>
      </c>
      <c r="P11" s="40">
        <f>'gastos totales'!AH45</f>
        <v>501924.96890370111</v>
      </c>
      <c r="Q11" s="69"/>
    </row>
    <row r="12" spans="5:17" x14ac:dyDescent="0.25">
      <c r="E12" s="24" t="s">
        <v>340</v>
      </c>
      <c r="F12" s="24"/>
      <c r="G12" s="40">
        <f>'costos financieros'!R31</f>
        <v>1036.7644323255911</v>
      </c>
      <c r="H12" s="40">
        <f>'costos financieros'!R32</f>
        <v>899.29290538739031</v>
      </c>
      <c r="I12" s="40">
        <f>'costos financieros'!R33</f>
        <v>761.82137844919055</v>
      </c>
      <c r="J12" s="40">
        <f>'costos financieros'!R34</f>
        <v>624.3498515109909</v>
      </c>
      <c r="K12" s="40">
        <f>'costos financieros'!R35</f>
        <v>486.8783245727908</v>
      </c>
      <c r="L12" s="40">
        <f>'costos financieros'!R36</f>
        <v>349.40679763459087</v>
      </c>
      <c r="M12" s="40">
        <f>'costos financieros'!R37</f>
        <v>211.93527069639103</v>
      </c>
      <c r="N12" s="40">
        <f>'costos financieros'!R38</f>
        <v>74.463743758191086</v>
      </c>
      <c r="O12" s="40">
        <f>'costos financieros'!R39</f>
        <v>0</v>
      </c>
      <c r="P12" s="40">
        <f>'costos financieros'!R40</f>
        <v>0</v>
      </c>
      <c r="Q12" s="69"/>
    </row>
    <row r="13" spans="5:17" x14ac:dyDescent="0.25">
      <c r="E13" s="24" t="s">
        <v>341</v>
      </c>
      <c r="F13" s="24"/>
      <c r="G13" s="40">
        <f>'depreciacion acti fijo anual'!M69</f>
        <v>2835.7343181818178</v>
      </c>
      <c r="H13" s="40">
        <f>'depreciacion acti fijo anual'!N69</f>
        <v>2823.5709818181822</v>
      </c>
      <c r="I13" s="40">
        <f>'depreciacion acti fijo anual'!O69</f>
        <v>3172.6880999999998</v>
      </c>
      <c r="J13" s="40">
        <f>'depreciacion acti fijo anual'!P69</f>
        <v>5024.7189000000008</v>
      </c>
      <c r="K13" s="40">
        <f>'depreciacion acti fijo anual'!Q69</f>
        <v>3599.4001090909092</v>
      </c>
      <c r="L13" s="40">
        <f>'depreciacion acti fijo anual'!R69</f>
        <v>2311.8058636363635</v>
      </c>
      <c r="M13" s="40">
        <f>'depreciacion acti fijo anual'!S69</f>
        <v>4984.1825727272726</v>
      </c>
      <c r="N13" s="40">
        <f>'depreciacion acti fijo anual'!T69</f>
        <v>4045.8783272727273</v>
      </c>
      <c r="O13" s="40">
        <f>'depreciacion acti fijo anual'!U69</f>
        <v>3448.8908999999999</v>
      </c>
      <c r="P13" s="40">
        <f>'depreciacion acti fijo anual'!V69</f>
        <v>4460.5998818181815</v>
      </c>
      <c r="Q13" s="69"/>
    </row>
    <row r="14" spans="5:17" x14ac:dyDescent="0.25">
      <c r="E14" s="24" t="s">
        <v>342</v>
      </c>
      <c r="F14" s="24"/>
      <c r="G14" s="40">
        <f t="shared" ref="G14:P14" si="0">SUM(G10:G13)</f>
        <v>104211.9569105074</v>
      </c>
      <c r="H14" s="40">
        <f t="shared" si="0"/>
        <v>141808.90038448558</v>
      </c>
      <c r="I14" s="40">
        <f t="shared" si="0"/>
        <v>199396.09418261319</v>
      </c>
      <c r="J14" s="40">
        <f t="shared" si="0"/>
        <v>241143.94311774638</v>
      </c>
      <c r="K14" s="40">
        <f t="shared" si="0"/>
        <v>313973.60663239408</v>
      </c>
      <c r="L14" s="40">
        <f t="shared" si="0"/>
        <v>353070.88670952694</v>
      </c>
      <c r="M14" s="40">
        <f t="shared" si="0"/>
        <v>376392.05188953661</v>
      </c>
      <c r="N14" s="40">
        <f t="shared" si="0"/>
        <v>441604.04791413707</v>
      </c>
      <c r="O14" s="40">
        <f t="shared" si="0"/>
        <v>488376.37980712141</v>
      </c>
      <c r="P14" s="40">
        <f t="shared" si="0"/>
        <v>549055.04878551932</v>
      </c>
      <c r="Q14" s="69"/>
    </row>
    <row r="15" spans="5:17" x14ac:dyDescent="0.25">
      <c r="E15" s="24" t="s">
        <v>343</v>
      </c>
      <c r="F15" s="24"/>
      <c r="G15" s="40">
        <f t="shared" ref="G15:P15" si="1">G8-G14</f>
        <v>-48760.676910507405</v>
      </c>
      <c r="H15" s="40">
        <f t="shared" si="1"/>
        <v>-60186.100384485573</v>
      </c>
      <c r="I15" s="40">
        <f t="shared" si="1"/>
        <v>-31314.374182613159</v>
      </c>
      <c r="J15" s="40">
        <f t="shared" si="1"/>
        <v>-20946.943117746327</v>
      </c>
      <c r="K15" s="40">
        <f t="shared" si="1"/>
        <v>-38325.326632394048</v>
      </c>
      <c r="L15" s="40">
        <f t="shared" si="1"/>
        <v>-43403.206709526887</v>
      </c>
      <c r="M15" s="40">
        <f t="shared" si="1"/>
        <v>-2093.2118895365857</v>
      </c>
      <c r="N15" s="40">
        <f t="shared" si="1"/>
        <v>6637.8320858630468</v>
      </c>
      <c r="O15" s="40">
        <f t="shared" si="1"/>
        <v>18544.660192878626</v>
      </c>
      <c r="P15" s="40">
        <f t="shared" si="1"/>
        <v>-19190.368785519269</v>
      </c>
    </row>
    <row r="16" spans="5:17" x14ac:dyDescent="0.25">
      <c r="E16" s="24" t="s">
        <v>344</v>
      </c>
      <c r="F16" s="24"/>
      <c r="G16" s="40">
        <f t="shared" ref="G16:P16" si="2">IF(G15&gt;0,-G15*0.15,0)</f>
        <v>0</v>
      </c>
      <c r="H16" s="40">
        <f t="shared" si="2"/>
        <v>0</v>
      </c>
      <c r="I16" s="40">
        <f t="shared" si="2"/>
        <v>0</v>
      </c>
      <c r="J16" s="40">
        <f t="shared" si="2"/>
        <v>0</v>
      </c>
      <c r="K16" s="40">
        <f t="shared" si="2"/>
        <v>0</v>
      </c>
      <c r="L16" s="40">
        <f t="shared" si="2"/>
        <v>0</v>
      </c>
      <c r="M16" s="40">
        <f t="shared" si="2"/>
        <v>0</v>
      </c>
      <c r="N16" s="40">
        <f t="shared" si="2"/>
        <v>-995.67481287945702</v>
      </c>
      <c r="O16" s="40">
        <f t="shared" si="2"/>
        <v>-2781.6990289317937</v>
      </c>
      <c r="P16" s="40">
        <f t="shared" si="2"/>
        <v>0</v>
      </c>
    </row>
    <row r="17" spans="5:19" x14ac:dyDescent="0.25">
      <c r="E17" s="24" t="s">
        <v>345</v>
      </c>
      <c r="F17" s="24"/>
      <c r="G17" s="40">
        <f>G15+G16</f>
        <v>-48760.676910507405</v>
      </c>
      <c r="H17" s="40">
        <f t="shared" ref="G17:P17" si="3">H15+H16</f>
        <v>-60186.100384485573</v>
      </c>
      <c r="I17" s="40">
        <f t="shared" si="3"/>
        <v>-31314.374182613159</v>
      </c>
      <c r="J17" s="40">
        <f t="shared" si="3"/>
        <v>-20946.943117746327</v>
      </c>
      <c r="K17" s="40">
        <f t="shared" si="3"/>
        <v>-38325.326632394048</v>
      </c>
      <c r="L17" s="40">
        <f t="shared" si="3"/>
        <v>-43403.206709526887</v>
      </c>
      <c r="M17" s="40">
        <f t="shared" si="3"/>
        <v>-2093.2118895365857</v>
      </c>
      <c r="N17" s="40">
        <f t="shared" si="3"/>
        <v>5642.1572729835898</v>
      </c>
      <c r="O17" s="40">
        <f t="shared" si="3"/>
        <v>15762.961163946831</v>
      </c>
      <c r="P17" s="40">
        <f t="shared" si="3"/>
        <v>-19190.368785519269</v>
      </c>
    </row>
    <row r="18" spans="5:19" x14ac:dyDescent="0.25">
      <c r="E18" s="24" t="s">
        <v>346</v>
      </c>
      <c r="F18" s="24"/>
      <c r="G18" s="40">
        <f t="shared" ref="G18:P18" si="4">IF(G17&gt;0,-G17*0.25,0)</f>
        <v>0</v>
      </c>
      <c r="H18" s="40">
        <f t="shared" si="4"/>
        <v>0</v>
      </c>
      <c r="I18" s="40">
        <f t="shared" si="4"/>
        <v>0</v>
      </c>
      <c r="J18" s="40">
        <f t="shared" si="4"/>
        <v>0</v>
      </c>
      <c r="K18" s="40">
        <f t="shared" si="4"/>
        <v>0</v>
      </c>
      <c r="L18" s="40">
        <f t="shared" si="4"/>
        <v>0</v>
      </c>
      <c r="M18" s="40">
        <f t="shared" si="4"/>
        <v>0</v>
      </c>
      <c r="N18" s="40">
        <f t="shared" si="4"/>
        <v>-1410.5393182458974</v>
      </c>
      <c r="O18" s="40">
        <f t="shared" si="4"/>
        <v>-3940.7402909867078</v>
      </c>
      <c r="P18" s="40">
        <f t="shared" si="4"/>
        <v>0</v>
      </c>
    </row>
    <row r="19" spans="5:19" x14ac:dyDescent="0.25">
      <c r="E19" s="24" t="s">
        <v>347</v>
      </c>
      <c r="F19" s="24"/>
      <c r="G19" s="40">
        <f>G17+G18</f>
        <v>-48760.676910507405</v>
      </c>
      <c r="H19" s="40">
        <f t="shared" ref="G19:P19" si="5">H17+H18</f>
        <v>-60186.100384485573</v>
      </c>
      <c r="I19" s="40">
        <f t="shared" si="5"/>
        <v>-31314.374182613159</v>
      </c>
      <c r="J19" s="40">
        <f t="shared" si="5"/>
        <v>-20946.943117746327</v>
      </c>
      <c r="K19" s="40">
        <f t="shared" si="5"/>
        <v>-38325.326632394048</v>
      </c>
      <c r="L19" s="40">
        <f t="shared" si="5"/>
        <v>-43403.206709526887</v>
      </c>
      <c r="M19" s="40">
        <f t="shared" si="5"/>
        <v>-2093.2118895365857</v>
      </c>
      <c r="N19" s="40">
        <f t="shared" si="5"/>
        <v>4231.6179547376923</v>
      </c>
      <c r="O19" s="40">
        <f t="shared" si="5"/>
        <v>11822.220872960123</v>
      </c>
      <c r="P19" s="40">
        <f t="shared" si="5"/>
        <v>-19190.368785519269</v>
      </c>
    </row>
    <row r="20" spans="5:19" x14ac:dyDescent="0.25">
      <c r="E20" s="24"/>
      <c r="F20" s="24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5:19" x14ac:dyDescent="0.25">
      <c r="E21" s="24" t="s">
        <v>348</v>
      </c>
      <c r="F21" s="24"/>
      <c r="G21" s="40">
        <f>G19</f>
        <v>-48760.676910507405</v>
      </c>
      <c r="H21" s="40">
        <f t="shared" ref="G21:P21" si="6">H19</f>
        <v>-60186.100384485573</v>
      </c>
      <c r="I21" s="40">
        <f t="shared" si="6"/>
        <v>-31314.374182613159</v>
      </c>
      <c r="J21" s="40">
        <f t="shared" si="6"/>
        <v>-20946.943117746327</v>
      </c>
      <c r="K21" s="40">
        <f t="shared" si="6"/>
        <v>-38325.326632394048</v>
      </c>
      <c r="L21" s="40">
        <f t="shared" si="6"/>
        <v>-43403.206709526887</v>
      </c>
      <c r="M21" s="40">
        <f t="shared" si="6"/>
        <v>-2093.2118895365857</v>
      </c>
      <c r="N21" s="40">
        <f t="shared" si="6"/>
        <v>4231.6179547376923</v>
      </c>
      <c r="O21" s="40">
        <f t="shared" si="6"/>
        <v>11822.220872960123</v>
      </c>
      <c r="P21" s="40">
        <f t="shared" si="6"/>
        <v>-19190.368785519269</v>
      </c>
    </row>
    <row r="22" spans="5:19" x14ac:dyDescent="0.25">
      <c r="E22" s="24" t="s">
        <v>349</v>
      </c>
      <c r="F22" s="24"/>
      <c r="G22" s="40">
        <f>G13</f>
        <v>2835.7343181818178</v>
      </c>
      <c r="H22" s="40">
        <f t="shared" ref="G22:P22" si="7">H13</f>
        <v>2823.5709818181822</v>
      </c>
      <c r="I22" s="40">
        <f>I13</f>
        <v>3172.6880999999998</v>
      </c>
      <c r="J22" s="40">
        <f t="shared" si="7"/>
        <v>5024.7189000000008</v>
      </c>
      <c r="K22" s="40">
        <f t="shared" si="7"/>
        <v>3599.4001090909092</v>
      </c>
      <c r="L22" s="40">
        <f t="shared" si="7"/>
        <v>2311.8058636363635</v>
      </c>
      <c r="M22" s="40">
        <f t="shared" si="7"/>
        <v>4984.1825727272726</v>
      </c>
      <c r="N22" s="40">
        <f t="shared" si="7"/>
        <v>4045.8783272727273</v>
      </c>
      <c r="O22" s="40">
        <f t="shared" si="7"/>
        <v>3448.8908999999999</v>
      </c>
      <c r="P22" s="40">
        <f t="shared" si="7"/>
        <v>4460.5998818181815</v>
      </c>
    </row>
    <row r="23" spans="5:19" x14ac:dyDescent="0.25">
      <c r="E23" s="24" t="s">
        <v>350</v>
      </c>
      <c r="F23" s="72">
        <f>-'costos financieros'!U5</f>
        <v>-37185.873727999999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R23" s="72"/>
      <c r="S23" s="40"/>
    </row>
    <row r="24" spans="5:19" x14ac:dyDescent="0.25">
      <c r="E24" s="24" t="s">
        <v>351</v>
      </c>
      <c r="F24" s="40">
        <f>'costos financieros'!U7</f>
        <v>9296.4684319999997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5:19" x14ac:dyDescent="0.25">
      <c r="E25" s="24" t="s">
        <v>352</v>
      </c>
      <c r="F25" s="24"/>
      <c r="G25" s="40">
        <f>-'costos financieros'!Q31</f>
        <v>-1162.0585539999997</v>
      </c>
      <c r="H25" s="40">
        <f>-'costos financieros'!Q32</f>
        <v>-1162.0585539999997</v>
      </c>
      <c r="I25" s="40">
        <f>-'costos financieros'!Q33</f>
        <v>-1162.0585539999997</v>
      </c>
      <c r="J25" s="40">
        <f>-'costos financieros'!Q34</f>
        <v>-1162.0585539999997</v>
      </c>
      <c r="K25" s="40">
        <f>-'costos financieros'!Q35</f>
        <v>-1162.0585539999997</v>
      </c>
      <c r="L25" s="40">
        <f>-'costos financieros'!Q36</f>
        <v>-1162.0585539999997</v>
      </c>
      <c r="M25" s="40">
        <f>-'costos financieros'!Q37</f>
        <v>-1162.0585539999997</v>
      </c>
      <c r="N25" s="40">
        <f>-'costos financieros'!Q38</f>
        <v>-1162.0585539999997</v>
      </c>
      <c r="O25" s="40">
        <f>-'costos financieros'!Q39</f>
        <v>0</v>
      </c>
      <c r="P25" s="40">
        <f>-'costos financieros'!Q40</f>
        <v>0</v>
      </c>
    </row>
    <row r="26" spans="5:19" x14ac:dyDescent="0.25">
      <c r="E26" s="24" t="s">
        <v>353</v>
      </c>
      <c r="F26" s="24">
        <f>-'inversion total inicial'!F8</f>
        <v>-30597.853999999999</v>
      </c>
      <c r="G26" s="40"/>
      <c r="H26" s="40"/>
      <c r="I26" s="40">
        <f>-'capital trabajo'!G46</f>
        <v>-76147.728740747247</v>
      </c>
      <c r="J26" s="40"/>
      <c r="K26" s="40"/>
      <c r="L26" s="40">
        <f>-'capital trabajo'!H46</f>
        <v>-108454.76844720999</v>
      </c>
      <c r="M26" s="40"/>
      <c r="N26" s="40"/>
      <c r="O26" s="40"/>
      <c r="P26" s="40"/>
    </row>
    <row r="27" spans="5:19" x14ac:dyDescent="0.25">
      <c r="E27" s="24" t="s">
        <v>354</v>
      </c>
      <c r="F27" s="24"/>
      <c r="G27" s="72"/>
      <c r="H27" s="72"/>
      <c r="I27" s="72"/>
      <c r="J27" s="72"/>
      <c r="K27" s="72"/>
      <c r="L27" s="72"/>
      <c r="M27" s="72"/>
      <c r="N27" s="72"/>
      <c r="O27" s="72"/>
      <c r="P27" s="72">
        <f>-(F26+I26+L26)</f>
        <v>215200.35118795725</v>
      </c>
    </row>
    <row r="28" spans="5:19" x14ac:dyDescent="0.25">
      <c r="E28" s="38" t="s">
        <v>355</v>
      </c>
      <c r="F28" s="103">
        <f>SUM(F21:F27)</f>
        <v>-58487.259295999997</v>
      </c>
      <c r="G28" s="72">
        <f>SUM(G21:G27)</f>
        <v>-47087.001146325594</v>
      </c>
      <c r="H28" s="72">
        <f t="shared" ref="F28:P28" si="8">SUM(H21:H27)</f>
        <v>-58524.587956667398</v>
      </c>
      <c r="I28" s="72">
        <f t="shared" si="8"/>
        <v>-105451.47337736041</v>
      </c>
      <c r="J28" s="72">
        <f t="shared" si="8"/>
        <v>-17084.282771746326</v>
      </c>
      <c r="K28" s="72">
        <f t="shared" si="8"/>
        <v>-35887.985077303143</v>
      </c>
      <c r="L28" s="72">
        <f t="shared" si="8"/>
        <v>-150708.22784710053</v>
      </c>
      <c r="M28" s="72">
        <f t="shared" si="8"/>
        <v>1728.9121291906872</v>
      </c>
      <c r="N28" s="72">
        <f t="shared" si="8"/>
        <v>7115.43772801042</v>
      </c>
      <c r="O28" s="72">
        <f t="shared" si="8"/>
        <v>15271.111772960123</v>
      </c>
      <c r="P28" s="72">
        <f t="shared" si="8"/>
        <v>200470.58228425615</v>
      </c>
    </row>
    <row r="29" spans="5:19" x14ac:dyDescent="0.25">
      <c r="E29" s="24"/>
      <c r="F29" s="24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5:19" x14ac:dyDescent="0.25">
      <c r="E30" s="24"/>
      <c r="F30" s="24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5:19" x14ac:dyDescent="0.25">
      <c r="E31" s="24"/>
      <c r="F31" s="24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5:19" x14ac:dyDescent="0.25">
      <c r="E32" s="24"/>
      <c r="F32" s="24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5:16" x14ac:dyDescent="0.25">
      <c r="E33" s="24"/>
      <c r="F33" s="24"/>
      <c r="G33" s="72"/>
      <c r="H33" s="72"/>
      <c r="I33" s="72"/>
      <c r="J33" s="72"/>
      <c r="K33" s="72"/>
      <c r="L33" s="72"/>
      <c r="M33" s="72"/>
      <c r="N33" s="72"/>
      <c r="O33" s="72"/>
      <c r="P33" s="72"/>
    </row>
  </sheetData>
  <mergeCells count="1">
    <mergeCell ref="E6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6:S35"/>
  <sheetViews>
    <sheetView topLeftCell="C12" zoomScaleNormal="100" workbookViewId="0">
      <selection activeCell="J30" sqref="J30"/>
    </sheetView>
  </sheetViews>
  <sheetFormatPr baseColWidth="10" defaultColWidth="9.140625" defaultRowHeight="15" x14ac:dyDescent="0.25"/>
  <cols>
    <col min="1" max="4" width="11.42578125"/>
    <col min="5" max="5" width="28"/>
    <col min="6" max="6" width="10"/>
    <col min="7" max="8" width="8.28515625"/>
    <col min="9" max="9" width="8.7109375"/>
    <col min="10" max="11" width="8.28515625"/>
    <col min="12" max="12" width="8.7109375"/>
    <col min="13" max="15" width="8.28515625"/>
    <col min="16" max="16" width="8.5703125"/>
    <col min="17" max="1025" width="11.42578125"/>
  </cols>
  <sheetData>
    <row r="6" spans="5:17" x14ac:dyDescent="0.25">
      <c r="G6" s="15">
        <f>'ingresos totales'!AB16</f>
        <v>2014</v>
      </c>
      <c r="H6" s="15">
        <f>'ingresos totales'!AC16</f>
        <v>2015</v>
      </c>
      <c r="I6" s="15">
        <f>'ingresos totales'!AD16</f>
        <v>2016</v>
      </c>
      <c r="J6" s="15">
        <f>'ingresos totales'!AE16</f>
        <v>2017</v>
      </c>
      <c r="K6" s="15">
        <f>'ingresos totales'!AF16</f>
        <v>2018</v>
      </c>
      <c r="L6" s="15">
        <f>'ingresos totales'!AG16</f>
        <v>2019</v>
      </c>
      <c r="M6" s="15">
        <f>'ingresos totales'!AH16</f>
        <v>2020</v>
      </c>
      <c r="N6" s="15">
        <f>'ingresos totales'!AI16</f>
        <v>2021</v>
      </c>
      <c r="O6" s="15">
        <f>'ingresos totales'!AJ16</f>
        <v>2022</v>
      </c>
      <c r="P6" s="15">
        <f>'ingresos totales'!AK16</f>
        <v>2023</v>
      </c>
    </row>
    <row r="7" spans="5:17" x14ac:dyDescent="0.25">
      <c r="E7" s="38" t="s">
        <v>335</v>
      </c>
      <c r="F7" s="102"/>
    </row>
    <row r="8" spans="5:17" x14ac:dyDescent="0.25">
      <c r="E8" s="24" t="s">
        <v>336</v>
      </c>
      <c r="F8" s="24"/>
      <c r="G8" s="25">
        <f>'ingresos totales'!AB29</f>
        <v>55451.28</v>
      </c>
      <c r="H8" s="25">
        <f>'ingresos totales'!AC29</f>
        <v>81622.8</v>
      </c>
      <c r="I8" s="40">
        <f>'ingresos totales'!AD29</f>
        <v>168081.72000000003</v>
      </c>
      <c r="J8" s="25">
        <f>'ingresos totales'!AE29</f>
        <v>220197.00000000006</v>
      </c>
      <c r="K8" s="25">
        <f>'ingresos totales'!AF29</f>
        <v>275648.28000000003</v>
      </c>
      <c r="L8" s="25">
        <f>'ingresos totales'!AG29</f>
        <v>309667.68000000005</v>
      </c>
      <c r="M8" s="25">
        <f>'ingresos totales'!AH29</f>
        <v>374298.84</v>
      </c>
      <c r="N8" s="25">
        <f>'ingresos totales'!AI29</f>
        <v>448241.88000000012</v>
      </c>
      <c r="O8" s="25">
        <f>'ingresos totales'!AJ29</f>
        <v>506921.04000000004</v>
      </c>
      <c r="P8" s="25">
        <f>'ingresos totales'!AK29</f>
        <v>529864.68000000005</v>
      </c>
      <c r="Q8" s="69"/>
    </row>
    <row r="9" spans="5:17" x14ac:dyDescent="0.25"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5:17" x14ac:dyDescent="0.25">
      <c r="E10" s="38" t="s">
        <v>337</v>
      </c>
      <c r="F10" s="102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</row>
    <row r="11" spans="5:17" x14ac:dyDescent="0.25">
      <c r="E11" s="24" t="s">
        <v>338</v>
      </c>
      <c r="F11" s="24"/>
      <c r="G11" s="40">
        <f>'costos totales anuales'!E90</f>
        <v>4199.5300000000007</v>
      </c>
      <c r="H11" s="40">
        <f>'costos totales anuales'!F90</f>
        <v>6242.5300000000007</v>
      </c>
      <c r="I11" s="40">
        <f>'costos totales anuales'!G90</f>
        <v>13395.060000000001</v>
      </c>
      <c r="J11" s="40">
        <f>'costos totales anuales'!H90</f>
        <v>17177.71</v>
      </c>
      <c r="K11" s="40">
        <f>'costos totales anuales'!I90</f>
        <v>21377.239999999998</v>
      </c>
      <c r="L11" s="40">
        <f>'costos totales anuales'!J90</f>
        <v>25491.77</v>
      </c>
      <c r="M11" s="40">
        <f>'costos totales anuales'!K90</f>
        <v>29274.42</v>
      </c>
      <c r="N11" s="40">
        <f>'costos totales anuales'!L90</f>
        <v>36426.949999999997</v>
      </c>
      <c r="O11" s="40">
        <f>'costos totales anuales'!M90</f>
        <v>40035.83</v>
      </c>
      <c r="P11" s="40">
        <f>'costos totales anuales'!N90</f>
        <v>42669.479999999996</v>
      </c>
      <c r="Q11" s="69"/>
    </row>
    <row r="12" spans="5:17" x14ac:dyDescent="0.25">
      <c r="E12" s="24" t="s">
        <v>339</v>
      </c>
      <c r="F12" s="24"/>
      <c r="G12" s="40">
        <f>'gastos totales'!Y45</f>
        <v>96139.928159999996</v>
      </c>
      <c r="H12" s="40">
        <f>'gastos totales'!Z45</f>
        <v>131843.50649728</v>
      </c>
      <c r="I12" s="40">
        <f>'gastos totales'!AA45</f>
        <v>182066.52470416401</v>
      </c>
      <c r="J12" s="40">
        <f>'gastos totales'!AB45</f>
        <v>218317.1643662354</v>
      </c>
      <c r="K12" s="40">
        <f>'gastos totales'!AC45</f>
        <v>288510.08819873037</v>
      </c>
      <c r="L12" s="40">
        <f>'gastos totales'!AD45</f>
        <v>324917.90404825594</v>
      </c>
      <c r="M12" s="40">
        <f>'gastos totales'!AE45</f>
        <v>341921.51404611295</v>
      </c>
      <c r="N12" s="40">
        <f>'gastos totales'!AF45</f>
        <v>401056.75584310613</v>
      </c>
      <c r="O12" s="40">
        <f>'gastos totales'!AG45</f>
        <v>444891.6589071214</v>
      </c>
      <c r="P12" s="40">
        <f>'gastos totales'!AH45</f>
        <v>501924.96890370111</v>
      </c>
      <c r="Q12" s="69"/>
    </row>
    <row r="13" spans="5:17" x14ac:dyDescent="0.25">
      <c r="E13" s="24" t="s">
        <v>340</v>
      </c>
      <c r="F13" s="24"/>
      <c r="G13" s="40">
        <f>'costos financieros 100%'!R31</f>
        <v>5246.8299448079651</v>
      </c>
      <c r="H13" s="40">
        <f>'costos financieros 100%'!R32</f>
        <v>4696.9438370551597</v>
      </c>
      <c r="I13" s="40">
        <f>'costos financieros 100%'!R33</f>
        <v>4147.0577293023553</v>
      </c>
      <c r="J13" s="40">
        <f>'costos financieros 100%'!R34</f>
        <v>3597.1716215495535</v>
      </c>
      <c r="K13" s="40">
        <f>'costos financieros 100%'!R35</f>
        <v>3047.2855137967526</v>
      </c>
      <c r="L13" s="40">
        <f>'costos financieros 100%'!R36</f>
        <v>2497.3994060439536</v>
      </c>
      <c r="M13" s="40">
        <f>'costos financieros 100%'!R37</f>
        <v>1947.5132982911546</v>
      </c>
      <c r="N13" s="40">
        <f>'costos financieros 100%'!R38</f>
        <v>1397.6271905383542</v>
      </c>
      <c r="O13" s="40">
        <f>'costos financieros 100%'!R39</f>
        <v>847.74108278555457</v>
      </c>
      <c r="P13" s="40">
        <f>'costos financieros 100%'!R40</f>
        <v>297.85497503275485</v>
      </c>
      <c r="Q13" s="69"/>
    </row>
    <row r="14" spans="5:17" x14ac:dyDescent="0.25">
      <c r="E14" s="24" t="s">
        <v>341</v>
      </c>
      <c r="F14" s="24"/>
      <c r="G14" s="40">
        <f>'depreciacion acti fijo anual'!M69</f>
        <v>2835.7343181818178</v>
      </c>
      <c r="H14" s="40">
        <f>'depreciacion acti fijo anual'!N69</f>
        <v>2823.5709818181822</v>
      </c>
      <c r="I14" s="40">
        <f>'depreciacion acti fijo anual'!O69</f>
        <v>3172.6880999999998</v>
      </c>
      <c r="J14" s="40">
        <f>'depreciacion acti fijo anual'!P69</f>
        <v>5024.7189000000008</v>
      </c>
      <c r="K14" s="40">
        <f>'depreciacion acti fijo anual'!Q69</f>
        <v>3599.4001090909092</v>
      </c>
      <c r="L14" s="40">
        <f>'depreciacion acti fijo anual'!R69</f>
        <v>2311.8058636363635</v>
      </c>
      <c r="M14" s="40">
        <f>'depreciacion acti fijo anual'!S69</f>
        <v>4984.1825727272726</v>
      </c>
      <c r="N14" s="40">
        <f>'depreciacion acti fijo anual'!T69</f>
        <v>4045.8783272727273</v>
      </c>
      <c r="O14" s="40">
        <f>'depreciacion acti fijo anual'!U69</f>
        <v>3448.8908999999999</v>
      </c>
      <c r="P14" s="40">
        <f>'depreciacion acti fijo anual'!V69</f>
        <v>4460.5998818181815</v>
      </c>
      <c r="Q14" s="69"/>
    </row>
    <row r="15" spans="5:17" x14ac:dyDescent="0.25">
      <c r="E15" s="24" t="s">
        <v>342</v>
      </c>
      <c r="F15" s="40"/>
      <c r="G15" s="24">
        <f t="shared" ref="G15:P15" si="0">SUM(G11:G14)</f>
        <v>108422.02242298977</v>
      </c>
      <c r="H15" s="24">
        <f t="shared" si="0"/>
        <v>145606.55131615335</v>
      </c>
      <c r="I15" s="24">
        <f t="shared" si="0"/>
        <v>202781.33053346636</v>
      </c>
      <c r="J15" s="24">
        <f t="shared" si="0"/>
        <v>244116.76488778496</v>
      </c>
      <c r="K15" s="24">
        <f t="shared" si="0"/>
        <v>316534.01382161799</v>
      </c>
      <c r="L15" s="24">
        <f t="shared" si="0"/>
        <v>355218.87931793625</v>
      </c>
      <c r="M15" s="24">
        <f t="shared" si="0"/>
        <v>378127.62991713133</v>
      </c>
      <c r="N15" s="24">
        <f t="shared" si="0"/>
        <v>442927.21136091719</v>
      </c>
      <c r="O15" s="24">
        <f t="shared" si="0"/>
        <v>489224.12088990695</v>
      </c>
      <c r="P15" s="24">
        <f t="shared" si="0"/>
        <v>549352.90376055206</v>
      </c>
      <c r="Q15" s="69"/>
    </row>
    <row r="16" spans="5:17" x14ac:dyDescent="0.25">
      <c r="E16" s="24"/>
      <c r="F16" s="40"/>
      <c r="G16" s="24"/>
      <c r="H16" s="40"/>
      <c r="I16" s="24"/>
      <c r="J16" s="40"/>
      <c r="K16" s="24"/>
      <c r="L16" s="40"/>
      <c r="M16" s="24"/>
      <c r="N16" s="40"/>
      <c r="O16" s="24"/>
      <c r="P16" s="40"/>
    </row>
    <row r="17" spans="5:19" x14ac:dyDescent="0.25">
      <c r="E17" s="24" t="s">
        <v>343</v>
      </c>
      <c r="F17" s="24"/>
      <c r="G17" s="40">
        <f t="shared" ref="G17:P17" si="1">G8-G15</f>
        <v>-52970.742422989773</v>
      </c>
      <c r="H17" s="40">
        <f t="shared" si="1"/>
        <v>-63983.751316153342</v>
      </c>
      <c r="I17" s="40">
        <f t="shared" si="1"/>
        <v>-34699.61053346633</v>
      </c>
      <c r="J17" s="40">
        <f t="shared" si="1"/>
        <v>-23919.764887784899</v>
      </c>
      <c r="K17" s="40">
        <f t="shared" si="1"/>
        <v>-40885.733821617963</v>
      </c>
      <c r="L17" s="40">
        <f t="shared" si="1"/>
        <v>-45551.199317936203</v>
      </c>
      <c r="M17" s="40">
        <f t="shared" si="1"/>
        <v>-3828.7899171313038</v>
      </c>
      <c r="N17" s="40">
        <f t="shared" si="1"/>
        <v>5314.6686390829273</v>
      </c>
      <c r="O17" s="40">
        <f t="shared" si="1"/>
        <v>17696.919110093091</v>
      </c>
      <c r="P17" s="40">
        <f t="shared" si="1"/>
        <v>-19488.223760552006</v>
      </c>
    </row>
    <row r="18" spans="5:19" x14ac:dyDescent="0.25">
      <c r="E18" s="24" t="s">
        <v>344</v>
      </c>
      <c r="F18" s="24"/>
      <c r="G18" s="40">
        <f t="shared" ref="G18:P18" si="2">IF(G17&gt;0,-G17*0.15,0)</f>
        <v>0</v>
      </c>
      <c r="H18" s="40">
        <f t="shared" si="2"/>
        <v>0</v>
      </c>
      <c r="I18" s="40">
        <f t="shared" si="2"/>
        <v>0</v>
      </c>
      <c r="J18" s="40">
        <f t="shared" si="2"/>
        <v>0</v>
      </c>
      <c r="K18" s="40">
        <f t="shared" si="2"/>
        <v>0</v>
      </c>
      <c r="L18" s="40">
        <f t="shared" si="2"/>
        <v>0</v>
      </c>
      <c r="M18" s="40">
        <f t="shared" si="2"/>
        <v>0</v>
      </c>
      <c r="N18" s="40">
        <f t="shared" si="2"/>
        <v>-797.20029586243902</v>
      </c>
      <c r="O18" s="40">
        <f t="shared" si="2"/>
        <v>-2654.5378665139638</v>
      </c>
      <c r="P18" s="40">
        <f t="shared" si="2"/>
        <v>0</v>
      </c>
    </row>
    <row r="19" spans="5:19" x14ac:dyDescent="0.25">
      <c r="E19" s="24" t="s">
        <v>345</v>
      </c>
      <c r="F19" s="24"/>
      <c r="G19" s="40">
        <f t="shared" ref="G19:P19" si="3">G17+G18</f>
        <v>-52970.742422989773</v>
      </c>
      <c r="H19" s="40">
        <f t="shared" si="3"/>
        <v>-63983.751316153342</v>
      </c>
      <c r="I19" s="40">
        <f t="shared" si="3"/>
        <v>-34699.61053346633</v>
      </c>
      <c r="J19" s="40">
        <f t="shared" si="3"/>
        <v>-23919.764887784899</v>
      </c>
      <c r="K19" s="40">
        <f t="shared" si="3"/>
        <v>-40885.733821617963</v>
      </c>
      <c r="L19" s="40">
        <f t="shared" si="3"/>
        <v>-45551.199317936203</v>
      </c>
      <c r="M19" s="40">
        <f t="shared" si="3"/>
        <v>-3828.7899171313038</v>
      </c>
      <c r="N19" s="40">
        <f t="shared" si="3"/>
        <v>4517.4683432204884</v>
      </c>
      <c r="O19" s="40">
        <f t="shared" si="3"/>
        <v>15042.381243579128</v>
      </c>
      <c r="P19" s="40">
        <f t="shared" si="3"/>
        <v>-19488.223760552006</v>
      </c>
    </row>
    <row r="20" spans="5:19" x14ac:dyDescent="0.25">
      <c r="E20" s="24" t="s">
        <v>346</v>
      </c>
      <c r="F20" s="24"/>
      <c r="G20" s="40">
        <f t="shared" ref="G20:P20" si="4">IF(G19&gt;0,-G19*0.25,0)</f>
        <v>0</v>
      </c>
      <c r="H20" s="40">
        <f t="shared" si="4"/>
        <v>0</v>
      </c>
      <c r="I20" s="40">
        <f t="shared" si="4"/>
        <v>0</v>
      </c>
      <c r="J20" s="40">
        <f t="shared" si="4"/>
        <v>0</v>
      </c>
      <c r="K20" s="40">
        <f t="shared" si="4"/>
        <v>0</v>
      </c>
      <c r="L20" s="40">
        <f t="shared" si="4"/>
        <v>0</v>
      </c>
      <c r="M20" s="40">
        <f t="shared" si="4"/>
        <v>0</v>
      </c>
      <c r="N20" s="40">
        <f t="shared" si="4"/>
        <v>-1129.3670858051221</v>
      </c>
      <c r="O20" s="40">
        <f t="shared" si="4"/>
        <v>-3760.595310894782</v>
      </c>
      <c r="P20" s="40">
        <f t="shared" si="4"/>
        <v>0</v>
      </c>
    </row>
    <row r="21" spans="5:19" x14ac:dyDescent="0.25">
      <c r="E21" s="24" t="s">
        <v>347</v>
      </c>
      <c r="F21" s="24"/>
      <c r="G21" s="40">
        <f t="shared" ref="G21:P21" si="5">G19+G20</f>
        <v>-52970.742422989773</v>
      </c>
      <c r="H21" s="40">
        <f t="shared" si="5"/>
        <v>-63983.751316153342</v>
      </c>
      <c r="I21" s="40">
        <f t="shared" si="5"/>
        <v>-34699.61053346633</v>
      </c>
      <c r="J21" s="40">
        <f t="shared" si="5"/>
        <v>-23919.764887784899</v>
      </c>
      <c r="K21" s="40">
        <f t="shared" si="5"/>
        <v>-40885.733821617963</v>
      </c>
      <c r="L21" s="40">
        <f t="shared" si="5"/>
        <v>-45551.199317936203</v>
      </c>
      <c r="M21" s="40">
        <f t="shared" si="5"/>
        <v>-3828.7899171313038</v>
      </c>
      <c r="N21" s="40">
        <f t="shared" si="5"/>
        <v>3388.1012574153665</v>
      </c>
      <c r="O21" s="40">
        <f t="shared" si="5"/>
        <v>11281.785932684346</v>
      </c>
      <c r="P21" s="40">
        <f t="shared" si="5"/>
        <v>-19488.223760552006</v>
      </c>
    </row>
    <row r="22" spans="5:19" x14ac:dyDescent="0.25">
      <c r="E22" s="24"/>
      <c r="F22" s="24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5:19" x14ac:dyDescent="0.25">
      <c r="E23" s="24" t="s">
        <v>348</v>
      </c>
      <c r="F23" s="24"/>
      <c r="G23" s="40">
        <f t="shared" ref="G23:P23" si="6">G21</f>
        <v>-52970.742422989773</v>
      </c>
      <c r="H23" s="40">
        <f t="shared" si="6"/>
        <v>-63983.751316153342</v>
      </c>
      <c r="I23" s="40">
        <f t="shared" si="6"/>
        <v>-34699.61053346633</v>
      </c>
      <c r="J23" s="40">
        <f t="shared" si="6"/>
        <v>-23919.764887784899</v>
      </c>
      <c r="K23" s="40">
        <f t="shared" si="6"/>
        <v>-40885.733821617963</v>
      </c>
      <c r="L23" s="40">
        <f t="shared" si="6"/>
        <v>-45551.199317936203</v>
      </c>
      <c r="M23" s="40">
        <f t="shared" si="6"/>
        <v>-3828.7899171313038</v>
      </c>
      <c r="N23" s="40">
        <f t="shared" si="6"/>
        <v>3388.1012574153665</v>
      </c>
      <c r="O23" s="40">
        <f t="shared" si="6"/>
        <v>11281.785932684346</v>
      </c>
      <c r="P23" s="40">
        <f t="shared" si="6"/>
        <v>-19488.223760552006</v>
      </c>
    </row>
    <row r="24" spans="5:19" x14ac:dyDescent="0.25">
      <c r="E24" s="24" t="s">
        <v>349</v>
      </c>
      <c r="F24" s="24"/>
      <c r="G24" s="40">
        <f t="shared" ref="G24:P24" si="7">G14</f>
        <v>2835.7343181818178</v>
      </c>
      <c r="H24" s="40">
        <f t="shared" si="7"/>
        <v>2823.5709818181822</v>
      </c>
      <c r="I24" s="40">
        <f t="shared" si="7"/>
        <v>3172.6880999999998</v>
      </c>
      <c r="J24" s="40">
        <f t="shared" si="7"/>
        <v>5024.7189000000008</v>
      </c>
      <c r="K24" s="40">
        <f t="shared" si="7"/>
        <v>3599.4001090909092</v>
      </c>
      <c r="L24" s="40">
        <f t="shared" si="7"/>
        <v>2311.8058636363635</v>
      </c>
      <c r="M24" s="40">
        <f t="shared" si="7"/>
        <v>4984.1825727272726</v>
      </c>
      <c r="N24" s="40">
        <f t="shared" si="7"/>
        <v>4045.8783272727273</v>
      </c>
      <c r="O24" s="40">
        <f t="shared" si="7"/>
        <v>3448.8908999999999</v>
      </c>
      <c r="P24" s="40">
        <f t="shared" si="7"/>
        <v>4460.5998818181815</v>
      </c>
    </row>
    <row r="25" spans="5:19" x14ac:dyDescent="0.25">
      <c r="E25" s="24" t="s">
        <v>350</v>
      </c>
      <c r="F25" s="72">
        <f>'costos financieros 100%'!U5</f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R25" s="72"/>
      <c r="S25" s="40"/>
    </row>
    <row r="26" spans="5:19" x14ac:dyDescent="0.25">
      <c r="E26" s="24" t="s">
        <v>351</v>
      </c>
      <c r="F26" s="40">
        <f>'costos financieros 100%'!U7</f>
        <v>46482.34216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5:19" x14ac:dyDescent="0.25">
      <c r="E27" s="24" t="s">
        <v>352</v>
      </c>
      <c r="F27" s="24"/>
      <c r="G27" s="40">
        <f>-'costos financieros 100%'!Q31</f>
        <v>-4648.2342159999989</v>
      </c>
      <c r="H27" s="40">
        <f>-'costos financieros 100%'!Q32</f>
        <v>-4648.2342159999989</v>
      </c>
      <c r="I27" s="40">
        <f>-'costos financieros 100%'!Q33</f>
        <v>-4648.2342159999989</v>
      </c>
      <c r="J27" s="40">
        <f>-'costos financieros 100%'!Q34</f>
        <v>-4648.2342159999989</v>
      </c>
      <c r="K27" s="40">
        <f>-'costos financieros 100%'!Q35</f>
        <v>-4648.2342159999989</v>
      </c>
      <c r="L27" s="40">
        <f>-'costos financieros 100%'!Q36</f>
        <v>-4648.2342159999989</v>
      </c>
      <c r="M27" s="40">
        <f>-'costos financieros 100%'!Q37</f>
        <v>-4648.2342159999989</v>
      </c>
      <c r="N27" s="40">
        <f>-'costos financieros 100%'!Q38</f>
        <v>-4648.2342159999989</v>
      </c>
      <c r="O27" s="40">
        <f>-'costos financieros 100%'!Q39</f>
        <v>-4648.2342159999989</v>
      </c>
      <c r="P27" s="40">
        <f>-'costos financieros 100%'!Q40</f>
        <v>-4648.2342159999989</v>
      </c>
    </row>
    <row r="28" spans="5:19" x14ac:dyDescent="0.25">
      <c r="E28" s="24" t="s">
        <v>353</v>
      </c>
      <c r="F28" s="24">
        <f>-'inversion total inicial'!F8</f>
        <v>-30597.853999999999</v>
      </c>
      <c r="G28" s="40"/>
      <c r="H28" s="40"/>
      <c r="I28" s="40">
        <f>-'capital trabajo'!G46</f>
        <v>-76147.728740747247</v>
      </c>
      <c r="J28" s="40"/>
      <c r="K28" s="40"/>
      <c r="L28" s="40">
        <f>-'capital trabajo'!H46</f>
        <v>-108454.76844720999</v>
      </c>
      <c r="M28" s="40"/>
      <c r="N28" s="40"/>
      <c r="O28" s="40"/>
      <c r="P28" s="40"/>
    </row>
    <row r="29" spans="5:19" x14ac:dyDescent="0.25">
      <c r="E29" s="24" t="s">
        <v>354</v>
      </c>
      <c r="F29" s="24"/>
      <c r="G29" s="72"/>
      <c r="H29" s="72"/>
      <c r="I29" s="72"/>
      <c r="J29" s="72"/>
      <c r="K29" s="72"/>
      <c r="L29" s="72"/>
      <c r="M29" s="72"/>
      <c r="N29" s="72"/>
      <c r="O29" s="72"/>
      <c r="P29" s="72">
        <f>-(F28+I28+L28)</f>
        <v>215200.35118795725</v>
      </c>
    </row>
    <row r="30" spans="5:19" x14ac:dyDescent="0.25">
      <c r="E30" s="38" t="s">
        <v>355</v>
      </c>
      <c r="F30" s="103">
        <f t="shared" ref="F30:P30" si="8">SUM(F23:F29)</f>
        <v>15884.488160000001</v>
      </c>
      <c r="G30" s="72">
        <f t="shared" si="8"/>
        <v>-54783.242320807956</v>
      </c>
      <c r="H30" s="72">
        <f t="shared" si="8"/>
        <v>-65808.414550335161</v>
      </c>
      <c r="I30" s="72">
        <f t="shared" si="8"/>
        <v>-112322.88539021357</v>
      </c>
      <c r="J30" s="72">
        <f t="shared" si="8"/>
        <v>-23543.280203784896</v>
      </c>
      <c r="K30" s="72">
        <f t="shared" si="8"/>
        <v>-41934.567928527053</v>
      </c>
      <c r="L30" s="72">
        <f t="shared" si="8"/>
        <v>-156342.39611750984</v>
      </c>
      <c r="M30" s="72">
        <f t="shared" si="8"/>
        <v>-3492.8415604040301</v>
      </c>
      <c r="N30" s="72">
        <f t="shared" si="8"/>
        <v>2785.7453686880945</v>
      </c>
      <c r="O30" s="72">
        <f t="shared" si="8"/>
        <v>10082.442616684348</v>
      </c>
      <c r="P30" s="72">
        <f t="shared" si="8"/>
        <v>195524.49309322343</v>
      </c>
    </row>
    <row r="31" spans="5:19" x14ac:dyDescent="0.25">
      <c r="E31" s="24"/>
      <c r="F31" s="24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5:19" x14ac:dyDescent="0.25">
      <c r="E32" s="24"/>
      <c r="F32" s="24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5:16" x14ac:dyDescent="0.25">
      <c r="E33" s="24"/>
      <c r="F33" s="24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5:16" x14ac:dyDescent="0.25">
      <c r="E34" s="24"/>
      <c r="F34" s="24"/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5:16" x14ac:dyDescent="0.25">
      <c r="E35" s="24"/>
      <c r="F35" s="24"/>
      <c r="G35" s="72"/>
      <c r="H35" s="72"/>
      <c r="I35" s="72"/>
      <c r="J35" s="72"/>
      <c r="K35" s="72"/>
      <c r="L35" s="72"/>
      <c r="M35" s="72"/>
      <c r="N35" s="72"/>
      <c r="O35" s="72"/>
      <c r="P35" s="7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7:AC38"/>
  <sheetViews>
    <sheetView zoomScaleNormal="100" workbookViewId="0">
      <selection activeCell="G17" sqref="G17"/>
    </sheetView>
  </sheetViews>
  <sheetFormatPr baseColWidth="10" defaultColWidth="9.140625" defaultRowHeight="15" x14ac:dyDescent="0.25"/>
  <cols>
    <col min="1" max="4" width="11.42578125"/>
    <col min="5" max="5" width="12.42578125"/>
    <col min="6" max="8" width="7.85546875"/>
    <col min="9" max="9" width="8.7109375"/>
    <col min="10" max="10" width="7.85546875"/>
    <col min="11" max="11" width="8.28515625"/>
    <col min="12" max="12" width="8.7109375" bestFit="1" customWidth="1"/>
    <col min="13" max="15" width="8.28515625"/>
    <col min="16" max="16" width="8.5703125"/>
    <col min="17" max="18" width="11.42578125"/>
    <col min="19" max="19" width="29.28515625"/>
    <col min="20" max="20" width="16.140625"/>
    <col min="21" max="23" width="11.42578125"/>
    <col min="24" max="24" width="13.5703125"/>
    <col min="25" max="29" width="14.5703125"/>
    <col min="30" max="1025" width="11.42578125"/>
  </cols>
  <sheetData>
    <row r="7" spans="5:16" x14ac:dyDescent="0.25">
      <c r="E7" s="144" t="s">
        <v>356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5:16" x14ac:dyDescent="0.25">
      <c r="E8" s="24"/>
      <c r="F8" s="24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5:16" x14ac:dyDescent="0.25">
      <c r="E9" s="15" t="s">
        <v>357</v>
      </c>
      <c r="F9" s="15">
        <v>0</v>
      </c>
      <c r="G9" s="15">
        <f>'flujo de caja inversionista'!G6</f>
        <v>2014</v>
      </c>
      <c r="H9" s="15">
        <f>'flujo de caja inversionista'!H6</f>
        <v>2015</v>
      </c>
      <c r="I9" s="15">
        <f>'flujo de caja inversionista'!I6</f>
        <v>2016</v>
      </c>
      <c r="J9" s="15">
        <f>'flujo de caja inversionista'!J6</f>
        <v>2017</v>
      </c>
      <c r="K9" s="15">
        <f>'flujo de caja inversionista'!K6</f>
        <v>2018</v>
      </c>
      <c r="L9" s="15">
        <f>'flujo de caja inversionista'!L6</f>
        <v>2019</v>
      </c>
      <c r="M9" s="15">
        <f>'flujo de caja inversionista'!M6</f>
        <v>2020</v>
      </c>
      <c r="N9" s="15">
        <f>'flujo de caja inversionista'!N6</f>
        <v>2021</v>
      </c>
      <c r="O9" s="15">
        <f>'flujo de caja inversionista'!O6</f>
        <v>2022</v>
      </c>
      <c r="P9" s="15">
        <f>'flujo de caja inversionista'!P6</f>
        <v>2023</v>
      </c>
    </row>
    <row r="10" spans="5:16" x14ac:dyDescent="0.25">
      <c r="E10" s="24"/>
      <c r="F10" s="24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spans="5:16" ht="22.5" x14ac:dyDescent="0.25">
      <c r="E11" s="24" t="s">
        <v>358</v>
      </c>
      <c r="F11" s="72">
        <f>'flujo de caja inversionista'!F23</f>
        <v>-37185.873727999999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</row>
    <row r="12" spans="5:16" ht="22.5" x14ac:dyDescent="0.25">
      <c r="E12" s="24" t="s">
        <v>359</v>
      </c>
      <c r="F12" s="24"/>
      <c r="G12" s="72">
        <f>'flujo de caja inversionista'!G28</f>
        <v>-47087.001146325594</v>
      </c>
      <c r="H12" s="72">
        <f>'flujo de caja inversionista'!H28</f>
        <v>-58524.587956667398</v>
      </c>
      <c r="I12" s="72">
        <f>'flujo de caja inversionista'!I28</f>
        <v>-105451.47337736041</v>
      </c>
      <c r="J12" s="72">
        <f>'flujo de caja inversionista'!J28</f>
        <v>-17084.282771746326</v>
      </c>
      <c r="K12" s="72">
        <f>'flujo de caja inversionista'!K28</f>
        <v>-35887.985077303143</v>
      </c>
      <c r="L12" s="72">
        <f>'flujo de caja inversionista'!L28</f>
        <v>-150708.22784710053</v>
      </c>
      <c r="M12" s="72">
        <f>'flujo de caja inversionista'!M28</f>
        <v>1728.9121291906872</v>
      </c>
      <c r="N12" s="72">
        <f>'flujo de caja inversionista'!N28</f>
        <v>7115.43772801042</v>
      </c>
      <c r="O12" s="72">
        <f>'flujo de caja inversionista'!O28</f>
        <v>15271.111772960123</v>
      </c>
      <c r="P12" s="72">
        <f>'flujo de caja inversionista'!P28</f>
        <v>200470.58228425615</v>
      </c>
    </row>
    <row r="13" spans="5:16" x14ac:dyDescent="0.25">
      <c r="E13" s="24" t="s">
        <v>360</v>
      </c>
      <c r="F13" s="24"/>
      <c r="G13" s="72">
        <f>'depreciacion acti fijo anual'!M71</f>
        <v>14368.165681818182</v>
      </c>
      <c r="H13" s="72">
        <f>'depreciacion acti fijo anual'!N71</f>
        <v>25307.7147</v>
      </c>
      <c r="I13" s="72">
        <f>'depreciacion acti fijo anual'!O71</f>
        <v>46220.486599999989</v>
      </c>
      <c r="J13" s="72">
        <f>'depreciacion acti fijo anual'!P71</f>
        <v>65658.923699999999</v>
      </c>
      <c r="K13" s="72">
        <f>'depreciacion acti fijo anual'!Q71</f>
        <v>72381.863590909095</v>
      </c>
      <c r="L13" s="72">
        <f>'depreciacion acti fijo anual'!R71</f>
        <v>83833.177727272734</v>
      </c>
      <c r="M13" s="72">
        <f>'depreciacion acti fijo anual'!S71</f>
        <v>112049.96115454545</v>
      </c>
      <c r="N13" s="72">
        <f>'depreciacion acti fijo anual'!T71</f>
        <v>121767.20282727273</v>
      </c>
      <c r="O13" s="72">
        <f>'depreciacion acti fijo anual'!U71</f>
        <v>138962.99192727273</v>
      </c>
      <c r="P13" s="72">
        <f>'depreciacion acti fijo anual'!V71</f>
        <v>155425.23804545455</v>
      </c>
    </row>
    <row r="14" spans="5:16" x14ac:dyDescent="0.25">
      <c r="E14" s="24"/>
      <c r="F14" s="24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spans="5:16" x14ac:dyDescent="0.25">
      <c r="E15" s="24" t="s">
        <v>361</v>
      </c>
      <c r="F15" s="72">
        <f t="shared" ref="F15:P15" si="0">SUM(F11:F13)</f>
        <v>-37185.873727999999</v>
      </c>
      <c r="G15" s="72">
        <f t="shared" si="0"/>
        <v>-32718.835464507414</v>
      </c>
      <c r="H15" s="72">
        <f t="shared" si="0"/>
        <v>-33216.873256667401</v>
      </c>
      <c r="I15" s="72">
        <f t="shared" si="0"/>
        <v>-59230.98677736042</v>
      </c>
      <c r="J15" s="72">
        <f t="shared" si="0"/>
        <v>48574.640928253677</v>
      </c>
      <c r="K15" s="72">
        <f t="shared" si="0"/>
        <v>36493.878513605952</v>
      </c>
      <c r="L15" s="72">
        <f t="shared" si="0"/>
        <v>-66875.050119827793</v>
      </c>
      <c r="M15" s="72">
        <f t="shared" si="0"/>
        <v>113778.87328373615</v>
      </c>
      <c r="N15" s="72">
        <f t="shared" si="0"/>
        <v>128882.64055528316</v>
      </c>
      <c r="O15" s="72">
        <f t="shared" si="0"/>
        <v>154234.10370023284</v>
      </c>
      <c r="P15" s="72">
        <f t="shared" si="0"/>
        <v>355895.82032971072</v>
      </c>
    </row>
    <row r="16" spans="5:16" x14ac:dyDescent="0.25">
      <c r="E16" s="24"/>
      <c r="F16" s="24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pans="5:21" x14ac:dyDescent="0.25">
      <c r="E17" s="24"/>
      <c r="F17" s="24" t="s">
        <v>362</v>
      </c>
      <c r="G17" s="104">
        <f>IRR(F15:P15)</f>
        <v>0.25619146051296049</v>
      </c>
      <c r="H17" s="72"/>
      <c r="I17" s="72"/>
      <c r="J17" s="72"/>
      <c r="K17" s="72"/>
      <c r="L17" s="72"/>
      <c r="M17" s="72"/>
      <c r="N17" s="72"/>
      <c r="O17" s="72"/>
      <c r="P17" s="72"/>
    </row>
    <row r="24" spans="5:21" x14ac:dyDescent="0.25">
      <c r="S24" s="15" t="s">
        <v>363</v>
      </c>
      <c r="T24" s="15"/>
      <c r="U24" s="15"/>
    </row>
    <row r="25" spans="5:21" x14ac:dyDescent="0.25">
      <c r="S25" s="24" t="s">
        <v>364</v>
      </c>
      <c r="T25" s="104">
        <f>Tmar!G13</f>
        <v>0.15744313728389947</v>
      </c>
      <c r="U25" s="72"/>
    </row>
    <row r="26" spans="5:21" x14ac:dyDescent="0.25">
      <c r="S26" s="24"/>
      <c r="T26" s="72"/>
      <c r="U26" s="72"/>
    </row>
    <row r="27" spans="5:21" x14ac:dyDescent="0.25">
      <c r="S27" s="24" t="s">
        <v>365</v>
      </c>
      <c r="T27" s="72">
        <f>NPV(T25,F15:P15)-'inversion total inicial'!F7</f>
        <v>73401.390249882563</v>
      </c>
      <c r="U27" s="72"/>
    </row>
    <row r="28" spans="5:21" x14ac:dyDescent="0.25">
      <c r="S28" s="24"/>
      <c r="T28" s="24"/>
      <c r="U28" s="72"/>
    </row>
    <row r="29" spans="5:21" x14ac:dyDescent="0.25">
      <c r="S29" s="15" t="s">
        <v>366</v>
      </c>
      <c r="T29" s="105">
        <f>T27*((T25)*(1+T25)^1/(((1+(T25)^1)-1)))</f>
        <v>84957.935411823841</v>
      </c>
      <c r="U29" s="15"/>
    </row>
    <row r="36" spans="23:29" x14ac:dyDescent="0.25">
      <c r="W36" s="15" t="s">
        <v>364</v>
      </c>
      <c r="X36" s="53">
        <v>0.05</v>
      </c>
      <c r="Y36" s="53">
        <v>0.1</v>
      </c>
      <c r="Z36" s="104">
        <f>T25</f>
        <v>0.15744313728389947</v>
      </c>
      <c r="AA36" s="53">
        <v>0.2</v>
      </c>
      <c r="AB36" s="53">
        <v>0.25</v>
      </c>
      <c r="AC36" s="53">
        <v>0.3</v>
      </c>
    </row>
    <row r="37" spans="23:29" x14ac:dyDescent="0.25">
      <c r="W37" s="15" t="s">
        <v>367</v>
      </c>
      <c r="X37" s="72">
        <f>NPV(X36,$F$15:$P$15)-'inversion total inicial'!$F$7</f>
        <v>331062.53200017533</v>
      </c>
      <c r="Y37" s="72">
        <f>NPV(Y36,$F$15:$P$15)-'inversion total inicial'!$F$7</f>
        <v>175079.47192921225</v>
      </c>
      <c r="Z37" s="72">
        <f>NPV(Z36,$F$15:$P$15)-'inversion total inicial'!$F$7</f>
        <v>73401.390249882563</v>
      </c>
      <c r="AA37" s="72">
        <f>NPV(AA36,$F$15:$P$15)-'inversion total inicial'!$F$7</f>
        <v>28784.029375792903</v>
      </c>
      <c r="AB37" s="72">
        <f>NPV(AB36,$F$15:$P$15)-'inversion total inicial'!$F$7</f>
        <v>-4025.7683614113262</v>
      </c>
      <c r="AC37" s="72">
        <f>NPV(AC36,$F$15:$P$15)-'inversion total inicial'!$F$7</f>
        <v>-23735.860422793907</v>
      </c>
    </row>
    <row r="38" spans="23:29" x14ac:dyDescent="0.25">
      <c r="W38" s="15" t="s">
        <v>368</v>
      </c>
      <c r="X38" s="72">
        <f t="shared" ref="X38:AC38" si="1">X37*((X36)*(1+X36)^1/(((1+(X36)^1)-1)))</f>
        <v>347615.65860018384</v>
      </c>
      <c r="Y38" s="104">
        <f t="shared" si="1"/>
        <v>192587.41912213332</v>
      </c>
      <c r="Z38" s="72">
        <f t="shared" si="1"/>
        <v>84957.935411823841</v>
      </c>
      <c r="AA38" s="24">
        <f t="shared" si="1"/>
        <v>34540.835250951488</v>
      </c>
      <c r="AB38" s="104">
        <f t="shared" si="1"/>
        <v>-5032.2104517641574</v>
      </c>
      <c r="AC38" s="72">
        <f t="shared" si="1"/>
        <v>-30856.618549632076</v>
      </c>
    </row>
  </sheetData>
  <mergeCells count="1">
    <mergeCell ref="E7:P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D10:K27"/>
  <sheetViews>
    <sheetView zoomScaleNormal="100" workbookViewId="0">
      <selection activeCell="F1" sqref="F1"/>
    </sheetView>
  </sheetViews>
  <sheetFormatPr baseColWidth="10" defaultColWidth="9.140625" defaultRowHeight="15" x14ac:dyDescent="0.25"/>
  <cols>
    <col min="1" max="3" width="11.42578125"/>
    <col min="4" max="4" width="35.42578125"/>
    <col min="5" max="5" width="14.42578125"/>
    <col min="6" max="6" width="20"/>
    <col min="7" max="8" width="11.42578125"/>
    <col min="9" max="9" width="38.5703125"/>
    <col min="10" max="10" width="14.42578125"/>
    <col min="11" max="11" width="20"/>
    <col min="12" max="1025" width="11.42578125"/>
  </cols>
  <sheetData>
    <row r="10" spans="4:11" x14ac:dyDescent="0.25">
      <c r="D10" s="1" t="s">
        <v>0</v>
      </c>
      <c r="E10" s="1" t="s">
        <v>29</v>
      </c>
      <c r="F10" s="1" t="s">
        <v>30</v>
      </c>
      <c r="I10" s="1" t="s">
        <v>0</v>
      </c>
      <c r="J10" s="1" t="s">
        <v>29</v>
      </c>
      <c r="K10" s="1" t="s">
        <v>30</v>
      </c>
    </row>
    <row r="11" spans="4:11" ht="30" x14ac:dyDescent="0.25">
      <c r="D11" s="2" t="s">
        <v>3</v>
      </c>
      <c r="E11" s="4">
        <v>0.33</v>
      </c>
      <c r="F11">
        <v>3</v>
      </c>
      <c r="I11" s="2" t="s">
        <v>31</v>
      </c>
      <c r="J11" s="4">
        <v>0.33</v>
      </c>
      <c r="K11">
        <v>3</v>
      </c>
    </row>
    <row r="12" spans="4:11" hidden="1" x14ac:dyDescent="0.25">
      <c r="D12" t="s">
        <v>5</v>
      </c>
      <c r="E12" s="4">
        <v>0.1</v>
      </c>
      <c r="F12">
        <v>10</v>
      </c>
      <c r="I12" t="s">
        <v>5</v>
      </c>
      <c r="J12" s="4">
        <v>0.1</v>
      </c>
      <c r="K12">
        <v>10</v>
      </c>
    </row>
    <row r="13" spans="4:11" x14ac:dyDescent="0.25">
      <c r="D13" t="s">
        <v>7</v>
      </c>
      <c r="E13" s="4">
        <v>0.33</v>
      </c>
      <c r="F13">
        <v>3</v>
      </c>
      <c r="I13" t="s">
        <v>7</v>
      </c>
      <c r="J13" s="4">
        <v>0.33</v>
      </c>
      <c r="K13">
        <v>3</v>
      </c>
    </row>
    <row r="14" spans="4:11" x14ac:dyDescent="0.25">
      <c r="D14" t="s">
        <v>9</v>
      </c>
      <c r="E14" s="4">
        <v>0.33</v>
      </c>
      <c r="F14">
        <v>3</v>
      </c>
      <c r="I14" t="s">
        <v>9</v>
      </c>
      <c r="J14" s="4">
        <v>0.33</v>
      </c>
      <c r="K14">
        <v>3</v>
      </c>
    </row>
    <row r="15" spans="4:11" hidden="1" x14ac:dyDescent="0.25">
      <c r="D15" s="2" t="s">
        <v>32</v>
      </c>
      <c r="E15" s="4">
        <v>0.1</v>
      </c>
      <c r="F15">
        <v>10</v>
      </c>
      <c r="I15" s="2" t="s">
        <v>32</v>
      </c>
      <c r="J15" s="4">
        <v>0.1</v>
      </c>
      <c r="K15">
        <v>10</v>
      </c>
    </row>
    <row r="16" spans="4:11" x14ac:dyDescent="0.25">
      <c r="D16" t="s">
        <v>13</v>
      </c>
      <c r="E16" s="4">
        <v>0.33</v>
      </c>
      <c r="F16">
        <v>3</v>
      </c>
      <c r="I16" t="s">
        <v>13</v>
      </c>
      <c r="J16" s="4">
        <v>0.33</v>
      </c>
      <c r="K16">
        <v>3</v>
      </c>
    </row>
    <row r="17" spans="4:11" hidden="1" x14ac:dyDescent="0.25">
      <c r="D17" t="s">
        <v>15</v>
      </c>
      <c r="E17" s="4">
        <v>0.1</v>
      </c>
      <c r="F17">
        <v>10</v>
      </c>
      <c r="I17" t="s">
        <v>15</v>
      </c>
      <c r="J17" s="4">
        <v>0.1</v>
      </c>
      <c r="K17">
        <v>10</v>
      </c>
    </row>
    <row r="18" spans="4:11" hidden="1" x14ac:dyDescent="0.25">
      <c r="D18" t="s">
        <v>17</v>
      </c>
      <c r="E18" s="4">
        <v>0.1</v>
      </c>
      <c r="F18">
        <v>10</v>
      </c>
      <c r="I18" t="s">
        <v>17</v>
      </c>
      <c r="J18" s="4">
        <v>0.1</v>
      </c>
      <c r="K18">
        <v>10</v>
      </c>
    </row>
    <row r="19" spans="4:11" hidden="1" x14ac:dyDescent="0.25">
      <c r="D19" t="s">
        <v>19</v>
      </c>
      <c r="E19" s="4">
        <v>0.1</v>
      </c>
      <c r="F19">
        <v>10</v>
      </c>
      <c r="I19" t="s">
        <v>19</v>
      </c>
      <c r="J19" s="4">
        <v>0.1</v>
      </c>
      <c r="K19">
        <v>10</v>
      </c>
    </row>
    <row r="20" spans="4:11" x14ac:dyDescent="0.25">
      <c r="D20" t="s">
        <v>21</v>
      </c>
      <c r="E20" s="4">
        <v>0.33</v>
      </c>
      <c r="F20">
        <v>3</v>
      </c>
      <c r="I20" t="s">
        <v>21</v>
      </c>
      <c r="J20" s="4">
        <v>0.33</v>
      </c>
      <c r="K20">
        <v>3</v>
      </c>
    </row>
    <row r="21" spans="4:11" x14ac:dyDescent="0.25">
      <c r="D21" t="s">
        <v>23</v>
      </c>
      <c r="E21" s="4">
        <v>0.33</v>
      </c>
      <c r="F21">
        <v>3</v>
      </c>
      <c r="I21" t="s">
        <v>23</v>
      </c>
      <c r="J21" s="4">
        <v>0.33</v>
      </c>
      <c r="K21">
        <v>3</v>
      </c>
    </row>
    <row r="22" spans="4:11" hidden="1" x14ac:dyDescent="0.25">
      <c r="D22" t="s">
        <v>25</v>
      </c>
      <c r="E22" s="4">
        <v>0.1</v>
      </c>
      <c r="F22">
        <v>10</v>
      </c>
      <c r="I22" t="s">
        <v>25</v>
      </c>
      <c r="J22" s="4">
        <v>0.1</v>
      </c>
      <c r="K22">
        <v>10</v>
      </c>
    </row>
    <row r="23" spans="4:11" x14ac:dyDescent="0.25">
      <c r="D23" t="s">
        <v>26</v>
      </c>
      <c r="E23" s="4">
        <v>0.33</v>
      </c>
      <c r="F23">
        <v>3</v>
      </c>
      <c r="I23" t="s">
        <v>26</v>
      </c>
      <c r="J23" s="4">
        <v>0.33</v>
      </c>
      <c r="K23">
        <v>3</v>
      </c>
    </row>
    <row r="24" spans="4:11" x14ac:dyDescent="0.25">
      <c r="D24" t="s">
        <v>27</v>
      </c>
      <c r="E24" s="4">
        <v>0.33</v>
      </c>
      <c r="F24">
        <v>3</v>
      </c>
      <c r="I24" t="s">
        <v>27</v>
      </c>
      <c r="J24" s="4">
        <v>0.33</v>
      </c>
      <c r="K24">
        <v>3</v>
      </c>
    </row>
    <row r="27" spans="4:11" x14ac:dyDescent="0.25">
      <c r="D27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7:AC38"/>
  <sheetViews>
    <sheetView topLeftCell="E7" zoomScaleNormal="100" workbookViewId="0">
      <selection activeCell="E7" sqref="E7:P7"/>
    </sheetView>
  </sheetViews>
  <sheetFormatPr baseColWidth="10" defaultColWidth="9.140625" defaultRowHeight="15" x14ac:dyDescent="0.25"/>
  <cols>
    <col min="1" max="4" width="11.42578125"/>
    <col min="5" max="5" width="12.42578125"/>
    <col min="6" max="8" width="7.85546875"/>
    <col min="9" max="9" width="8.7109375"/>
    <col min="10" max="10" width="7.85546875"/>
    <col min="11" max="11" width="8.28515625"/>
    <col min="12" max="12" width="8.7109375" bestFit="1" customWidth="1"/>
    <col min="13" max="15" width="8.28515625"/>
    <col min="16" max="16" width="8.5703125"/>
    <col min="17" max="18" width="11.42578125"/>
    <col min="19" max="19" width="29.28515625"/>
    <col min="20" max="20" width="16.140625"/>
    <col min="21" max="23" width="11.42578125"/>
    <col min="24" max="24" width="13.5703125"/>
    <col min="25" max="29" width="14.5703125"/>
    <col min="30" max="1025" width="11.42578125"/>
  </cols>
  <sheetData>
    <row r="7" spans="5:16" x14ac:dyDescent="0.25">
      <c r="E7" s="144" t="s">
        <v>356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5:16" x14ac:dyDescent="0.25">
      <c r="E8" s="24"/>
      <c r="F8" s="24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5:16" x14ac:dyDescent="0.25">
      <c r="E9" s="15" t="s">
        <v>357</v>
      </c>
      <c r="F9" s="15">
        <v>0</v>
      </c>
      <c r="G9" s="15">
        <f>'flujo de caja inversionista'!G6</f>
        <v>2014</v>
      </c>
      <c r="H9" s="15">
        <f>'flujo de caja inversionista'!H6</f>
        <v>2015</v>
      </c>
      <c r="I9" s="15">
        <f>'flujo de caja inversionista'!I6</f>
        <v>2016</v>
      </c>
      <c r="J9" s="15">
        <f>'flujo de caja inversionista'!J6</f>
        <v>2017</v>
      </c>
      <c r="K9" s="15">
        <f>'flujo de caja inversionista'!K6</f>
        <v>2018</v>
      </c>
      <c r="L9" s="15">
        <f>'flujo de caja inversionista'!L6</f>
        <v>2019</v>
      </c>
      <c r="M9" s="15">
        <f>'flujo de caja inversionista'!M6</f>
        <v>2020</v>
      </c>
      <c r="N9" s="15">
        <f>'flujo de caja inversionista'!N6</f>
        <v>2021</v>
      </c>
      <c r="O9" s="15">
        <f>'flujo de caja inversionista'!O6</f>
        <v>2022</v>
      </c>
      <c r="P9" s="15">
        <f>'flujo de caja inversionista'!P6</f>
        <v>2023</v>
      </c>
    </row>
    <row r="10" spans="5:16" x14ac:dyDescent="0.25">
      <c r="E10" s="24"/>
      <c r="F10" s="24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spans="5:16" ht="22.5" x14ac:dyDescent="0.25">
      <c r="E11" s="24" t="s">
        <v>358</v>
      </c>
      <c r="F11" s="72">
        <f>'flujo caja inversionista 100%'!F25</f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</row>
    <row r="12" spans="5:16" ht="22.5" x14ac:dyDescent="0.25">
      <c r="E12" s="24" t="s">
        <v>359</v>
      </c>
      <c r="F12" s="24"/>
      <c r="G12" s="72">
        <f>'flujo caja inversionista 100%'!G30</f>
        <v>-54783.242320807956</v>
      </c>
      <c r="H12" s="72">
        <f>'flujo caja inversionista 100%'!H30</f>
        <v>-65808.414550335161</v>
      </c>
      <c r="I12" s="72">
        <f>'flujo caja inversionista 100%'!I30</f>
        <v>-112322.88539021357</v>
      </c>
      <c r="J12" s="72">
        <f>'flujo caja inversionista 100%'!J30</f>
        <v>-23543.280203784896</v>
      </c>
      <c r="K12" s="72">
        <f>'flujo caja inversionista 100%'!K30</f>
        <v>-41934.567928527053</v>
      </c>
      <c r="L12" s="72">
        <f>'flujo caja inversionista 100%'!L30</f>
        <v>-156342.39611750984</v>
      </c>
      <c r="M12" s="72">
        <f>'flujo caja inversionista 100%'!M30</f>
        <v>-3492.8415604040301</v>
      </c>
      <c r="N12" s="72">
        <f>'flujo caja inversionista 100%'!N30</f>
        <v>2785.7453686880945</v>
      </c>
      <c r="O12" s="72">
        <f>'flujo caja inversionista 100%'!O30</f>
        <v>10082.442616684348</v>
      </c>
      <c r="P12" s="72">
        <f>'flujo caja inversionista 100%'!P30</f>
        <v>195524.49309322343</v>
      </c>
    </row>
    <row r="13" spans="5:16" x14ac:dyDescent="0.25">
      <c r="E13" s="24" t="s">
        <v>360</v>
      </c>
      <c r="F13" s="24"/>
      <c r="G13" s="72">
        <f>'depreciacion acti fijo anual'!M71</f>
        <v>14368.165681818182</v>
      </c>
      <c r="H13" s="72">
        <f>'depreciacion acti fijo anual'!N71</f>
        <v>25307.7147</v>
      </c>
      <c r="I13" s="72">
        <f>'depreciacion acti fijo anual'!O71</f>
        <v>46220.486599999989</v>
      </c>
      <c r="J13" s="72">
        <f>'depreciacion acti fijo anual'!P71</f>
        <v>65658.923699999999</v>
      </c>
      <c r="K13" s="72">
        <f>'depreciacion acti fijo anual'!Q71</f>
        <v>72381.863590909095</v>
      </c>
      <c r="L13" s="72">
        <f>'depreciacion acti fijo anual'!R71</f>
        <v>83833.177727272734</v>
      </c>
      <c r="M13" s="72">
        <f>'depreciacion acti fijo anual'!S71</f>
        <v>112049.96115454545</v>
      </c>
      <c r="N13" s="72">
        <f>'depreciacion acti fijo anual'!T71</f>
        <v>121767.20282727273</v>
      </c>
      <c r="O13" s="72">
        <f>'depreciacion acti fijo anual'!U71</f>
        <v>138962.99192727273</v>
      </c>
      <c r="P13" s="72">
        <f>'depreciacion acti fijo anual'!V71</f>
        <v>155425.23804545455</v>
      </c>
    </row>
    <row r="14" spans="5:16" x14ac:dyDescent="0.25">
      <c r="E14" s="24"/>
      <c r="F14" s="24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spans="5:16" x14ac:dyDescent="0.25">
      <c r="E15" s="24" t="s">
        <v>361</v>
      </c>
      <c r="F15" s="72">
        <f t="shared" ref="F15:P15" si="0">SUM(F11:F13)</f>
        <v>0</v>
      </c>
      <c r="G15" s="72">
        <f t="shared" si="0"/>
        <v>-40415.076638989776</v>
      </c>
      <c r="H15" s="72">
        <f t="shared" si="0"/>
        <v>-40500.699850335164</v>
      </c>
      <c r="I15" s="72">
        <f t="shared" si="0"/>
        <v>-66102.398790213585</v>
      </c>
      <c r="J15" s="72">
        <f t="shared" si="0"/>
        <v>42115.643496215103</v>
      </c>
      <c r="K15" s="72">
        <f t="shared" si="0"/>
        <v>30447.295662382043</v>
      </c>
      <c r="L15" s="72">
        <f t="shared" si="0"/>
        <v>-72509.218390237103</v>
      </c>
      <c r="M15" s="72">
        <f t="shared" si="0"/>
        <v>108557.11959414142</v>
      </c>
      <c r="N15" s="72">
        <f t="shared" si="0"/>
        <v>124552.94819596082</v>
      </c>
      <c r="O15" s="72">
        <f t="shared" si="0"/>
        <v>149045.43454395706</v>
      </c>
      <c r="P15" s="72">
        <f t="shared" si="0"/>
        <v>350949.73113867798</v>
      </c>
    </row>
    <row r="16" spans="5:16" x14ac:dyDescent="0.25">
      <c r="E16" s="24"/>
      <c r="F16" s="24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pans="5:21" x14ac:dyDescent="0.25">
      <c r="E17" s="24"/>
      <c r="F17" s="24" t="s">
        <v>362</v>
      </c>
      <c r="G17" s="104">
        <f>IRR(F15:P15)</f>
        <v>0.28649895435118444</v>
      </c>
      <c r="H17" s="72"/>
      <c r="I17" s="72"/>
      <c r="J17" s="72"/>
      <c r="K17" s="72"/>
      <c r="L17" s="72"/>
      <c r="M17" s="72"/>
      <c r="N17" s="72"/>
      <c r="O17" s="72"/>
      <c r="P17" s="72"/>
    </row>
    <row r="24" spans="5:21" x14ac:dyDescent="0.25">
      <c r="S24" s="15" t="s">
        <v>363</v>
      </c>
      <c r="T24" s="15"/>
      <c r="U24" s="15"/>
    </row>
    <row r="25" spans="5:21" x14ac:dyDescent="0.25">
      <c r="S25" s="24" t="s">
        <v>364</v>
      </c>
      <c r="T25" s="104">
        <f>Tmar!G13</f>
        <v>0.15744313728389947</v>
      </c>
      <c r="U25" s="72"/>
    </row>
    <row r="26" spans="5:21" x14ac:dyDescent="0.25">
      <c r="S26" s="24"/>
      <c r="T26" s="72"/>
      <c r="U26" s="72"/>
    </row>
    <row r="27" spans="5:21" x14ac:dyDescent="0.25">
      <c r="S27" s="24" t="s">
        <v>365</v>
      </c>
      <c r="T27" s="72">
        <f>NPV(T25,F15:P15)-'inversion total inicial'!F7</f>
        <v>78634.088019169678</v>
      </c>
      <c r="U27" s="72"/>
    </row>
    <row r="28" spans="5:21" x14ac:dyDescent="0.25">
      <c r="S28" s="24"/>
      <c r="T28" s="24"/>
      <c r="U28" s="72"/>
    </row>
    <row r="29" spans="5:21" x14ac:dyDescent="0.25">
      <c r="S29" s="15" t="s">
        <v>366</v>
      </c>
      <c r="T29" s="15">
        <f>T27*((T25)*(1+T25)^1/(((1+(T25)^1)-1)))</f>
        <v>91014.485534365987</v>
      </c>
      <c r="U29" s="15"/>
    </row>
    <row r="36" spans="23:29" x14ac:dyDescent="0.25">
      <c r="W36" s="15" t="s">
        <v>364</v>
      </c>
      <c r="X36" s="53">
        <v>0.05</v>
      </c>
      <c r="Y36" s="53">
        <v>0.1</v>
      </c>
      <c r="Z36" s="104">
        <f>T25</f>
        <v>0.15744313728389947</v>
      </c>
      <c r="AA36" s="53">
        <v>0.2</v>
      </c>
      <c r="AB36" s="53">
        <v>0.25</v>
      </c>
      <c r="AC36" s="53">
        <v>0.3</v>
      </c>
    </row>
    <row r="37" spans="23:29" x14ac:dyDescent="0.25">
      <c r="W37" s="15" t="s">
        <v>367</v>
      </c>
      <c r="X37" s="72">
        <f>NPV(X36,$F$15:$P$15)-'inversion total inicial'!$F$7</f>
        <v>321572.30094785412</v>
      </c>
      <c r="Y37" s="72">
        <f>NPV(Y36,$F$15:$P$15)-'inversion total inicial'!$F$7</f>
        <v>174037.45187878504</v>
      </c>
      <c r="Z37" s="72">
        <f>NPV(Z36,$F$15:$P$15)-'inversion total inicial'!$F$7</f>
        <v>78634.088019169678</v>
      </c>
      <c r="AA37" s="72">
        <f>NPV(AA36,$F$15:$P$15)-'inversion total inicial'!$F$7</f>
        <v>37148.381326019255</v>
      </c>
      <c r="AB37" s="72">
        <f>NPV(AB36,$F$15:$P$15)-'inversion total inicial'!$F$7</f>
        <v>6931.1749720838325</v>
      </c>
      <c r="AC37" s="72">
        <f>NPV(AC36,$F$15:$P$15)-'inversion total inicial'!$F$7</f>
        <v>-10997.536626677807</v>
      </c>
    </row>
    <row r="38" spans="23:29" x14ac:dyDescent="0.25">
      <c r="W38" s="15" t="s">
        <v>368</v>
      </c>
      <c r="X38" s="72">
        <f t="shared" ref="X38:AC38" si="1">X37*((X36)*(1+X36)^1/(((1+(X36)^1)-1)))</f>
        <v>337650.91599524656</v>
      </c>
      <c r="Y38" s="104">
        <f t="shared" si="1"/>
        <v>191441.19706666342</v>
      </c>
      <c r="Z38" s="72">
        <f t="shared" si="1"/>
        <v>91014.485534365987</v>
      </c>
      <c r="AA38" s="24">
        <f t="shared" si="1"/>
        <v>44578.057591223114</v>
      </c>
      <c r="AB38" s="104">
        <f t="shared" si="1"/>
        <v>8663.968715104791</v>
      </c>
      <c r="AC38" s="72">
        <f t="shared" si="1"/>
        <v>-14296.797614681147</v>
      </c>
    </row>
  </sheetData>
  <mergeCells count="1">
    <mergeCell ref="E7:P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13"/>
  <sheetViews>
    <sheetView zoomScaleNormal="100" workbookViewId="0">
      <selection activeCell="G13" sqref="G13"/>
    </sheetView>
  </sheetViews>
  <sheetFormatPr baseColWidth="10" defaultColWidth="9.140625" defaultRowHeight="15" x14ac:dyDescent="0.25"/>
  <cols>
    <col min="1" max="1" width="35.5703125"/>
    <col min="2" max="6" width="11.42578125"/>
    <col min="7" max="7" width="16.85546875"/>
    <col min="8" max="1025" width="11.42578125"/>
  </cols>
  <sheetData>
    <row r="1" spans="1:7" x14ac:dyDescent="0.25">
      <c r="A1" s="52" t="s">
        <v>369</v>
      </c>
      <c r="B1" s="15"/>
      <c r="C1" s="15"/>
    </row>
    <row r="2" spans="1:7" x14ac:dyDescent="0.25">
      <c r="A2" s="24" t="s">
        <v>370</v>
      </c>
      <c r="B2" s="104">
        <v>2.12E-2</v>
      </c>
      <c r="C2" s="72" t="s">
        <v>371</v>
      </c>
    </row>
    <row r="3" spans="1:7" x14ac:dyDescent="0.25">
      <c r="A3" s="24" t="s">
        <v>372</v>
      </c>
      <c r="B3" s="104">
        <f>beta!D9</f>
        <v>0.79859211168458566</v>
      </c>
      <c r="C3" s="72" t="s">
        <v>373</v>
      </c>
    </row>
    <row r="4" spans="1:7" x14ac:dyDescent="0.25">
      <c r="A4" s="24" t="s">
        <v>374</v>
      </c>
      <c r="B4" s="53">
        <v>0.09</v>
      </c>
      <c r="C4" s="72" t="s">
        <v>375</v>
      </c>
    </row>
    <row r="5" spans="1:7" x14ac:dyDescent="0.25">
      <c r="A5" s="24" t="s">
        <v>376</v>
      </c>
      <c r="B5" s="104">
        <v>8.1299999999999997E-2</v>
      </c>
      <c r="C5" s="72" t="s">
        <v>377</v>
      </c>
    </row>
    <row r="6" spans="1:7" x14ac:dyDescent="0.25">
      <c r="A6" s="24" t="s">
        <v>378</v>
      </c>
      <c r="B6" s="106">
        <f>(B2+((B4)-(B2))*(B3))+B5</f>
        <v>0.15744313728389947</v>
      </c>
      <c r="C6" s="72" t="s">
        <v>379</v>
      </c>
    </row>
    <row r="12" spans="1:7" x14ac:dyDescent="0.25">
      <c r="F12" s="15" t="s">
        <v>380</v>
      </c>
      <c r="G12" s="15" t="s">
        <v>381</v>
      </c>
    </row>
    <row r="13" spans="1:7" x14ac:dyDescent="0.25">
      <c r="F13" s="15" t="s">
        <v>380</v>
      </c>
      <c r="G13" s="107">
        <f>B6</f>
        <v>0.15744313728389947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2:H9"/>
  <sheetViews>
    <sheetView zoomScaleNormal="100" workbookViewId="0">
      <selection activeCell="D9" sqref="D9"/>
    </sheetView>
  </sheetViews>
  <sheetFormatPr baseColWidth="10" defaultColWidth="9.140625" defaultRowHeight="15" x14ac:dyDescent="0.25"/>
  <cols>
    <col min="1" max="2" width="11.42578125"/>
    <col min="3" max="3" width="27.7109375"/>
    <col min="4" max="4" width="11.42578125"/>
    <col min="5" max="5" width="22.28515625"/>
    <col min="6" max="6" width="7.28515625"/>
    <col min="7" max="7" width="18.28515625"/>
    <col min="8" max="8" width="9.85546875"/>
    <col min="9" max="1025" width="11.42578125"/>
  </cols>
  <sheetData>
    <row r="2" spans="2:8" x14ac:dyDescent="0.25">
      <c r="C2" s="15" t="s">
        <v>382</v>
      </c>
      <c r="D2" s="15" t="s">
        <v>383</v>
      </c>
      <c r="E2" s="15" t="s">
        <v>384</v>
      </c>
      <c r="F2" s="15" t="s">
        <v>385</v>
      </c>
      <c r="G2" s="15" t="s">
        <v>386</v>
      </c>
      <c r="H2" s="15" t="s">
        <v>387</v>
      </c>
    </row>
    <row r="3" spans="2:8" x14ac:dyDescent="0.25">
      <c r="C3" s="24" t="s">
        <v>388</v>
      </c>
      <c r="D3" s="24">
        <v>0.97</v>
      </c>
      <c r="E3" s="24">
        <v>0.1244</v>
      </c>
      <c r="F3" s="24">
        <v>0.35</v>
      </c>
      <c r="G3" s="24"/>
      <c r="H3" s="24"/>
    </row>
    <row r="4" spans="2:8" x14ac:dyDescent="0.25">
      <c r="C4" s="24" t="s">
        <v>389</v>
      </c>
      <c r="D4" s="24">
        <v>1.67</v>
      </c>
      <c r="E4" s="24">
        <v>1.25</v>
      </c>
      <c r="F4" s="24">
        <v>0.35</v>
      </c>
      <c r="G4" s="24"/>
      <c r="H4" s="24"/>
    </row>
    <row r="5" spans="2:8" x14ac:dyDescent="0.25">
      <c r="C5" s="24" t="s">
        <v>390</v>
      </c>
      <c r="D5" s="24">
        <v>1.39</v>
      </c>
      <c r="E5" s="24">
        <v>4.9000000000000002E-2</v>
      </c>
      <c r="F5" s="24">
        <v>0.35</v>
      </c>
      <c r="G5" s="24"/>
      <c r="H5" s="24"/>
    </row>
    <row r="6" spans="2:8" x14ac:dyDescent="0.25">
      <c r="C6" s="24" t="s">
        <v>391</v>
      </c>
      <c r="D6" s="24">
        <v>0.65</v>
      </c>
      <c r="E6" s="24">
        <v>9.9000000000000005E-2</v>
      </c>
      <c r="F6" s="24">
        <v>0.35</v>
      </c>
      <c r="G6" s="24"/>
      <c r="H6" s="24"/>
    </row>
    <row r="7" spans="2:8" x14ac:dyDescent="0.25">
      <c r="C7" s="24" t="s">
        <v>392</v>
      </c>
      <c r="D7" s="24">
        <v>0.72</v>
      </c>
      <c r="E7" s="24">
        <v>0.20549999999999999</v>
      </c>
      <c r="F7" s="24">
        <v>0.35</v>
      </c>
      <c r="G7" s="24">
        <v>2.12E-2</v>
      </c>
      <c r="H7" s="24">
        <v>0.09</v>
      </c>
    </row>
    <row r="8" spans="2:8" x14ac:dyDescent="0.25">
      <c r="B8" s="15" t="s">
        <v>309</v>
      </c>
      <c r="C8" s="24"/>
      <c r="D8" s="24">
        <f>(D3+D4+D5+D6+D7)/5</f>
        <v>1.0799999999999998</v>
      </c>
      <c r="E8" s="24">
        <f>(E3+E4+E5+E6+E7)/5</f>
        <v>0.34558</v>
      </c>
      <c r="F8" s="24"/>
      <c r="G8" s="24"/>
      <c r="H8" s="24"/>
    </row>
    <row r="9" spans="2:8" x14ac:dyDescent="0.25">
      <c r="B9" s="24"/>
      <c r="C9" s="104" t="s">
        <v>393</v>
      </c>
      <c r="D9" s="24">
        <f>(1-F7)*D8/(1-(F7*E8))</f>
        <v>0.79859211168458566</v>
      </c>
      <c r="E9" s="10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D4:AY110"/>
  <sheetViews>
    <sheetView topLeftCell="D20" zoomScaleNormal="100" workbookViewId="0">
      <selection activeCell="P32" sqref="P32"/>
    </sheetView>
  </sheetViews>
  <sheetFormatPr baseColWidth="10" defaultColWidth="9.140625" defaultRowHeight="15" x14ac:dyDescent="0.25"/>
  <cols>
    <col min="1" max="6" width="11.42578125"/>
    <col min="7" max="7" width="8"/>
    <col min="8" max="8" width="4.85546875"/>
    <col min="9" max="9" width="6.7109375"/>
    <col min="10" max="10" width="0" hidden="1" customWidth="1"/>
    <col min="11" max="11" width="6.140625"/>
    <col min="12" max="12" width="13"/>
    <col min="13" max="13" width="7.42578125"/>
    <col min="14" max="22" width="8.5703125"/>
    <col min="23" max="40" width="11.42578125"/>
    <col min="41" max="41" width="26.140625"/>
    <col min="42" max="51" width="7.140625"/>
    <col min="52" max="1025" width="11.42578125"/>
  </cols>
  <sheetData>
    <row r="4" spans="11:26" x14ac:dyDescent="0.25">
      <c r="M4" s="73">
        <v>2014</v>
      </c>
      <c r="N4" s="73">
        <v>2015</v>
      </c>
      <c r="O4" s="73">
        <v>2016</v>
      </c>
      <c r="P4" s="73">
        <v>2017</v>
      </c>
      <c r="Q4" s="73">
        <v>2018</v>
      </c>
      <c r="R4" s="73">
        <v>2019</v>
      </c>
      <c r="S4" s="73">
        <v>2020</v>
      </c>
      <c r="T4" s="73">
        <v>2021</v>
      </c>
      <c r="U4" s="73">
        <v>2022</v>
      </c>
      <c r="V4" s="73">
        <v>2023</v>
      </c>
    </row>
    <row r="6" spans="11:26" ht="25.5" x14ac:dyDescent="0.25">
      <c r="M6">
        <f>'gastos totales'!D67</f>
        <v>1</v>
      </c>
      <c r="N6">
        <f>'gastos totales'!E67</f>
        <v>1</v>
      </c>
      <c r="O6">
        <f>'gastos totales'!F67</f>
        <v>2</v>
      </c>
      <c r="P6">
        <f>'gastos totales'!G67</f>
        <v>3</v>
      </c>
      <c r="Q6">
        <f>'gastos totales'!H67</f>
        <v>4</v>
      </c>
      <c r="R6">
        <f>'gastos totales'!I67</f>
        <v>5</v>
      </c>
      <c r="S6">
        <f>'gastos totales'!J67</f>
        <v>6</v>
      </c>
      <c r="T6">
        <f>'gastos totales'!K67</f>
        <v>7</v>
      </c>
      <c r="U6">
        <f>'gastos totales'!L67</f>
        <v>8</v>
      </c>
      <c r="V6">
        <f>'gastos totales'!M67</f>
        <v>9</v>
      </c>
      <c r="Z6" s="91" t="s">
        <v>36</v>
      </c>
    </row>
    <row r="7" spans="11:26" ht="38.25" x14ac:dyDescent="0.25">
      <c r="M7">
        <f>'gastos totales'!D68</f>
        <v>0</v>
      </c>
      <c r="N7">
        <f>'gastos totales'!E68</f>
        <v>0</v>
      </c>
      <c r="O7">
        <f>'gastos totales'!F68</f>
        <v>1</v>
      </c>
      <c r="P7">
        <f>'gastos totales'!G68</f>
        <v>1</v>
      </c>
      <c r="Q7">
        <f>'gastos totales'!H68</f>
        <v>1</v>
      </c>
      <c r="R7">
        <f>'gastos totales'!I68</f>
        <v>1</v>
      </c>
      <c r="S7">
        <f>'gastos totales'!J68</f>
        <v>2</v>
      </c>
      <c r="T7">
        <f>'gastos totales'!K68</f>
        <v>2</v>
      </c>
      <c r="U7">
        <f>'gastos totales'!L68</f>
        <v>2</v>
      </c>
      <c r="V7">
        <f>'gastos totales'!M68</f>
        <v>2</v>
      </c>
      <c r="Z7" s="91" t="s">
        <v>37</v>
      </c>
    </row>
    <row r="8" spans="11:26" ht="25.5" x14ac:dyDescent="0.25">
      <c r="M8">
        <f>'gastos totales'!D69</f>
        <v>1</v>
      </c>
      <c r="N8">
        <f>'gastos totales'!E69</f>
        <v>2</v>
      </c>
      <c r="O8">
        <f>'gastos totales'!F69</f>
        <v>4</v>
      </c>
      <c r="P8">
        <f>'gastos totales'!G69</f>
        <v>5</v>
      </c>
      <c r="Q8">
        <f>'gastos totales'!H69</f>
        <v>6</v>
      </c>
      <c r="R8">
        <f>'gastos totales'!I69</f>
        <v>8</v>
      </c>
      <c r="S8">
        <f>'gastos totales'!J69</f>
        <v>9</v>
      </c>
      <c r="T8">
        <f>'gastos totales'!K69</f>
        <v>10</v>
      </c>
      <c r="U8">
        <f>'gastos totales'!L69</f>
        <v>12</v>
      </c>
      <c r="V8">
        <f>'gastos totales'!M69</f>
        <v>13</v>
      </c>
      <c r="Z8" s="91" t="s">
        <v>38</v>
      </c>
    </row>
    <row r="9" spans="11:26" ht="25.5" x14ac:dyDescent="0.25">
      <c r="M9">
        <f>'gastos totales'!D70</f>
        <v>0</v>
      </c>
      <c r="N9">
        <f>'gastos totales'!E70</f>
        <v>0</v>
      </c>
      <c r="O9">
        <f>'gastos totales'!F70</f>
        <v>1</v>
      </c>
      <c r="P9">
        <f>'gastos totales'!G70</f>
        <v>1</v>
      </c>
      <c r="Q9">
        <f>'gastos totales'!H70</f>
        <v>1</v>
      </c>
      <c r="R9">
        <f>'gastos totales'!I70</f>
        <v>1</v>
      </c>
      <c r="S9">
        <f>'gastos totales'!J70</f>
        <v>1</v>
      </c>
      <c r="T9">
        <f>'gastos totales'!K70</f>
        <v>2</v>
      </c>
      <c r="U9">
        <f>'gastos totales'!L70</f>
        <v>2</v>
      </c>
      <c r="V9">
        <f>'gastos totales'!M70</f>
        <v>2</v>
      </c>
      <c r="Z9" s="91" t="s">
        <v>39</v>
      </c>
    </row>
    <row r="10" spans="11:26" ht="38.25" x14ac:dyDescent="0.25">
      <c r="M10">
        <f>'gastos totales'!D71</f>
        <v>1</v>
      </c>
      <c r="N10">
        <f>'gastos totales'!E71</f>
        <v>2</v>
      </c>
      <c r="O10">
        <f>'gastos totales'!F71</f>
        <v>4</v>
      </c>
      <c r="P10">
        <f>'gastos totales'!G71</f>
        <v>5</v>
      </c>
      <c r="Q10">
        <f>'gastos totales'!H71</f>
        <v>6</v>
      </c>
      <c r="R10">
        <f>'gastos totales'!I71</f>
        <v>7</v>
      </c>
      <c r="S10">
        <f>'gastos totales'!J71</f>
        <v>9</v>
      </c>
      <c r="T10">
        <f>'gastos totales'!K71</f>
        <v>10</v>
      </c>
      <c r="U10">
        <f>'gastos totales'!L71</f>
        <v>11</v>
      </c>
      <c r="V10">
        <f>'gastos totales'!M71</f>
        <v>12</v>
      </c>
      <c r="Z10" s="91" t="s">
        <v>40</v>
      </c>
    </row>
    <row r="11" spans="11:26" x14ac:dyDescent="0.25">
      <c r="M11">
        <f>'gastos totales'!D72</f>
        <v>1</v>
      </c>
      <c r="N11">
        <f>'gastos totales'!E72</f>
        <v>1</v>
      </c>
      <c r="O11">
        <f>'gastos totales'!F72</f>
        <v>1</v>
      </c>
      <c r="P11">
        <f>'gastos totales'!G72</f>
        <v>1</v>
      </c>
      <c r="Q11">
        <f>'gastos totales'!H72</f>
        <v>1</v>
      </c>
      <c r="R11">
        <f>'gastos totales'!I72</f>
        <v>1</v>
      </c>
      <c r="S11">
        <f>'gastos totales'!J72</f>
        <v>1</v>
      </c>
      <c r="T11">
        <f>'gastos totales'!K72</f>
        <v>1</v>
      </c>
      <c r="U11">
        <f>'gastos totales'!L72</f>
        <v>1</v>
      </c>
      <c r="V11">
        <f>'gastos totales'!M72</f>
        <v>1</v>
      </c>
      <c r="Z11" s="91" t="s">
        <v>41</v>
      </c>
    </row>
    <row r="12" spans="11:26" ht="25.5" x14ac:dyDescent="0.25">
      <c r="M12">
        <f>'gastos totales'!D73</f>
        <v>0</v>
      </c>
      <c r="N12">
        <f>'gastos totales'!E73</f>
        <v>1</v>
      </c>
      <c r="O12">
        <f>'gastos totales'!F73</f>
        <v>1</v>
      </c>
      <c r="P12">
        <f>'gastos totales'!G73</f>
        <v>2</v>
      </c>
      <c r="Q12">
        <f>'gastos totales'!H73</f>
        <v>2</v>
      </c>
      <c r="R12">
        <f>'gastos totales'!I73</f>
        <v>2</v>
      </c>
      <c r="S12">
        <f>'gastos totales'!J73</f>
        <v>3</v>
      </c>
      <c r="T12">
        <f>'gastos totales'!K73</f>
        <v>3</v>
      </c>
      <c r="U12">
        <f>'gastos totales'!L73</f>
        <v>4</v>
      </c>
      <c r="V12">
        <f>'gastos totales'!M73</f>
        <v>4</v>
      </c>
      <c r="Z12" s="91" t="s">
        <v>42</v>
      </c>
    </row>
    <row r="13" spans="11:26" x14ac:dyDescent="0.25">
      <c r="M13">
        <f>'gastos totales'!D74</f>
        <v>1</v>
      </c>
      <c r="N13">
        <f>'gastos totales'!E74</f>
        <v>1</v>
      </c>
      <c r="O13">
        <f>'gastos totales'!F74</f>
        <v>1</v>
      </c>
      <c r="P13">
        <f>'gastos totales'!G74</f>
        <v>1</v>
      </c>
      <c r="Q13">
        <f>'gastos totales'!H74</f>
        <v>1</v>
      </c>
      <c r="R13">
        <f>'gastos totales'!I74</f>
        <v>1</v>
      </c>
      <c r="S13">
        <f>'gastos totales'!J74</f>
        <v>1</v>
      </c>
      <c r="T13">
        <f>'gastos totales'!K74</f>
        <v>1</v>
      </c>
      <c r="U13">
        <f>'gastos totales'!L74</f>
        <v>1</v>
      </c>
      <c r="V13">
        <f>'gastos totales'!M74</f>
        <v>1</v>
      </c>
      <c r="Z13" s="91" t="s">
        <v>43</v>
      </c>
    </row>
    <row r="14" spans="11:26" x14ac:dyDescent="0.25">
      <c r="K14">
        <v>0</v>
      </c>
      <c r="M14">
        <f>'gastos totales'!D76</f>
        <v>5</v>
      </c>
      <c r="N14">
        <f>'gastos totales'!E76</f>
        <v>9</v>
      </c>
      <c r="O14">
        <f>'gastos totales'!F76</f>
        <v>16</v>
      </c>
      <c r="P14">
        <f>'gastos totales'!G76</f>
        <v>21</v>
      </c>
      <c r="Q14">
        <f>'gastos totales'!H76</f>
        <v>24</v>
      </c>
      <c r="R14">
        <f>'gastos totales'!I76</f>
        <v>28</v>
      </c>
      <c r="S14">
        <f>'gastos totales'!J76</f>
        <v>35</v>
      </c>
      <c r="T14">
        <f>'gastos totales'!K76</f>
        <v>39</v>
      </c>
      <c r="U14">
        <f>'gastos totales'!L76</f>
        <v>45</v>
      </c>
      <c r="V14">
        <f>'gastos totales'!M76</f>
        <v>48</v>
      </c>
      <c r="Z14" s="108" t="s">
        <v>51</v>
      </c>
    </row>
    <row r="17" spans="4:22" ht="15" customHeight="1" x14ac:dyDescent="0.25">
      <c r="J17" s="145" t="s">
        <v>394</v>
      </c>
      <c r="M17">
        <v>1</v>
      </c>
      <c r="N17">
        <v>2</v>
      </c>
      <c r="O17">
        <v>3</v>
      </c>
      <c r="P17">
        <v>1</v>
      </c>
      <c r="Q17">
        <v>2</v>
      </c>
      <c r="R17">
        <v>3</v>
      </c>
      <c r="S17">
        <v>1</v>
      </c>
      <c r="T17">
        <v>2</v>
      </c>
      <c r="U17">
        <v>3</v>
      </c>
      <c r="V17">
        <v>1</v>
      </c>
    </row>
    <row r="18" spans="4:22" x14ac:dyDescent="0.25">
      <c r="J18" s="145"/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8</v>
      </c>
      <c r="U18">
        <v>9</v>
      </c>
      <c r="V18">
        <v>10</v>
      </c>
    </row>
    <row r="19" spans="4:22" x14ac:dyDescent="0.25">
      <c r="J19" s="145"/>
      <c r="K19" s="2"/>
      <c r="L19" s="2"/>
      <c r="M19">
        <v>3</v>
      </c>
      <c r="N19">
        <v>2</v>
      </c>
      <c r="O19">
        <v>1</v>
      </c>
      <c r="P19">
        <v>3</v>
      </c>
      <c r="Q19">
        <v>2</v>
      </c>
      <c r="R19">
        <v>1</v>
      </c>
      <c r="S19">
        <v>3</v>
      </c>
      <c r="T19">
        <v>2</v>
      </c>
      <c r="U19">
        <v>1</v>
      </c>
      <c r="V19">
        <v>3</v>
      </c>
    </row>
    <row r="20" spans="4:22" x14ac:dyDescent="0.25">
      <c r="J20" s="145"/>
      <c r="K20" s="2"/>
      <c r="L20" s="2"/>
      <c r="M20">
        <v>10</v>
      </c>
      <c r="N20">
        <v>9</v>
      </c>
      <c r="O20">
        <v>8</v>
      </c>
      <c r="P20">
        <v>7</v>
      </c>
      <c r="Q20">
        <v>6</v>
      </c>
      <c r="R20">
        <v>5</v>
      </c>
      <c r="S20">
        <v>4</v>
      </c>
      <c r="T20">
        <v>3</v>
      </c>
      <c r="U20">
        <v>2</v>
      </c>
      <c r="V20">
        <v>1</v>
      </c>
    </row>
    <row r="21" spans="4:22" x14ac:dyDescent="0.25">
      <c r="J21" s="145"/>
      <c r="K21" s="2"/>
      <c r="L21" s="2"/>
      <c r="M21">
        <f t="shared" ref="M21:V21" si="0">1+2+3</f>
        <v>6</v>
      </c>
      <c r="N21">
        <f t="shared" si="0"/>
        <v>6</v>
      </c>
      <c r="O21">
        <f t="shared" si="0"/>
        <v>6</v>
      </c>
      <c r="P21">
        <f t="shared" si="0"/>
        <v>6</v>
      </c>
      <c r="Q21">
        <f t="shared" si="0"/>
        <v>6</v>
      </c>
      <c r="R21">
        <f t="shared" si="0"/>
        <v>6</v>
      </c>
      <c r="S21">
        <f t="shared" si="0"/>
        <v>6</v>
      </c>
      <c r="T21">
        <f t="shared" si="0"/>
        <v>6</v>
      </c>
      <c r="U21">
        <f t="shared" si="0"/>
        <v>6</v>
      </c>
      <c r="V21">
        <f t="shared" si="0"/>
        <v>6</v>
      </c>
    </row>
    <row r="22" spans="4:22" x14ac:dyDescent="0.25">
      <c r="J22" s="145"/>
      <c r="K22" s="2"/>
      <c r="L22" s="2"/>
      <c r="M22">
        <f t="shared" ref="M22:V22" si="1">1+2+3+4+5+6+7+8+9+10</f>
        <v>55</v>
      </c>
      <c r="N22">
        <f t="shared" si="1"/>
        <v>55</v>
      </c>
      <c r="O22">
        <f t="shared" si="1"/>
        <v>55</v>
      </c>
      <c r="P22">
        <f t="shared" si="1"/>
        <v>55</v>
      </c>
      <c r="Q22">
        <f t="shared" si="1"/>
        <v>55</v>
      </c>
      <c r="R22">
        <f t="shared" si="1"/>
        <v>55</v>
      </c>
      <c r="S22">
        <f t="shared" si="1"/>
        <v>55</v>
      </c>
      <c r="T22">
        <f t="shared" si="1"/>
        <v>55</v>
      </c>
      <c r="U22">
        <f t="shared" si="1"/>
        <v>55</v>
      </c>
      <c r="V22">
        <f t="shared" si="1"/>
        <v>55</v>
      </c>
    </row>
    <row r="23" spans="4:22" x14ac:dyDescent="0.25">
      <c r="J23" s="145"/>
      <c r="K23" s="2"/>
      <c r="L23" s="2"/>
      <c r="M23" s="20">
        <f t="shared" ref="M23:V23" si="2">M19/M21</f>
        <v>0.5</v>
      </c>
      <c r="N23" s="20">
        <f t="shared" si="2"/>
        <v>0.33333333333333331</v>
      </c>
      <c r="O23" s="20">
        <f t="shared" si="2"/>
        <v>0.16666666666666666</v>
      </c>
      <c r="P23" s="20">
        <f t="shared" si="2"/>
        <v>0.5</v>
      </c>
      <c r="Q23" s="20">
        <f t="shared" si="2"/>
        <v>0.33333333333333331</v>
      </c>
      <c r="R23" s="20">
        <f t="shared" si="2"/>
        <v>0.16666666666666666</v>
      </c>
      <c r="S23" s="20">
        <f t="shared" si="2"/>
        <v>0.5</v>
      </c>
      <c r="T23" s="20">
        <f t="shared" si="2"/>
        <v>0.33333333333333331</v>
      </c>
      <c r="U23" s="20">
        <f t="shared" si="2"/>
        <v>0.16666666666666666</v>
      </c>
      <c r="V23" s="20">
        <f t="shared" si="2"/>
        <v>0.5</v>
      </c>
    </row>
    <row r="24" spans="4:22" x14ac:dyDescent="0.25">
      <c r="J24" s="145"/>
      <c r="K24" s="2"/>
      <c r="L24" s="2"/>
      <c r="M24" s="20">
        <f t="shared" ref="M24:V24" si="3">M20/M22</f>
        <v>0.18181818181818182</v>
      </c>
      <c r="N24" s="20">
        <f t="shared" si="3"/>
        <v>0.16363636363636364</v>
      </c>
      <c r="O24" s="20">
        <f t="shared" si="3"/>
        <v>0.14545454545454545</v>
      </c>
      <c r="P24" s="20">
        <f t="shared" si="3"/>
        <v>0.12727272727272726</v>
      </c>
      <c r="Q24" s="20">
        <f t="shared" si="3"/>
        <v>0.10909090909090909</v>
      </c>
      <c r="R24" s="20">
        <f t="shared" si="3"/>
        <v>9.0909090909090912E-2</v>
      </c>
      <c r="S24" s="20">
        <f t="shared" si="3"/>
        <v>7.2727272727272724E-2</v>
      </c>
      <c r="T24" s="20">
        <f t="shared" si="3"/>
        <v>5.4545454545454543E-2</v>
      </c>
      <c r="U24" s="20">
        <f t="shared" si="3"/>
        <v>3.6363636363636362E-2</v>
      </c>
      <c r="V24" s="20">
        <f t="shared" si="3"/>
        <v>1.8181818181818181E-2</v>
      </c>
    </row>
    <row r="25" spans="4:22" x14ac:dyDescent="0.25">
      <c r="P25" s="2"/>
      <c r="S25" s="2"/>
      <c r="V25" s="2"/>
    </row>
    <row r="26" spans="4:22" ht="36" x14ac:dyDescent="0.25">
      <c r="G26" s="109" t="s">
        <v>395</v>
      </c>
      <c r="H26" s="110" t="s">
        <v>396</v>
      </c>
      <c r="I26" s="111" t="s">
        <v>397</v>
      </c>
      <c r="J26" s="111" t="s">
        <v>398</v>
      </c>
      <c r="K26" s="111" t="s">
        <v>399</v>
      </c>
      <c r="L26" s="110"/>
      <c r="M26" s="112">
        <v>2014</v>
      </c>
      <c r="N26" s="112">
        <v>2015</v>
      </c>
      <c r="O26" s="112">
        <v>2016</v>
      </c>
      <c r="P26" s="112">
        <v>2017</v>
      </c>
      <c r="Q26" s="112">
        <v>2018</v>
      </c>
      <c r="R26" s="112">
        <v>2019</v>
      </c>
      <c r="S26" s="112">
        <v>2020</v>
      </c>
      <c r="T26" s="112">
        <v>2021</v>
      </c>
      <c r="U26" s="112">
        <v>2022</v>
      </c>
      <c r="V26" s="112">
        <v>2023</v>
      </c>
    </row>
    <row r="27" spans="4:22" ht="15.75" customHeight="1" x14ac:dyDescent="0.25">
      <c r="D27" s="8"/>
      <c r="G27" s="146" t="s">
        <v>400</v>
      </c>
      <c r="H27" s="147">
        <v>395</v>
      </c>
      <c r="I27" s="148">
        <f>0.1*H27</f>
        <v>39.5</v>
      </c>
      <c r="J27" s="148">
        <f>H27-I27</f>
        <v>355.5</v>
      </c>
      <c r="K27" s="147">
        <v>3</v>
      </c>
      <c r="L27" s="113" t="s">
        <v>401</v>
      </c>
      <c r="M27" s="114">
        <f>($J27*M$23)*$M$14</f>
        <v>888.75</v>
      </c>
      <c r="N27" s="114">
        <f>($J27*(N$23*$M$14))+($J27*M$23*($N$14-$M$14))</f>
        <v>1303.5</v>
      </c>
      <c r="O27" s="114">
        <f>($J27*(O$23*$M$14))+($J27*N$23*($N$14-$M$14))+($J27*M$23*($O$14-$N$14))</f>
        <v>2014.5</v>
      </c>
      <c r="P27" s="114">
        <f>($J27*O$23*($N$14-$M$14))+($J27*N$23*($O$14-$N$14))+($J27*(P$23*($P$14-$O$14+$M$14)))</f>
        <v>2844</v>
      </c>
      <c r="Q27" s="114">
        <f>($J27*O$23*($O$14-$N$14))+($J27*(Q$23*($P$14-$O$14+$M$14)))+($J27*(Q$23*($Q$14-$P$14)))</f>
        <v>1955.25</v>
      </c>
      <c r="R27" s="114">
        <f>($J27*(R$23*($P$14-$O$14+$M$14)))+($J27*(Q$23*($Q$14-$P$14)))+($J27*(R$23*($R$14-$Q$14)))</f>
        <v>1185</v>
      </c>
      <c r="S27" s="114">
        <f>($J27*(R$23*($Q$14-$P$14)))+($J27*(Q$23*($R$14-$Q$14)))+($J27*(S$23*($S$14-$R$14+$M$14)))</f>
        <v>2784.75</v>
      </c>
      <c r="T27" s="114">
        <f>($J27*(R$23*($R$14-$Q$14)))+($J27*(T$23*($S$14-$R$14+$M$14)))+($J27*(S$23*($T$14-$S$14)))</f>
        <v>2370</v>
      </c>
      <c r="U27" s="114">
        <f>($J27*(U$23*($S$14-$R$14+$M$14)))+($J27*(T$23*($T$14-$S$14)))+($J27*(S$23*($U$14-$T$14)))</f>
        <v>2251.5</v>
      </c>
      <c r="V27" s="114">
        <f>($J27*(U$23*($T$14-$S$14)))+($J27*(T$23*($U$14-$T$14)))+($J27*(V$23*($V$14-$U$14+$M$14)))</f>
        <v>2370</v>
      </c>
    </row>
    <row r="28" spans="4:22" x14ac:dyDescent="0.25">
      <c r="D28" s="8"/>
      <c r="G28" s="146"/>
      <c r="H28" s="147"/>
      <c r="I28" s="148"/>
      <c r="J28" s="148"/>
      <c r="K28" s="147"/>
      <c r="L28" s="115" t="s">
        <v>402</v>
      </c>
      <c r="M28" s="114">
        <f>M27</f>
        <v>888.75</v>
      </c>
      <c r="N28" s="114">
        <f>M28+N27</f>
        <v>2192.25</v>
      </c>
      <c r="O28" s="114">
        <f>N28+O27</f>
        <v>4206.75</v>
      </c>
      <c r="P28" s="114">
        <f>P27</f>
        <v>2844</v>
      </c>
      <c r="Q28" s="114">
        <f>P28+Q27</f>
        <v>4799.25</v>
      </c>
      <c r="R28" s="114">
        <f>Q28+R27</f>
        <v>5984.25</v>
      </c>
      <c r="S28" s="114">
        <f>S27</f>
        <v>2784.75</v>
      </c>
      <c r="T28" s="114">
        <f>S28+T27</f>
        <v>5154.75</v>
      </c>
      <c r="U28" s="114">
        <f>T28+U27</f>
        <v>7406.25</v>
      </c>
      <c r="V28" s="114">
        <f>V27</f>
        <v>2370</v>
      </c>
    </row>
    <row r="29" spans="4:22" ht="18.75" customHeight="1" x14ac:dyDescent="0.25">
      <c r="D29" s="8"/>
      <c r="G29" s="146"/>
      <c r="H29" s="147"/>
      <c r="I29" s="148"/>
      <c r="J29" s="148"/>
      <c r="K29" s="147"/>
      <c r="L29" s="113" t="s">
        <v>403</v>
      </c>
      <c r="M29" s="114">
        <f>($H27*M$14)-M$28</f>
        <v>1086.25</v>
      </c>
      <c r="N29" s="114">
        <f t="shared" ref="N29:V29" si="4">($H$27*N$14)-N$28</f>
        <v>1362.75</v>
      </c>
      <c r="O29" s="114">
        <f t="shared" si="4"/>
        <v>2113.25</v>
      </c>
      <c r="P29" s="114">
        <f t="shared" si="4"/>
        <v>5451</v>
      </c>
      <c r="Q29" s="114">
        <f t="shared" si="4"/>
        <v>4680.75</v>
      </c>
      <c r="R29" s="114">
        <f t="shared" si="4"/>
        <v>5075.75</v>
      </c>
      <c r="S29" s="114">
        <f t="shared" si="4"/>
        <v>11040.25</v>
      </c>
      <c r="T29" s="114">
        <f t="shared" si="4"/>
        <v>10250.25</v>
      </c>
      <c r="U29" s="114">
        <f t="shared" si="4"/>
        <v>10368.75</v>
      </c>
      <c r="V29" s="114">
        <f t="shared" si="4"/>
        <v>16590</v>
      </c>
    </row>
    <row r="30" spans="4:22" ht="15.75" customHeight="1" x14ac:dyDescent="0.25">
      <c r="D30" s="10"/>
      <c r="G30" s="146" t="s">
        <v>404</v>
      </c>
      <c r="H30" s="147">
        <v>79</v>
      </c>
      <c r="I30" s="148">
        <f>0.1*H30</f>
        <v>7.9</v>
      </c>
      <c r="J30" s="148">
        <f>H30-I30</f>
        <v>71.099999999999994</v>
      </c>
      <c r="K30" s="147">
        <v>10</v>
      </c>
      <c r="L30" s="113" t="s">
        <v>401</v>
      </c>
      <c r="M30" s="114">
        <f>($J30*M$24)*$M$14</f>
        <v>64.636363636363626</v>
      </c>
      <c r="N30" s="114">
        <f>($J30*(N$24*$M$14))+($J30*M$24*($N$14-$M$14))</f>
        <v>109.88181818181818</v>
      </c>
      <c r="O30" s="114">
        <f>($J30*(O$24*$M$14))+($J30*N$24*($N$14-$M$14))+($J30*M$24*($O$14-$N$14))</f>
        <v>188.7381818181818</v>
      </c>
      <c r="P30" s="114">
        <f>($J30*(P$24*$M$14))+($J30*O$24*($N$14-$M$14))+($J30*N$24*($O$14-$N$14))+($J30*M$24*($P$14-$O$14))</f>
        <v>232.69090909090906</v>
      </c>
      <c r="Q30" s="114">
        <f>($J30*(Q$24*$M$14))+($J30*P$24*($N$14-$M$14))+($J30*O$24*($O$14-$N$14))+($J30*N$24*($P$14-$O$14))+($J30*M$24*($Q$14-$P$14))</f>
        <v>244.32545454545451</v>
      </c>
      <c r="R30" s="114">
        <f>($J30*(R$24*$M$14))+($J30*Q$24*($N$14-$M$14))+($J30*P$24*($O$14-$N$14))+($J30*O$24*($P$14-$O$14))+($J30*N$24*($Q$14-$P$14))+($J30*M$24*($R$14-$Q$14))</f>
        <v>265.0090909090909</v>
      </c>
      <c r="S30" s="114">
        <f>($J30*(S$24*$M$14))+($J30*R$24*($N$14-$M$14))+($J30*Q$24*($O$14-$N$14))+($J30*P$24*($P$14-$O$14))+($J30*O$24*($Q$14-$P$14))+($J30*N$24*($R$14-$Q$14))+($J30*M$24*($S$14-$R$14))</f>
        <v>319.30363636363631</v>
      </c>
      <c r="T30" s="114">
        <f>($J30*(T$24*$M$14))+($J30*S$24*($N$14-$M$14))+($J30*R$24*($O$14-$N$14))+($J30*Q$24*($P$14-$O$14))+($J30*P$24*($Q$14-$P$14))+($J30*O$24*($R$14-$Q$14))+($J30*N$24*($S$14-$R$14))+($J30*M$24*($T$14-$S$14))</f>
        <v>325.76727272727271</v>
      </c>
      <c r="U30" s="114">
        <f>($J30*(U$24*$M$14))+($J30*T$24*($N$14-$M$14))+($J30*S$24*($O$14-$N$14))+($J30*R$24*($P$14-$O$14))+($J30*Q$24*($Q$14-$P$14))+($J30*P$24*($R$14-$Q$14))+($J30*O$24*($S$14-$R$14))+($J30*N$24*($T$14-$S$14))+($J30*M$24*($U$14-$T$14))</f>
        <v>352.91454545454536</v>
      </c>
      <c r="V30" s="114">
        <f>($J30*(V$24*$M$14))+($J30*U$24*($N$14-$M$14))+($J30*T$24*($O$14-$N$14))+($J30*S$24*($P$14-$O$14))+($J30*R$24*($Q$14-$P$14))+($J30*Q$24*($R$14-$Q$14))+($J30*P$24*($S$14-$R$14))+($J30*O$24*($T$14-$S$14))+($J30*N$24*($U$14-$T$14))+($J30*M$24*($V$14-$U$14))</f>
        <v>333.52363636363634</v>
      </c>
    </row>
    <row r="31" spans="4:22" x14ac:dyDescent="0.25">
      <c r="D31" s="10"/>
      <c r="G31" s="146"/>
      <c r="H31" s="147"/>
      <c r="I31" s="148"/>
      <c r="J31" s="148"/>
      <c r="K31" s="147"/>
      <c r="L31" s="115" t="s">
        <v>402</v>
      </c>
      <c r="M31" s="114">
        <f>M30</f>
        <v>64.636363636363626</v>
      </c>
      <c r="N31" s="114">
        <f t="shared" ref="N31:V31" si="5">M31+N30</f>
        <v>174.5181818181818</v>
      </c>
      <c r="O31" s="114">
        <f t="shared" si="5"/>
        <v>363.25636363636363</v>
      </c>
      <c r="P31" s="114">
        <f t="shared" si="5"/>
        <v>595.94727272727266</v>
      </c>
      <c r="Q31" s="114">
        <f t="shared" si="5"/>
        <v>840.27272727272714</v>
      </c>
      <c r="R31" s="114">
        <f t="shared" si="5"/>
        <v>1105.2818181818179</v>
      </c>
      <c r="S31" s="114">
        <f t="shared" si="5"/>
        <v>1424.5854545454542</v>
      </c>
      <c r="T31" s="114">
        <f t="shared" si="5"/>
        <v>1750.352727272727</v>
      </c>
      <c r="U31" s="114">
        <f t="shared" si="5"/>
        <v>2103.2672727272725</v>
      </c>
      <c r="V31" s="114">
        <f t="shared" si="5"/>
        <v>2436.7909090909088</v>
      </c>
    </row>
    <row r="32" spans="4:22" x14ac:dyDescent="0.25">
      <c r="D32" s="10"/>
      <c r="G32" s="146"/>
      <c r="H32" s="147"/>
      <c r="I32" s="148"/>
      <c r="J32" s="148"/>
      <c r="K32" s="147"/>
      <c r="L32" s="113" t="s">
        <v>403</v>
      </c>
      <c r="M32" s="114">
        <f t="shared" ref="M32:V32" si="6">($H30*M$14)-M$31</f>
        <v>330.36363636363637</v>
      </c>
      <c r="N32" s="114">
        <f t="shared" si="6"/>
        <v>536.4818181818182</v>
      </c>
      <c r="O32" s="114">
        <f t="shared" si="6"/>
        <v>900.74363636363637</v>
      </c>
      <c r="P32" s="114">
        <f t="shared" si="6"/>
        <v>1063.0527272727272</v>
      </c>
      <c r="Q32" s="114">
        <f t="shared" si="6"/>
        <v>1055.727272727273</v>
      </c>
      <c r="R32" s="114">
        <f t="shared" si="6"/>
        <v>1106.7181818181821</v>
      </c>
      <c r="S32" s="114">
        <f t="shared" si="6"/>
        <v>1340.4145454545458</v>
      </c>
      <c r="T32" s="114">
        <f t="shared" si="6"/>
        <v>1330.647272727273</v>
      </c>
      <c r="U32" s="114">
        <f t="shared" si="6"/>
        <v>1451.7327272727275</v>
      </c>
      <c r="V32" s="114">
        <f t="shared" si="6"/>
        <v>1355.2090909090912</v>
      </c>
    </row>
    <row r="33" spans="4:22" ht="15.75" customHeight="1" x14ac:dyDescent="0.25">
      <c r="D33" s="10"/>
      <c r="G33" s="146" t="s">
        <v>405</v>
      </c>
      <c r="H33" s="147">
        <v>17.5</v>
      </c>
      <c r="I33" s="148">
        <f>0.1*H33</f>
        <v>1.75</v>
      </c>
      <c r="J33" s="148">
        <f>H33-I33</f>
        <v>15.75</v>
      </c>
      <c r="K33" s="147">
        <v>3</v>
      </c>
      <c r="L33" s="113" t="s">
        <v>401</v>
      </c>
      <c r="M33" s="114">
        <f>($J33*M$23)*$M$14</f>
        <v>39.375</v>
      </c>
      <c r="N33" s="114">
        <f>($J33*(N$23*$M$14))+($J33*M$23*($N$14-$M$14))</f>
        <v>57.75</v>
      </c>
      <c r="O33" s="114">
        <f>($J33*(O$23*$M$14))+($J33*N$23*($N$14-$M$14))+($J33*M$23*($O$14-$N$14))</f>
        <v>89.25</v>
      </c>
      <c r="P33" s="114">
        <f>($J33*O$23*($N$14-$M$14))+($J33*N$23*($O$14-$N$14))+($J33*(P$23*($P$14-$O$14+$M$14)))</f>
        <v>126</v>
      </c>
      <c r="Q33" s="114">
        <f>($J33*O$23*($O$14-$N$14))+($J33*(Q$23*($P$14-$O$14+$M$14)))+($J33*(Q$23*($Q$14-$P$14)))</f>
        <v>86.625</v>
      </c>
      <c r="R33" s="114">
        <f>($J33*(R$23*($P$14-$O$14+$M$14)))+($J33*(Q$23*($Q$14-$P$14)))+($J33*(R$23*($R$14-$Q$14)))</f>
        <v>52.5</v>
      </c>
      <c r="S33" s="114">
        <f>($J33*(R$23*($Q$14-$P$14)))+($J33*(Q$23*($R$14-$Q$14)))+($J33*(S$23*($S$14-$R$14+$M$14)))</f>
        <v>123.375</v>
      </c>
      <c r="T33" s="114">
        <f>($J33*(R$23*($R$14-$Q$14)))+($J33*(T$23*($S$14-$R$14+$M$14)))+($J33*(S$23*($T$14-$S$14)))</f>
        <v>105</v>
      </c>
      <c r="U33" s="114">
        <f>($J33*(U$23*($S$14-$R$14+$M$14)))+($J33*(T$23*($T$14-$S$14)))+($J33*(S$23*($U$14-$T$14)))</f>
        <v>99.75</v>
      </c>
      <c r="V33" s="114">
        <f>($J33*(U$23*($T$14-$S$14)))+($J33*(T$23*($U$14-$T$14)))+($J33*(V$23*($V$14-$U$14+$M$14)))</f>
        <v>105</v>
      </c>
    </row>
    <row r="34" spans="4:22" x14ac:dyDescent="0.25">
      <c r="D34" s="10"/>
      <c r="G34" s="146"/>
      <c r="H34" s="147"/>
      <c r="I34" s="148"/>
      <c r="J34" s="148"/>
      <c r="K34" s="147"/>
      <c r="L34" s="115" t="s">
        <v>402</v>
      </c>
      <c r="M34" s="114">
        <f>M33</f>
        <v>39.375</v>
      </c>
      <c r="N34" s="114">
        <f>M34+N33</f>
        <v>97.125</v>
      </c>
      <c r="O34" s="114">
        <f>N34+O33</f>
        <v>186.375</v>
      </c>
      <c r="P34" s="114">
        <f>P33</f>
        <v>126</v>
      </c>
      <c r="Q34" s="114">
        <f>P34+Q33</f>
        <v>212.625</v>
      </c>
      <c r="R34" s="114">
        <f>Q34+R33</f>
        <v>265.125</v>
      </c>
      <c r="S34" s="114">
        <f>S33</f>
        <v>123.375</v>
      </c>
      <c r="T34" s="114">
        <f>S34+T33</f>
        <v>228.375</v>
      </c>
      <c r="U34" s="114">
        <f>T34+U33</f>
        <v>328.125</v>
      </c>
      <c r="V34" s="114">
        <f>V33</f>
        <v>105</v>
      </c>
    </row>
    <row r="35" spans="4:22" x14ac:dyDescent="0.25">
      <c r="D35" s="10"/>
      <c r="G35" s="146"/>
      <c r="H35" s="147"/>
      <c r="I35" s="148"/>
      <c r="J35" s="148"/>
      <c r="K35" s="147"/>
      <c r="L35" s="113" t="s">
        <v>403</v>
      </c>
      <c r="M35" s="114">
        <f t="shared" ref="M35:V35" si="7">($H33*M$14)-M$34</f>
        <v>48.125</v>
      </c>
      <c r="N35" s="114">
        <f t="shared" si="7"/>
        <v>60.375</v>
      </c>
      <c r="O35" s="114">
        <f t="shared" si="7"/>
        <v>93.625</v>
      </c>
      <c r="P35" s="114">
        <f t="shared" si="7"/>
        <v>241.5</v>
      </c>
      <c r="Q35" s="114">
        <f t="shared" si="7"/>
        <v>207.375</v>
      </c>
      <c r="R35" s="114">
        <f t="shared" si="7"/>
        <v>224.875</v>
      </c>
      <c r="S35" s="114">
        <f t="shared" si="7"/>
        <v>489.125</v>
      </c>
      <c r="T35" s="114">
        <f t="shared" si="7"/>
        <v>454.125</v>
      </c>
      <c r="U35" s="114">
        <f t="shared" si="7"/>
        <v>459.375</v>
      </c>
      <c r="V35" s="114">
        <f t="shared" si="7"/>
        <v>735</v>
      </c>
    </row>
    <row r="36" spans="4:22" ht="15.75" customHeight="1" x14ac:dyDescent="0.25">
      <c r="D36" s="10"/>
      <c r="G36" s="146" t="s">
        <v>406</v>
      </c>
      <c r="H36" s="147">
        <v>165</v>
      </c>
      <c r="I36" s="148">
        <f>0.1*H36</f>
        <v>16.5</v>
      </c>
      <c r="J36" s="148">
        <f>H36-I36</f>
        <v>148.5</v>
      </c>
      <c r="K36" s="147">
        <v>3</v>
      </c>
      <c r="L36" s="113" t="s">
        <v>401</v>
      </c>
      <c r="M36" s="114">
        <f t="shared" ref="M36:V36" si="8">($J36*M$23)*2</f>
        <v>148.5</v>
      </c>
      <c r="N36" s="114">
        <f t="shared" si="8"/>
        <v>99</v>
      </c>
      <c r="O36" s="114">
        <f t="shared" si="8"/>
        <v>49.5</v>
      </c>
      <c r="P36" s="114">
        <f t="shared" si="8"/>
        <v>148.5</v>
      </c>
      <c r="Q36" s="114">
        <f t="shared" si="8"/>
        <v>99</v>
      </c>
      <c r="R36" s="114">
        <f t="shared" si="8"/>
        <v>49.5</v>
      </c>
      <c r="S36" s="114">
        <f t="shared" si="8"/>
        <v>148.5</v>
      </c>
      <c r="T36" s="114">
        <f t="shared" si="8"/>
        <v>99</v>
      </c>
      <c r="U36" s="114">
        <f t="shared" si="8"/>
        <v>49.5</v>
      </c>
      <c r="V36" s="114">
        <f t="shared" si="8"/>
        <v>148.5</v>
      </c>
    </row>
    <row r="37" spans="4:22" x14ac:dyDescent="0.25">
      <c r="D37" s="10"/>
      <c r="G37" s="146"/>
      <c r="H37" s="147"/>
      <c r="I37" s="148"/>
      <c r="J37" s="148"/>
      <c r="K37" s="147"/>
      <c r="L37" s="115" t="s">
        <v>402</v>
      </c>
      <c r="M37" s="114">
        <f>M36</f>
        <v>148.5</v>
      </c>
      <c r="N37" s="114">
        <f>M37+N36</f>
        <v>247.5</v>
      </c>
      <c r="O37" s="114">
        <f>N37+O36</f>
        <v>297</v>
      </c>
      <c r="P37" s="114">
        <f>P36</f>
        <v>148.5</v>
      </c>
      <c r="Q37" s="114">
        <f>P37+Q36</f>
        <v>247.5</v>
      </c>
      <c r="R37" s="114">
        <f>Q37+R36</f>
        <v>297</v>
      </c>
      <c r="S37" s="114">
        <f>S36</f>
        <v>148.5</v>
      </c>
      <c r="T37" s="114">
        <f>S37+T36</f>
        <v>247.5</v>
      </c>
      <c r="U37" s="114">
        <f>T37+U36</f>
        <v>297</v>
      </c>
      <c r="V37" s="114">
        <f>V36</f>
        <v>148.5</v>
      </c>
    </row>
    <row r="38" spans="4:22" x14ac:dyDescent="0.25">
      <c r="D38" s="10"/>
      <c r="G38" s="146"/>
      <c r="H38" s="147"/>
      <c r="I38" s="148"/>
      <c r="J38" s="148"/>
      <c r="K38" s="147"/>
      <c r="L38" s="113" t="s">
        <v>403</v>
      </c>
      <c r="M38" s="114">
        <f t="shared" ref="M38:V38" si="9">($H36*M$14)-M$37</f>
        <v>676.5</v>
      </c>
      <c r="N38" s="114">
        <f t="shared" si="9"/>
        <v>1237.5</v>
      </c>
      <c r="O38" s="114">
        <f t="shared" si="9"/>
        <v>2343</v>
      </c>
      <c r="P38" s="114">
        <f t="shared" si="9"/>
        <v>3316.5</v>
      </c>
      <c r="Q38" s="114">
        <f t="shared" si="9"/>
        <v>3712.5</v>
      </c>
      <c r="R38" s="114">
        <f t="shared" si="9"/>
        <v>4323</v>
      </c>
      <c r="S38" s="114">
        <f t="shared" si="9"/>
        <v>5626.5</v>
      </c>
      <c r="T38" s="114">
        <f t="shared" si="9"/>
        <v>6187.5</v>
      </c>
      <c r="U38" s="114">
        <f t="shared" si="9"/>
        <v>7128</v>
      </c>
      <c r="V38" s="114">
        <f t="shared" si="9"/>
        <v>7771.5</v>
      </c>
    </row>
    <row r="39" spans="4:22" ht="15.75" customHeight="1" x14ac:dyDescent="0.25">
      <c r="D39" s="10"/>
      <c r="G39" s="146" t="s">
        <v>407</v>
      </c>
      <c r="H39" s="147">
        <v>150</v>
      </c>
      <c r="I39" s="148">
        <f>0.1*H39</f>
        <v>15</v>
      </c>
      <c r="J39" s="148">
        <f>H39-I39</f>
        <v>135</v>
      </c>
      <c r="K39" s="147">
        <v>10</v>
      </c>
      <c r="L39" s="113" t="s">
        <v>401</v>
      </c>
      <c r="M39" s="114">
        <f t="shared" ref="M39:V39" si="10">($J39*M$24)*2</f>
        <v>49.090909090909093</v>
      </c>
      <c r="N39" s="114">
        <f t="shared" si="10"/>
        <v>44.18181818181818</v>
      </c>
      <c r="O39" s="114">
        <f t="shared" si="10"/>
        <v>39.272727272727273</v>
      </c>
      <c r="P39" s="114">
        <f t="shared" si="10"/>
        <v>34.36363636363636</v>
      </c>
      <c r="Q39" s="114">
        <f t="shared" si="10"/>
        <v>29.454545454545453</v>
      </c>
      <c r="R39" s="114">
        <f t="shared" si="10"/>
        <v>24.545454545454547</v>
      </c>
      <c r="S39" s="114">
        <f t="shared" si="10"/>
        <v>19.636363636363637</v>
      </c>
      <c r="T39" s="114">
        <f t="shared" si="10"/>
        <v>14.727272727272727</v>
      </c>
      <c r="U39" s="114">
        <f t="shared" si="10"/>
        <v>9.8181818181818183</v>
      </c>
      <c r="V39" s="114">
        <f t="shared" si="10"/>
        <v>4.9090909090909092</v>
      </c>
    </row>
    <row r="40" spans="4:22" x14ac:dyDescent="0.25">
      <c r="D40" s="10"/>
      <c r="G40" s="146"/>
      <c r="H40" s="147"/>
      <c r="I40" s="148"/>
      <c r="J40" s="148"/>
      <c r="K40" s="147"/>
      <c r="L40" s="115" t="s">
        <v>402</v>
      </c>
      <c r="M40" s="114">
        <f>M39</f>
        <v>49.090909090909093</v>
      </c>
      <c r="N40" s="114">
        <f t="shared" ref="N40:V40" si="11">M40+N39</f>
        <v>93.27272727272728</v>
      </c>
      <c r="O40" s="114">
        <f t="shared" si="11"/>
        <v>132.54545454545456</v>
      </c>
      <c r="P40" s="114">
        <f t="shared" si="11"/>
        <v>166.90909090909093</v>
      </c>
      <c r="Q40" s="114">
        <f t="shared" si="11"/>
        <v>196.36363636363637</v>
      </c>
      <c r="R40" s="114">
        <f t="shared" si="11"/>
        <v>220.90909090909093</v>
      </c>
      <c r="S40" s="114">
        <f t="shared" si="11"/>
        <v>240.54545454545456</v>
      </c>
      <c r="T40" s="114">
        <f t="shared" si="11"/>
        <v>255.27272727272728</v>
      </c>
      <c r="U40" s="114">
        <f t="shared" si="11"/>
        <v>265.09090909090912</v>
      </c>
      <c r="V40" s="114">
        <f t="shared" si="11"/>
        <v>270.00000000000006</v>
      </c>
    </row>
    <row r="41" spans="4:22" x14ac:dyDescent="0.25">
      <c r="D41" s="10"/>
      <c r="G41" s="146"/>
      <c r="H41" s="147"/>
      <c r="I41" s="148"/>
      <c r="J41" s="148"/>
      <c r="K41" s="147"/>
      <c r="L41" s="113" t="s">
        <v>403</v>
      </c>
      <c r="M41" s="114">
        <f t="shared" ref="M41:V41" si="12">($H39*M$14)-M$40</f>
        <v>700.90909090909088</v>
      </c>
      <c r="N41" s="114">
        <f t="shared" si="12"/>
        <v>1256.7272727272727</v>
      </c>
      <c r="O41" s="114">
        <f t="shared" si="12"/>
        <v>2267.4545454545455</v>
      </c>
      <c r="P41" s="114">
        <f t="shared" si="12"/>
        <v>2983.090909090909</v>
      </c>
      <c r="Q41" s="114">
        <f t="shared" si="12"/>
        <v>3403.6363636363635</v>
      </c>
      <c r="R41" s="114">
        <f t="shared" si="12"/>
        <v>3979.090909090909</v>
      </c>
      <c r="S41" s="114">
        <f t="shared" si="12"/>
        <v>5009.454545454545</v>
      </c>
      <c r="T41" s="114">
        <f t="shared" si="12"/>
        <v>5594.727272727273</v>
      </c>
      <c r="U41" s="114">
        <f t="shared" si="12"/>
        <v>6484.909090909091</v>
      </c>
      <c r="V41" s="114">
        <f t="shared" si="12"/>
        <v>6930</v>
      </c>
    </row>
    <row r="42" spans="4:22" ht="15.75" customHeight="1" x14ac:dyDescent="0.25">
      <c r="D42" s="10"/>
      <c r="G42" s="146" t="s">
        <v>408</v>
      </c>
      <c r="H42" s="147">
        <v>89</v>
      </c>
      <c r="I42" s="148">
        <f>0.1*H42</f>
        <v>8.9</v>
      </c>
      <c r="J42" s="148">
        <f>H42-I42</f>
        <v>80.099999999999994</v>
      </c>
      <c r="K42" s="147">
        <v>3</v>
      </c>
      <c r="L42" s="113" t="s">
        <v>401</v>
      </c>
      <c r="M42" s="114">
        <f t="shared" ref="M42:V42" si="13">($J42*M$23)*2</f>
        <v>80.099999999999994</v>
      </c>
      <c r="N42" s="114">
        <f t="shared" si="13"/>
        <v>53.399999999999991</v>
      </c>
      <c r="O42" s="114">
        <f t="shared" si="13"/>
        <v>26.699999999999996</v>
      </c>
      <c r="P42" s="114">
        <f t="shared" si="13"/>
        <v>80.099999999999994</v>
      </c>
      <c r="Q42" s="114">
        <f t="shared" si="13"/>
        <v>53.399999999999991</v>
      </c>
      <c r="R42" s="114">
        <f t="shared" si="13"/>
        <v>26.699999999999996</v>
      </c>
      <c r="S42" s="114">
        <f t="shared" si="13"/>
        <v>80.099999999999994</v>
      </c>
      <c r="T42" s="114">
        <f t="shared" si="13"/>
        <v>53.399999999999991</v>
      </c>
      <c r="U42" s="114">
        <f t="shared" si="13"/>
        <v>26.699999999999996</v>
      </c>
      <c r="V42" s="114">
        <f t="shared" si="13"/>
        <v>80.099999999999994</v>
      </c>
    </row>
    <row r="43" spans="4:22" x14ac:dyDescent="0.25">
      <c r="D43" s="116"/>
      <c r="G43" s="146"/>
      <c r="H43" s="147"/>
      <c r="I43" s="148"/>
      <c r="J43" s="148"/>
      <c r="K43" s="147"/>
      <c r="L43" s="115" t="s">
        <v>402</v>
      </c>
      <c r="M43" s="114">
        <f>M42</f>
        <v>80.099999999999994</v>
      </c>
      <c r="N43" s="114">
        <f>M43+N42</f>
        <v>133.5</v>
      </c>
      <c r="O43" s="114">
        <f>N43+O42</f>
        <v>160.19999999999999</v>
      </c>
      <c r="P43" s="114">
        <f>P42</f>
        <v>80.099999999999994</v>
      </c>
      <c r="Q43" s="114">
        <f>P43+Q42</f>
        <v>133.5</v>
      </c>
      <c r="R43" s="114">
        <f>Q43+R42</f>
        <v>160.19999999999999</v>
      </c>
      <c r="S43" s="114">
        <f>S42</f>
        <v>80.099999999999994</v>
      </c>
      <c r="T43" s="114">
        <f>S43+T42</f>
        <v>133.5</v>
      </c>
      <c r="U43" s="114">
        <f>T43+U42</f>
        <v>160.19999999999999</v>
      </c>
      <c r="V43" s="114">
        <f>V42</f>
        <v>80.099999999999994</v>
      </c>
    </row>
    <row r="44" spans="4:22" x14ac:dyDescent="0.25">
      <c r="D44" s="116"/>
      <c r="G44" s="146"/>
      <c r="H44" s="147"/>
      <c r="I44" s="148"/>
      <c r="J44" s="148"/>
      <c r="K44" s="147"/>
      <c r="L44" s="113" t="s">
        <v>403</v>
      </c>
      <c r="M44" s="114">
        <f t="shared" ref="M44:V44" si="14">($H42*M$14)-M$43</f>
        <v>364.9</v>
      </c>
      <c r="N44" s="114">
        <f t="shared" si="14"/>
        <v>667.5</v>
      </c>
      <c r="O44" s="114">
        <f t="shared" si="14"/>
        <v>1263.8</v>
      </c>
      <c r="P44" s="114">
        <f t="shared" si="14"/>
        <v>1788.9</v>
      </c>
      <c r="Q44" s="114">
        <f t="shared" si="14"/>
        <v>2002.5</v>
      </c>
      <c r="R44" s="114">
        <f t="shared" si="14"/>
        <v>2331.8000000000002</v>
      </c>
      <c r="S44" s="114">
        <f t="shared" si="14"/>
        <v>3034.9</v>
      </c>
      <c r="T44" s="114">
        <f t="shared" si="14"/>
        <v>3337.5</v>
      </c>
      <c r="U44" s="114">
        <f t="shared" si="14"/>
        <v>3844.8</v>
      </c>
      <c r="V44" s="114">
        <f t="shared" si="14"/>
        <v>4191.8999999999996</v>
      </c>
    </row>
    <row r="45" spans="4:22" ht="15.75" customHeight="1" x14ac:dyDescent="0.25">
      <c r="G45" s="146" t="s">
        <v>409</v>
      </c>
      <c r="H45" s="147">
        <v>43</v>
      </c>
      <c r="I45" s="148">
        <f>0.1*H45</f>
        <v>4.3</v>
      </c>
      <c r="J45" s="148">
        <f>H45-I45</f>
        <v>38.700000000000003</v>
      </c>
      <c r="K45" s="147">
        <v>10</v>
      </c>
      <c r="L45" s="113" t="s">
        <v>401</v>
      </c>
      <c r="M45" s="114">
        <f>($J45*M$24)*$M$14</f>
        <v>35.181818181818187</v>
      </c>
      <c r="N45" s="114">
        <f>($J45*(N$24*$M$14))+($J45*M$24*($N$14-$M$14))</f>
        <v>59.809090909090912</v>
      </c>
      <c r="O45" s="114">
        <f>($J45*(O$24*$M$14))+($J45*N$24*($N$14-$M$14))+($J45*M$24*($O$14-$N$14))</f>
        <v>102.73090909090911</v>
      </c>
      <c r="P45" s="114">
        <f>($J45*(P$24*$M$14))+($J45*O$24*($N$14-$M$14))+($J45*N$24*($O$14-$N$14))+($J45*M$24*($P$14-$O$14))</f>
        <v>126.65454545454546</v>
      </c>
      <c r="Q45" s="114">
        <f>($J45*(Q$24*$M$14))+($J45*P$24*($N$14-$M$14))+($J45*O$24*($O$14-$N$14))+($J45*N$24*($P$14-$O$14))+($J45*M$24*($Q$14-$P$14))</f>
        <v>132.98727272727274</v>
      </c>
      <c r="R45" s="114">
        <f>($J45*(R$24*$M$14))+($J45*Q$24*($N$14-$M$14))+($J45*P$24*($O$14-$N$14))+($J45*O$24*($P$14-$O$14))+($J45*N$24*($Q$14-$P$14))+($J45*M$24*($R$14-$Q$14))</f>
        <v>144.24545454545455</v>
      </c>
      <c r="S45" s="114">
        <f>($J45*(S$24*$M$14))+($J45*R$24*($N$14-$M$14))+($J45*Q$24*($O$14-$N$14))+($J45*P$24*($P$14-$O$14))+($J45*O$24*($Q$14-$P$14))+($J45*N$24*($R$14-$Q$14))+($J45*M$24*($S$14-$R$14))</f>
        <v>173.79818181818183</v>
      </c>
      <c r="T45" s="114">
        <f>($J45*(T$24*$M$14))+($J45*S$24*($N$14-$M$14))+($J45*R$24*($O$14-$N$14))+($J45*Q$24*($P$14-$O$14))+($J45*P$24*($Q$14-$P$14))+($J45*O$24*($R$14-$Q$14))+($J45*N$24*($S$14-$R$14))+($J45*M$24*($T$14-$S$14))</f>
        <v>177.31636363636366</v>
      </c>
      <c r="U45" s="114">
        <f>($J45*(U$24*$M$14))+($J45*T$24*($N$14-$M$14))+($J45*S$24*($O$14-$N$14))+($J45*R$24*($P$14-$O$14))+($J45*Q$24*($Q$14-$P$14))+($J45*P$24*($R$14-$Q$14))+($J45*O$24*($S$14-$R$14))+($J45*N$24*($T$14-$S$14))+($J45*M$24*($U$14-$T$14))</f>
        <v>192.09272727272727</v>
      </c>
      <c r="V45" s="114">
        <f>($J45*(V$24*$M$14))+($J45*U$24*($N$14-$M$14))+($J45*T$24*($O$14-$N$14))+($J45*S$24*($P$14-$O$14))+($J45*R$24*($Q$14-$P$14))+($J45*Q$24*($R$14-$Q$14))+($J45*P$24*($S$14-$R$14))+($J45*O$24*($T$14-$S$14))+($J45*N$24*($U$14-$T$14))+($J45*M$24*($V$14-$U$14))</f>
        <v>181.53818181818184</v>
      </c>
    </row>
    <row r="46" spans="4:22" x14ac:dyDescent="0.25">
      <c r="G46" s="146"/>
      <c r="H46" s="147"/>
      <c r="I46" s="148"/>
      <c r="J46" s="148"/>
      <c r="K46" s="147"/>
      <c r="L46" s="115" t="s">
        <v>402</v>
      </c>
      <c r="M46" s="114">
        <f>M45</f>
        <v>35.181818181818187</v>
      </c>
      <c r="N46" s="114">
        <f t="shared" ref="N46:V46" si="15">M46+N45</f>
        <v>94.990909090909099</v>
      </c>
      <c r="O46" s="114">
        <f t="shared" si="15"/>
        <v>197.72181818181821</v>
      </c>
      <c r="P46" s="114">
        <f t="shared" si="15"/>
        <v>324.37636363636364</v>
      </c>
      <c r="Q46" s="114">
        <f t="shared" si="15"/>
        <v>457.36363636363637</v>
      </c>
      <c r="R46" s="114">
        <f t="shared" si="15"/>
        <v>601.60909090909092</v>
      </c>
      <c r="S46" s="114">
        <f t="shared" si="15"/>
        <v>775.40727272727281</v>
      </c>
      <c r="T46" s="114">
        <f t="shared" si="15"/>
        <v>952.7236363636365</v>
      </c>
      <c r="U46" s="114">
        <f t="shared" si="15"/>
        <v>1144.8163636363638</v>
      </c>
      <c r="V46" s="114">
        <f t="shared" si="15"/>
        <v>1326.3545454545456</v>
      </c>
    </row>
    <row r="47" spans="4:22" x14ac:dyDescent="0.25">
      <c r="G47" s="146"/>
      <c r="H47" s="147"/>
      <c r="I47" s="148"/>
      <c r="J47" s="148"/>
      <c r="K47" s="147"/>
      <c r="L47" s="113" t="s">
        <v>403</v>
      </c>
      <c r="M47" s="114">
        <f t="shared" ref="M47:V47" si="16">($H45*M$14)-M$46</f>
        <v>179.81818181818181</v>
      </c>
      <c r="N47" s="114">
        <f t="shared" si="16"/>
        <v>292.0090909090909</v>
      </c>
      <c r="O47" s="114">
        <f t="shared" si="16"/>
        <v>490.27818181818179</v>
      </c>
      <c r="P47" s="114">
        <f t="shared" si="16"/>
        <v>578.62363636363636</v>
      </c>
      <c r="Q47" s="114">
        <f t="shared" si="16"/>
        <v>574.63636363636363</v>
      </c>
      <c r="R47" s="114">
        <f t="shared" si="16"/>
        <v>602.39090909090908</v>
      </c>
      <c r="S47" s="114">
        <f t="shared" si="16"/>
        <v>729.59272727272719</v>
      </c>
      <c r="T47" s="114">
        <f t="shared" si="16"/>
        <v>724.2763636363635</v>
      </c>
      <c r="U47" s="114">
        <f t="shared" si="16"/>
        <v>790.1836363636362</v>
      </c>
      <c r="V47" s="114">
        <f t="shared" si="16"/>
        <v>737.64545454545441</v>
      </c>
    </row>
    <row r="48" spans="4:22" ht="15.75" customHeight="1" x14ac:dyDescent="0.25">
      <c r="G48" s="146" t="s">
        <v>410</v>
      </c>
      <c r="H48" s="147">
        <v>550</v>
      </c>
      <c r="I48" s="148">
        <f>0.1*H48</f>
        <v>55</v>
      </c>
      <c r="J48" s="148">
        <f>H48-I48</f>
        <v>495</v>
      </c>
      <c r="K48" s="147">
        <v>10</v>
      </c>
      <c r="L48" s="113" t="s">
        <v>401</v>
      </c>
      <c r="M48" s="114">
        <f t="shared" ref="M48:V48" si="17">($J48*M$24)*3</f>
        <v>270</v>
      </c>
      <c r="N48" s="114">
        <f t="shared" si="17"/>
        <v>243</v>
      </c>
      <c r="O48" s="114">
        <f t="shared" si="17"/>
        <v>216</v>
      </c>
      <c r="P48" s="114">
        <f t="shared" si="17"/>
        <v>188.99999999999997</v>
      </c>
      <c r="Q48" s="114">
        <f t="shared" si="17"/>
        <v>162</v>
      </c>
      <c r="R48" s="114">
        <f t="shared" si="17"/>
        <v>135</v>
      </c>
      <c r="S48" s="114">
        <f t="shared" si="17"/>
        <v>108</v>
      </c>
      <c r="T48" s="114">
        <f t="shared" si="17"/>
        <v>81</v>
      </c>
      <c r="U48" s="114">
        <f t="shared" si="17"/>
        <v>54</v>
      </c>
      <c r="V48" s="114">
        <f t="shared" si="17"/>
        <v>27</v>
      </c>
    </row>
    <row r="49" spans="4:22" x14ac:dyDescent="0.25">
      <c r="G49" s="146"/>
      <c r="H49" s="147"/>
      <c r="I49" s="148"/>
      <c r="J49" s="148"/>
      <c r="K49" s="147"/>
      <c r="L49" s="115" t="s">
        <v>402</v>
      </c>
      <c r="M49" s="114">
        <f>M48</f>
        <v>270</v>
      </c>
      <c r="N49" s="114">
        <f t="shared" ref="N49:V49" si="18">M49+N48</f>
        <v>513</v>
      </c>
      <c r="O49" s="114">
        <f t="shared" si="18"/>
        <v>729</v>
      </c>
      <c r="P49" s="114">
        <f t="shared" si="18"/>
        <v>918</v>
      </c>
      <c r="Q49" s="114">
        <f t="shared" si="18"/>
        <v>1080</v>
      </c>
      <c r="R49" s="114">
        <f t="shared" si="18"/>
        <v>1215</v>
      </c>
      <c r="S49" s="114">
        <f t="shared" si="18"/>
        <v>1323</v>
      </c>
      <c r="T49" s="114">
        <f t="shared" si="18"/>
        <v>1404</v>
      </c>
      <c r="U49" s="114">
        <f t="shared" si="18"/>
        <v>1458</v>
      </c>
      <c r="V49" s="114">
        <f t="shared" si="18"/>
        <v>1485</v>
      </c>
    </row>
    <row r="50" spans="4:22" x14ac:dyDescent="0.25">
      <c r="G50" s="146"/>
      <c r="H50" s="147"/>
      <c r="I50" s="148"/>
      <c r="J50" s="148"/>
      <c r="K50" s="147"/>
      <c r="L50" s="113" t="s">
        <v>403</v>
      </c>
      <c r="M50" s="114">
        <f>($H48*M$14)-M49</f>
        <v>2480</v>
      </c>
      <c r="N50" s="114">
        <f t="shared" ref="N50:V50" si="19">($H48*N$14)-N$49</f>
        <v>4437</v>
      </c>
      <c r="O50" s="114">
        <f t="shared" si="19"/>
        <v>8071</v>
      </c>
      <c r="P50" s="114">
        <f t="shared" si="19"/>
        <v>10632</v>
      </c>
      <c r="Q50" s="114">
        <f t="shared" si="19"/>
        <v>12120</v>
      </c>
      <c r="R50" s="114">
        <f t="shared" si="19"/>
        <v>14185</v>
      </c>
      <c r="S50" s="114">
        <f t="shared" si="19"/>
        <v>17927</v>
      </c>
      <c r="T50" s="114">
        <f t="shared" si="19"/>
        <v>20046</v>
      </c>
      <c r="U50" s="114">
        <f t="shared" si="19"/>
        <v>23292</v>
      </c>
      <c r="V50" s="114">
        <f t="shared" si="19"/>
        <v>24915</v>
      </c>
    </row>
    <row r="51" spans="4:22" ht="15.75" customHeight="1" x14ac:dyDescent="0.25">
      <c r="G51" s="146" t="s">
        <v>19</v>
      </c>
      <c r="H51" s="147">
        <v>299.99</v>
      </c>
      <c r="I51" s="148">
        <f>0.1*H51</f>
        <v>29.999000000000002</v>
      </c>
      <c r="J51" s="148">
        <f>H51-I51</f>
        <v>269.99099999999999</v>
      </c>
      <c r="K51" s="147">
        <v>10</v>
      </c>
      <c r="L51" s="113" t="s">
        <v>401</v>
      </c>
      <c r="M51" s="114">
        <f t="shared" ref="M51:V51" si="20">($J51*M$24)*1</f>
        <v>49.089272727272729</v>
      </c>
      <c r="N51" s="114">
        <f t="shared" si="20"/>
        <v>44.180345454545453</v>
      </c>
      <c r="O51" s="114">
        <f t="shared" si="20"/>
        <v>39.271418181818177</v>
      </c>
      <c r="P51" s="114">
        <f t="shared" si="20"/>
        <v>34.362490909090901</v>
      </c>
      <c r="Q51" s="114">
        <f t="shared" si="20"/>
        <v>29.453563636363633</v>
      </c>
      <c r="R51" s="114">
        <f t="shared" si="20"/>
        <v>24.544636363636364</v>
      </c>
      <c r="S51" s="114">
        <f t="shared" si="20"/>
        <v>19.635709090909089</v>
      </c>
      <c r="T51" s="114">
        <f t="shared" si="20"/>
        <v>14.726781818181816</v>
      </c>
      <c r="U51" s="114">
        <f t="shared" si="20"/>
        <v>9.8178545454545443</v>
      </c>
      <c r="V51" s="114">
        <f t="shared" si="20"/>
        <v>4.9089272727272721</v>
      </c>
    </row>
    <row r="52" spans="4:22" x14ac:dyDescent="0.25">
      <c r="G52" s="146"/>
      <c r="H52" s="147"/>
      <c r="I52" s="148"/>
      <c r="J52" s="148"/>
      <c r="K52" s="147"/>
      <c r="L52" s="115" t="s">
        <v>402</v>
      </c>
      <c r="M52" s="114">
        <f>M51</f>
        <v>49.089272727272729</v>
      </c>
      <c r="N52" s="114">
        <f t="shared" ref="N52:V52" si="21">M52+N51</f>
        <v>93.269618181818174</v>
      </c>
      <c r="O52" s="114">
        <f t="shared" si="21"/>
        <v>132.54103636363635</v>
      </c>
      <c r="P52" s="114">
        <f t="shared" si="21"/>
        <v>166.90352727272725</v>
      </c>
      <c r="Q52" s="114">
        <f t="shared" si="21"/>
        <v>196.35709090909089</v>
      </c>
      <c r="R52" s="114">
        <f t="shared" si="21"/>
        <v>220.90172727272724</v>
      </c>
      <c r="S52" s="114">
        <f t="shared" si="21"/>
        <v>240.53743636363635</v>
      </c>
      <c r="T52" s="114">
        <f t="shared" si="21"/>
        <v>255.26421818181817</v>
      </c>
      <c r="U52" s="114">
        <f t="shared" si="21"/>
        <v>265.0820727272727</v>
      </c>
      <c r="V52" s="114">
        <f t="shared" si="21"/>
        <v>269.99099999999999</v>
      </c>
    </row>
    <row r="53" spans="4:22" x14ac:dyDescent="0.25">
      <c r="G53" s="146"/>
      <c r="H53" s="147"/>
      <c r="I53" s="148"/>
      <c r="J53" s="148"/>
      <c r="K53" s="147"/>
      <c r="L53" s="113" t="s">
        <v>403</v>
      </c>
      <c r="M53" s="114">
        <f t="shared" ref="M53:V53" si="22">($H51*M$14)-M52</f>
        <v>1450.8607272727272</v>
      </c>
      <c r="N53" s="114">
        <f t="shared" si="22"/>
        <v>2606.6403818181816</v>
      </c>
      <c r="O53" s="114">
        <f t="shared" si="22"/>
        <v>4667.2989636363636</v>
      </c>
      <c r="P53" s="114">
        <f t="shared" si="22"/>
        <v>6132.886472727273</v>
      </c>
      <c r="Q53" s="114">
        <f t="shared" si="22"/>
        <v>7003.4029090909089</v>
      </c>
      <c r="R53" s="114">
        <f t="shared" si="22"/>
        <v>8178.8182727272742</v>
      </c>
      <c r="S53" s="114">
        <f t="shared" si="22"/>
        <v>10259.112563636363</v>
      </c>
      <c r="T53" s="114">
        <f t="shared" si="22"/>
        <v>11444.345781818183</v>
      </c>
      <c r="U53" s="114">
        <f t="shared" si="22"/>
        <v>13234.467927272728</v>
      </c>
      <c r="V53" s="114">
        <f t="shared" si="22"/>
        <v>14129.529</v>
      </c>
    </row>
    <row r="54" spans="4:22" ht="15.75" customHeight="1" x14ac:dyDescent="0.25">
      <c r="D54" s="10"/>
      <c r="G54" s="146" t="s">
        <v>21</v>
      </c>
      <c r="H54" s="147">
        <v>547.99</v>
      </c>
      <c r="I54" s="148">
        <f>0.1*H54</f>
        <v>54.799000000000007</v>
      </c>
      <c r="J54" s="148">
        <f>H54-I54</f>
        <v>493.19100000000003</v>
      </c>
      <c r="K54" s="147">
        <v>3</v>
      </c>
      <c r="L54" s="113" t="s">
        <v>401</v>
      </c>
      <c r="M54" s="114">
        <f t="shared" ref="M54:V54" si="23">($J54*M$23)*1</f>
        <v>246.59550000000002</v>
      </c>
      <c r="N54" s="114">
        <f t="shared" si="23"/>
        <v>164.39699999999999</v>
      </c>
      <c r="O54" s="114">
        <f t="shared" si="23"/>
        <v>82.198499999999996</v>
      </c>
      <c r="P54" s="114">
        <f t="shared" si="23"/>
        <v>246.59550000000002</v>
      </c>
      <c r="Q54" s="114">
        <f t="shared" si="23"/>
        <v>164.39699999999999</v>
      </c>
      <c r="R54" s="114">
        <f t="shared" si="23"/>
        <v>82.198499999999996</v>
      </c>
      <c r="S54" s="114">
        <f t="shared" si="23"/>
        <v>246.59550000000002</v>
      </c>
      <c r="T54" s="114">
        <f t="shared" si="23"/>
        <v>164.39699999999999</v>
      </c>
      <c r="U54" s="114">
        <f t="shared" si="23"/>
        <v>82.198499999999996</v>
      </c>
      <c r="V54" s="114">
        <f t="shared" si="23"/>
        <v>246.59550000000002</v>
      </c>
    </row>
    <row r="55" spans="4:22" x14ac:dyDescent="0.25">
      <c r="D55" s="10"/>
      <c r="G55" s="146"/>
      <c r="H55" s="147"/>
      <c r="I55" s="148"/>
      <c r="J55" s="148"/>
      <c r="K55" s="147"/>
      <c r="L55" s="115" t="s">
        <v>402</v>
      </c>
      <c r="M55" s="114">
        <f>M54</f>
        <v>246.59550000000002</v>
      </c>
      <c r="N55" s="114">
        <f>M55+N54</f>
        <v>410.99250000000001</v>
      </c>
      <c r="O55" s="114">
        <f>N55+O54</f>
        <v>493.19100000000003</v>
      </c>
      <c r="P55" s="114">
        <f>P54</f>
        <v>246.59550000000002</v>
      </c>
      <c r="Q55" s="114">
        <f>P55+Q54</f>
        <v>410.99250000000001</v>
      </c>
      <c r="R55" s="114">
        <f>Q55+R54</f>
        <v>493.19100000000003</v>
      </c>
      <c r="S55" s="114">
        <f>S54</f>
        <v>246.59550000000002</v>
      </c>
      <c r="T55" s="114">
        <f>S55+T54</f>
        <v>410.99250000000001</v>
      </c>
      <c r="U55" s="114">
        <f>T55+U54</f>
        <v>493.19100000000003</v>
      </c>
      <c r="V55" s="114">
        <f>V54</f>
        <v>246.59550000000002</v>
      </c>
    </row>
    <row r="56" spans="4:22" x14ac:dyDescent="0.25">
      <c r="D56" s="10"/>
      <c r="G56" s="146"/>
      <c r="H56" s="147"/>
      <c r="I56" s="148"/>
      <c r="J56" s="148"/>
      <c r="K56" s="147"/>
      <c r="L56" s="113" t="s">
        <v>403</v>
      </c>
      <c r="M56" s="114">
        <f t="shared" ref="M56:V56" si="24">($H54*M$14)-M55</f>
        <v>2493.3544999999999</v>
      </c>
      <c r="N56" s="114">
        <f t="shared" si="24"/>
        <v>4520.9174999999996</v>
      </c>
      <c r="O56" s="114">
        <f t="shared" si="24"/>
        <v>8274.6489999999994</v>
      </c>
      <c r="P56" s="114">
        <f t="shared" si="24"/>
        <v>11261.194500000001</v>
      </c>
      <c r="Q56" s="114">
        <f t="shared" si="24"/>
        <v>12740.7675</v>
      </c>
      <c r="R56" s="114">
        <f t="shared" si="24"/>
        <v>14850.529</v>
      </c>
      <c r="S56" s="114">
        <f t="shared" si="24"/>
        <v>18933.054500000002</v>
      </c>
      <c r="T56" s="114">
        <f t="shared" si="24"/>
        <v>20960.6175</v>
      </c>
      <c r="U56" s="114">
        <f t="shared" si="24"/>
        <v>24166.359</v>
      </c>
      <c r="V56" s="114">
        <f t="shared" si="24"/>
        <v>26056.924500000001</v>
      </c>
    </row>
    <row r="57" spans="4:22" ht="15.75" customHeight="1" x14ac:dyDescent="0.25">
      <c r="D57" s="8"/>
      <c r="G57" s="146" t="s">
        <v>411</v>
      </c>
      <c r="H57" s="147">
        <v>70.3</v>
      </c>
      <c r="I57" s="148">
        <f>0.1*H57</f>
        <v>7.03</v>
      </c>
      <c r="J57" s="148">
        <f>H57-I57</f>
        <v>63.269999999999996</v>
      </c>
      <c r="K57" s="147">
        <v>3</v>
      </c>
      <c r="L57" s="113" t="s">
        <v>401</v>
      </c>
      <c r="M57" s="114">
        <f t="shared" ref="M57:V57" si="25">($J57*M$23)*2</f>
        <v>63.269999999999996</v>
      </c>
      <c r="N57" s="114">
        <f t="shared" si="25"/>
        <v>42.179999999999993</v>
      </c>
      <c r="O57" s="114">
        <f t="shared" si="25"/>
        <v>21.089999999999996</v>
      </c>
      <c r="P57" s="114">
        <f t="shared" si="25"/>
        <v>63.269999999999996</v>
      </c>
      <c r="Q57" s="114">
        <f t="shared" si="25"/>
        <v>42.179999999999993</v>
      </c>
      <c r="R57" s="114">
        <f t="shared" si="25"/>
        <v>21.089999999999996</v>
      </c>
      <c r="S57" s="114">
        <f t="shared" si="25"/>
        <v>63.269999999999996</v>
      </c>
      <c r="T57" s="114">
        <f t="shared" si="25"/>
        <v>42.179999999999993</v>
      </c>
      <c r="U57" s="114">
        <f t="shared" si="25"/>
        <v>21.089999999999996</v>
      </c>
      <c r="V57" s="114">
        <f t="shared" si="25"/>
        <v>63.269999999999996</v>
      </c>
    </row>
    <row r="58" spans="4:22" x14ac:dyDescent="0.25">
      <c r="D58" s="8"/>
      <c r="G58" s="146"/>
      <c r="H58" s="147"/>
      <c r="I58" s="148"/>
      <c r="J58" s="148"/>
      <c r="K58" s="147"/>
      <c r="L58" s="115" t="s">
        <v>402</v>
      </c>
      <c r="M58" s="114">
        <f>M57</f>
        <v>63.269999999999996</v>
      </c>
      <c r="N58" s="114">
        <f>M58+N57</f>
        <v>105.44999999999999</v>
      </c>
      <c r="O58" s="114">
        <f>N58+O57</f>
        <v>126.53999999999999</v>
      </c>
      <c r="P58" s="114">
        <f>P57</f>
        <v>63.269999999999996</v>
      </c>
      <c r="Q58" s="114">
        <f>P58+Q57</f>
        <v>105.44999999999999</v>
      </c>
      <c r="R58" s="114">
        <f>Q58+R57</f>
        <v>126.53999999999999</v>
      </c>
      <c r="S58" s="114">
        <f>S57</f>
        <v>63.269999999999996</v>
      </c>
      <c r="T58" s="114">
        <f>S58+T57</f>
        <v>105.44999999999999</v>
      </c>
      <c r="U58" s="114">
        <f>T58+U57</f>
        <v>126.53999999999999</v>
      </c>
      <c r="V58" s="114">
        <f>V57</f>
        <v>63.269999999999996</v>
      </c>
    </row>
    <row r="59" spans="4:22" x14ac:dyDescent="0.25">
      <c r="D59" s="8"/>
      <c r="G59" s="146"/>
      <c r="H59" s="147"/>
      <c r="I59" s="148"/>
      <c r="J59" s="148"/>
      <c r="K59" s="147"/>
      <c r="L59" s="113" t="s">
        <v>403</v>
      </c>
      <c r="M59" s="114">
        <f t="shared" ref="M59:V59" si="26">($H57*M$14)-M58</f>
        <v>288.23</v>
      </c>
      <c r="N59" s="114">
        <f t="shared" si="26"/>
        <v>527.25</v>
      </c>
      <c r="O59" s="114">
        <f t="shared" si="26"/>
        <v>998.26</v>
      </c>
      <c r="P59" s="114">
        <f t="shared" si="26"/>
        <v>1413.03</v>
      </c>
      <c r="Q59" s="114">
        <f t="shared" si="26"/>
        <v>1581.7499999999998</v>
      </c>
      <c r="R59" s="114">
        <f t="shared" si="26"/>
        <v>1841.86</v>
      </c>
      <c r="S59" s="114">
        <f t="shared" si="26"/>
        <v>2397.23</v>
      </c>
      <c r="T59" s="114">
        <f t="shared" si="26"/>
        <v>2636.25</v>
      </c>
      <c r="U59" s="114">
        <f t="shared" si="26"/>
        <v>3036.96</v>
      </c>
      <c r="V59" s="114">
        <f t="shared" si="26"/>
        <v>3311.1299999999997</v>
      </c>
    </row>
    <row r="60" spans="4:22" ht="15.75" customHeight="1" x14ac:dyDescent="0.25">
      <c r="D60" s="10"/>
      <c r="G60" s="146" t="s">
        <v>412</v>
      </c>
      <c r="H60" s="147">
        <v>40</v>
      </c>
      <c r="I60" s="148">
        <f>0.1*H60</f>
        <v>4</v>
      </c>
      <c r="J60" s="148">
        <f>H60-I60</f>
        <v>36</v>
      </c>
      <c r="K60" s="147">
        <v>10</v>
      </c>
      <c r="L60" s="113" t="s">
        <v>401</v>
      </c>
      <c r="M60" s="114">
        <f t="shared" ref="M60:V60" si="27">($J60*M$24)*1</f>
        <v>6.5454545454545459</v>
      </c>
      <c r="N60" s="114">
        <f t="shared" si="27"/>
        <v>5.8909090909090907</v>
      </c>
      <c r="O60" s="114">
        <f t="shared" si="27"/>
        <v>5.2363636363636363</v>
      </c>
      <c r="P60" s="114">
        <f t="shared" si="27"/>
        <v>4.5818181818181811</v>
      </c>
      <c r="Q60" s="114">
        <f t="shared" si="27"/>
        <v>3.9272727272727272</v>
      </c>
      <c r="R60" s="114">
        <f t="shared" si="27"/>
        <v>3.2727272727272729</v>
      </c>
      <c r="S60" s="114">
        <f t="shared" si="27"/>
        <v>2.6181818181818182</v>
      </c>
      <c r="T60" s="114">
        <f t="shared" si="27"/>
        <v>1.9636363636363636</v>
      </c>
      <c r="U60" s="114">
        <f t="shared" si="27"/>
        <v>1.3090909090909091</v>
      </c>
      <c r="V60" s="114">
        <f t="shared" si="27"/>
        <v>0.65454545454545454</v>
      </c>
    </row>
    <row r="61" spans="4:22" x14ac:dyDescent="0.25">
      <c r="D61" s="10"/>
      <c r="G61" s="146"/>
      <c r="H61" s="147"/>
      <c r="I61" s="148"/>
      <c r="J61" s="148"/>
      <c r="K61" s="147"/>
      <c r="L61" s="115" t="s">
        <v>402</v>
      </c>
      <c r="M61" s="114">
        <f>M60</f>
        <v>6.5454545454545459</v>
      </c>
      <c r="N61" s="114">
        <f t="shared" ref="N61:V61" si="28">M61+N60</f>
        <v>12.436363636363637</v>
      </c>
      <c r="O61" s="114">
        <f t="shared" si="28"/>
        <v>17.672727272727272</v>
      </c>
      <c r="P61" s="114">
        <f t="shared" si="28"/>
        <v>22.254545454545454</v>
      </c>
      <c r="Q61" s="114">
        <f t="shared" si="28"/>
        <v>26.18181818181818</v>
      </c>
      <c r="R61" s="114">
        <f t="shared" si="28"/>
        <v>29.454545454545453</v>
      </c>
      <c r="S61" s="114">
        <f t="shared" si="28"/>
        <v>32.072727272727271</v>
      </c>
      <c r="T61" s="114">
        <f t="shared" si="28"/>
        <v>34.036363636363632</v>
      </c>
      <c r="U61" s="114">
        <f t="shared" si="28"/>
        <v>35.345454545454544</v>
      </c>
      <c r="V61" s="114">
        <f t="shared" si="28"/>
        <v>36</v>
      </c>
    </row>
    <row r="62" spans="4:22" x14ac:dyDescent="0.25">
      <c r="D62" s="10"/>
      <c r="G62" s="146"/>
      <c r="H62" s="147"/>
      <c r="I62" s="148"/>
      <c r="J62" s="148"/>
      <c r="K62" s="147"/>
      <c r="L62" s="113" t="s">
        <v>403</v>
      </c>
      <c r="M62" s="114">
        <f t="shared" ref="M62:V62" si="29">($H60*M$14)-M61</f>
        <v>193.45454545454547</v>
      </c>
      <c r="N62" s="114">
        <f t="shared" si="29"/>
        <v>347.56363636363636</v>
      </c>
      <c r="O62" s="114">
        <f t="shared" si="29"/>
        <v>622.32727272727277</v>
      </c>
      <c r="P62" s="114">
        <f t="shared" si="29"/>
        <v>817.74545454545455</v>
      </c>
      <c r="Q62" s="114">
        <f t="shared" si="29"/>
        <v>933.81818181818187</v>
      </c>
      <c r="R62" s="114">
        <f t="shared" si="29"/>
        <v>1090.5454545454545</v>
      </c>
      <c r="S62" s="114">
        <f t="shared" si="29"/>
        <v>1367.9272727272728</v>
      </c>
      <c r="T62" s="114">
        <f t="shared" si="29"/>
        <v>1525.9636363636364</v>
      </c>
      <c r="U62" s="114">
        <f t="shared" si="29"/>
        <v>1764.6545454545455</v>
      </c>
      <c r="V62" s="114">
        <f t="shared" si="29"/>
        <v>1884</v>
      </c>
    </row>
    <row r="63" spans="4:22" ht="15.75" customHeight="1" x14ac:dyDescent="0.25">
      <c r="D63" s="10"/>
      <c r="G63" s="146" t="s">
        <v>413</v>
      </c>
      <c r="H63" s="147">
        <v>34</v>
      </c>
      <c r="I63" s="148">
        <f>0.1*H63</f>
        <v>3.4000000000000004</v>
      </c>
      <c r="J63" s="148">
        <f>H63-I63</f>
        <v>30.6</v>
      </c>
      <c r="K63" s="147">
        <v>3</v>
      </c>
      <c r="L63" s="113" t="s">
        <v>401</v>
      </c>
      <c r="M63" s="114">
        <f t="shared" ref="M63:V63" si="30">($J63*M$23)*2</f>
        <v>30.6</v>
      </c>
      <c r="N63" s="114">
        <f t="shared" si="30"/>
        <v>20.399999999999999</v>
      </c>
      <c r="O63" s="114">
        <f t="shared" si="30"/>
        <v>10.199999999999999</v>
      </c>
      <c r="P63" s="114">
        <f t="shared" si="30"/>
        <v>30.6</v>
      </c>
      <c r="Q63" s="114">
        <f t="shared" si="30"/>
        <v>20.399999999999999</v>
      </c>
      <c r="R63" s="114">
        <f t="shared" si="30"/>
        <v>10.199999999999999</v>
      </c>
      <c r="S63" s="114">
        <f t="shared" si="30"/>
        <v>30.6</v>
      </c>
      <c r="T63" s="114">
        <f t="shared" si="30"/>
        <v>20.399999999999999</v>
      </c>
      <c r="U63" s="114">
        <f t="shared" si="30"/>
        <v>10.199999999999999</v>
      </c>
      <c r="V63" s="114">
        <f t="shared" si="30"/>
        <v>30.6</v>
      </c>
    </row>
    <row r="64" spans="4:22" x14ac:dyDescent="0.25">
      <c r="D64" s="10"/>
      <c r="G64" s="146"/>
      <c r="H64" s="147"/>
      <c r="I64" s="148"/>
      <c r="J64" s="148"/>
      <c r="K64" s="147"/>
      <c r="L64" s="115" t="s">
        <v>402</v>
      </c>
      <c r="M64" s="114">
        <f>M63</f>
        <v>30.6</v>
      </c>
      <c r="N64" s="114">
        <f>M64+N63</f>
        <v>51</v>
      </c>
      <c r="O64" s="114">
        <f>N64+O63</f>
        <v>61.2</v>
      </c>
      <c r="P64" s="114">
        <f>P63</f>
        <v>30.6</v>
      </c>
      <c r="Q64" s="114">
        <f>P64+Q63</f>
        <v>51</v>
      </c>
      <c r="R64" s="114">
        <f>Q64+R63</f>
        <v>61.2</v>
      </c>
      <c r="S64" s="114">
        <f>S63</f>
        <v>30.6</v>
      </c>
      <c r="T64" s="114">
        <f>S64+T63</f>
        <v>51</v>
      </c>
      <c r="U64" s="114">
        <f>T64+U63</f>
        <v>61.2</v>
      </c>
      <c r="V64" s="114">
        <f>V63</f>
        <v>30.6</v>
      </c>
    </row>
    <row r="65" spans="4:22" x14ac:dyDescent="0.25">
      <c r="D65" s="10"/>
      <c r="G65" s="146"/>
      <c r="H65" s="147"/>
      <c r="I65" s="148"/>
      <c r="J65" s="148"/>
      <c r="K65" s="147"/>
      <c r="L65" s="113" t="s">
        <v>403</v>
      </c>
      <c r="M65" s="114">
        <f t="shared" ref="M65:V65" si="31">($H63*M$14)-M64</f>
        <v>139.4</v>
      </c>
      <c r="N65" s="114">
        <f t="shared" si="31"/>
        <v>255</v>
      </c>
      <c r="O65" s="114">
        <f t="shared" si="31"/>
        <v>482.8</v>
      </c>
      <c r="P65" s="114">
        <f t="shared" si="31"/>
        <v>683.4</v>
      </c>
      <c r="Q65" s="114">
        <f t="shared" si="31"/>
        <v>765</v>
      </c>
      <c r="R65" s="114">
        <f t="shared" si="31"/>
        <v>890.8</v>
      </c>
      <c r="S65" s="114">
        <f t="shared" si="31"/>
        <v>1159.4000000000001</v>
      </c>
      <c r="T65" s="114">
        <f t="shared" si="31"/>
        <v>1275</v>
      </c>
      <c r="U65" s="114">
        <f t="shared" si="31"/>
        <v>1468.8</v>
      </c>
      <c r="V65" s="114">
        <f t="shared" si="31"/>
        <v>1601.4</v>
      </c>
    </row>
    <row r="66" spans="4:22" ht="15.75" customHeight="1" x14ac:dyDescent="0.25">
      <c r="D66" s="10"/>
      <c r="G66" s="146" t="s">
        <v>155</v>
      </c>
      <c r="H66" s="147">
        <v>960</v>
      </c>
      <c r="I66" s="148">
        <f>0.1*H66</f>
        <v>96</v>
      </c>
      <c r="J66" s="148">
        <f>H66-I66</f>
        <v>864</v>
      </c>
      <c r="K66" s="147">
        <v>3</v>
      </c>
      <c r="L66" s="113" t="s">
        <v>401</v>
      </c>
      <c r="M66" s="114">
        <f t="shared" ref="M66:V66" si="32">($J66*M$23)*2</f>
        <v>864</v>
      </c>
      <c r="N66" s="114">
        <f t="shared" si="32"/>
        <v>576</v>
      </c>
      <c r="O66" s="114">
        <f t="shared" si="32"/>
        <v>288</v>
      </c>
      <c r="P66" s="114">
        <f t="shared" si="32"/>
        <v>864</v>
      </c>
      <c r="Q66" s="114">
        <f t="shared" si="32"/>
        <v>576</v>
      </c>
      <c r="R66" s="114">
        <f t="shared" si="32"/>
        <v>288</v>
      </c>
      <c r="S66" s="114">
        <f t="shared" si="32"/>
        <v>864</v>
      </c>
      <c r="T66" s="114">
        <f t="shared" si="32"/>
        <v>576</v>
      </c>
      <c r="U66" s="114">
        <f t="shared" si="32"/>
        <v>288</v>
      </c>
      <c r="V66" s="114">
        <f t="shared" si="32"/>
        <v>864</v>
      </c>
    </row>
    <row r="67" spans="4:22" x14ac:dyDescent="0.25">
      <c r="D67" s="10"/>
      <c r="G67" s="146"/>
      <c r="H67" s="147"/>
      <c r="I67" s="148"/>
      <c r="J67" s="148"/>
      <c r="K67" s="147"/>
      <c r="L67" s="115" t="s">
        <v>402</v>
      </c>
      <c r="M67" s="114">
        <f>M66</f>
        <v>864</v>
      </c>
      <c r="N67" s="114">
        <f>M67+N66</f>
        <v>1440</v>
      </c>
      <c r="O67" s="114">
        <f>N67+O66</f>
        <v>1728</v>
      </c>
      <c r="P67" s="114">
        <f>P66</f>
        <v>864</v>
      </c>
      <c r="Q67" s="114">
        <f>P67+Q66</f>
        <v>1440</v>
      </c>
      <c r="R67" s="114">
        <f>Q67+R66</f>
        <v>1728</v>
      </c>
      <c r="S67" s="114">
        <f>S66</f>
        <v>864</v>
      </c>
      <c r="T67" s="114">
        <f>S67+T66</f>
        <v>1440</v>
      </c>
      <c r="U67" s="114">
        <f>T67+U66</f>
        <v>1728</v>
      </c>
      <c r="V67" s="114">
        <f>V66</f>
        <v>864</v>
      </c>
    </row>
    <row r="68" spans="4:22" x14ac:dyDescent="0.25">
      <c r="D68" s="10"/>
      <c r="G68" s="146"/>
      <c r="H68" s="147"/>
      <c r="I68" s="148"/>
      <c r="J68" s="148"/>
      <c r="K68" s="147"/>
      <c r="L68" s="113" t="s">
        <v>403</v>
      </c>
      <c r="M68" s="114">
        <f t="shared" ref="M68:V68" si="33">($H66*M$14)-M67</f>
        <v>3936</v>
      </c>
      <c r="N68" s="114">
        <f t="shared" si="33"/>
        <v>7200</v>
      </c>
      <c r="O68" s="114">
        <f t="shared" si="33"/>
        <v>13632</v>
      </c>
      <c r="P68" s="114">
        <f t="shared" si="33"/>
        <v>19296</v>
      </c>
      <c r="Q68" s="114">
        <f t="shared" si="33"/>
        <v>21600</v>
      </c>
      <c r="R68" s="114">
        <f t="shared" si="33"/>
        <v>25152</v>
      </c>
      <c r="S68" s="114">
        <f t="shared" si="33"/>
        <v>32736</v>
      </c>
      <c r="T68" s="114">
        <f t="shared" si="33"/>
        <v>36000</v>
      </c>
      <c r="U68" s="114">
        <f t="shared" si="33"/>
        <v>41472</v>
      </c>
      <c r="V68" s="114">
        <f t="shared" si="33"/>
        <v>45216</v>
      </c>
    </row>
    <row r="69" spans="4:22" ht="15.75" customHeight="1" x14ac:dyDescent="0.25">
      <c r="D69" s="117"/>
      <c r="G69" s="146" t="s">
        <v>290</v>
      </c>
      <c r="H69" s="147">
        <f>SUM(H27:H66)</f>
        <v>3440.78</v>
      </c>
      <c r="I69" s="148">
        <f>SUM(I66)</f>
        <v>96</v>
      </c>
      <c r="J69" s="148">
        <f>SUM(H69:I69)</f>
        <v>3536.78</v>
      </c>
      <c r="K69" s="147"/>
      <c r="L69" s="54" t="s">
        <v>414</v>
      </c>
      <c r="M69" s="114">
        <f t="shared" ref="M69:V69" si="34">M27+M30+M33+M36+M39+M42+M45+M48+M51+M54+M57+M60+M63+M66</f>
        <v>2835.7343181818178</v>
      </c>
      <c r="N69" s="114">
        <f t="shared" si="34"/>
        <v>2823.5709818181822</v>
      </c>
      <c r="O69" s="114">
        <f t="shared" si="34"/>
        <v>3172.6880999999998</v>
      </c>
      <c r="P69" s="114">
        <f t="shared" si="34"/>
        <v>5024.7189000000008</v>
      </c>
      <c r="Q69" s="114">
        <f t="shared" si="34"/>
        <v>3599.4001090909092</v>
      </c>
      <c r="R69" s="114">
        <f t="shared" si="34"/>
        <v>2311.8058636363635</v>
      </c>
      <c r="S69" s="114">
        <f t="shared" si="34"/>
        <v>4984.1825727272726</v>
      </c>
      <c r="T69" s="114">
        <f t="shared" si="34"/>
        <v>4045.8783272727273</v>
      </c>
      <c r="U69" s="114">
        <f t="shared" si="34"/>
        <v>3448.8908999999999</v>
      </c>
      <c r="V69" s="114">
        <f t="shared" si="34"/>
        <v>4460.5998818181815</v>
      </c>
    </row>
    <row r="70" spans="4:22" ht="25.5" x14ac:dyDescent="0.25">
      <c r="G70" s="146"/>
      <c r="H70" s="147"/>
      <c r="I70" s="148"/>
      <c r="J70" s="148"/>
      <c r="K70" s="147"/>
      <c r="L70" s="118" t="s">
        <v>415</v>
      </c>
      <c r="M70" s="114">
        <f t="shared" ref="M70:V70" si="35">M28+M31+M34+M37+M40+M43+M46+M49+M52+M55+M58+M61+M64+M67</f>
        <v>2835.7343181818178</v>
      </c>
      <c r="N70" s="114">
        <f t="shared" si="35"/>
        <v>5659.3053</v>
      </c>
      <c r="O70" s="114">
        <f t="shared" si="35"/>
        <v>8831.9933999999994</v>
      </c>
      <c r="P70" s="114">
        <f t="shared" si="35"/>
        <v>6597.4563000000007</v>
      </c>
      <c r="Q70" s="114">
        <f t="shared" si="35"/>
        <v>10196.856409090909</v>
      </c>
      <c r="R70" s="114">
        <f t="shared" si="35"/>
        <v>12508.662272727275</v>
      </c>
      <c r="S70" s="114">
        <f t="shared" si="35"/>
        <v>8377.3388454545457</v>
      </c>
      <c r="T70" s="114">
        <f t="shared" si="35"/>
        <v>12423.217172727273</v>
      </c>
      <c r="U70" s="114">
        <f t="shared" si="35"/>
        <v>15872.108072727278</v>
      </c>
      <c r="V70" s="114">
        <f t="shared" si="35"/>
        <v>9732.201954545455</v>
      </c>
    </row>
    <row r="71" spans="4:22" x14ac:dyDescent="0.25">
      <c r="G71" s="146"/>
      <c r="H71" s="147"/>
      <c r="I71" s="148"/>
      <c r="J71" s="148"/>
      <c r="K71" s="147"/>
      <c r="L71" s="54" t="s">
        <v>403</v>
      </c>
      <c r="M71" s="114">
        <f t="shared" ref="M71:V71" si="36">M29+M32+M35+M38+M41+M44+M47+M50+M53+M56+M59+M62+M65+M68</f>
        <v>14368.165681818182</v>
      </c>
      <c r="N71" s="114">
        <f t="shared" si="36"/>
        <v>25307.7147</v>
      </c>
      <c r="O71" s="114">
        <f t="shared" si="36"/>
        <v>46220.486599999989</v>
      </c>
      <c r="P71" s="114">
        <f t="shared" si="36"/>
        <v>65658.923699999999</v>
      </c>
      <c r="Q71" s="114">
        <f t="shared" si="36"/>
        <v>72381.863590909095</v>
      </c>
      <c r="R71" s="114">
        <f t="shared" si="36"/>
        <v>83833.177727272734</v>
      </c>
      <c r="S71" s="114">
        <f t="shared" si="36"/>
        <v>112049.96115454545</v>
      </c>
      <c r="T71" s="114">
        <f t="shared" si="36"/>
        <v>121767.20282727273</v>
      </c>
      <c r="U71" s="114">
        <f t="shared" si="36"/>
        <v>138962.99192727273</v>
      </c>
      <c r="V71" s="114">
        <f t="shared" si="36"/>
        <v>155425.23804545455</v>
      </c>
    </row>
    <row r="72" spans="4:22" x14ac:dyDescent="0.25">
      <c r="L72" s="113"/>
      <c r="M72" s="114"/>
      <c r="N72" s="114"/>
      <c r="O72" s="114"/>
      <c r="P72" s="114"/>
      <c r="Q72" s="114"/>
      <c r="R72" s="114"/>
      <c r="S72" s="114"/>
      <c r="T72" s="114"/>
      <c r="U72" s="114"/>
      <c r="V72" s="114"/>
    </row>
    <row r="102" spans="40:51" x14ac:dyDescent="0.25">
      <c r="AO102" s="15" t="s">
        <v>416</v>
      </c>
      <c r="AP102" s="15">
        <v>2014</v>
      </c>
      <c r="AQ102" s="15">
        <v>2015</v>
      </c>
      <c r="AR102" s="15">
        <v>2016</v>
      </c>
      <c r="AS102" s="15">
        <v>2017</v>
      </c>
      <c r="AT102" s="15">
        <v>2018</v>
      </c>
      <c r="AU102" s="15">
        <v>2019</v>
      </c>
      <c r="AV102" s="15">
        <v>2020</v>
      </c>
      <c r="AW102" s="15">
        <v>2021</v>
      </c>
      <c r="AX102" s="15">
        <v>2022</v>
      </c>
      <c r="AY102" s="15">
        <v>2023</v>
      </c>
    </row>
    <row r="103" spans="40:51" ht="15.75" customHeight="1" x14ac:dyDescent="0.25">
      <c r="AN103" s="149" t="s">
        <v>394</v>
      </c>
      <c r="AO103" s="24" t="s">
        <v>417</v>
      </c>
      <c r="AP103" s="40">
        <v>1</v>
      </c>
      <c r="AQ103" s="40">
        <v>2</v>
      </c>
      <c r="AR103" s="40">
        <v>3</v>
      </c>
      <c r="AS103" s="40">
        <v>1</v>
      </c>
      <c r="AT103" s="40">
        <v>2</v>
      </c>
      <c r="AU103" s="40">
        <v>3</v>
      </c>
      <c r="AV103" s="40">
        <v>1</v>
      </c>
      <c r="AW103" s="40">
        <v>2</v>
      </c>
      <c r="AX103" s="40">
        <v>3</v>
      </c>
      <c r="AY103" s="40">
        <v>1</v>
      </c>
    </row>
    <row r="104" spans="40:51" x14ac:dyDescent="0.25">
      <c r="AN104" s="149"/>
      <c r="AO104" s="24" t="s">
        <v>418</v>
      </c>
      <c r="AP104" s="40">
        <v>1</v>
      </c>
      <c r="AQ104" s="40">
        <v>2</v>
      </c>
      <c r="AR104" s="40">
        <v>3</v>
      </c>
      <c r="AS104" s="40">
        <v>4</v>
      </c>
      <c r="AT104" s="40">
        <v>5</v>
      </c>
      <c r="AU104" s="40">
        <v>6</v>
      </c>
      <c r="AV104" s="40">
        <v>7</v>
      </c>
      <c r="AW104" s="40">
        <v>8</v>
      </c>
      <c r="AX104" s="40">
        <v>9</v>
      </c>
      <c r="AY104" s="40">
        <v>10</v>
      </c>
    </row>
    <row r="105" spans="40:51" ht="22.5" x14ac:dyDescent="0.25">
      <c r="AN105" s="149"/>
      <c r="AO105" s="24" t="s">
        <v>419</v>
      </c>
      <c r="AP105" s="40">
        <v>3</v>
      </c>
      <c r="AQ105" s="40">
        <v>2</v>
      </c>
      <c r="AR105" s="40">
        <v>1</v>
      </c>
      <c r="AS105" s="40">
        <v>3</v>
      </c>
      <c r="AT105" s="40">
        <v>2</v>
      </c>
      <c r="AU105" s="40">
        <v>1</v>
      </c>
      <c r="AV105" s="40">
        <v>3</v>
      </c>
      <c r="AW105" s="40">
        <v>2</v>
      </c>
      <c r="AX105" s="40">
        <v>1</v>
      </c>
      <c r="AY105" s="40">
        <v>3</v>
      </c>
    </row>
    <row r="106" spans="40:51" ht="22.5" x14ac:dyDescent="0.25">
      <c r="AN106" s="149"/>
      <c r="AO106" s="24" t="s">
        <v>420</v>
      </c>
      <c r="AP106" s="40">
        <v>10</v>
      </c>
      <c r="AQ106" s="40">
        <v>9</v>
      </c>
      <c r="AR106" s="40">
        <v>8</v>
      </c>
      <c r="AS106" s="40">
        <v>7</v>
      </c>
      <c r="AT106" s="40">
        <v>6</v>
      </c>
      <c r="AU106" s="40">
        <v>5</v>
      </c>
      <c r="AV106" s="40">
        <v>4</v>
      </c>
      <c r="AW106" s="40">
        <v>3</v>
      </c>
      <c r="AX106" s="40">
        <v>2</v>
      </c>
      <c r="AY106" s="40">
        <v>1</v>
      </c>
    </row>
    <row r="107" spans="40:51" x14ac:dyDescent="0.25">
      <c r="AN107" s="149"/>
      <c r="AO107" s="24" t="s">
        <v>421</v>
      </c>
      <c r="AP107" s="40">
        <f t="shared" ref="AP107:AY107" si="37">1+2+3</f>
        <v>6</v>
      </c>
      <c r="AQ107" s="40">
        <f t="shared" si="37"/>
        <v>6</v>
      </c>
      <c r="AR107" s="40">
        <f t="shared" si="37"/>
        <v>6</v>
      </c>
      <c r="AS107" s="40">
        <f t="shared" si="37"/>
        <v>6</v>
      </c>
      <c r="AT107" s="40">
        <f t="shared" si="37"/>
        <v>6</v>
      </c>
      <c r="AU107" s="40">
        <f t="shared" si="37"/>
        <v>6</v>
      </c>
      <c r="AV107" s="40">
        <f t="shared" si="37"/>
        <v>6</v>
      </c>
      <c r="AW107" s="40">
        <f t="shared" si="37"/>
        <v>6</v>
      </c>
      <c r="AX107" s="40">
        <f t="shared" si="37"/>
        <v>6</v>
      </c>
      <c r="AY107" s="40">
        <f t="shared" si="37"/>
        <v>6</v>
      </c>
    </row>
    <row r="108" spans="40:51" x14ac:dyDescent="0.25">
      <c r="AN108" s="149"/>
      <c r="AO108" s="24" t="s">
        <v>422</v>
      </c>
      <c r="AP108" s="40">
        <f t="shared" ref="AP108:AY108" si="38">1+2+3+4+5+6+7+8+9+10</f>
        <v>55</v>
      </c>
      <c r="AQ108" s="40">
        <f t="shared" si="38"/>
        <v>55</v>
      </c>
      <c r="AR108" s="40">
        <f t="shared" si="38"/>
        <v>55</v>
      </c>
      <c r="AS108" s="40">
        <f t="shared" si="38"/>
        <v>55</v>
      </c>
      <c r="AT108" s="40">
        <f t="shared" si="38"/>
        <v>55</v>
      </c>
      <c r="AU108" s="40">
        <f t="shared" si="38"/>
        <v>55</v>
      </c>
      <c r="AV108" s="40">
        <f t="shared" si="38"/>
        <v>55</v>
      </c>
      <c r="AW108" s="40">
        <f t="shared" si="38"/>
        <v>55</v>
      </c>
      <c r="AX108" s="40">
        <f t="shared" si="38"/>
        <v>55</v>
      </c>
      <c r="AY108" s="40">
        <f t="shared" si="38"/>
        <v>55</v>
      </c>
    </row>
    <row r="109" spans="40:51" ht="22.5" x14ac:dyDescent="0.25">
      <c r="AN109" s="149"/>
      <c r="AO109" s="24" t="s">
        <v>423</v>
      </c>
      <c r="AP109" s="104">
        <f t="shared" ref="AP109:AY109" si="39">AP105/AP107</f>
        <v>0.5</v>
      </c>
      <c r="AQ109" s="104">
        <f t="shared" si="39"/>
        <v>0.33333333333333331</v>
      </c>
      <c r="AR109" s="104">
        <f t="shared" si="39"/>
        <v>0.16666666666666666</v>
      </c>
      <c r="AS109" s="104">
        <f t="shared" si="39"/>
        <v>0.5</v>
      </c>
      <c r="AT109" s="104">
        <f t="shared" si="39"/>
        <v>0.33333333333333331</v>
      </c>
      <c r="AU109" s="104">
        <f t="shared" si="39"/>
        <v>0.16666666666666666</v>
      </c>
      <c r="AV109" s="104">
        <f t="shared" si="39"/>
        <v>0.5</v>
      </c>
      <c r="AW109" s="104">
        <f t="shared" si="39"/>
        <v>0.33333333333333331</v>
      </c>
      <c r="AX109" s="104">
        <f t="shared" si="39"/>
        <v>0.16666666666666666</v>
      </c>
      <c r="AY109" s="104">
        <f t="shared" si="39"/>
        <v>0.5</v>
      </c>
    </row>
    <row r="110" spans="40:51" ht="22.5" x14ac:dyDescent="0.25">
      <c r="AN110" s="149"/>
      <c r="AO110" s="24" t="s">
        <v>424</v>
      </c>
      <c r="AP110" s="104">
        <f t="shared" ref="AP110:AY110" si="40">AP106/AP108</f>
        <v>0.18181818181818182</v>
      </c>
      <c r="AQ110" s="104">
        <f t="shared" si="40"/>
        <v>0.16363636363636364</v>
      </c>
      <c r="AR110" s="104">
        <f t="shared" si="40"/>
        <v>0.14545454545454545</v>
      </c>
      <c r="AS110" s="104">
        <f t="shared" si="40"/>
        <v>0.12727272727272726</v>
      </c>
      <c r="AT110" s="104">
        <f t="shared" si="40"/>
        <v>0.10909090909090909</v>
      </c>
      <c r="AU110" s="104">
        <f t="shared" si="40"/>
        <v>9.0909090909090912E-2</v>
      </c>
      <c r="AV110" s="104">
        <f t="shared" si="40"/>
        <v>7.2727272727272724E-2</v>
      </c>
      <c r="AW110" s="104">
        <f t="shared" si="40"/>
        <v>5.4545454545454543E-2</v>
      </c>
      <c r="AX110" s="104">
        <f t="shared" si="40"/>
        <v>3.6363636363636362E-2</v>
      </c>
      <c r="AY110" s="104">
        <f t="shared" si="40"/>
        <v>1.8181818181818181E-2</v>
      </c>
    </row>
  </sheetData>
  <mergeCells count="77">
    <mergeCell ref="AN103:AN110"/>
    <mergeCell ref="G69:G71"/>
    <mergeCell ref="H69:H71"/>
    <mergeCell ref="I69:I71"/>
    <mergeCell ref="J69:J71"/>
    <mergeCell ref="K69:K71"/>
    <mergeCell ref="G66:G68"/>
    <mergeCell ref="H66:H68"/>
    <mergeCell ref="I66:I68"/>
    <mergeCell ref="J66:J68"/>
    <mergeCell ref="K66:K68"/>
    <mergeCell ref="G63:G65"/>
    <mergeCell ref="H63:H65"/>
    <mergeCell ref="I63:I65"/>
    <mergeCell ref="J63:J65"/>
    <mergeCell ref="K63:K65"/>
    <mergeCell ref="G60:G62"/>
    <mergeCell ref="H60:H62"/>
    <mergeCell ref="I60:I62"/>
    <mergeCell ref="J60:J62"/>
    <mergeCell ref="K60:K62"/>
    <mergeCell ref="G57:G59"/>
    <mergeCell ref="H57:H59"/>
    <mergeCell ref="I57:I59"/>
    <mergeCell ref="J57:J59"/>
    <mergeCell ref="K57:K59"/>
    <mergeCell ref="G54:G56"/>
    <mergeCell ref="H54:H56"/>
    <mergeCell ref="I54:I56"/>
    <mergeCell ref="J54:J56"/>
    <mergeCell ref="K54:K56"/>
    <mergeCell ref="G51:G53"/>
    <mergeCell ref="H51:H53"/>
    <mergeCell ref="I51:I53"/>
    <mergeCell ref="J51:J53"/>
    <mergeCell ref="K51:K53"/>
    <mergeCell ref="G48:G50"/>
    <mergeCell ref="H48:H50"/>
    <mergeCell ref="I48:I50"/>
    <mergeCell ref="J48:J50"/>
    <mergeCell ref="K48:K50"/>
    <mergeCell ref="G45:G47"/>
    <mergeCell ref="H45:H47"/>
    <mergeCell ref="I45:I47"/>
    <mergeCell ref="J45:J47"/>
    <mergeCell ref="K45:K47"/>
    <mergeCell ref="G42:G44"/>
    <mergeCell ref="H42:H44"/>
    <mergeCell ref="I42:I44"/>
    <mergeCell ref="J42:J44"/>
    <mergeCell ref="K42:K44"/>
    <mergeCell ref="G39:G41"/>
    <mergeCell ref="H39:H41"/>
    <mergeCell ref="I39:I41"/>
    <mergeCell ref="J39:J41"/>
    <mergeCell ref="K39:K41"/>
    <mergeCell ref="G36:G38"/>
    <mergeCell ref="H36:H38"/>
    <mergeCell ref="I36:I38"/>
    <mergeCell ref="J36:J38"/>
    <mergeCell ref="K36:K38"/>
    <mergeCell ref="G33:G35"/>
    <mergeCell ref="H33:H35"/>
    <mergeCell ref="I33:I35"/>
    <mergeCell ref="J33:J35"/>
    <mergeCell ref="K33:K35"/>
    <mergeCell ref="K27:K29"/>
    <mergeCell ref="G30:G32"/>
    <mergeCell ref="H30:H32"/>
    <mergeCell ref="I30:I32"/>
    <mergeCell ref="J30:J32"/>
    <mergeCell ref="K30:K32"/>
    <mergeCell ref="J17:J24"/>
    <mergeCell ref="G27:G29"/>
    <mergeCell ref="H27:H29"/>
    <mergeCell ref="I27:I29"/>
    <mergeCell ref="J27:J2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F5:G21"/>
  <sheetViews>
    <sheetView zoomScaleNormal="100" workbookViewId="0">
      <selection activeCell="F16" sqref="F16"/>
    </sheetView>
  </sheetViews>
  <sheetFormatPr baseColWidth="10" defaultColWidth="9.140625" defaultRowHeight="15" x14ac:dyDescent="0.25"/>
  <cols>
    <col min="1" max="5" width="11.42578125"/>
    <col min="6" max="6" width="28.28515625"/>
    <col min="7" max="7" width="22.85546875"/>
    <col min="8" max="1025" width="11.42578125"/>
  </cols>
  <sheetData>
    <row r="5" spans="6:7" ht="15.75" x14ac:dyDescent="0.25">
      <c r="F5" s="120" t="s">
        <v>425</v>
      </c>
      <c r="G5" s="120"/>
    </row>
    <row r="6" spans="6:7" x14ac:dyDescent="0.25">
      <c r="F6" s="24"/>
      <c r="G6" s="58"/>
    </row>
    <row r="7" spans="6:7" x14ac:dyDescent="0.25">
      <c r="F7" s="24" t="s">
        <v>426</v>
      </c>
      <c r="G7" s="58" t="s">
        <v>427</v>
      </c>
    </row>
    <row r="8" spans="6:7" x14ac:dyDescent="0.25">
      <c r="F8" s="24" t="s">
        <v>428</v>
      </c>
      <c r="G8" s="58" t="s">
        <v>429</v>
      </c>
    </row>
    <row r="9" spans="6:7" ht="22.5" x14ac:dyDescent="0.25">
      <c r="F9" s="24" t="s">
        <v>430</v>
      </c>
      <c r="G9" s="58">
        <v>11215</v>
      </c>
    </row>
    <row r="10" spans="6:7" ht="15.75" x14ac:dyDescent="0.25">
      <c r="F10" s="120" t="s">
        <v>431</v>
      </c>
      <c r="G10" s="120"/>
    </row>
    <row r="11" spans="6:7" x14ac:dyDescent="0.25">
      <c r="F11" s="24"/>
      <c r="G11" s="58"/>
    </row>
    <row r="12" spans="6:7" x14ac:dyDescent="0.25">
      <c r="F12" s="24" t="s">
        <v>432</v>
      </c>
      <c r="G12" s="58" t="s">
        <v>433</v>
      </c>
    </row>
    <row r="13" spans="6:7" ht="60" customHeight="1" x14ac:dyDescent="0.25">
      <c r="F13" s="24" t="s">
        <v>434</v>
      </c>
      <c r="G13" s="58" t="s">
        <v>435</v>
      </c>
    </row>
    <row r="14" spans="6:7" ht="45" x14ac:dyDescent="0.25">
      <c r="F14" s="24"/>
      <c r="G14" s="58" t="s">
        <v>436</v>
      </c>
    </row>
    <row r="15" spans="6:7" x14ac:dyDescent="0.25">
      <c r="F15" s="24" t="s">
        <v>437</v>
      </c>
      <c r="G15" s="58" t="s">
        <v>438</v>
      </c>
    </row>
    <row r="16" spans="6:7" x14ac:dyDescent="0.25">
      <c r="F16" s="24" t="s">
        <v>439</v>
      </c>
      <c r="G16" s="58" t="s">
        <v>440</v>
      </c>
    </row>
    <row r="17" spans="6:7" x14ac:dyDescent="0.25">
      <c r="F17" s="24" t="s">
        <v>441</v>
      </c>
      <c r="G17" s="58"/>
    </row>
    <row r="18" spans="6:7" x14ac:dyDescent="0.25">
      <c r="F18" s="24"/>
      <c r="G18" s="58"/>
    </row>
    <row r="19" spans="6:7" ht="15.75" x14ac:dyDescent="0.25">
      <c r="F19" s="120" t="s">
        <v>442</v>
      </c>
      <c r="G19" s="120"/>
    </row>
    <row r="20" spans="6:7" x14ac:dyDescent="0.25">
      <c r="F20" s="24"/>
      <c r="G20" s="58"/>
    </row>
    <row r="21" spans="6:7" x14ac:dyDescent="0.25">
      <c r="F21" s="24" t="s">
        <v>443</v>
      </c>
      <c r="G21" s="58" t="s">
        <v>444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F11:G18"/>
  <sheetViews>
    <sheetView zoomScaleNormal="100" workbookViewId="0">
      <selection activeCell="G12" sqref="G12:G14"/>
    </sheetView>
  </sheetViews>
  <sheetFormatPr baseColWidth="10" defaultColWidth="9.140625" defaultRowHeight="15" x14ac:dyDescent="0.25"/>
  <cols>
    <col min="1" max="5" width="11.42578125"/>
    <col min="6" max="6" width="24.7109375"/>
    <col min="7" max="7" width="35.140625"/>
    <col min="8" max="1025" width="11.42578125"/>
  </cols>
  <sheetData>
    <row r="11" spans="6:7" x14ac:dyDescent="0.25">
      <c r="F11" s="86" t="str">
        <f>'gastos totales'!AK95</f>
        <v>Productos</v>
      </c>
      <c r="G11" s="86" t="str">
        <f>'gastos totales'!AL95</f>
        <v>Beneficios Adicionales(aistencia 24/7)</v>
      </c>
    </row>
    <row r="12" spans="6:7" x14ac:dyDescent="0.25">
      <c r="F12" s="119" t="str">
        <f>'gastos totales'!AK96</f>
        <v>Plan Personal</v>
      </c>
      <c r="G12" s="25">
        <f>'gastos totales'!AL96</f>
        <v>129.18528000000001</v>
      </c>
    </row>
    <row r="13" spans="6:7" x14ac:dyDescent="0.25">
      <c r="F13" s="119" t="str">
        <f>'gastos totales'!AK97</f>
        <v>Plan Empresarial - Económico</v>
      </c>
      <c r="G13" s="25">
        <f>'gastos totales'!AL97</f>
        <v>290.66687999999999</v>
      </c>
    </row>
    <row r="14" spans="6:7" x14ac:dyDescent="0.25">
      <c r="F14" s="119" t="str">
        <f>'gastos totales'!AK98</f>
        <v>Plan Empresarial - Estándar</v>
      </c>
      <c r="G14" s="25">
        <f>'gastos totales'!AL98</f>
        <v>274.51872000000003</v>
      </c>
    </row>
    <row r="15" spans="6:7" x14ac:dyDescent="0.25">
      <c r="F15" s="119" t="str">
        <f>'gastos totales'!AK99</f>
        <v>Plan Empresarial - Premium</v>
      </c>
      <c r="G15" s="25">
        <f>'gastos totales'!AL99</f>
        <v>274.51872000000003</v>
      </c>
    </row>
    <row r="16" spans="6:7" x14ac:dyDescent="0.25">
      <c r="F16" s="119" t="str">
        <f>'gastos totales'!AK100</f>
        <v>Plan Empresarial - Ropa y tecnologia</v>
      </c>
      <c r="G16" s="25">
        <f>'gastos totales'!AL100</f>
        <v>274.51872000000003</v>
      </c>
    </row>
    <row r="17" spans="6:7" x14ac:dyDescent="0.25">
      <c r="F17" s="119" t="str">
        <f>'gastos totales'!AK101</f>
        <v>Planes  a la medida</v>
      </c>
      <c r="G17" s="25">
        <f>'gastos totales'!AL101</f>
        <v>371.40768000000003</v>
      </c>
    </row>
    <row r="18" spans="6:7" x14ac:dyDescent="0.25">
      <c r="F18" s="119" t="str">
        <f>'gastos totales'!AK102</f>
        <v>Servicio de redes de datos</v>
      </c>
      <c r="G18" s="25">
        <f>'gastos totales'!AL102</f>
        <v>2950.0800000000004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E8:J50"/>
  <sheetViews>
    <sheetView topLeftCell="C21" zoomScaleNormal="100" workbookViewId="0">
      <selection activeCell="H28" sqref="H28:H30"/>
    </sheetView>
  </sheetViews>
  <sheetFormatPr baseColWidth="10" defaultColWidth="9.140625" defaultRowHeight="15" x14ac:dyDescent="0.25"/>
  <cols>
    <col min="1" max="4" width="11.42578125"/>
    <col min="5" max="5" width="18.85546875"/>
    <col min="6" max="6" width="18.42578125"/>
    <col min="7" max="7" width="29"/>
    <col min="8" max="8" width="10.7109375" bestFit="1" customWidth="1"/>
    <col min="9" max="9" width="29.85546875"/>
    <col min="10" max="10" width="24.140625"/>
    <col min="11" max="1025" width="11.42578125"/>
  </cols>
  <sheetData>
    <row r="8" spans="5:10" ht="15.75" thickBot="1" x14ac:dyDescent="0.3"/>
    <row r="9" spans="5:10" ht="15.75" thickBot="1" x14ac:dyDescent="0.3">
      <c r="E9" s="86" t="s">
        <v>445</v>
      </c>
      <c r="F9" s="86" t="s">
        <v>502</v>
      </c>
      <c r="G9" s="86" t="s">
        <v>285</v>
      </c>
      <c r="H9" s="86" t="s">
        <v>446</v>
      </c>
      <c r="I9" s="121"/>
      <c r="J9" s="121"/>
    </row>
    <row r="10" spans="5:10" ht="15.75" customHeight="1" thickBot="1" x14ac:dyDescent="0.3">
      <c r="E10" s="150" t="s">
        <v>447</v>
      </c>
      <c r="F10" s="150" t="s">
        <v>448</v>
      </c>
      <c r="G10" s="125" t="s">
        <v>449</v>
      </c>
      <c r="H10" s="150" t="s">
        <v>501</v>
      </c>
      <c r="I10" s="153"/>
    </row>
    <row r="11" spans="5:10" ht="15.75" thickBot="1" x14ac:dyDescent="0.3">
      <c r="E11" s="151"/>
      <c r="F11" s="151"/>
      <c r="G11" s="125" t="s">
        <v>450</v>
      </c>
      <c r="H11" s="151"/>
      <c r="I11" s="153"/>
    </row>
    <row r="12" spans="5:10" ht="15.75" thickBot="1" x14ac:dyDescent="0.3">
      <c r="E12" s="151"/>
      <c r="F12" s="151"/>
      <c r="G12" s="125" t="s">
        <v>451</v>
      </c>
      <c r="H12" s="151"/>
      <c r="I12" s="153"/>
    </row>
    <row r="13" spans="5:10" ht="15.75" thickBot="1" x14ac:dyDescent="0.3">
      <c r="E13" s="152"/>
      <c r="F13" s="152"/>
      <c r="G13" s="125" t="s">
        <v>452</v>
      </c>
      <c r="H13" s="152"/>
      <c r="I13" s="153"/>
    </row>
    <row r="14" spans="5:10" ht="13.9" customHeight="1" thickBot="1" x14ac:dyDescent="0.3">
      <c r="E14" s="150" t="s">
        <v>453</v>
      </c>
      <c r="F14" s="150" t="s">
        <v>454</v>
      </c>
      <c r="G14" s="125" t="s">
        <v>455</v>
      </c>
      <c r="H14" s="150" t="s">
        <v>501</v>
      </c>
      <c r="I14" s="153"/>
    </row>
    <row r="15" spans="5:10" ht="15.75" thickBot="1" x14ac:dyDescent="0.3">
      <c r="E15" s="151"/>
      <c r="F15" s="151"/>
      <c r="G15" s="125" t="s">
        <v>456</v>
      </c>
      <c r="H15" s="151"/>
      <c r="I15" s="153"/>
    </row>
    <row r="16" spans="5:10" ht="15.75" thickBot="1" x14ac:dyDescent="0.3">
      <c r="E16" s="152"/>
      <c r="F16" s="152"/>
      <c r="G16" s="125" t="s">
        <v>457</v>
      </c>
      <c r="H16" s="152"/>
      <c r="I16" s="153"/>
    </row>
    <row r="17" spans="5:10" ht="15.75" customHeight="1" thickBot="1" x14ac:dyDescent="0.3">
      <c r="E17" s="150" t="s">
        <v>458</v>
      </c>
      <c r="F17" s="150" t="s">
        <v>454</v>
      </c>
      <c r="G17" s="125" t="s">
        <v>456</v>
      </c>
      <c r="H17" s="150">
        <v>700</v>
      </c>
      <c r="I17" s="153"/>
    </row>
    <row r="18" spans="5:10" ht="15.75" thickBot="1" x14ac:dyDescent="0.3">
      <c r="E18" s="151"/>
      <c r="F18" s="151"/>
      <c r="G18" s="125" t="s">
        <v>459</v>
      </c>
      <c r="H18" s="151"/>
      <c r="I18" s="153"/>
    </row>
    <row r="19" spans="5:10" ht="15.75" thickBot="1" x14ac:dyDescent="0.3">
      <c r="E19" s="151"/>
      <c r="F19" s="151"/>
      <c r="G19" s="125" t="s">
        <v>455</v>
      </c>
      <c r="H19" s="151"/>
      <c r="I19" s="153"/>
    </row>
    <row r="20" spans="5:10" ht="15.75" thickBot="1" x14ac:dyDescent="0.3">
      <c r="E20" s="152"/>
      <c r="F20" s="152"/>
      <c r="G20" s="125" t="s">
        <v>460</v>
      </c>
      <c r="H20" s="152"/>
      <c r="I20" s="153"/>
    </row>
    <row r="21" spans="5:10" ht="15.75" customHeight="1" thickBot="1" x14ac:dyDescent="0.3">
      <c r="E21" s="150" t="s">
        <v>461</v>
      </c>
      <c r="F21" s="150" t="s">
        <v>454</v>
      </c>
      <c r="G21" s="125" t="s">
        <v>451</v>
      </c>
      <c r="H21" s="150">
        <v>699</v>
      </c>
      <c r="I21" s="153"/>
    </row>
    <row r="22" spans="5:10" ht="15.75" thickBot="1" x14ac:dyDescent="0.3">
      <c r="E22" s="151"/>
      <c r="F22" s="151"/>
      <c r="G22" s="125" t="s">
        <v>462</v>
      </c>
      <c r="H22" s="151"/>
      <c r="I22" s="153"/>
    </row>
    <row r="23" spans="5:10" ht="15.75" thickBot="1" x14ac:dyDescent="0.3">
      <c r="E23" s="151"/>
      <c r="F23" s="151"/>
      <c r="G23" s="125" t="s">
        <v>463</v>
      </c>
      <c r="H23" s="151"/>
      <c r="I23" s="153"/>
    </row>
    <row r="24" spans="5:10" ht="15.75" thickBot="1" x14ac:dyDescent="0.3">
      <c r="E24" s="152"/>
      <c r="F24" s="152"/>
      <c r="G24" s="125" t="s">
        <v>455</v>
      </c>
      <c r="H24" s="152"/>
      <c r="I24" s="153"/>
    </row>
    <row r="25" spans="5:10" ht="15.75" thickBot="1" x14ac:dyDescent="0.3">
      <c r="E25" s="150" t="s">
        <v>464</v>
      </c>
      <c r="F25" s="150" t="s">
        <v>454</v>
      </c>
      <c r="G25" s="125" t="s">
        <v>462</v>
      </c>
      <c r="H25" s="150" t="s">
        <v>501</v>
      </c>
      <c r="I25" s="153"/>
    </row>
    <row r="26" spans="5:10" ht="15.75" thickBot="1" x14ac:dyDescent="0.3">
      <c r="E26" s="151"/>
      <c r="F26" s="151"/>
      <c r="G26" s="125" t="s">
        <v>465</v>
      </c>
      <c r="H26" s="151"/>
      <c r="I26" s="153"/>
    </row>
    <row r="27" spans="5:10" ht="15.75" thickBot="1" x14ac:dyDescent="0.3">
      <c r="E27" s="152"/>
      <c r="F27" s="152"/>
      <c r="G27" s="125" t="s">
        <v>466</v>
      </c>
      <c r="H27" s="152"/>
      <c r="I27" s="153"/>
    </row>
    <row r="28" spans="5:10" ht="15.75" thickBot="1" x14ac:dyDescent="0.3">
      <c r="E28" s="150" t="s">
        <v>467</v>
      </c>
      <c r="F28" s="150" t="s">
        <v>468</v>
      </c>
      <c r="G28" s="125" t="s">
        <v>469</v>
      </c>
      <c r="H28" s="150" t="s">
        <v>501</v>
      </c>
      <c r="I28" s="154"/>
    </row>
    <row r="29" spans="5:10" ht="15.75" thickBot="1" x14ac:dyDescent="0.3">
      <c r="E29" s="151"/>
      <c r="F29" s="151"/>
      <c r="G29" s="125" t="s">
        <v>470</v>
      </c>
      <c r="H29" s="151"/>
      <c r="I29" s="154"/>
    </row>
    <row r="30" spans="5:10" ht="15.75" thickBot="1" x14ac:dyDescent="0.3">
      <c r="E30" s="152"/>
      <c r="F30" s="152"/>
      <c r="G30" s="125" t="s">
        <v>471</v>
      </c>
      <c r="H30" s="152"/>
      <c r="I30" s="154"/>
    </row>
    <row r="31" spans="5:10" ht="15.75" thickBot="1" x14ac:dyDescent="0.3">
      <c r="E31" s="150" t="s">
        <v>472</v>
      </c>
      <c r="F31" s="150" t="s">
        <v>448</v>
      </c>
      <c r="G31" s="125" t="s">
        <v>473</v>
      </c>
      <c r="H31" s="150" t="s">
        <v>501</v>
      </c>
      <c r="I31" s="153"/>
    </row>
    <row r="32" spans="5:10" ht="15.75" thickBot="1" x14ac:dyDescent="0.3">
      <c r="E32" s="151"/>
      <c r="F32" s="151"/>
      <c r="G32" s="125" t="s">
        <v>469</v>
      </c>
      <c r="H32" s="151"/>
      <c r="I32" s="153"/>
      <c r="J32" s="3"/>
    </row>
    <row r="33" spans="5:10" ht="15.75" thickBot="1" x14ac:dyDescent="0.3">
      <c r="E33" s="152"/>
      <c r="F33" s="152"/>
      <c r="G33" s="125" t="s">
        <v>474</v>
      </c>
      <c r="H33" s="152"/>
      <c r="I33" s="153"/>
    </row>
    <row r="34" spans="5:10" ht="15.75" thickBot="1" x14ac:dyDescent="0.3">
      <c r="E34" s="150" t="s">
        <v>475</v>
      </c>
      <c r="F34" s="150" t="s">
        <v>448</v>
      </c>
      <c r="G34" s="125" t="s">
        <v>476</v>
      </c>
      <c r="H34" s="150" t="s">
        <v>501</v>
      </c>
      <c r="I34" s="155"/>
    </row>
    <row r="35" spans="5:10" ht="15.75" thickBot="1" x14ac:dyDescent="0.3">
      <c r="E35" s="151"/>
      <c r="F35" s="151"/>
      <c r="G35" s="125" t="s">
        <v>477</v>
      </c>
      <c r="H35" s="151"/>
      <c r="I35" s="155"/>
    </row>
    <row r="36" spans="5:10" ht="15.75" thickBot="1" x14ac:dyDescent="0.3">
      <c r="E36" s="151"/>
      <c r="F36" s="151"/>
      <c r="G36" s="125" t="s">
        <v>478</v>
      </c>
      <c r="H36" s="151"/>
      <c r="I36" s="155"/>
      <c r="J36" s="3"/>
    </row>
    <row r="37" spans="5:10" ht="15.75" thickBot="1" x14ac:dyDescent="0.3">
      <c r="E37" s="151"/>
      <c r="F37" s="151"/>
      <c r="G37" s="125" t="s">
        <v>451</v>
      </c>
      <c r="H37" s="151"/>
      <c r="I37" s="155"/>
    </row>
    <row r="38" spans="5:10" ht="15.75" thickBot="1" x14ac:dyDescent="0.3">
      <c r="E38" s="152"/>
      <c r="F38" s="152"/>
      <c r="G38" s="125" t="s">
        <v>471</v>
      </c>
      <c r="H38" s="152"/>
      <c r="I38" s="155"/>
    </row>
    <row r="39" spans="5:10" ht="15.75" thickBot="1" x14ac:dyDescent="0.3">
      <c r="E39" s="150" t="s">
        <v>479</v>
      </c>
      <c r="F39" s="150" t="s">
        <v>454</v>
      </c>
      <c r="G39" s="125" t="s">
        <v>480</v>
      </c>
      <c r="H39" s="150" t="s">
        <v>501</v>
      </c>
      <c r="I39" s="157"/>
    </row>
    <row r="40" spans="5:10" ht="15.75" thickBot="1" x14ac:dyDescent="0.3">
      <c r="E40" s="151"/>
      <c r="F40" s="151"/>
      <c r="G40" s="125" t="s">
        <v>469</v>
      </c>
      <c r="H40" s="151"/>
      <c r="I40" s="157"/>
    </row>
    <row r="41" spans="5:10" ht="15.75" thickBot="1" x14ac:dyDescent="0.3">
      <c r="E41" s="151"/>
      <c r="F41" s="151"/>
      <c r="G41" s="125" t="s">
        <v>471</v>
      </c>
      <c r="H41" s="151"/>
      <c r="I41" s="157"/>
      <c r="J41" s="3"/>
    </row>
    <row r="42" spans="5:10" ht="15.75" thickBot="1" x14ac:dyDescent="0.3">
      <c r="E42" s="152"/>
      <c r="F42" s="152"/>
      <c r="G42" s="125" t="s">
        <v>481</v>
      </c>
      <c r="H42" s="152"/>
      <c r="I42" s="157"/>
    </row>
    <row r="43" spans="5:10" ht="15.75" thickBot="1" x14ac:dyDescent="0.3">
      <c r="E43" s="150" t="s">
        <v>482</v>
      </c>
      <c r="F43" s="150" t="s">
        <v>454</v>
      </c>
      <c r="G43" s="125" t="s">
        <v>474</v>
      </c>
      <c r="H43" s="150" t="s">
        <v>501</v>
      </c>
      <c r="I43" s="157"/>
    </row>
    <row r="44" spans="5:10" ht="15.75" thickBot="1" x14ac:dyDescent="0.3">
      <c r="E44" s="151"/>
      <c r="F44" s="151"/>
      <c r="G44" s="125" t="s">
        <v>476</v>
      </c>
      <c r="H44" s="151"/>
      <c r="I44" s="157"/>
    </row>
    <row r="45" spans="5:10" ht="15.75" thickBot="1" x14ac:dyDescent="0.3">
      <c r="E45" s="151"/>
      <c r="F45" s="151"/>
      <c r="G45" s="125" t="s">
        <v>471</v>
      </c>
      <c r="H45" s="151"/>
      <c r="I45" s="157"/>
      <c r="J45" s="3"/>
    </row>
    <row r="46" spans="5:10" ht="15.75" thickBot="1" x14ac:dyDescent="0.3">
      <c r="E46" s="152"/>
      <c r="F46" s="152"/>
      <c r="G46" s="125" t="s">
        <v>469</v>
      </c>
      <c r="H46" s="152"/>
      <c r="I46" s="157"/>
    </row>
    <row r="47" spans="5:10" ht="13.9" customHeight="1" thickBot="1" x14ac:dyDescent="0.3">
      <c r="E47" s="150" t="s">
        <v>483</v>
      </c>
      <c r="F47" s="150" t="s">
        <v>454</v>
      </c>
      <c r="G47" s="125" t="s">
        <v>451</v>
      </c>
      <c r="H47" s="150" t="s">
        <v>501</v>
      </c>
      <c r="I47" s="156"/>
    </row>
    <row r="48" spans="5:10" ht="15.75" thickBot="1" x14ac:dyDescent="0.3">
      <c r="E48" s="151"/>
      <c r="F48" s="151"/>
      <c r="G48" s="125" t="s">
        <v>484</v>
      </c>
      <c r="H48" s="151"/>
      <c r="I48" s="156"/>
    </row>
    <row r="49" spans="5:10" ht="15.75" thickBot="1" x14ac:dyDescent="0.3">
      <c r="E49" s="151"/>
      <c r="F49" s="151"/>
      <c r="G49" s="125" t="s">
        <v>485</v>
      </c>
      <c r="H49" s="151"/>
      <c r="I49" s="156"/>
      <c r="J49" s="3"/>
    </row>
    <row r="50" spans="5:10" ht="15.75" thickBot="1" x14ac:dyDescent="0.3">
      <c r="E50" s="151"/>
      <c r="F50" s="151"/>
      <c r="G50" s="125" t="s">
        <v>452</v>
      </c>
      <c r="H50" s="151"/>
      <c r="I50" s="156"/>
    </row>
  </sheetData>
  <mergeCells count="44">
    <mergeCell ref="E47:E50"/>
    <mergeCell ref="F47:F50"/>
    <mergeCell ref="H47:H50"/>
    <mergeCell ref="I47:I50"/>
    <mergeCell ref="E39:E42"/>
    <mergeCell ref="F39:F42"/>
    <mergeCell ref="H39:H42"/>
    <mergeCell ref="I39:I42"/>
    <mergeCell ref="E43:E46"/>
    <mergeCell ref="F43:F46"/>
    <mergeCell ref="H43:H46"/>
    <mergeCell ref="I43:I46"/>
    <mergeCell ref="E31:E33"/>
    <mergeCell ref="F31:F33"/>
    <mergeCell ref="H31:H33"/>
    <mergeCell ref="I31:I33"/>
    <mergeCell ref="E34:E38"/>
    <mergeCell ref="F34:F38"/>
    <mergeCell ref="H34:H38"/>
    <mergeCell ref="I34:I38"/>
    <mergeCell ref="E25:E27"/>
    <mergeCell ref="F25:F27"/>
    <mergeCell ref="H25:H27"/>
    <mergeCell ref="I25:I27"/>
    <mergeCell ref="E28:E30"/>
    <mergeCell ref="F28:F30"/>
    <mergeCell ref="H28:H30"/>
    <mergeCell ref="I28:I30"/>
    <mergeCell ref="E17:E20"/>
    <mergeCell ref="F17:F20"/>
    <mergeCell ref="H17:H20"/>
    <mergeCell ref="I17:I20"/>
    <mergeCell ref="E21:E24"/>
    <mergeCell ref="F21:F24"/>
    <mergeCell ref="H21:H24"/>
    <mergeCell ref="I21:I24"/>
    <mergeCell ref="E10:E13"/>
    <mergeCell ref="F10:F13"/>
    <mergeCell ref="H10:H13"/>
    <mergeCell ref="I10:I13"/>
    <mergeCell ref="E14:E16"/>
    <mergeCell ref="F14:F16"/>
    <mergeCell ref="H14:H16"/>
    <mergeCell ref="I14:I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4:D17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8.5703125"/>
    <col min="2" max="2" width="18"/>
    <col min="3" max="3" width="0" hidden="1" customWidth="1"/>
    <col min="4" max="4" width="18.42578125"/>
    <col min="5" max="5" width="21.140625"/>
    <col min="6" max="6" width="25.28515625"/>
    <col min="7" max="1025" width="8.5703125"/>
  </cols>
  <sheetData>
    <row r="4" spans="2:4" ht="15.75" thickBot="1" x14ac:dyDescent="0.3"/>
    <row r="5" spans="2:4" ht="15.75" thickBot="1" x14ac:dyDescent="0.3">
      <c r="B5" s="86" t="s">
        <v>499</v>
      </c>
      <c r="C5" s="86" t="s">
        <v>486</v>
      </c>
      <c r="D5" s="86" t="s">
        <v>498</v>
      </c>
    </row>
    <row r="6" spans="2:4" ht="15.75" thickBot="1" x14ac:dyDescent="0.3">
      <c r="B6" s="119" t="s">
        <v>487</v>
      </c>
      <c r="C6" s="122">
        <v>16</v>
      </c>
      <c r="D6" s="124">
        <f t="shared" ref="D6:D16" si="0">C6/$C$17</f>
        <v>7.5614366729678641E-3</v>
      </c>
    </row>
    <row r="7" spans="2:4" ht="15.75" thickBot="1" x14ac:dyDescent="0.3">
      <c r="B7" s="119" t="s">
        <v>488</v>
      </c>
      <c r="C7" s="122">
        <v>12</v>
      </c>
      <c r="D7" s="124">
        <f t="shared" si="0"/>
        <v>5.6710775047258983E-3</v>
      </c>
    </row>
    <row r="8" spans="2:4" ht="15.75" thickBot="1" x14ac:dyDescent="0.3">
      <c r="B8" s="119" t="s">
        <v>489</v>
      </c>
      <c r="C8" s="122">
        <f>53*3</f>
        <v>159</v>
      </c>
      <c r="D8" s="124">
        <f t="shared" si="0"/>
        <v>7.5141776937618143E-2</v>
      </c>
    </row>
    <row r="9" spans="2:4" ht="15.75" thickBot="1" x14ac:dyDescent="0.3">
      <c r="B9" s="119" t="s">
        <v>490</v>
      </c>
      <c r="C9" s="122">
        <v>6</v>
      </c>
      <c r="D9" s="124">
        <f t="shared" si="0"/>
        <v>2.8355387523629491E-3</v>
      </c>
    </row>
    <row r="10" spans="2:4" ht="15.75" thickBot="1" x14ac:dyDescent="0.3">
      <c r="B10" s="119" t="s">
        <v>491</v>
      </c>
      <c r="C10" s="122">
        <v>60</v>
      </c>
      <c r="D10" s="124">
        <f t="shared" si="0"/>
        <v>2.835538752362949E-2</v>
      </c>
    </row>
    <row r="11" spans="2:4" ht="15.75" thickBot="1" x14ac:dyDescent="0.3">
      <c r="B11" s="119" t="s">
        <v>492</v>
      </c>
      <c r="C11" s="122">
        <v>27</v>
      </c>
      <c r="D11" s="124">
        <f t="shared" si="0"/>
        <v>1.2759924385633271E-2</v>
      </c>
    </row>
    <row r="12" spans="2:4" ht="15.75" thickBot="1" x14ac:dyDescent="0.3">
      <c r="B12" s="119" t="s">
        <v>493</v>
      </c>
      <c r="C12" s="122">
        <v>39</v>
      </c>
      <c r="D12" s="124">
        <f t="shared" si="0"/>
        <v>1.8431001890359167E-2</v>
      </c>
    </row>
    <row r="13" spans="2:4" ht="15.75" thickBot="1" x14ac:dyDescent="0.3">
      <c r="B13" s="119" t="s">
        <v>494</v>
      </c>
      <c r="C13" s="122">
        <v>33</v>
      </c>
      <c r="D13" s="124">
        <f t="shared" si="0"/>
        <v>1.5595463137996219E-2</v>
      </c>
    </row>
    <row r="14" spans="2:4" ht="15.75" thickBot="1" x14ac:dyDescent="0.3">
      <c r="B14" s="119" t="s">
        <v>495</v>
      </c>
      <c r="C14" s="122">
        <v>49</v>
      </c>
      <c r="D14" s="124">
        <f t="shared" si="0"/>
        <v>2.3156899810964082E-2</v>
      </c>
    </row>
    <row r="15" spans="2:4" ht="15.75" thickBot="1" x14ac:dyDescent="0.3">
      <c r="B15" s="119" t="s">
        <v>496</v>
      </c>
      <c r="C15" s="122">
        <v>19</v>
      </c>
      <c r="D15" s="124">
        <f t="shared" si="0"/>
        <v>8.9792060491493391E-3</v>
      </c>
    </row>
    <row r="16" spans="2:4" ht="15.75" thickBot="1" x14ac:dyDescent="0.3">
      <c r="B16" s="119" t="s">
        <v>497</v>
      </c>
      <c r="C16" s="123">
        <v>14</v>
      </c>
      <c r="D16" s="124">
        <f t="shared" si="0"/>
        <v>6.6162570888468808E-3</v>
      </c>
    </row>
    <row r="17" spans="2:4" ht="15.75" thickBot="1" x14ac:dyDescent="0.3">
      <c r="B17" s="119" t="s">
        <v>500</v>
      </c>
      <c r="C17" s="123">
        <v>2116</v>
      </c>
      <c r="D17" s="124">
        <f>SUM(D6:D16)</f>
        <v>0.20510396975425335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F7:H17"/>
  <sheetViews>
    <sheetView topLeftCell="A3" zoomScaleNormal="100" workbookViewId="0">
      <selection activeCell="A27" sqref="A27"/>
    </sheetView>
  </sheetViews>
  <sheetFormatPr baseColWidth="10" defaultColWidth="9.140625" defaultRowHeight="15" x14ac:dyDescent="0.25"/>
  <cols>
    <col min="1" max="5" width="11.42578125"/>
    <col min="6" max="6" width="39"/>
    <col min="7" max="7" width="13.140625"/>
    <col min="8" max="1025" width="11.42578125"/>
  </cols>
  <sheetData>
    <row r="7" spans="6:8" ht="15.75" x14ac:dyDescent="0.25">
      <c r="F7" s="5" t="s">
        <v>34</v>
      </c>
      <c r="G7" s="6" t="s">
        <v>35</v>
      </c>
      <c r="H7" s="7" t="s">
        <v>2</v>
      </c>
    </row>
    <row r="8" spans="6:8" x14ac:dyDescent="0.25">
      <c r="F8" s="8" t="s">
        <v>36</v>
      </c>
      <c r="G8" s="9">
        <v>700</v>
      </c>
    </row>
    <row r="9" spans="6:8" x14ac:dyDescent="0.25">
      <c r="F9" s="10" t="s">
        <v>37</v>
      </c>
      <c r="G9" s="9">
        <v>1000</v>
      </c>
    </row>
    <row r="10" spans="6:8" x14ac:dyDescent="0.25">
      <c r="F10" s="10" t="s">
        <v>38</v>
      </c>
      <c r="G10" s="9">
        <v>700</v>
      </c>
    </row>
    <row r="11" spans="6:8" x14ac:dyDescent="0.25">
      <c r="F11" s="10" t="s">
        <v>39</v>
      </c>
      <c r="G11" s="9">
        <v>500</v>
      </c>
    </row>
    <row r="12" spans="6:8" x14ac:dyDescent="0.25">
      <c r="F12" s="10" t="s">
        <v>40</v>
      </c>
      <c r="G12" s="9">
        <v>500</v>
      </c>
    </row>
    <row r="13" spans="6:8" x14ac:dyDescent="0.25">
      <c r="F13" s="10" t="s">
        <v>41</v>
      </c>
      <c r="G13" s="9">
        <v>350</v>
      </c>
    </row>
    <row r="14" spans="6:8" x14ac:dyDescent="0.25">
      <c r="F14" s="10" t="s">
        <v>42</v>
      </c>
      <c r="G14" s="9">
        <v>350</v>
      </c>
    </row>
    <row r="15" spans="6:8" x14ac:dyDescent="0.25">
      <c r="F15" s="10" t="s">
        <v>43</v>
      </c>
      <c r="G15" s="9">
        <v>450</v>
      </c>
    </row>
    <row r="16" spans="6:8" x14ac:dyDescent="0.25">
      <c r="F16" s="10" t="s">
        <v>44</v>
      </c>
      <c r="G16" s="9">
        <v>800</v>
      </c>
    </row>
    <row r="17" spans="6:7" x14ac:dyDescent="0.25">
      <c r="F17" s="8"/>
      <c r="G17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F10:Q25"/>
  <sheetViews>
    <sheetView topLeftCell="A15" zoomScaleNormal="100" workbookViewId="0">
      <selection activeCell="A33" sqref="A33"/>
    </sheetView>
  </sheetViews>
  <sheetFormatPr baseColWidth="10" defaultColWidth="9.140625" defaultRowHeight="15" x14ac:dyDescent="0.25"/>
  <cols>
    <col min="1" max="1025" width="11.42578125"/>
  </cols>
  <sheetData>
    <row r="10" spans="6:17" x14ac:dyDescent="0.25">
      <c r="H10" s="11">
        <v>2014</v>
      </c>
      <c r="I10" s="11">
        <v>2015</v>
      </c>
      <c r="J10" s="11">
        <v>2016</v>
      </c>
      <c r="K10" s="11">
        <v>2017</v>
      </c>
      <c r="L10" s="11">
        <v>2018</v>
      </c>
      <c r="M10" s="11">
        <v>2019</v>
      </c>
      <c r="N10" s="11">
        <v>2020</v>
      </c>
      <c r="O10" s="11">
        <v>2021</v>
      </c>
      <c r="P10" s="11">
        <v>2022</v>
      </c>
      <c r="Q10" s="11">
        <v>2023</v>
      </c>
    </row>
    <row r="11" spans="6:17" x14ac:dyDescent="0.25">
      <c r="F11" s="12" t="s">
        <v>45</v>
      </c>
      <c r="G11" s="13"/>
      <c r="H11" s="14">
        <v>1707.6</v>
      </c>
      <c r="I11" s="14">
        <v>1822</v>
      </c>
      <c r="J11" s="14">
        <v>1944</v>
      </c>
      <c r="K11" s="14">
        <v>2074</v>
      </c>
      <c r="L11" s="14">
        <v>2213</v>
      </c>
      <c r="M11" s="14">
        <v>2361</v>
      </c>
      <c r="N11" s="14">
        <v>2519</v>
      </c>
      <c r="O11" s="14">
        <v>2631.69</v>
      </c>
      <c r="P11" s="14">
        <v>2775.82</v>
      </c>
      <c r="Q11" s="14">
        <v>2919.33</v>
      </c>
    </row>
    <row r="12" spans="6:17" x14ac:dyDescent="0.25">
      <c r="F12" s="12" t="s">
        <v>46</v>
      </c>
      <c r="G12" s="13"/>
      <c r="H12" s="14">
        <v>424.8</v>
      </c>
      <c r="I12" s="14">
        <v>478</v>
      </c>
      <c r="J12" s="14">
        <v>537</v>
      </c>
      <c r="K12" s="14">
        <v>592.13</v>
      </c>
      <c r="L12" s="14">
        <v>649.84</v>
      </c>
      <c r="M12" s="14">
        <v>705.84</v>
      </c>
      <c r="N12" s="14">
        <v>762.98</v>
      </c>
      <c r="O12" s="14">
        <v>819.35</v>
      </c>
      <c r="P12" s="14">
        <v>876.23</v>
      </c>
      <c r="Q12" s="14">
        <v>932.78</v>
      </c>
    </row>
    <row r="13" spans="6:17" x14ac:dyDescent="0.25">
      <c r="F13" s="12" t="s">
        <v>47</v>
      </c>
      <c r="G13" s="13"/>
      <c r="H13" s="14">
        <v>16</v>
      </c>
      <c r="I13" s="14">
        <v>18</v>
      </c>
      <c r="J13" s="14">
        <v>20</v>
      </c>
      <c r="K13" s="14">
        <v>22</v>
      </c>
      <c r="L13" s="14">
        <v>24</v>
      </c>
      <c r="M13" s="14">
        <v>26</v>
      </c>
      <c r="N13" s="14">
        <v>29</v>
      </c>
      <c r="O13" s="14">
        <v>32</v>
      </c>
      <c r="P13" s="14">
        <v>35</v>
      </c>
      <c r="Q13" s="14">
        <v>39</v>
      </c>
    </row>
    <row r="14" spans="6:17" x14ac:dyDescent="0.25">
      <c r="F14" s="12" t="s">
        <v>48</v>
      </c>
      <c r="G14" s="13"/>
      <c r="H14" s="14">
        <v>47.9</v>
      </c>
      <c r="I14" s="14">
        <v>47.9</v>
      </c>
      <c r="J14" s="14">
        <v>47.9</v>
      </c>
      <c r="K14" s="14">
        <v>47.9</v>
      </c>
      <c r="L14" s="14">
        <v>47.9</v>
      </c>
      <c r="M14" s="14">
        <v>47.9</v>
      </c>
      <c r="N14" s="14">
        <v>47.9</v>
      </c>
      <c r="O14" s="14">
        <v>47.9</v>
      </c>
      <c r="P14" s="14">
        <v>47.9</v>
      </c>
      <c r="Q14" s="14">
        <v>47.9</v>
      </c>
    </row>
    <row r="15" spans="6:17" x14ac:dyDescent="0.25">
      <c r="F15" s="12" t="s">
        <v>49</v>
      </c>
      <c r="G15" s="13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6:17" ht="24" x14ac:dyDescent="0.25">
      <c r="F16" s="12" t="s">
        <v>50</v>
      </c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6:17" ht="24" x14ac:dyDescent="0.25">
      <c r="F17" s="12" t="s">
        <v>36</v>
      </c>
      <c r="G17" s="14">
        <v>8400</v>
      </c>
      <c r="H17" s="14">
        <v>27642.13</v>
      </c>
      <c r="I17" s="14">
        <v>31591</v>
      </c>
      <c r="J17" s="14">
        <v>37514.31</v>
      </c>
      <c r="K17" s="14">
        <v>42121.33</v>
      </c>
      <c r="L17" s="14">
        <v>47605.88</v>
      </c>
      <c r="M17" s="14">
        <v>52505.41</v>
      </c>
      <c r="N17" s="14">
        <v>57794.95</v>
      </c>
      <c r="O17" s="14">
        <v>62824.49</v>
      </c>
      <c r="P17" s="14">
        <v>68027.360000000001</v>
      </c>
      <c r="Q17" s="14">
        <v>73114.679999999993</v>
      </c>
    </row>
    <row r="18" spans="6:17" ht="36" x14ac:dyDescent="0.25">
      <c r="F18" s="12" t="s">
        <v>37</v>
      </c>
      <c r="G18" s="14">
        <v>12000</v>
      </c>
      <c r="H18" s="14">
        <v>11328.19</v>
      </c>
      <c r="I18" s="14">
        <v>12946.5</v>
      </c>
      <c r="J18" s="14">
        <v>15373.97</v>
      </c>
      <c r="K18" s="14">
        <v>17262</v>
      </c>
      <c r="L18" s="14">
        <v>19509.66</v>
      </c>
      <c r="M18" s="14">
        <v>21517.56</v>
      </c>
      <c r="N18" s="14">
        <v>23685.3</v>
      </c>
      <c r="O18" s="14">
        <v>25746.49</v>
      </c>
      <c r="P18" s="14">
        <v>27878.71</v>
      </c>
      <c r="Q18" s="14">
        <v>29963.57</v>
      </c>
    </row>
    <row r="19" spans="6:17" ht="24" x14ac:dyDescent="0.25">
      <c r="F19" s="12" t="s">
        <v>38</v>
      </c>
      <c r="G19" s="14">
        <v>8400</v>
      </c>
      <c r="H19" s="14">
        <v>67742.5</v>
      </c>
      <c r="I19" s="14">
        <v>77420</v>
      </c>
      <c r="J19" s="14">
        <v>91936.25</v>
      </c>
      <c r="K19" s="14">
        <v>103226.67</v>
      </c>
      <c r="L19" s="14">
        <v>116667.64</v>
      </c>
      <c r="M19" s="14">
        <v>128674.91</v>
      </c>
      <c r="N19" s="14">
        <v>141637.98000000001</v>
      </c>
      <c r="O19" s="14">
        <v>153963.85</v>
      </c>
      <c r="P19" s="14">
        <v>166714.51999999999</v>
      </c>
      <c r="Q19" s="14">
        <v>179181.99</v>
      </c>
    </row>
    <row r="20" spans="6:17" ht="24" x14ac:dyDescent="0.25">
      <c r="F20" s="12" t="s">
        <v>39</v>
      </c>
      <c r="G20" s="14">
        <v>6000</v>
      </c>
      <c r="H20" s="14">
        <v>5407.5</v>
      </c>
      <c r="I20" s="14">
        <v>6180</v>
      </c>
      <c r="J20" s="14">
        <v>7338.75</v>
      </c>
      <c r="K20" s="14">
        <v>8240</v>
      </c>
      <c r="L20" s="14">
        <v>9312.92</v>
      </c>
      <c r="M20" s="14">
        <v>10271.39</v>
      </c>
      <c r="N20" s="14">
        <v>11306.16</v>
      </c>
      <c r="O20" s="14">
        <v>12290.06</v>
      </c>
      <c r="P20" s="14">
        <v>13307.88</v>
      </c>
      <c r="Q20" s="14">
        <v>14303.08</v>
      </c>
    </row>
    <row r="21" spans="6:17" ht="36" x14ac:dyDescent="0.25">
      <c r="F21" s="12" t="s">
        <v>40</v>
      </c>
      <c r="G21" s="14">
        <v>6000</v>
      </c>
      <c r="H21" s="14">
        <v>3500</v>
      </c>
      <c r="I21" s="14">
        <v>500</v>
      </c>
      <c r="J21" s="14">
        <v>750</v>
      </c>
      <c r="K21" s="14">
        <v>583.33000000000004</v>
      </c>
      <c r="L21" s="14">
        <v>694.44</v>
      </c>
      <c r="M21" s="14">
        <v>620.37</v>
      </c>
      <c r="N21" s="14">
        <v>669.75</v>
      </c>
      <c r="O21" s="14">
        <v>636.83000000000004</v>
      </c>
      <c r="P21" s="14">
        <v>658.78</v>
      </c>
      <c r="Q21" s="14">
        <v>644.15</v>
      </c>
    </row>
    <row r="22" spans="6:17" x14ac:dyDescent="0.25">
      <c r="F22" s="12" t="s">
        <v>41</v>
      </c>
      <c r="G22" s="14">
        <v>4200</v>
      </c>
      <c r="H22" s="14">
        <v>4200</v>
      </c>
      <c r="I22" s="14">
        <v>4200</v>
      </c>
      <c r="J22" s="14">
        <v>4200</v>
      </c>
      <c r="K22" s="14">
        <v>4200</v>
      </c>
      <c r="L22" s="14">
        <v>4200</v>
      </c>
      <c r="M22" s="14">
        <v>4200</v>
      </c>
      <c r="N22" s="14">
        <v>4200</v>
      </c>
      <c r="O22" s="14">
        <v>4200</v>
      </c>
      <c r="P22" s="14">
        <v>4200</v>
      </c>
      <c r="Q22" s="14">
        <v>4200</v>
      </c>
    </row>
    <row r="23" spans="6:17" ht="24" x14ac:dyDescent="0.25">
      <c r="F23" s="12" t="s">
        <v>42</v>
      </c>
      <c r="G23" s="14">
        <v>4200</v>
      </c>
      <c r="H23" s="14">
        <v>4200</v>
      </c>
      <c r="I23" s="14">
        <v>4200</v>
      </c>
      <c r="J23" s="14">
        <v>4200</v>
      </c>
      <c r="K23" s="14">
        <v>4200</v>
      </c>
      <c r="L23" s="14">
        <v>4200</v>
      </c>
      <c r="M23" s="14">
        <v>4200</v>
      </c>
      <c r="N23" s="14">
        <v>4200</v>
      </c>
      <c r="O23" s="14">
        <v>4200</v>
      </c>
      <c r="P23" s="14">
        <v>4200</v>
      </c>
      <c r="Q23" s="14">
        <v>4200</v>
      </c>
    </row>
    <row r="24" spans="6:17" x14ac:dyDescent="0.25">
      <c r="F24" s="12" t="s">
        <v>43</v>
      </c>
      <c r="G24" s="14">
        <v>5400</v>
      </c>
      <c r="H24" s="14">
        <v>5400</v>
      </c>
      <c r="I24" s="14">
        <v>5400</v>
      </c>
      <c r="J24" s="14">
        <v>5400</v>
      </c>
      <c r="K24" s="14">
        <v>5400</v>
      </c>
      <c r="L24" s="14">
        <v>5400</v>
      </c>
      <c r="M24" s="14">
        <v>5400</v>
      </c>
      <c r="N24" s="14">
        <v>5400</v>
      </c>
      <c r="O24" s="14">
        <v>5400</v>
      </c>
      <c r="P24" s="14">
        <v>5400</v>
      </c>
      <c r="Q24" s="14">
        <v>5400</v>
      </c>
    </row>
    <row r="25" spans="6:17" x14ac:dyDescent="0.25">
      <c r="F25" s="12" t="s">
        <v>51</v>
      </c>
      <c r="G25" s="12"/>
      <c r="H25" s="11">
        <v>131616.60999999999</v>
      </c>
      <c r="I25" s="11">
        <v>144803.4</v>
      </c>
      <c r="J25" s="11">
        <v>169262.18</v>
      </c>
      <c r="K25" s="11">
        <v>187969.37</v>
      </c>
      <c r="L25" s="11">
        <v>210525.28</v>
      </c>
      <c r="M25" s="11">
        <v>230530.38</v>
      </c>
      <c r="N25" s="11">
        <v>252253.02</v>
      </c>
      <c r="O25" s="11">
        <v>272792.65000000002</v>
      </c>
      <c r="P25" s="11">
        <v>294122.2</v>
      </c>
      <c r="Q25" s="11">
        <v>314946.48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G6:I27"/>
  <sheetViews>
    <sheetView topLeftCell="A11" zoomScaleNormal="100" workbookViewId="0">
      <selection activeCell="I34" sqref="I34"/>
    </sheetView>
  </sheetViews>
  <sheetFormatPr baseColWidth="10" defaultColWidth="9.140625" defaultRowHeight="15" x14ac:dyDescent="0.25"/>
  <cols>
    <col min="1" max="6" width="11.42578125"/>
    <col min="7" max="7" width="29"/>
    <col min="8" max="8" width="22.140625"/>
    <col min="9" max="1025" width="11.42578125"/>
  </cols>
  <sheetData>
    <row r="6" spans="7:9" x14ac:dyDescent="0.25">
      <c r="G6" s="15" t="s">
        <v>0</v>
      </c>
      <c r="H6" s="15" t="s">
        <v>52</v>
      </c>
      <c r="I6" s="15" t="s">
        <v>53</v>
      </c>
    </row>
    <row r="7" spans="7:9" ht="31.5" customHeight="1" x14ac:dyDescent="0.25">
      <c r="G7" s="16" t="s">
        <v>31</v>
      </c>
      <c r="H7" s="16">
        <v>3</v>
      </c>
      <c r="I7" s="16">
        <v>4740</v>
      </c>
    </row>
    <row r="8" spans="7:9" x14ac:dyDescent="0.25">
      <c r="G8" s="16" t="s">
        <v>7</v>
      </c>
      <c r="H8" s="16">
        <v>3</v>
      </c>
      <c r="I8" s="16">
        <v>210</v>
      </c>
    </row>
    <row r="9" spans="7:9" x14ac:dyDescent="0.25">
      <c r="G9" s="16" t="s">
        <v>9</v>
      </c>
      <c r="H9" s="16">
        <v>3</v>
      </c>
      <c r="I9" s="16">
        <v>330</v>
      </c>
    </row>
    <row r="10" spans="7:9" x14ac:dyDescent="0.25">
      <c r="G10" s="16" t="s">
        <v>13</v>
      </c>
      <c r="H10" s="16">
        <v>3</v>
      </c>
      <c r="I10" s="16">
        <v>178</v>
      </c>
    </row>
    <row r="11" spans="7:9" x14ac:dyDescent="0.25">
      <c r="G11" s="16" t="s">
        <v>21</v>
      </c>
      <c r="H11" s="16">
        <v>3</v>
      </c>
      <c r="I11" s="16">
        <v>547.99</v>
      </c>
    </row>
    <row r="12" spans="7:9" x14ac:dyDescent="0.25">
      <c r="G12" s="16" t="s">
        <v>23</v>
      </c>
      <c r="H12" s="16">
        <v>3</v>
      </c>
      <c r="I12" s="16">
        <v>140.6</v>
      </c>
    </row>
    <row r="13" spans="7:9" x14ac:dyDescent="0.25">
      <c r="G13" s="16" t="s">
        <v>26</v>
      </c>
      <c r="H13" s="16">
        <v>3</v>
      </c>
      <c r="I13" s="16">
        <v>68</v>
      </c>
    </row>
    <row r="14" spans="7:9" x14ac:dyDescent="0.25">
      <c r="G14" s="16" t="s">
        <v>27</v>
      </c>
      <c r="H14" s="16">
        <v>3</v>
      </c>
      <c r="I14" s="16">
        <v>1920</v>
      </c>
    </row>
    <row r="15" spans="7:9" ht="21" x14ac:dyDescent="0.25">
      <c r="G15" s="17" t="s">
        <v>51</v>
      </c>
      <c r="H15" s="16"/>
      <c r="I15" s="18">
        <f>SUM(I7:I14)</f>
        <v>8134.59</v>
      </c>
    </row>
    <row r="20" spans="7:9" x14ac:dyDescent="0.25">
      <c r="G20" s="15" t="s">
        <v>0</v>
      </c>
      <c r="H20" s="15" t="s">
        <v>54</v>
      </c>
      <c r="I20" s="15" t="s">
        <v>53</v>
      </c>
    </row>
    <row r="21" spans="7:9" x14ac:dyDescent="0.25">
      <c r="G21" s="16" t="s">
        <v>5</v>
      </c>
      <c r="H21" s="16">
        <v>10</v>
      </c>
      <c r="I21" s="16">
        <v>948</v>
      </c>
    </row>
    <row r="22" spans="7:9" x14ac:dyDescent="0.25">
      <c r="G22" s="16" t="s">
        <v>32</v>
      </c>
      <c r="H22" s="16">
        <v>10</v>
      </c>
      <c r="I22" s="16">
        <v>150</v>
      </c>
    </row>
    <row r="23" spans="7:9" x14ac:dyDescent="0.25">
      <c r="G23" s="16" t="s">
        <v>15</v>
      </c>
      <c r="H23" s="16">
        <v>10</v>
      </c>
      <c r="I23" s="16">
        <v>516</v>
      </c>
    </row>
    <row r="24" spans="7:9" x14ac:dyDescent="0.25">
      <c r="G24" s="16" t="s">
        <v>17</v>
      </c>
      <c r="H24" s="16">
        <v>10</v>
      </c>
      <c r="I24" s="16">
        <v>1100</v>
      </c>
    </row>
    <row r="25" spans="7:9" x14ac:dyDescent="0.25">
      <c r="G25" s="16" t="s">
        <v>19</v>
      </c>
      <c r="H25" s="16">
        <v>10</v>
      </c>
      <c r="I25" s="16">
        <v>299.99</v>
      </c>
    </row>
    <row r="26" spans="7:9" x14ac:dyDescent="0.25">
      <c r="G26" s="16" t="s">
        <v>25</v>
      </c>
      <c r="H26" s="16">
        <v>10</v>
      </c>
      <c r="I26" s="16">
        <v>40</v>
      </c>
    </row>
    <row r="27" spans="7:9" ht="21" x14ac:dyDescent="0.25">
      <c r="G27" s="17" t="s">
        <v>51</v>
      </c>
      <c r="H27" s="16"/>
      <c r="I27" s="18">
        <f>SUM(I21:I26)</f>
        <v>3053.99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9:BS61"/>
  <sheetViews>
    <sheetView topLeftCell="BD21" zoomScaleNormal="100" workbookViewId="0">
      <selection activeCell="BN36" sqref="BN36"/>
    </sheetView>
  </sheetViews>
  <sheetFormatPr baseColWidth="10" defaultColWidth="9.140625" defaultRowHeight="15" x14ac:dyDescent="0.25"/>
  <cols>
    <col min="1" max="3" width="11.42578125"/>
    <col min="4" max="4" width="29.140625"/>
    <col min="5" max="5" width="17"/>
    <col min="6" max="6" width="53.85546875"/>
    <col min="7" max="7" width="28.42578125"/>
    <col min="8" max="8" width="17.140625"/>
    <col min="9" max="9" width="10.5703125"/>
    <col min="10" max="10" width="56.5703125"/>
    <col min="11" max="11" width="21.28515625"/>
    <col min="12" max="12" width="17.140625"/>
    <col min="13" max="13" width="25"/>
    <col min="14" max="14" width="25.5703125"/>
    <col min="15" max="17" width="31"/>
    <col min="18" max="24" width="11.42578125"/>
    <col min="25" max="25" width="28"/>
    <col min="26" max="27" width="11.42578125"/>
    <col min="28" max="28" width="17"/>
    <col min="29" max="29" width="13.42578125"/>
    <col min="30" max="30" width="13.5703125"/>
    <col min="31" max="33" width="11.42578125"/>
    <col min="34" max="34" width="16.85546875"/>
    <col min="35" max="35" width="13.85546875"/>
    <col min="36" max="38" width="11.42578125"/>
    <col min="39" max="39" width="8"/>
    <col min="40" max="49" width="7.42578125"/>
    <col min="50" max="50" width="11.42578125"/>
    <col min="51" max="51" width="15.7109375"/>
    <col min="52" max="52" width="13.28515625"/>
    <col min="53" max="54" width="11.42578125"/>
    <col min="55" max="55" width="21.28515625"/>
    <col min="56" max="56" width="17.140625"/>
    <col min="57" max="57" width="18.140625"/>
    <col min="58" max="60" width="11.42578125"/>
    <col min="61" max="61" width="17.5703125"/>
    <col min="62" max="62" width="6.5703125"/>
    <col min="63" max="63" width="8.5703125"/>
    <col min="64" max="69" width="6.5703125"/>
    <col min="70" max="71" width="7.42578125"/>
    <col min="72" max="1025" width="11.42578125"/>
  </cols>
  <sheetData>
    <row r="9" spans="2:52" x14ac:dyDescent="0.25">
      <c r="D9" s="5" t="s">
        <v>55</v>
      </c>
      <c r="E9" s="5" t="s">
        <v>56</v>
      </c>
      <c r="F9" s="6" t="s">
        <v>2</v>
      </c>
    </row>
    <row r="10" spans="2:52" x14ac:dyDescent="0.25">
      <c r="B10" s="2"/>
      <c r="D10" s="8" t="s">
        <v>57</v>
      </c>
      <c r="E10" s="8">
        <v>5.99</v>
      </c>
      <c r="F10" s="9" t="s">
        <v>58</v>
      </c>
    </row>
    <row r="11" spans="2:52" x14ac:dyDescent="0.25">
      <c r="B11" s="2"/>
      <c r="D11" s="10" t="s">
        <v>59</v>
      </c>
      <c r="E11" s="10">
        <v>4.33</v>
      </c>
      <c r="F11" s="9" t="s">
        <v>58</v>
      </c>
    </row>
    <row r="12" spans="2:52" ht="26.25" x14ac:dyDescent="0.25">
      <c r="D12" s="10" t="s">
        <v>48</v>
      </c>
      <c r="E12" s="10">
        <v>47.9</v>
      </c>
      <c r="F12" s="9" t="s">
        <v>60</v>
      </c>
      <c r="AY12" s="19" t="s">
        <v>61</v>
      </c>
      <c r="AZ12" s="20">
        <v>6.7000000000000004E-2</v>
      </c>
    </row>
    <row r="13" spans="2:52" ht="26.25" x14ac:dyDescent="0.25">
      <c r="D13" s="10" t="s">
        <v>62</v>
      </c>
      <c r="E13" s="10">
        <v>75</v>
      </c>
      <c r="F13" s="9" t="s">
        <v>63</v>
      </c>
      <c r="AY13" s="19" t="s">
        <v>64</v>
      </c>
      <c r="AZ13" s="20">
        <v>0.12429999999999999</v>
      </c>
    </row>
    <row r="14" spans="2:52" ht="22.5" x14ac:dyDescent="0.25">
      <c r="D14" s="10" t="s">
        <v>51</v>
      </c>
      <c r="E14" s="10">
        <f>SUM(E10:E13)</f>
        <v>133.22</v>
      </c>
      <c r="F14" s="9"/>
      <c r="AM14" s="21" t="s">
        <v>65</v>
      </c>
      <c r="AN14" s="15">
        <f t="shared" ref="AN14:AW14" si="0">BJ23</f>
        <v>2014</v>
      </c>
      <c r="AO14" s="15">
        <f t="shared" si="0"/>
        <v>2015</v>
      </c>
      <c r="AP14" s="15">
        <f t="shared" si="0"/>
        <v>2016</v>
      </c>
      <c r="AQ14" s="15">
        <f t="shared" si="0"/>
        <v>2017</v>
      </c>
      <c r="AR14" s="15">
        <f t="shared" si="0"/>
        <v>2018</v>
      </c>
      <c r="AS14" s="15">
        <f t="shared" si="0"/>
        <v>2019</v>
      </c>
      <c r="AT14" s="15">
        <f t="shared" si="0"/>
        <v>2020</v>
      </c>
      <c r="AU14" s="15">
        <f t="shared" si="0"/>
        <v>2021</v>
      </c>
      <c r="AV14" s="15">
        <f t="shared" si="0"/>
        <v>2022</v>
      </c>
      <c r="AW14" s="15">
        <f t="shared" si="0"/>
        <v>2023</v>
      </c>
      <c r="AY14" s="22" t="s">
        <v>66</v>
      </c>
      <c r="AZ14" s="23">
        <v>0.7</v>
      </c>
    </row>
    <row r="15" spans="2:52" x14ac:dyDescent="0.25">
      <c r="AM15" s="24" t="s">
        <v>67</v>
      </c>
      <c r="AN15" s="25">
        <f t="shared" ref="AN15:AW15" si="1">BJ40</f>
        <v>789.60815999999977</v>
      </c>
      <c r="AO15" s="25">
        <f t="shared" si="1"/>
        <v>1396.9845172799996</v>
      </c>
      <c r="AP15" s="25">
        <f t="shared" si="1"/>
        <v>2535.2465066280001</v>
      </c>
      <c r="AQ15" s="25">
        <f t="shared" si="1"/>
        <v>3506.345126780142</v>
      </c>
      <c r="AR15" s="25">
        <f t="shared" si="1"/>
        <v>4245.257233108051</v>
      </c>
      <c r="AS15" s="25">
        <f t="shared" si="1"/>
        <v>5260.9595398318725</v>
      </c>
      <c r="AT15" s="25">
        <f t="shared" si="1"/>
        <v>6956.7488775864767</v>
      </c>
      <c r="AU15" s="25">
        <f t="shared" si="1"/>
        <v>8255.3939855061835</v>
      </c>
      <c r="AV15" s="25">
        <f t="shared" si="1"/>
        <v>10133.345568083347</v>
      </c>
      <c r="AW15" s="25">
        <f t="shared" si="1"/>
        <v>11509.293585215271</v>
      </c>
      <c r="AY15" s="22" t="s">
        <v>68</v>
      </c>
      <c r="AZ15" s="26">
        <v>929</v>
      </c>
    </row>
    <row r="16" spans="2:52" x14ac:dyDescent="0.25">
      <c r="AM16" s="24" t="s">
        <v>46</v>
      </c>
      <c r="AN16" s="25">
        <f t="shared" ref="AN16:AW16" si="2">BJ49</f>
        <v>176.99999999999997</v>
      </c>
      <c r="AO16" s="25">
        <f t="shared" si="2"/>
        <v>358.20197999999993</v>
      </c>
      <c r="AP16" s="25">
        <f t="shared" si="2"/>
        <v>715.95819753599994</v>
      </c>
      <c r="AQ16" s="25">
        <f t="shared" si="2"/>
        <v>1056.4992394552637</v>
      </c>
      <c r="AR16" s="25">
        <f t="shared" si="2"/>
        <v>1357.5109656223462</v>
      </c>
      <c r="AS16" s="25">
        <f t="shared" si="2"/>
        <v>1780.6245084240713</v>
      </c>
      <c r="AT16" s="25">
        <f t="shared" si="2"/>
        <v>2502.4451685264794</v>
      </c>
      <c r="AU16" s="25">
        <f t="shared" si="2"/>
        <v>3135.0418575999574</v>
      </c>
      <c r="AV16" s="25">
        <f t="shared" si="2"/>
        <v>4066.9933390380365</v>
      </c>
      <c r="AW16" s="25">
        <f t="shared" si="2"/>
        <v>4877.3553184858292</v>
      </c>
      <c r="AY16" s="26" t="s">
        <v>69</v>
      </c>
      <c r="AZ16" s="27">
        <v>4.0000000000000001E-3</v>
      </c>
    </row>
    <row r="17" spans="4:71" ht="26.25" x14ac:dyDescent="0.25">
      <c r="AM17" s="24" t="s">
        <v>70</v>
      </c>
      <c r="AN17" s="25">
        <f t="shared" ref="AN17:AW17" si="3">$AD$25*12</f>
        <v>96</v>
      </c>
      <c r="AO17" s="25">
        <f t="shared" si="3"/>
        <v>96</v>
      </c>
      <c r="AP17" s="25">
        <f t="shared" si="3"/>
        <v>96</v>
      </c>
      <c r="AQ17" s="25">
        <f t="shared" si="3"/>
        <v>96</v>
      </c>
      <c r="AR17" s="25">
        <f t="shared" si="3"/>
        <v>96</v>
      </c>
      <c r="AS17" s="25">
        <f t="shared" si="3"/>
        <v>96</v>
      </c>
      <c r="AT17" s="25">
        <f t="shared" si="3"/>
        <v>96</v>
      </c>
      <c r="AU17" s="25">
        <f t="shared" si="3"/>
        <v>96</v>
      </c>
      <c r="AV17" s="25">
        <f t="shared" si="3"/>
        <v>96</v>
      </c>
      <c r="AW17" s="25">
        <f t="shared" si="3"/>
        <v>96</v>
      </c>
      <c r="AY17" s="19" t="s">
        <v>64</v>
      </c>
      <c r="AZ17" s="20">
        <v>0.12429999999999999</v>
      </c>
    </row>
    <row r="18" spans="4:71" ht="26.25" x14ac:dyDescent="0.25">
      <c r="AM18" s="24" t="s">
        <v>48</v>
      </c>
      <c r="AN18" s="25">
        <f t="shared" ref="AN18:AW18" si="4">$E$12*12</f>
        <v>574.79999999999995</v>
      </c>
      <c r="AO18" s="25">
        <f t="shared" si="4"/>
        <v>574.79999999999995</v>
      </c>
      <c r="AP18" s="25">
        <f t="shared" si="4"/>
        <v>574.79999999999995</v>
      </c>
      <c r="AQ18" s="25">
        <f t="shared" si="4"/>
        <v>574.79999999999995</v>
      </c>
      <c r="AR18" s="25">
        <f t="shared" si="4"/>
        <v>574.79999999999995</v>
      </c>
      <c r="AS18" s="25">
        <f t="shared" si="4"/>
        <v>574.79999999999995</v>
      </c>
      <c r="AT18" s="25">
        <f t="shared" si="4"/>
        <v>574.79999999999995</v>
      </c>
      <c r="AU18" s="25">
        <f t="shared" si="4"/>
        <v>574.79999999999995</v>
      </c>
      <c r="AV18" s="25">
        <f t="shared" si="4"/>
        <v>574.79999999999995</v>
      </c>
      <c r="AW18" s="25">
        <f t="shared" si="4"/>
        <v>574.79999999999995</v>
      </c>
      <c r="AY18" s="19" t="s">
        <v>71</v>
      </c>
      <c r="AZ18" s="20">
        <v>0.1</v>
      </c>
    </row>
    <row r="19" spans="4:71" x14ac:dyDescent="0.25">
      <c r="AM19" s="24" t="s">
        <v>72</v>
      </c>
      <c r="AN19" s="25">
        <f t="shared" ref="AN19:AW19" si="5">600*12</f>
        <v>7200</v>
      </c>
      <c r="AO19" s="25">
        <f t="shared" si="5"/>
        <v>7200</v>
      </c>
      <c r="AP19" s="25">
        <f t="shared" si="5"/>
        <v>7200</v>
      </c>
      <c r="AQ19" s="25">
        <f t="shared" si="5"/>
        <v>7200</v>
      </c>
      <c r="AR19" s="25">
        <f t="shared" si="5"/>
        <v>7200</v>
      </c>
      <c r="AS19" s="25">
        <f t="shared" si="5"/>
        <v>7200</v>
      </c>
      <c r="AT19" s="25">
        <f t="shared" si="5"/>
        <v>7200</v>
      </c>
      <c r="AU19" s="25">
        <f t="shared" si="5"/>
        <v>7200</v>
      </c>
      <c r="AV19" s="25">
        <f t="shared" si="5"/>
        <v>7200</v>
      </c>
      <c r="AW19" s="25">
        <f t="shared" si="5"/>
        <v>7200</v>
      </c>
    </row>
    <row r="20" spans="4:71" x14ac:dyDescent="0.25">
      <c r="AM20" s="24" t="s">
        <v>73</v>
      </c>
      <c r="AN20" s="25">
        <f t="shared" ref="AN20:AW20" si="6">$H$53*12</f>
        <v>1323.7199999999998</v>
      </c>
      <c r="AO20" s="25">
        <f t="shared" si="6"/>
        <v>1323.7199999999998</v>
      </c>
      <c r="AP20" s="25">
        <f t="shared" si="6"/>
        <v>1323.7199999999998</v>
      </c>
      <c r="AQ20" s="25">
        <f t="shared" si="6"/>
        <v>1323.7199999999998</v>
      </c>
      <c r="AR20" s="25">
        <f t="shared" si="6"/>
        <v>1323.7199999999998</v>
      </c>
      <c r="AS20" s="25">
        <f t="shared" si="6"/>
        <v>1323.7199999999998</v>
      </c>
      <c r="AT20" s="25">
        <f t="shared" si="6"/>
        <v>1323.7199999999998</v>
      </c>
      <c r="AU20" s="25">
        <f t="shared" si="6"/>
        <v>1323.7199999999998</v>
      </c>
      <c r="AV20" s="25">
        <f t="shared" si="6"/>
        <v>1323.7199999999998</v>
      </c>
      <c r="AW20" s="25">
        <f t="shared" si="6"/>
        <v>1323.7199999999998</v>
      </c>
    </row>
    <row r="21" spans="4:71" x14ac:dyDescent="0.25">
      <c r="R21" s="28" t="s">
        <v>74</v>
      </c>
      <c r="AM21" s="24" t="s">
        <v>51</v>
      </c>
      <c r="AN21" s="25">
        <f t="shared" ref="AN21:AW21" si="7">SUM(AN15:AN19)</f>
        <v>8837.408159999999</v>
      </c>
      <c r="AO21" s="25">
        <f t="shared" si="7"/>
        <v>9625.9864972799987</v>
      </c>
      <c r="AP21" s="25">
        <f t="shared" si="7"/>
        <v>11122.004704163999</v>
      </c>
      <c r="AQ21" s="25">
        <f t="shared" si="7"/>
        <v>12433.644366235407</v>
      </c>
      <c r="AR21" s="25">
        <f t="shared" si="7"/>
        <v>13473.568198730398</v>
      </c>
      <c r="AS21" s="25">
        <f t="shared" si="7"/>
        <v>14912.384048255943</v>
      </c>
      <c r="AT21" s="25">
        <f t="shared" si="7"/>
        <v>17329.994046112955</v>
      </c>
      <c r="AU21" s="25">
        <f t="shared" si="7"/>
        <v>19261.23584310614</v>
      </c>
      <c r="AV21" s="25">
        <f t="shared" si="7"/>
        <v>22071.138907121382</v>
      </c>
      <c r="AW21" s="25">
        <f t="shared" si="7"/>
        <v>24257.448903701101</v>
      </c>
    </row>
    <row r="22" spans="4:71" x14ac:dyDescent="0.25">
      <c r="D22" s="29" t="s">
        <v>57</v>
      </c>
      <c r="E22" s="30">
        <v>5.99</v>
      </c>
      <c r="R22" t="s">
        <v>75</v>
      </c>
    </row>
    <row r="23" spans="4:71" x14ac:dyDescent="0.25">
      <c r="D23" s="31" t="s">
        <v>76</v>
      </c>
      <c r="E23" s="32">
        <v>49.99</v>
      </c>
      <c r="BJ23" s="15">
        <v>2014</v>
      </c>
      <c r="BK23" s="15">
        <v>2015</v>
      </c>
      <c r="BL23" s="15">
        <v>2016</v>
      </c>
      <c r="BM23" s="15">
        <v>2017</v>
      </c>
      <c r="BN23" s="15">
        <v>2018</v>
      </c>
      <c r="BO23" s="15">
        <v>2019</v>
      </c>
      <c r="BP23" s="15">
        <v>2020</v>
      </c>
      <c r="BQ23" s="15">
        <v>2021</v>
      </c>
      <c r="BR23" s="15">
        <v>2022</v>
      </c>
      <c r="BS23" s="15">
        <v>2023</v>
      </c>
    </row>
    <row r="24" spans="4:71" x14ac:dyDescent="0.25">
      <c r="P24" s="33"/>
      <c r="Q24" s="33"/>
      <c r="AB24" s="15" t="s">
        <v>77</v>
      </c>
      <c r="AC24" s="15" t="s">
        <v>78</v>
      </c>
      <c r="AD24" s="15" t="s">
        <v>79</v>
      </c>
      <c r="BI24" s="15" t="s">
        <v>80</v>
      </c>
    </row>
    <row r="25" spans="4:71" x14ac:dyDescent="0.25">
      <c r="D25" s="31" t="s">
        <v>62</v>
      </c>
      <c r="E25" s="32">
        <v>75</v>
      </c>
      <c r="AB25" s="25">
        <v>8</v>
      </c>
      <c r="AC25" s="25">
        <f>ROUNDUP('valores activos fijos cantidad'!G9/10,0)</f>
        <v>1</v>
      </c>
      <c r="AD25" s="25">
        <f>AB25*AC25</f>
        <v>8</v>
      </c>
      <c r="BI25" s="24" t="s">
        <v>81</v>
      </c>
      <c r="BJ25" s="34">
        <v>0.11849999999999999</v>
      </c>
      <c r="BK25" s="34">
        <f t="shared" ref="BK25:BS25" si="8">BJ25+(BJ25*$AZ$12)</f>
        <v>0.12643949999999998</v>
      </c>
      <c r="BL25" s="34">
        <f t="shared" si="8"/>
        <v>0.13491094649999999</v>
      </c>
      <c r="BM25" s="34">
        <f t="shared" si="8"/>
        <v>0.14394997991549999</v>
      </c>
      <c r="BN25" s="34">
        <f t="shared" si="8"/>
        <v>0.15359462856983849</v>
      </c>
      <c r="BO25" s="34">
        <f t="shared" si="8"/>
        <v>0.16388546868401768</v>
      </c>
      <c r="BP25" s="34">
        <f t="shared" si="8"/>
        <v>0.17486579508584688</v>
      </c>
      <c r="BQ25" s="34">
        <f t="shared" si="8"/>
        <v>0.18658180335659863</v>
      </c>
      <c r="BR25" s="34">
        <f t="shared" si="8"/>
        <v>0.19908278418149075</v>
      </c>
      <c r="BS25" s="34">
        <f t="shared" si="8"/>
        <v>0.21242133072165065</v>
      </c>
    </row>
    <row r="26" spans="4:71" x14ac:dyDescent="0.25">
      <c r="D26" s="35" t="s">
        <v>51</v>
      </c>
      <c r="E26" s="36">
        <f>SUM(E22:E25)</f>
        <v>130.98000000000002</v>
      </c>
      <c r="BB26" s="25"/>
      <c r="BC26" s="25"/>
      <c r="BD26" s="25"/>
      <c r="BE26" s="25"/>
      <c r="BI26" s="24" t="s">
        <v>82</v>
      </c>
      <c r="BJ26" s="34">
        <v>0.127</v>
      </c>
      <c r="BK26" s="34">
        <v>0.127</v>
      </c>
      <c r="BL26" s="34">
        <v>0.127</v>
      </c>
      <c r="BM26" s="34">
        <v>0.127</v>
      </c>
      <c r="BN26" s="34">
        <v>0.127</v>
      </c>
      <c r="BO26" s="34">
        <v>0.127</v>
      </c>
      <c r="BP26" s="34">
        <v>0.127</v>
      </c>
      <c r="BQ26" s="34">
        <v>0.127</v>
      </c>
      <c r="BR26" s="34">
        <v>0.127</v>
      </c>
      <c r="BS26" s="34">
        <v>0.127</v>
      </c>
    </row>
    <row r="27" spans="4:71" ht="22.5" x14ac:dyDescent="0.25">
      <c r="BI27" s="24" t="s">
        <v>83</v>
      </c>
      <c r="BJ27" s="34">
        <v>0.56699999999999995</v>
      </c>
      <c r="BK27" s="34">
        <v>0.56699999999999995</v>
      </c>
      <c r="BL27" s="34">
        <v>0.56699999999999995</v>
      </c>
      <c r="BM27" s="34">
        <v>0.56699999999999995</v>
      </c>
      <c r="BN27" s="34">
        <v>0.56699999999999995</v>
      </c>
      <c r="BO27" s="34">
        <v>0.56699999999999995</v>
      </c>
      <c r="BP27" s="34">
        <v>0.56699999999999995</v>
      </c>
      <c r="BQ27" s="34">
        <v>0.56699999999999995</v>
      </c>
      <c r="BR27" s="34">
        <v>0.56699999999999995</v>
      </c>
      <c r="BS27" s="34">
        <v>0.56699999999999995</v>
      </c>
    </row>
    <row r="28" spans="4:71" ht="22.5" x14ac:dyDescent="0.25">
      <c r="H28">
        <v>0.59</v>
      </c>
      <c r="I28">
        <v>1</v>
      </c>
      <c r="J28">
        <v>2</v>
      </c>
      <c r="L28">
        <v>10</v>
      </c>
      <c r="BI28" s="24" t="s">
        <v>84</v>
      </c>
      <c r="BJ28" s="34">
        <f t="shared" ref="BJ28:BS28" si="9">8/1000</f>
        <v>8.0000000000000002E-3</v>
      </c>
      <c r="BK28" s="34">
        <f t="shared" si="9"/>
        <v>8.0000000000000002E-3</v>
      </c>
      <c r="BL28" s="34">
        <f t="shared" si="9"/>
        <v>8.0000000000000002E-3</v>
      </c>
      <c r="BM28" s="34">
        <f t="shared" si="9"/>
        <v>8.0000000000000002E-3</v>
      </c>
      <c r="BN28" s="34">
        <f t="shared" si="9"/>
        <v>8.0000000000000002E-3</v>
      </c>
      <c r="BO28" s="34">
        <f t="shared" si="9"/>
        <v>8.0000000000000002E-3</v>
      </c>
      <c r="BP28" s="34">
        <f t="shared" si="9"/>
        <v>8.0000000000000002E-3</v>
      </c>
      <c r="BQ28" s="34">
        <f t="shared" si="9"/>
        <v>8.0000000000000002E-3</v>
      </c>
      <c r="BR28" s="34">
        <f t="shared" si="9"/>
        <v>8.0000000000000002E-3</v>
      </c>
      <c r="BS28" s="34">
        <f t="shared" si="9"/>
        <v>8.0000000000000002E-3</v>
      </c>
    </row>
    <row r="29" spans="4:71" x14ac:dyDescent="0.25">
      <c r="BI29" s="24" t="s">
        <v>85</v>
      </c>
      <c r="BJ29" s="34">
        <v>0.04</v>
      </c>
      <c r="BK29" s="34">
        <v>0.04</v>
      </c>
      <c r="BL29" s="34">
        <v>0.04</v>
      </c>
      <c r="BM29" s="34">
        <v>0.04</v>
      </c>
      <c r="BN29" s="34">
        <v>0.04</v>
      </c>
      <c r="BO29" s="34">
        <v>0.04</v>
      </c>
      <c r="BP29" s="34">
        <v>0.04</v>
      </c>
      <c r="BQ29" s="34">
        <v>0.04</v>
      </c>
      <c r="BR29" s="34">
        <v>0.04</v>
      </c>
      <c r="BS29" s="34">
        <v>0.04</v>
      </c>
    </row>
    <row r="30" spans="4:71" x14ac:dyDescent="0.25">
      <c r="BI30" s="24" t="s">
        <v>86</v>
      </c>
      <c r="BJ30" s="37">
        <f>'gastos totales'!D76</f>
        <v>5</v>
      </c>
      <c r="BK30" s="37">
        <f>'gastos totales'!E76</f>
        <v>9</v>
      </c>
      <c r="BL30" s="37">
        <f>'gastos totales'!F76</f>
        <v>16</v>
      </c>
      <c r="BM30" s="37">
        <f>'gastos totales'!G76</f>
        <v>21</v>
      </c>
      <c r="BN30" s="37">
        <f>'gastos totales'!H76</f>
        <v>24</v>
      </c>
      <c r="BO30" s="37">
        <f>'gastos totales'!I76</f>
        <v>28</v>
      </c>
      <c r="BP30" s="37">
        <f>'gastos totales'!J76</f>
        <v>35</v>
      </c>
      <c r="BQ30" s="37">
        <f>'gastos totales'!K76</f>
        <v>39</v>
      </c>
      <c r="BR30" s="37">
        <f>'gastos totales'!L76</f>
        <v>45</v>
      </c>
      <c r="BS30" s="37">
        <f>'gastos totales'!M76</f>
        <v>48</v>
      </c>
    </row>
    <row r="31" spans="4:71" x14ac:dyDescent="0.25">
      <c r="BI31" s="24" t="s">
        <v>87</v>
      </c>
      <c r="BJ31" s="34">
        <f t="shared" ref="BJ31:BS31" si="10">ROUND(BJ30/8,0)</f>
        <v>1</v>
      </c>
      <c r="BK31" s="34">
        <f t="shared" si="10"/>
        <v>1</v>
      </c>
      <c r="BL31" s="34">
        <f t="shared" si="10"/>
        <v>2</v>
      </c>
      <c r="BM31" s="34">
        <f t="shared" si="10"/>
        <v>3</v>
      </c>
      <c r="BN31" s="34">
        <f t="shared" si="10"/>
        <v>3</v>
      </c>
      <c r="BO31" s="34">
        <f t="shared" si="10"/>
        <v>4</v>
      </c>
      <c r="BP31" s="34">
        <f t="shared" si="10"/>
        <v>4</v>
      </c>
      <c r="BQ31" s="34">
        <f t="shared" si="10"/>
        <v>5</v>
      </c>
      <c r="BR31" s="34">
        <f t="shared" si="10"/>
        <v>6</v>
      </c>
      <c r="BS31" s="34">
        <f t="shared" si="10"/>
        <v>6</v>
      </c>
    </row>
    <row r="32" spans="4:71" x14ac:dyDescent="0.25">
      <c r="BI32" s="24" t="s">
        <v>88</v>
      </c>
      <c r="BJ32" s="34">
        <f t="shared" ref="BJ32:BS32" si="11">ROUND(BJ30/2,0)</f>
        <v>3</v>
      </c>
      <c r="BK32" s="34">
        <f t="shared" si="11"/>
        <v>5</v>
      </c>
      <c r="BL32" s="34">
        <f t="shared" si="11"/>
        <v>8</v>
      </c>
      <c r="BM32" s="34">
        <f t="shared" si="11"/>
        <v>11</v>
      </c>
      <c r="BN32" s="34">
        <f t="shared" si="11"/>
        <v>12</v>
      </c>
      <c r="BO32" s="34">
        <f t="shared" si="11"/>
        <v>14</v>
      </c>
      <c r="BP32" s="34">
        <f t="shared" si="11"/>
        <v>18</v>
      </c>
      <c r="BQ32" s="34">
        <f t="shared" si="11"/>
        <v>20</v>
      </c>
      <c r="BR32" s="34">
        <f t="shared" si="11"/>
        <v>23</v>
      </c>
      <c r="BS32" s="34">
        <f t="shared" si="11"/>
        <v>24</v>
      </c>
    </row>
    <row r="33" spans="7:71" ht="22.5" x14ac:dyDescent="0.25">
      <c r="Z33">
        <f>567/1000</f>
        <v>0.56699999999999995</v>
      </c>
      <c r="BI33" s="24" t="s">
        <v>89</v>
      </c>
      <c r="BJ33" s="34">
        <f t="shared" ref="BJ33:BS33" si="12">BJ25*BJ27*BJ30</f>
        <v>0.33594749999999995</v>
      </c>
      <c r="BK33" s="34">
        <f t="shared" si="12"/>
        <v>0.64522076849999987</v>
      </c>
      <c r="BL33" s="34">
        <f t="shared" si="12"/>
        <v>1.2239121066479999</v>
      </c>
      <c r="BM33" s="34">
        <f t="shared" si="12"/>
        <v>1.7140124108538581</v>
      </c>
      <c r="BN33" s="34">
        <f t="shared" si="12"/>
        <v>2.0901157055783619</v>
      </c>
      <c r="BO33" s="34">
        <f t="shared" si="12"/>
        <v>2.6018457008274645</v>
      </c>
      <c r="BP33" s="34">
        <f t="shared" si="12"/>
        <v>3.4702117034786308</v>
      </c>
      <c r="BQ33" s="34">
        <f t="shared" si="12"/>
        <v>4.1258834176244648</v>
      </c>
      <c r="BR33" s="34">
        <f t="shared" si="12"/>
        <v>5.0795972383907362</v>
      </c>
      <c r="BS33" s="34">
        <f t="shared" si="12"/>
        <v>5.7812589369204437</v>
      </c>
    </row>
    <row r="34" spans="7:71" x14ac:dyDescent="0.25">
      <c r="BI34" s="24" t="s">
        <v>90</v>
      </c>
      <c r="BJ34" s="34">
        <f t="shared" ref="BJ34:BS34" si="13">BJ25*BJ29*BJ31</f>
        <v>4.7400000000000003E-3</v>
      </c>
      <c r="BK34" s="34">
        <f t="shared" si="13"/>
        <v>5.057579999999999E-3</v>
      </c>
      <c r="BL34" s="34">
        <f t="shared" si="13"/>
        <v>1.0792875719999999E-2</v>
      </c>
      <c r="BM34" s="34">
        <f t="shared" si="13"/>
        <v>1.727399758986E-2</v>
      </c>
      <c r="BN34" s="34">
        <f t="shared" si="13"/>
        <v>1.8431355428380619E-2</v>
      </c>
      <c r="BO34" s="34">
        <f t="shared" si="13"/>
        <v>2.622167498944283E-2</v>
      </c>
      <c r="BP34" s="34">
        <f t="shared" si="13"/>
        <v>2.7978527213735501E-2</v>
      </c>
      <c r="BQ34" s="34">
        <f t="shared" si="13"/>
        <v>3.7316360671319729E-2</v>
      </c>
      <c r="BR34" s="34">
        <f t="shared" si="13"/>
        <v>4.7779868203557778E-2</v>
      </c>
      <c r="BS34" s="34">
        <f t="shared" si="13"/>
        <v>5.0981119373196153E-2</v>
      </c>
    </row>
    <row r="35" spans="7:71" x14ac:dyDescent="0.25">
      <c r="G35" s="38" t="s">
        <v>91</v>
      </c>
      <c r="H35" s="38" t="s">
        <v>53</v>
      </c>
      <c r="I35" s="38" t="s">
        <v>2</v>
      </c>
      <c r="BI35" s="24" t="s">
        <v>92</v>
      </c>
      <c r="BJ35" s="34">
        <f t="shared" ref="BJ35:BS35" si="14">BJ25*BJ26*720</f>
        <v>10.83564</v>
      </c>
      <c r="BK35" s="34">
        <f t="shared" si="14"/>
        <v>11.56162788</v>
      </c>
      <c r="BL35" s="34">
        <f t="shared" si="14"/>
        <v>12.336256947959999</v>
      </c>
      <c r="BM35" s="34">
        <f t="shared" si="14"/>
        <v>13.162786163473319</v>
      </c>
      <c r="BN35" s="34">
        <f t="shared" si="14"/>
        <v>14.044692836426032</v>
      </c>
      <c r="BO35" s="34">
        <f t="shared" si="14"/>
        <v>14.985687256466576</v>
      </c>
      <c r="BP35" s="34">
        <f t="shared" si="14"/>
        <v>15.989728302649839</v>
      </c>
      <c r="BQ35" s="34">
        <f t="shared" si="14"/>
        <v>17.061040098927378</v>
      </c>
      <c r="BR35" s="34">
        <f t="shared" si="14"/>
        <v>18.204129785555512</v>
      </c>
      <c r="BS35" s="34">
        <f t="shared" si="14"/>
        <v>19.423806481187736</v>
      </c>
    </row>
    <row r="36" spans="7:71" ht="22.5" x14ac:dyDescent="0.25">
      <c r="G36" s="29" t="s">
        <v>93</v>
      </c>
      <c r="H36" s="20">
        <v>6.7000000000000004E-2</v>
      </c>
      <c r="J36" s="3" t="s">
        <v>94</v>
      </c>
      <c r="AA36">
        <v>0.52500000000000002</v>
      </c>
      <c r="AB36">
        <v>8</v>
      </c>
      <c r="AC36" t="e">
        <f>BJ25*AA36*#REF!</f>
        <v>#REF!</v>
      </c>
      <c r="AD36" t="e">
        <f>#REF!*160</f>
        <v>#REF!</v>
      </c>
      <c r="AE36" t="e">
        <f>AD36+#REF!</f>
        <v>#REF!</v>
      </c>
      <c r="BI36" s="24" t="s">
        <v>95</v>
      </c>
      <c r="BJ36" s="34">
        <f t="shared" ref="BJ36:BS36" si="15">BJ33*160</f>
        <v>53.751599999999996</v>
      </c>
      <c r="BK36" s="34">
        <f t="shared" si="15"/>
        <v>103.23532295999998</v>
      </c>
      <c r="BL36" s="34">
        <f t="shared" si="15"/>
        <v>195.82593706367999</v>
      </c>
      <c r="BM36" s="34">
        <f t="shared" si="15"/>
        <v>274.24198573661732</v>
      </c>
      <c r="BN36" s="34">
        <f t="shared" si="15"/>
        <v>334.41851289253793</v>
      </c>
      <c r="BO36" s="34">
        <f t="shared" si="15"/>
        <v>416.29531213239432</v>
      </c>
      <c r="BP36" s="34">
        <f t="shared" si="15"/>
        <v>555.23387255658099</v>
      </c>
      <c r="BQ36" s="34">
        <f t="shared" si="15"/>
        <v>660.14134681991436</v>
      </c>
      <c r="BR36" s="34">
        <f t="shared" si="15"/>
        <v>812.73555814251779</v>
      </c>
      <c r="BS36" s="34">
        <f t="shared" si="15"/>
        <v>925.00142990727102</v>
      </c>
    </row>
    <row r="37" spans="7:71" x14ac:dyDescent="0.25">
      <c r="BI37" s="24" t="s">
        <v>96</v>
      </c>
      <c r="BJ37" s="34">
        <f t="shared" ref="BJ37:BS37" si="16">BJ25*BJ28*BJ32</f>
        <v>2.8439999999999997E-3</v>
      </c>
      <c r="BK37" s="34">
        <f t="shared" si="16"/>
        <v>5.057579999999999E-3</v>
      </c>
      <c r="BL37" s="34">
        <f t="shared" si="16"/>
        <v>8.6343005759999987E-3</v>
      </c>
      <c r="BM37" s="34">
        <f t="shared" si="16"/>
        <v>1.2667598232564E-2</v>
      </c>
      <c r="BN37" s="34">
        <f t="shared" si="16"/>
        <v>1.4745084342704495E-2</v>
      </c>
      <c r="BO37" s="34">
        <f t="shared" si="16"/>
        <v>1.835517249260998E-2</v>
      </c>
      <c r="BP37" s="34">
        <f t="shared" si="16"/>
        <v>2.5180674492361953E-2</v>
      </c>
      <c r="BQ37" s="34">
        <f t="shared" si="16"/>
        <v>2.9853088537055782E-2</v>
      </c>
      <c r="BR37" s="34">
        <f t="shared" si="16"/>
        <v>3.66312322893943E-2</v>
      </c>
      <c r="BS37" s="34">
        <f t="shared" si="16"/>
        <v>4.0784895498556926E-2</v>
      </c>
    </row>
    <row r="38" spans="7:71" ht="22.5" x14ac:dyDescent="0.25">
      <c r="G38" s="38" t="s">
        <v>91</v>
      </c>
      <c r="H38" s="38" t="s">
        <v>53</v>
      </c>
      <c r="I38" s="38" t="s">
        <v>2</v>
      </c>
      <c r="BI38" s="24" t="s">
        <v>97</v>
      </c>
      <c r="BJ38" s="34">
        <f t="shared" ref="BJ38:BS38" si="17">BJ34*160</f>
        <v>0.75840000000000007</v>
      </c>
      <c r="BK38" s="34">
        <f t="shared" si="17"/>
        <v>0.80921279999999984</v>
      </c>
      <c r="BL38" s="34">
        <f t="shared" si="17"/>
        <v>1.7268601151999998</v>
      </c>
      <c r="BM38" s="34">
        <f t="shared" si="17"/>
        <v>2.7638396143776003</v>
      </c>
      <c r="BN38" s="34">
        <f t="shared" si="17"/>
        <v>2.9490168685408991</v>
      </c>
      <c r="BO38" s="34">
        <f t="shared" si="17"/>
        <v>4.1954679983108525</v>
      </c>
      <c r="BP38" s="34">
        <f t="shared" si="17"/>
        <v>4.4765643541976798</v>
      </c>
      <c r="BQ38" s="34">
        <f t="shared" si="17"/>
        <v>5.9706177074111562</v>
      </c>
      <c r="BR38" s="34">
        <f t="shared" si="17"/>
        <v>7.6447789125692447</v>
      </c>
      <c r="BS38" s="34">
        <f t="shared" si="17"/>
        <v>8.1569790997113838</v>
      </c>
    </row>
    <row r="39" spans="7:71" x14ac:dyDescent="0.25">
      <c r="G39" s="29" t="s">
        <v>93</v>
      </c>
      <c r="H39" s="20">
        <v>6.7000000000000004E-2</v>
      </c>
      <c r="J39" s="3" t="s">
        <v>94</v>
      </c>
      <c r="BI39" s="24" t="s">
        <v>98</v>
      </c>
      <c r="BJ39" s="34">
        <f t="shared" ref="BJ39:BS39" si="18">BJ37*160</f>
        <v>0.45503999999999994</v>
      </c>
      <c r="BK39" s="34">
        <f t="shared" si="18"/>
        <v>0.80921279999999984</v>
      </c>
      <c r="BL39" s="34">
        <f t="shared" si="18"/>
        <v>1.3814880921599997</v>
      </c>
      <c r="BM39" s="34">
        <f t="shared" si="18"/>
        <v>2.0268157172102401</v>
      </c>
      <c r="BN39" s="34">
        <f t="shared" si="18"/>
        <v>2.3592134948327192</v>
      </c>
      <c r="BO39" s="34">
        <f t="shared" si="18"/>
        <v>2.9368275988175969</v>
      </c>
      <c r="BP39" s="34">
        <f t="shared" si="18"/>
        <v>4.0289079187779127</v>
      </c>
      <c r="BQ39" s="34">
        <f t="shared" si="18"/>
        <v>4.7764941659289253</v>
      </c>
      <c r="BR39" s="34">
        <f t="shared" si="18"/>
        <v>5.860997166303088</v>
      </c>
      <c r="BS39" s="34">
        <f t="shared" si="18"/>
        <v>6.5255832797691085</v>
      </c>
    </row>
    <row r="40" spans="7:71" x14ac:dyDescent="0.25">
      <c r="BI40" s="24" t="s">
        <v>99</v>
      </c>
      <c r="BJ40" s="25">
        <f t="shared" ref="BJ40:BS40" si="19">(BJ36+BJ39+BJ35+BJ38)*12</f>
        <v>789.60815999999977</v>
      </c>
      <c r="BK40" s="25">
        <f t="shared" si="19"/>
        <v>1396.9845172799996</v>
      </c>
      <c r="BL40" s="25">
        <f t="shared" si="19"/>
        <v>2535.2465066280001</v>
      </c>
      <c r="BM40" s="25">
        <f t="shared" si="19"/>
        <v>3506.345126780142</v>
      </c>
      <c r="BN40" s="25">
        <f t="shared" si="19"/>
        <v>4245.257233108051</v>
      </c>
      <c r="BO40" s="25">
        <f t="shared" si="19"/>
        <v>5260.9595398318725</v>
      </c>
      <c r="BP40" s="25">
        <f t="shared" si="19"/>
        <v>6956.7488775864767</v>
      </c>
      <c r="BQ40" s="25">
        <f t="shared" si="19"/>
        <v>8255.3939855061835</v>
      </c>
      <c r="BR40" s="25">
        <f t="shared" si="19"/>
        <v>10133.345568083347</v>
      </c>
      <c r="BS40" s="25">
        <f t="shared" si="19"/>
        <v>11509.293585215271</v>
      </c>
    </row>
    <row r="45" spans="7:71" x14ac:dyDescent="0.25">
      <c r="BI45" s="15" t="s">
        <v>80</v>
      </c>
      <c r="BJ45" s="15">
        <v>2014</v>
      </c>
      <c r="BK45" s="15">
        <v>2015</v>
      </c>
      <c r="BL45" s="15">
        <v>2016</v>
      </c>
      <c r="BM45" s="15">
        <v>2017</v>
      </c>
      <c r="BN45" s="15">
        <v>2018</v>
      </c>
      <c r="BO45" s="15">
        <v>2019</v>
      </c>
      <c r="BP45" s="15">
        <v>2020</v>
      </c>
      <c r="BQ45" s="15">
        <v>2021</v>
      </c>
      <c r="BR45" s="15">
        <v>2022</v>
      </c>
      <c r="BS45" s="15">
        <v>2023</v>
      </c>
    </row>
    <row r="46" spans="7:71" x14ac:dyDescent="0.25">
      <c r="BI46" s="24" t="s">
        <v>100</v>
      </c>
      <c r="BJ46" s="25">
        <v>0.59</v>
      </c>
      <c r="BK46" s="34">
        <f t="shared" ref="BK46:BS46" si="20">BJ46+(BJ46*$AZ$13)</f>
        <v>0.66333699999999995</v>
      </c>
      <c r="BL46" s="34">
        <f t="shared" si="20"/>
        <v>0.74578978909999993</v>
      </c>
      <c r="BM46" s="34">
        <f t="shared" si="20"/>
        <v>0.83849145988512996</v>
      </c>
      <c r="BN46" s="34">
        <f t="shared" si="20"/>
        <v>0.94271594834885164</v>
      </c>
      <c r="BO46" s="34">
        <f t="shared" si="20"/>
        <v>1.0598955407286139</v>
      </c>
      <c r="BP46" s="34">
        <f t="shared" si="20"/>
        <v>1.1916405564411807</v>
      </c>
      <c r="BQ46" s="34">
        <f t="shared" si="20"/>
        <v>1.3397614776068194</v>
      </c>
      <c r="BR46" s="34">
        <f t="shared" si="20"/>
        <v>1.506293829273347</v>
      </c>
      <c r="BS46" s="34">
        <f t="shared" si="20"/>
        <v>1.693526152252024</v>
      </c>
    </row>
    <row r="47" spans="7:71" x14ac:dyDescent="0.25">
      <c r="G47" s="38" t="s">
        <v>73</v>
      </c>
      <c r="H47" s="38" t="str">
        <f>'capital trabajo'!E9</f>
        <v>mensulaes</v>
      </c>
      <c r="I47" s="38" t="str">
        <f>'capital trabajo'!F9</f>
        <v>(0 - 3 años)</v>
      </c>
      <c r="BI47" s="24" t="s">
        <v>101</v>
      </c>
      <c r="BJ47" s="25">
        <v>5</v>
      </c>
      <c r="BK47" s="25">
        <v>5</v>
      </c>
      <c r="BL47" s="25">
        <v>5</v>
      </c>
      <c r="BM47" s="25">
        <v>5</v>
      </c>
      <c r="BN47" s="25">
        <v>5</v>
      </c>
      <c r="BO47" s="25">
        <v>5</v>
      </c>
      <c r="BP47" s="25">
        <v>5</v>
      </c>
      <c r="BQ47" s="25">
        <v>5</v>
      </c>
      <c r="BR47" s="25">
        <v>5</v>
      </c>
      <c r="BS47" s="25">
        <v>5</v>
      </c>
    </row>
    <row r="48" spans="7:71" ht="30" x14ac:dyDescent="0.25">
      <c r="G48" s="29" t="s">
        <v>102</v>
      </c>
      <c r="H48">
        <f>'capital trabajo'!E18</f>
        <v>40</v>
      </c>
      <c r="I48">
        <f>'capital trabajo'!F18</f>
        <v>552.00000000000011</v>
      </c>
      <c r="BI48" s="24" t="s">
        <v>103</v>
      </c>
      <c r="BJ48" s="25">
        <f>'gastos totales'!D76</f>
        <v>5</v>
      </c>
      <c r="BK48" s="25">
        <f>'gastos totales'!E76</f>
        <v>9</v>
      </c>
      <c r="BL48" s="25">
        <f>'gastos totales'!F76</f>
        <v>16</v>
      </c>
      <c r="BM48" s="25">
        <f>'gastos totales'!G76</f>
        <v>21</v>
      </c>
      <c r="BN48" s="25">
        <f>'gastos totales'!H76</f>
        <v>24</v>
      </c>
      <c r="BO48" s="25">
        <f>'gastos totales'!I76</f>
        <v>28</v>
      </c>
      <c r="BP48" s="25">
        <f>'gastos totales'!J76</f>
        <v>35</v>
      </c>
      <c r="BQ48" s="25">
        <f>'gastos totales'!K76</f>
        <v>39</v>
      </c>
      <c r="BR48" s="25">
        <f>'gastos totales'!L76</f>
        <v>45</v>
      </c>
      <c r="BS48" s="25">
        <f>'gastos totales'!M76</f>
        <v>48</v>
      </c>
    </row>
    <row r="49" spans="2:71" ht="30" x14ac:dyDescent="0.25">
      <c r="G49" s="29" t="s">
        <v>104</v>
      </c>
      <c r="H49">
        <f>'capital trabajo'!E14</f>
        <v>24.32</v>
      </c>
      <c r="I49">
        <f>'capital trabajo'!F14</f>
        <v>8054.7840000000015</v>
      </c>
      <c r="BI49" s="24" t="s">
        <v>105</v>
      </c>
      <c r="BJ49" s="25">
        <f t="shared" ref="BJ49:BS49" si="21">(BJ46*BJ47*BJ48)*12</f>
        <v>176.99999999999997</v>
      </c>
      <c r="BK49" s="25">
        <f t="shared" si="21"/>
        <v>358.20197999999993</v>
      </c>
      <c r="BL49" s="25">
        <f t="shared" si="21"/>
        <v>715.95819753599994</v>
      </c>
      <c r="BM49" s="25">
        <f t="shared" si="21"/>
        <v>1056.4992394552637</v>
      </c>
      <c r="BN49" s="25">
        <f t="shared" si="21"/>
        <v>1357.5109656223462</v>
      </c>
      <c r="BO49" s="25">
        <f t="shared" si="21"/>
        <v>1780.6245084240713</v>
      </c>
      <c r="BP49" s="25">
        <f t="shared" si="21"/>
        <v>2502.4451685264794</v>
      </c>
      <c r="BQ49" s="25">
        <f t="shared" si="21"/>
        <v>3135.0418575999574</v>
      </c>
      <c r="BR49" s="25">
        <f t="shared" si="21"/>
        <v>4066.9933390380365</v>
      </c>
      <c r="BS49" s="25">
        <f t="shared" si="21"/>
        <v>4877.3553184858292</v>
      </c>
    </row>
    <row r="50" spans="2:71" x14ac:dyDescent="0.25">
      <c r="G50" s="29" t="s">
        <v>106</v>
      </c>
      <c r="H50">
        <f>'capital trabajo'!E15</f>
        <v>24</v>
      </c>
      <c r="I50">
        <f>'capital trabajo'!F15</f>
        <v>4636.8</v>
      </c>
    </row>
    <row r="51" spans="2:71" x14ac:dyDescent="0.25">
      <c r="B51">
        <f>4*4</f>
        <v>16</v>
      </c>
      <c r="G51" s="29" t="s">
        <v>57</v>
      </c>
      <c r="H51">
        <f>'capital trabajo'!E10</f>
        <v>5.99</v>
      </c>
      <c r="I51">
        <f>'capital trabajo'!F10</f>
        <v>1653.2399999999998</v>
      </c>
    </row>
    <row r="52" spans="2:71" ht="30" x14ac:dyDescent="0.25">
      <c r="G52" s="39" t="s">
        <v>107</v>
      </c>
      <c r="H52">
        <v>16</v>
      </c>
      <c r="I52">
        <f>H52*12</f>
        <v>192</v>
      </c>
      <c r="Y52" s="28" t="s">
        <v>2</v>
      </c>
      <c r="Z52" s="3" t="s">
        <v>108</v>
      </c>
    </row>
    <row r="53" spans="2:71" x14ac:dyDescent="0.25">
      <c r="H53">
        <f>SUM(H48:H52)</f>
        <v>110.30999999999999</v>
      </c>
      <c r="I53">
        <f>SUM(I48:I52)</f>
        <v>15088.824000000002</v>
      </c>
    </row>
    <row r="56" spans="2:71" x14ac:dyDescent="0.25"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</row>
    <row r="57" spans="2:71" x14ac:dyDescent="0.25">
      <c r="BI57" s="24"/>
      <c r="BJ57" s="25"/>
      <c r="BK57" s="25"/>
      <c r="BL57" s="25"/>
      <c r="BM57" s="25"/>
      <c r="BN57" s="25"/>
      <c r="BO57" s="25"/>
      <c r="BP57" s="25"/>
      <c r="BQ57" s="25"/>
      <c r="BR57" s="25"/>
      <c r="BS57" s="25"/>
    </row>
    <row r="58" spans="2:71" x14ac:dyDescent="0.25">
      <c r="BI58" s="24"/>
      <c r="BJ58" s="25"/>
      <c r="BK58" s="25"/>
      <c r="BL58" s="25"/>
      <c r="BM58" s="25"/>
      <c r="BN58" s="25"/>
      <c r="BO58" s="25"/>
      <c r="BP58" s="25"/>
      <c r="BQ58" s="25"/>
      <c r="BR58" s="25"/>
      <c r="BS58" s="25"/>
    </row>
    <row r="59" spans="2:71" x14ac:dyDescent="0.25">
      <c r="BI59" s="24"/>
      <c r="BJ59" s="25"/>
      <c r="BK59" s="25"/>
      <c r="BL59" s="25"/>
      <c r="BM59" s="25"/>
      <c r="BN59" s="25"/>
      <c r="BO59" s="25"/>
      <c r="BP59" s="25"/>
      <c r="BQ59" s="25"/>
      <c r="BR59" s="25"/>
      <c r="BS59" s="25"/>
    </row>
    <row r="60" spans="2:71" x14ac:dyDescent="0.25">
      <c r="BI60" s="24"/>
      <c r="BJ60" s="25"/>
      <c r="BK60" s="25"/>
      <c r="BL60" s="25"/>
      <c r="BM60" s="25"/>
      <c r="BN60" s="25"/>
      <c r="BO60" s="25"/>
      <c r="BP60" s="25"/>
      <c r="BQ60" s="25"/>
      <c r="BR60" s="25"/>
      <c r="BS60" s="25"/>
    </row>
    <row r="61" spans="2:71" x14ac:dyDescent="0.25">
      <c r="BI61" s="24"/>
      <c r="BJ61" s="25"/>
      <c r="BK61" s="25"/>
      <c r="BL61" s="25"/>
      <c r="BM61" s="25"/>
      <c r="BN61" s="25"/>
      <c r="BO61" s="25"/>
      <c r="BP61" s="25"/>
      <c r="BQ61" s="25"/>
      <c r="BR61" s="25"/>
      <c r="BS61" s="25"/>
    </row>
  </sheetData>
  <hyperlinks>
    <hyperlink ref="J36" r:id="rId1"/>
    <hyperlink ref="J39" r:id="rId2"/>
    <hyperlink ref="Z52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D8:N48"/>
  <sheetViews>
    <sheetView topLeftCell="A15" zoomScaleNormal="100" workbookViewId="0">
      <selection activeCell="E26" sqref="E26"/>
    </sheetView>
  </sheetViews>
  <sheetFormatPr baseColWidth="10" defaultColWidth="9.140625" defaultRowHeight="15" x14ac:dyDescent="0.25"/>
  <cols>
    <col min="1" max="3" width="11.42578125"/>
    <col min="4" max="4" width="40.140625"/>
    <col min="5" max="5" width="17.140625"/>
    <col min="6" max="8" width="8.5703125"/>
    <col min="9" max="9" width="19.7109375"/>
    <col min="10" max="12" width="11.42578125"/>
    <col min="13" max="13" width="27"/>
    <col min="14" max="1025" width="11.42578125"/>
  </cols>
  <sheetData>
    <row r="8" spans="4:10" x14ac:dyDescent="0.25">
      <c r="D8" s="15"/>
      <c r="E8" s="15" t="s">
        <v>109</v>
      </c>
      <c r="F8" s="15"/>
      <c r="G8" s="15"/>
      <c r="H8" s="15"/>
      <c r="I8" s="15"/>
    </row>
    <row r="9" spans="4:10" x14ac:dyDescent="0.25">
      <c r="D9" s="15" t="s">
        <v>55</v>
      </c>
      <c r="E9" s="15" t="s">
        <v>110</v>
      </c>
      <c r="F9" s="15" t="s">
        <v>111</v>
      </c>
      <c r="G9" s="15" t="s">
        <v>112</v>
      </c>
      <c r="H9" s="15" t="s">
        <v>113</v>
      </c>
      <c r="I9" s="15" t="s">
        <v>2</v>
      </c>
    </row>
    <row r="10" spans="4:10" x14ac:dyDescent="0.25">
      <c r="D10" s="24" t="s">
        <v>57</v>
      </c>
      <c r="E10" s="24">
        <v>5.99</v>
      </c>
      <c r="F10" s="40">
        <f>$E10*12*('costos totales anuales'!$E$20+'costos totales anuales'!$F$20+'costos totales anuales'!$G$20)</f>
        <v>1653.2399999999998</v>
      </c>
      <c r="G10" s="40">
        <f>$E10*12*('costos totales anuales'!$H$20+'costos totales anuales'!$I$20+'costos totales anuales'!$J$20)</f>
        <v>4318.1244444448239</v>
      </c>
      <c r="H10" s="40">
        <f>$E10*12*('costos totales anuales'!$K$20+'costos totales anuales'!$L$20+'costos totales anuales'!$M$20)</f>
        <v>7050.64905349951</v>
      </c>
      <c r="I10" s="24" t="s">
        <v>114</v>
      </c>
      <c r="J10" s="3" t="s">
        <v>115</v>
      </c>
    </row>
    <row r="11" spans="4:10" x14ac:dyDescent="0.25">
      <c r="D11" s="24" t="s">
        <v>116</v>
      </c>
      <c r="E11" s="24">
        <f>'costos totales anuales'!C29</f>
        <v>13</v>
      </c>
      <c r="F11" s="40">
        <f>$E11*12*('costos totales anuales'!$E$20+'costos totales anuales'!$F$20+'costos totales anuales'!$G$20)</f>
        <v>3588</v>
      </c>
      <c r="G11" s="40">
        <f>$E11*12*('costos totales anuales'!$H$20+'costos totales anuales'!$I$20+'costos totales anuales'!$J$20)</f>
        <v>9371.5555555563806</v>
      </c>
      <c r="H11" s="40">
        <f>$E11*12*('costos totales anuales'!$K$20+'costos totales anuales'!$L$20+'costos totales anuales'!$M$20)</f>
        <v>15301.909465023979</v>
      </c>
      <c r="I11" s="24" t="s">
        <v>114</v>
      </c>
      <c r="J11" s="3"/>
    </row>
    <row r="12" spans="4:10" x14ac:dyDescent="0.25">
      <c r="D12" s="24" t="s">
        <v>76</v>
      </c>
      <c r="E12" s="24">
        <v>49.99</v>
      </c>
      <c r="F12" s="40">
        <f t="shared" ref="F12:H13" si="0">$E12*12*3</f>
        <v>1799.6399999999999</v>
      </c>
      <c r="G12" s="40">
        <f t="shared" si="0"/>
        <v>1799.6399999999999</v>
      </c>
      <c r="H12" s="40">
        <f t="shared" si="0"/>
        <v>1799.6399999999999</v>
      </c>
      <c r="I12" s="24" t="s">
        <v>117</v>
      </c>
      <c r="J12" s="3" t="s">
        <v>118</v>
      </c>
    </row>
    <row r="13" spans="4:10" x14ac:dyDescent="0.25">
      <c r="D13" s="24" t="s">
        <v>62</v>
      </c>
      <c r="E13" s="24">
        <v>15</v>
      </c>
      <c r="F13" s="40">
        <f t="shared" si="0"/>
        <v>540</v>
      </c>
      <c r="G13" s="40">
        <f t="shared" si="0"/>
        <v>540</v>
      </c>
      <c r="H13" s="40">
        <f t="shared" si="0"/>
        <v>540</v>
      </c>
      <c r="I13" s="24" t="s">
        <v>119</v>
      </c>
      <c r="J13" s="3" t="s">
        <v>120</v>
      </c>
    </row>
    <row r="14" spans="4:10" x14ac:dyDescent="0.25">
      <c r="D14" s="24" t="s">
        <v>104</v>
      </c>
      <c r="E14" s="24">
        <f>0.8*30.4</f>
        <v>24.32</v>
      </c>
      <c r="F14" s="40">
        <f>$E14*12*'costos totales anuales'!S19</f>
        <v>8054.7840000000015</v>
      </c>
      <c r="G14" s="40">
        <f>$E14*12*'costos totales anuales'!T19</f>
        <v>21038.421333335191</v>
      </c>
      <c r="H14" s="40">
        <f>$E14*12*'costos totales anuales'!U19</f>
        <v>31488.975539101662</v>
      </c>
      <c r="I14" s="24" t="s">
        <v>121</v>
      </c>
      <c r="J14" s="3" t="s">
        <v>122</v>
      </c>
    </row>
    <row r="15" spans="4:10" ht="22.5" x14ac:dyDescent="0.25">
      <c r="D15" s="24" t="s">
        <v>106</v>
      </c>
      <c r="E15" s="24">
        <v>24</v>
      </c>
      <c r="F15" s="40">
        <f>$E15*12*'costos totales anuales'!S27</f>
        <v>4636.8</v>
      </c>
      <c r="G15" s="40">
        <f>$E15*12*'costos totales anuales'!T27</f>
        <v>12110.9333333344</v>
      </c>
      <c r="H15" s="40">
        <f>$E15*12*'costos totales anuales'!U27</f>
        <v>15537.323456793581</v>
      </c>
      <c r="I15" s="24" t="s">
        <v>123</v>
      </c>
      <c r="J15" s="3" t="s">
        <v>124</v>
      </c>
    </row>
    <row r="16" spans="4:10" ht="22.5" x14ac:dyDescent="0.25">
      <c r="D16" s="24" t="s">
        <v>125</v>
      </c>
      <c r="E16" s="24">
        <v>10</v>
      </c>
      <c r="F16" s="40">
        <f>$E16*12*'costos totales anuales'!S32</f>
        <v>552.00000000000011</v>
      </c>
      <c r="G16" s="40">
        <f>$E16*12*'costos totales anuales'!T32</f>
        <v>1441.7777777779047</v>
      </c>
      <c r="H16" s="40">
        <f>$E16*12*'costos totales anuales'!U32</f>
        <v>2354.1399176959972</v>
      </c>
      <c r="I16" s="24" t="s">
        <v>126</v>
      </c>
      <c r="J16" s="3" t="s">
        <v>127</v>
      </c>
    </row>
    <row r="17" spans="4:10" ht="22.5" x14ac:dyDescent="0.25">
      <c r="D17" s="24" t="s">
        <v>128</v>
      </c>
      <c r="E17" s="24">
        <v>15</v>
      </c>
      <c r="F17" s="40">
        <f>$E17*12*'costos totales anuales'!S39</f>
        <v>2277.0000000000005</v>
      </c>
      <c r="G17" s="40">
        <f>$E17*12*'costos totales anuales'!T39</f>
        <v>5947.3333333338569</v>
      </c>
      <c r="H17" s="40">
        <f>$E17*12*'costos totales anuales'!U39</f>
        <v>9710.8271604959882</v>
      </c>
      <c r="I17" s="24" t="s">
        <v>126</v>
      </c>
      <c r="J17" s="3"/>
    </row>
    <row r="18" spans="4:10" x14ac:dyDescent="0.25">
      <c r="D18" s="24" t="s">
        <v>102</v>
      </c>
      <c r="E18" s="24">
        <v>40</v>
      </c>
      <c r="F18" s="40">
        <f>$E18*12*'costos totales anuales'!S45</f>
        <v>552.00000000000011</v>
      </c>
      <c r="G18" s="40">
        <f>$E18*12*'costos totales anuales'!T45</f>
        <v>1441.7777777779047</v>
      </c>
      <c r="H18" s="40">
        <f>$E18*12*'costos totales anuales'!U45</f>
        <v>2354.1399176959972</v>
      </c>
      <c r="I18" s="24" t="s">
        <v>129</v>
      </c>
    </row>
    <row r="19" spans="4:10" x14ac:dyDescent="0.25">
      <c r="D19" s="24" t="s">
        <v>51</v>
      </c>
      <c r="E19" s="24">
        <f>SUM(E10:E18)</f>
        <v>197.3</v>
      </c>
      <c r="F19" s="40">
        <f>SUM(F10:F18)</f>
        <v>23653.464</v>
      </c>
      <c r="G19" s="40">
        <f>SUM(G10:G18)</f>
        <v>58009.56355556046</v>
      </c>
      <c r="H19" s="40">
        <f>SUM(H10:H18)</f>
        <v>86137.604510306715</v>
      </c>
      <c r="I19" s="24"/>
    </row>
    <row r="24" spans="4:10" x14ac:dyDescent="0.25">
      <c r="E24" s="127" t="s">
        <v>109</v>
      </c>
      <c r="F24" s="127"/>
      <c r="G24" s="127"/>
      <c r="H24" s="127"/>
    </row>
    <row r="25" spans="4:10" x14ac:dyDescent="0.25">
      <c r="D25" s="15" t="s">
        <v>55</v>
      </c>
      <c r="E25" s="15" t="s">
        <v>130</v>
      </c>
      <c r="F25" s="15" t="s">
        <v>111</v>
      </c>
      <c r="G25" s="15" t="s">
        <v>112</v>
      </c>
      <c r="H25" s="15" t="s">
        <v>113</v>
      </c>
      <c r="I25" s="15" t="s">
        <v>2</v>
      </c>
    </row>
    <row r="26" spans="4:10" x14ac:dyDescent="0.25">
      <c r="D26" s="24" t="s">
        <v>131</v>
      </c>
      <c r="E26" s="24">
        <v>67</v>
      </c>
      <c r="F26" s="40">
        <f>$E26*('costos totales anuales'!$E$23+'costos totales anuales'!$F$23+'costos totales anuales'!$G$23)</f>
        <v>308.20000000000005</v>
      </c>
      <c r="G26" s="40">
        <f>$E26*('costos totales anuales'!$H$23+'costos totales anuales'!$I$23+'costos totales anuales'!$J$23)</f>
        <v>804.99259259266353</v>
      </c>
      <c r="H26" s="40">
        <f>$E26*('costos totales anuales'!$K$23+'costos totales anuales'!$L$23+'costos totales anuales'!$M$23)</f>
        <v>1314.3947873802649</v>
      </c>
      <c r="I26" s="24" t="s">
        <v>132</v>
      </c>
      <c r="J26" s="3" t="s">
        <v>133</v>
      </c>
    </row>
    <row r="27" spans="4:10" x14ac:dyDescent="0.25">
      <c r="D27" s="24" t="s">
        <v>134</v>
      </c>
      <c r="E27" s="24">
        <v>40.75</v>
      </c>
      <c r="F27" s="40">
        <f>$E27*('costos totales anuales'!$E$23+'costos totales anuales'!$F$23+'costos totales anuales'!$G$23)</f>
        <v>187.45000000000002</v>
      </c>
      <c r="G27" s="40">
        <f>$E27*('costos totales anuales'!$H$23+'costos totales anuales'!$I$23+'costos totales anuales'!$J$23)</f>
        <v>489.60370370374682</v>
      </c>
      <c r="H27" s="40">
        <f>$E27*('costos totales anuales'!$K$23+'costos totales anuales'!$L$23+'costos totales anuales'!$M$23)</f>
        <v>799.42668038426564</v>
      </c>
      <c r="I27" s="24" t="s">
        <v>135</v>
      </c>
      <c r="J27" s="3" t="s">
        <v>136</v>
      </c>
    </row>
    <row r="28" spans="4:10" x14ac:dyDescent="0.25">
      <c r="D28" s="24" t="s">
        <v>137</v>
      </c>
      <c r="E28" s="24">
        <v>58</v>
      </c>
      <c r="F28" s="40">
        <f>$E28*('costos totales anuales'!$E$23+'costos totales anuales'!$F$23+'costos totales anuales'!$G$23)</f>
        <v>266.8</v>
      </c>
      <c r="G28" s="40">
        <f>$E28*('costos totales anuales'!$H$23+'costos totales anuales'!$I$23+'costos totales anuales'!$J$23)</f>
        <v>696.85925925932065</v>
      </c>
      <c r="H28" s="40">
        <f>$E28*('costos totales anuales'!$K$23+'costos totales anuales'!$L$23+'costos totales anuales'!$M$23)</f>
        <v>1137.8342935530652</v>
      </c>
      <c r="I28" s="24" t="s">
        <v>138</v>
      </c>
      <c r="J28" s="3" t="s">
        <v>139</v>
      </c>
    </row>
    <row r="29" spans="4:10" x14ac:dyDescent="0.25">
      <c r="D29" s="24" t="s">
        <v>140</v>
      </c>
      <c r="E29" s="24">
        <v>11</v>
      </c>
      <c r="F29" s="40">
        <f>$E29*('costos totales anuales'!$E$23+'costos totales anuales'!$F$23+'costos totales anuales'!$G$23)</f>
        <v>50.600000000000009</v>
      </c>
      <c r="G29" s="40">
        <f>$E29*('costos totales anuales'!$H$23+'costos totales anuales'!$I$23+'costos totales anuales'!$J$23)</f>
        <v>132.1629629629746</v>
      </c>
      <c r="H29" s="40">
        <f>$E29*('costos totales anuales'!$K$23+'costos totales anuales'!$L$23+'costos totales anuales'!$M$23)</f>
        <v>215.79615912213308</v>
      </c>
      <c r="I29" s="24" t="s">
        <v>141</v>
      </c>
      <c r="J29" s="3" t="s">
        <v>142</v>
      </c>
    </row>
    <row r="30" spans="4:10" x14ac:dyDescent="0.25">
      <c r="D30" s="24" t="s">
        <v>143</v>
      </c>
      <c r="E30" s="24">
        <f>1*10</f>
        <v>10</v>
      </c>
      <c r="F30" s="40">
        <f>$E30*('costos totales anuales'!$E$23+'costos totales anuales'!$F$23+'costos totales anuales'!$G$23)</f>
        <v>46.000000000000007</v>
      </c>
      <c r="G30" s="40">
        <f>$E30*('costos totales anuales'!$H$23+'costos totales anuales'!$I$23+'costos totales anuales'!$J$23)</f>
        <v>120.14814814815873</v>
      </c>
      <c r="H30" s="40">
        <f>$E30*('costos totales anuales'!$K$23+'costos totales anuales'!$L$23+'costos totales anuales'!$M$23)</f>
        <v>196.17832647466642</v>
      </c>
      <c r="I30" s="24" t="s">
        <v>144</v>
      </c>
      <c r="J30" s="3" t="s">
        <v>145</v>
      </c>
    </row>
    <row r="31" spans="4:10" x14ac:dyDescent="0.25">
      <c r="D31" s="24" t="s">
        <v>146</v>
      </c>
      <c r="E31" s="24">
        <f>1.89*10</f>
        <v>18.899999999999999</v>
      </c>
      <c r="F31" s="40">
        <f>$E31*('costos totales anuales'!$E$23+'costos totales anuales'!$F$23+'costos totales anuales'!$G$23)</f>
        <v>86.94</v>
      </c>
      <c r="G31" s="40">
        <f>$E31*('costos totales anuales'!$H$23+'costos totales anuales'!$I$23+'costos totales anuales'!$J$23)</f>
        <v>227.08000000001999</v>
      </c>
      <c r="H31" s="40">
        <f>$E31*('costos totales anuales'!$K$23+'costos totales anuales'!$L$23+'costos totales anuales'!$M$23)</f>
        <v>370.7770370371195</v>
      </c>
      <c r="I31" s="24" t="s">
        <v>147</v>
      </c>
      <c r="J31" s="3" t="s">
        <v>148</v>
      </c>
    </row>
    <row r="32" spans="4:10" x14ac:dyDescent="0.25">
      <c r="D32" s="24" t="s">
        <v>149</v>
      </c>
      <c r="E32" s="24">
        <v>144</v>
      </c>
      <c r="F32" s="40">
        <f>$E32*('costos totales anuales'!$E$23+'costos totales anuales'!$F$23+'costos totales anuales'!$G$23)</f>
        <v>662.40000000000009</v>
      </c>
      <c r="G32" s="40">
        <f>$E32*('costos totales anuales'!$H$23+'costos totales anuales'!$I$23+'costos totales anuales'!$J$23)</f>
        <v>1730.1333333334858</v>
      </c>
      <c r="H32" s="40">
        <f>$E32*('costos totales anuales'!$K$23+'costos totales anuales'!$L$23+'costos totales anuales'!$M$23)</f>
        <v>2824.9679012351962</v>
      </c>
      <c r="I32" s="24" t="s">
        <v>150</v>
      </c>
      <c r="J32" s="3" t="s">
        <v>151</v>
      </c>
    </row>
    <row r="33" spans="4:14" x14ac:dyDescent="0.25">
      <c r="D33" s="24" t="s">
        <v>152</v>
      </c>
      <c r="E33" s="24">
        <v>200</v>
      </c>
      <c r="F33" s="40">
        <f>$E33*('costos totales anuales'!$E$23+'costos totales anuales'!$F$23+'costos totales anuales'!$G$23)</f>
        <v>920.00000000000011</v>
      </c>
      <c r="G33" s="40">
        <f>$E33*('costos totales anuales'!$H$23+'costos totales anuales'!$I$23+'costos totales anuales'!$J$23)</f>
        <v>2402.9629629631745</v>
      </c>
      <c r="H33" s="40">
        <f>$E33*('costos totales anuales'!$K$23+'costos totales anuales'!$L$23+'costos totales anuales'!$M$23)</f>
        <v>3923.5665294933283</v>
      </c>
      <c r="I33" s="24" t="s">
        <v>153</v>
      </c>
      <c r="J33" s="3" t="s">
        <v>154</v>
      </c>
    </row>
    <row r="34" spans="4:14" x14ac:dyDescent="0.25">
      <c r="D34" s="24" t="s">
        <v>155</v>
      </c>
      <c r="E34" s="24">
        <f>'valores activos fijos cantidad'!F22</f>
        <v>960</v>
      </c>
      <c r="F34" s="40">
        <f>$E34*('costos totales anuales'!$E$23+'costos totales anuales'!$F$23+'costos totales anuales'!$G$23)</f>
        <v>4416.0000000000009</v>
      </c>
      <c r="G34" s="40">
        <f>$E34*('costos totales anuales'!$H$23+'costos totales anuales'!$I$23+'costos totales anuales'!$J$23)</f>
        <v>11534.222222223238</v>
      </c>
      <c r="H34" s="40">
        <f>$E34*('costos totales anuales'!$H$23+'costos totales anuales'!$I$23+'costos totales anuales'!$J$23)</f>
        <v>11534.222222223238</v>
      </c>
      <c r="I34" s="24" t="s">
        <v>156</v>
      </c>
      <c r="J34" s="3"/>
    </row>
    <row r="35" spans="4:14" x14ac:dyDescent="0.25">
      <c r="D35" s="24" t="s">
        <v>51</v>
      </c>
      <c r="E35" s="24">
        <f>SUM(E26:E33)</f>
        <v>549.65</v>
      </c>
      <c r="F35" s="40">
        <f>SUM(F26:F34)</f>
        <v>6944.3900000000012</v>
      </c>
      <c r="G35" s="40">
        <f>SUM(G26:G34)</f>
        <v>18138.165185186783</v>
      </c>
      <c r="H35" s="40">
        <f>SUM(H26:H34)</f>
        <v>22317.163936903278</v>
      </c>
      <c r="I35" s="24"/>
      <c r="J35" s="3"/>
    </row>
    <row r="42" spans="4:14" x14ac:dyDescent="0.25">
      <c r="E42" s="127" t="s">
        <v>109</v>
      </c>
      <c r="F42" s="127"/>
      <c r="G42" s="127"/>
      <c r="H42" s="127"/>
    </row>
    <row r="43" spans="4:14" x14ac:dyDescent="0.25">
      <c r="D43" s="38" t="s">
        <v>55</v>
      </c>
      <c r="E43" s="15" t="s">
        <v>157</v>
      </c>
      <c r="F43" s="15" t="s">
        <v>111</v>
      </c>
      <c r="G43" s="15" t="s">
        <v>112</v>
      </c>
      <c r="H43" s="15" t="s">
        <v>113</v>
      </c>
    </row>
    <row r="44" spans="4:14" x14ac:dyDescent="0.25">
      <c r="D44" s="24" t="s">
        <v>158</v>
      </c>
      <c r="E44" s="40">
        <f>E35</f>
        <v>549.65</v>
      </c>
      <c r="F44" s="40">
        <f>F35</f>
        <v>6944.3900000000012</v>
      </c>
      <c r="G44" s="40">
        <f>G35</f>
        <v>18138.165185186783</v>
      </c>
      <c r="H44" s="40">
        <f>H35</f>
        <v>22317.163936903278</v>
      </c>
      <c r="M44" s="38" t="s">
        <v>159</v>
      </c>
      <c r="N44" s="41" t="s">
        <v>160</v>
      </c>
    </row>
    <row r="45" spans="4:14" x14ac:dyDescent="0.25">
      <c r="D45" s="24" t="s">
        <v>161</v>
      </c>
      <c r="E45" s="40">
        <f>E19</f>
        <v>197.3</v>
      </c>
      <c r="F45" s="40">
        <f>F19</f>
        <v>23653.464</v>
      </c>
      <c r="G45" s="40">
        <f>G19</f>
        <v>58009.56355556046</v>
      </c>
      <c r="H45" s="40">
        <f>H19</f>
        <v>86137.604510306715</v>
      </c>
      <c r="M45" s="42" t="s">
        <v>162</v>
      </c>
      <c r="N45" s="43">
        <v>11188.6</v>
      </c>
    </row>
    <row r="46" spans="4:14" x14ac:dyDescent="0.25">
      <c r="D46" s="44" t="s">
        <v>51</v>
      </c>
      <c r="E46" s="40">
        <f>SUM(E44,E45)</f>
        <v>746.95</v>
      </c>
      <c r="F46" s="40">
        <f>SUM(F44,F45)</f>
        <v>30597.853999999999</v>
      </c>
      <c r="G46" s="40">
        <f>SUM(G44,G45)</f>
        <v>76147.728740747247</v>
      </c>
      <c r="H46" s="40">
        <f>SUM(H44,H45)</f>
        <v>108454.76844720999</v>
      </c>
      <c r="M46" s="42" t="s">
        <v>163</v>
      </c>
      <c r="N46" s="43">
        <v>692.94</v>
      </c>
    </row>
    <row r="47" spans="4:14" x14ac:dyDescent="0.25">
      <c r="M47" s="42" t="s">
        <v>164</v>
      </c>
      <c r="N47" s="43">
        <v>241.6</v>
      </c>
    </row>
    <row r="48" spans="4:14" x14ac:dyDescent="0.25">
      <c r="M48" s="45" t="s">
        <v>165</v>
      </c>
      <c r="N48" s="43">
        <f>SUM(N45:N47)</f>
        <v>12123.140000000001</v>
      </c>
    </row>
  </sheetData>
  <mergeCells count="2">
    <mergeCell ref="E24:H24"/>
    <mergeCell ref="E42:H42"/>
  </mergeCells>
  <hyperlinks>
    <hyperlink ref="J10" r:id="rId1"/>
    <hyperlink ref="J12" r:id="rId2"/>
    <hyperlink ref="J13" r:id="rId3"/>
    <hyperlink ref="J14" r:id="rId4" location="n.CAMPAIGNSETTINGS&amp;app=cm"/>
    <hyperlink ref="J15" r:id="rId5"/>
    <hyperlink ref="J16" r:id="rId6"/>
    <hyperlink ref="J26" r:id="rId7"/>
    <hyperlink ref="J27" r:id="rId8"/>
    <hyperlink ref="J28" r:id="rId9"/>
    <hyperlink ref="J29" r:id="rId10"/>
    <hyperlink ref="J30" r:id="rId11"/>
    <hyperlink ref="J31" r:id="rId12"/>
    <hyperlink ref="J32" r:id="rId13"/>
    <hyperlink ref="J33" r:id="rId1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D7:S112"/>
  <sheetViews>
    <sheetView topLeftCell="I92" zoomScaleNormal="100" workbookViewId="0">
      <selection activeCell="N113" sqref="N113"/>
    </sheetView>
  </sheetViews>
  <sheetFormatPr baseColWidth="10" defaultColWidth="9.140625" defaultRowHeight="15" x14ac:dyDescent="0.25"/>
  <cols>
    <col min="1" max="1" width="35.42578125"/>
    <col min="2" max="3" width="11.42578125"/>
    <col min="4" max="4" width="25.28515625"/>
    <col min="5" max="5" width="4.7109375"/>
    <col min="6" max="6" width="10"/>
    <col min="7" max="7" width="13.42578125"/>
    <col min="8" max="8" width="15.5703125"/>
    <col min="9" max="9" width="12.7109375"/>
    <col min="10" max="10" width="18"/>
    <col min="11" max="11" width="10.85546875"/>
    <col min="12" max="12" width="11.42578125"/>
    <col min="13" max="13" width="24.7109375"/>
    <col min="14" max="14" width="15.7109375"/>
    <col min="15" max="15" width="26.5703125"/>
    <col min="16" max="16" width="13"/>
    <col min="17" max="17" width="14.7109375"/>
    <col min="18" max="18" width="23"/>
    <col min="19" max="1025" width="11.42578125"/>
  </cols>
  <sheetData>
    <row r="7" spans="4:11" ht="22.5" x14ac:dyDescent="0.25">
      <c r="D7" s="21" t="s">
        <v>166</v>
      </c>
      <c r="E7" s="15"/>
      <c r="F7" s="21" t="s">
        <v>167</v>
      </c>
      <c r="G7" s="21" t="s">
        <v>168</v>
      </c>
      <c r="H7" s="15" t="s">
        <v>38</v>
      </c>
      <c r="I7" s="15" t="s">
        <v>39</v>
      </c>
      <c r="J7" s="21" t="s">
        <v>169</v>
      </c>
      <c r="K7" s="15" t="s">
        <v>170</v>
      </c>
    </row>
    <row r="8" spans="4:11" x14ac:dyDescent="0.25">
      <c r="D8" s="46"/>
      <c r="E8" s="46"/>
      <c r="F8" s="47"/>
      <c r="G8" s="47"/>
      <c r="H8" s="47"/>
      <c r="I8" s="47"/>
      <c r="J8" s="47"/>
    </row>
    <row r="9" spans="4:11" x14ac:dyDescent="0.25">
      <c r="D9" s="15" t="s">
        <v>171</v>
      </c>
      <c r="E9" s="15"/>
      <c r="F9" s="15"/>
      <c r="G9" s="15"/>
      <c r="H9" s="15"/>
      <c r="I9" s="15"/>
      <c r="J9" s="15"/>
      <c r="K9" s="15"/>
    </row>
    <row r="10" spans="4:11" ht="22.5" customHeight="1" x14ac:dyDescent="0.25">
      <c r="D10" s="128" t="s">
        <v>172</v>
      </c>
      <c r="E10" s="128"/>
      <c r="F10" s="25">
        <f>3/20</f>
        <v>0.15</v>
      </c>
      <c r="G10" s="25">
        <f>F10/5</f>
        <v>0.03</v>
      </c>
      <c r="H10" s="25">
        <f>2/20</f>
        <v>0.1</v>
      </c>
      <c r="I10" s="25">
        <v>0</v>
      </c>
      <c r="J10" s="25">
        <v>0</v>
      </c>
      <c r="K10" s="25">
        <v>0</v>
      </c>
    </row>
    <row r="11" spans="4:11" ht="15.75" customHeight="1" x14ac:dyDescent="0.25">
      <c r="D11" s="128" t="s">
        <v>173</v>
      </c>
      <c r="E11" s="128"/>
      <c r="F11" s="25">
        <v>0</v>
      </c>
      <c r="G11" s="25">
        <f>10/8/20</f>
        <v>6.25E-2</v>
      </c>
      <c r="H11" s="25">
        <v>0</v>
      </c>
      <c r="I11" s="25">
        <v>0</v>
      </c>
      <c r="J11" s="25">
        <v>0</v>
      </c>
      <c r="K11" s="25">
        <v>0</v>
      </c>
    </row>
    <row r="12" spans="4:11" ht="15.75" customHeight="1" x14ac:dyDescent="0.25">
      <c r="D12" s="128" t="s">
        <v>174</v>
      </c>
      <c r="E12" s="128"/>
      <c r="F12" s="25">
        <v>0</v>
      </c>
      <c r="G12" s="25">
        <v>0</v>
      </c>
      <c r="H12" s="25">
        <f>2/20*3</f>
        <v>0.30000000000000004</v>
      </c>
      <c r="I12" s="25">
        <v>0</v>
      </c>
      <c r="J12" s="25">
        <v>0</v>
      </c>
      <c r="K12" s="25">
        <v>0</v>
      </c>
    </row>
    <row r="13" spans="4:11" ht="15.75" customHeight="1" x14ac:dyDescent="0.25">
      <c r="D13" s="128" t="s">
        <v>175</v>
      </c>
      <c r="E13" s="128"/>
      <c r="F13" s="25">
        <f>SUM(F10:F12)</f>
        <v>0.15</v>
      </c>
      <c r="G13" s="25">
        <f>SUM(G10:G12)</f>
        <v>9.2499999999999999E-2</v>
      </c>
      <c r="H13" s="25">
        <f>SUM(H10:H12)</f>
        <v>0.4</v>
      </c>
      <c r="I13" s="25">
        <f>SUM(I10:I12)</f>
        <v>0</v>
      </c>
      <c r="J13" s="25">
        <v>0</v>
      </c>
      <c r="K13" s="25">
        <v>0</v>
      </c>
    </row>
    <row r="14" spans="4:11" ht="15.75" customHeight="1" x14ac:dyDescent="0.25">
      <c r="D14" s="128" t="s">
        <v>176</v>
      </c>
      <c r="E14" s="128"/>
      <c r="F14" s="25">
        <f t="shared" ref="F14:K14" si="0">F13/12</f>
        <v>1.2499999999999999E-2</v>
      </c>
      <c r="G14" s="25">
        <f t="shared" si="0"/>
        <v>7.7083333333333335E-3</v>
      </c>
      <c r="H14" s="25">
        <f t="shared" si="0"/>
        <v>3.3333333333333333E-2</v>
      </c>
      <c r="I14" s="25">
        <f t="shared" si="0"/>
        <v>0</v>
      </c>
      <c r="J14" s="25">
        <f t="shared" si="0"/>
        <v>0</v>
      </c>
      <c r="K14" s="25">
        <f t="shared" si="0"/>
        <v>0</v>
      </c>
    </row>
    <row r="15" spans="4:11" x14ac:dyDescent="0.25">
      <c r="D15" s="128"/>
      <c r="E15" s="128"/>
      <c r="F15" s="48"/>
      <c r="G15" s="48"/>
      <c r="H15" s="48"/>
      <c r="I15" s="48"/>
      <c r="J15" s="48"/>
      <c r="K15" s="48"/>
    </row>
    <row r="16" spans="4:11" x14ac:dyDescent="0.25">
      <c r="D16" s="15" t="s">
        <v>177</v>
      </c>
      <c r="E16" s="15"/>
      <c r="F16" s="15"/>
      <c r="G16" s="15"/>
      <c r="H16" s="15"/>
      <c r="I16" s="15"/>
      <c r="J16" s="15"/>
      <c r="K16" s="15"/>
    </row>
    <row r="17" spans="4:11" ht="23.25" customHeight="1" x14ac:dyDescent="0.25">
      <c r="D17" s="128" t="s">
        <v>172</v>
      </c>
      <c r="E17" s="128"/>
      <c r="F17" s="25">
        <f>8/20</f>
        <v>0.4</v>
      </c>
      <c r="G17" s="25">
        <f>F17/5</f>
        <v>0.08</v>
      </c>
      <c r="H17" s="25">
        <f>3/20</f>
        <v>0.15</v>
      </c>
      <c r="I17" s="25">
        <v>0</v>
      </c>
      <c r="J17" s="25">
        <v>0</v>
      </c>
      <c r="K17" s="25">
        <v>0</v>
      </c>
    </row>
    <row r="18" spans="4:11" ht="15.75" customHeight="1" x14ac:dyDescent="0.25">
      <c r="D18" s="128" t="s">
        <v>173</v>
      </c>
      <c r="E18" s="128"/>
      <c r="F18" s="25">
        <v>0</v>
      </c>
      <c r="G18" s="25">
        <f>30/8/20</f>
        <v>0.1875</v>
      </c>
      <c r="H18" s="25">
        <v>0</v>
      </c>
      <c r="I18" s="25">
        <v>0</v>
      </c>
      <c r="J18" s="25">
        <v>0</v>
      </c>
      <c r="K18" s="25">
        <v>0</v>
      </c>
    </row>
    <row r="19" spans="4:11" ht="15.75" customHeight="1" x14ac:dyDescent="0.25">
      <c r="D19" s="128" t="s">
        <v>178</v>
      </c>
      <c r="E19" s="128"/>
      <c r="F19" s="25">
        <v>0</v>
      </c>
      <c r="G19" s="25">
        <v>0</v>
      </c>
      <c r="H19" s="25">
        <f>0.5/20*100</f>
        <v>2.5</v>
      </c>
      <c r="I19" s="25">
        <v>0</v>
      </c>
      <c r="J19" s="25">
        <v>0</v>
      </c>
      <c r="K19" s="25">
        <v>0</v>
      </c>
    </row>
    <row r="20" spans="4:11" ht="24" customHeight="1" x14ac:dyDescent="0.25">
      <c r="D20" s="128" t="s">
        <v>179</v>
      </c>
      <c r="E20" s="128"/>
      <c r="F20" s="25">
        <v>0</v>
      </c>
      <c r="G20" s="25">
        <v>0</v>
      </c>
      <c r="H20" s="25">
        <v>0</v>
      </c>
      <c r="I20" s="25">
        <f>1.5/20</f>
        <v>7.4999999999999997E-2</v>
      </c>
      <c r="J20" s="25">
        <v>0</v>
      </c>
      <c r="K20" s="25">
        <v>0</v>
      </c>
    </row>
    <row r="21" spans="4:11" ht="22.5" customHeight="1" x14ac:dyDescent="0.25">
      <c r="D21" s="128" t="s">
        <v>180</v>
      </c>
      <c r="E21" s="128"/>
      <c r="F21" s="25">
        <v>0</v>
      </c>
      <c r="G21" s="25">
        <f>3/8/20</f>
        <v>1.8749999999999999E-2</v>
      </c>
      <c r="H21" s="25">
        <v>0</v>
      </c>
      <c r="I21" s="25">
        <f>2/20</f>
        <v>0.1</v>
      </c>
      <c r="J21" s="25">
        <v>0</v>
      </c>
      <c r="K21" s="25">
        <v>0</v>
      </c>
    </row>
    <row r="22" spans="4:11" ht="15.75" customHeight="1" x14ac:dyDescent="0.25">
      <c r="D22" s="128" t="s">
        <v>181</v>
      </c>
      <c r="E22" s="128"/>
      <c r="F22" s="25">
        <f>15/20</f>
        <v>0.75</v>
      </c>
      <c r="G22" s="25">
        <f>F22/5</f>
        <v>0.15</v>
      </c>
      <c r="H22" s="25">
        <f>15/20</f>
        <v>0.75</v>
      </c>
      <c r="I22" s="25">
        <f>5/8/20</f>
        <v>3.125E-2</v>
      </c>
      <c r="J22" s="25">
        <v>0</v>
      </c>
      <c r="K22" s="25">
        <v>0</v>
      </c>
    </row>
    <row r="23" spans="4:11" x14ac:dyDescent="0.25">
      <c r="D23" s="49" t="s">
        <v>182</v>
      </c>
      <c r="E23" s="50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f>1/20</f>
        <v>0.05</v>
      </c>
    </row>
    <row r="24" spans="4:11" ht="15.75" customHeight="1" x14ac:dyDescent="0.25">
      <c r="D24" s="128" t="s">
        <v>183</v>
      </c>
      <c r="E24" s="128"/>
      <c r="F24" s="25">
        <f>SUM(F17:F23)</f>
        <v>1.1499999999999999</v>
      </c>
      <c r="G24" s="25">
        <f>SUM(G17:G22)</f>
        <v>0.43625000000000003</v>
      </c>
      <c r="H24" s="25">
        <f>SUM(H17:H23)</f>
        <v>3.4</v>
      </c>
      <c r="I24" s="25">
        <f>SUM(I19:I22)</f>
        <v>0.20624999999999999</v>
      </c>
      <c r="J24" s="25">
        <f>SUM(J19:J22)</f>
        <v>0</v>
      </c>
      <c r="K24" s="25">
        <f>SUM(K17:K23)</f>
        <v>0.05</v>
      </c>
    </row>
    <row r="25" spans="4:11" ht="15.75" customHeight="1" x14ac:dyDescent="0.25">
      <c r="D25" s="128" t="s">
        <v>184</v>
      </c>
      <c r="E25" s="128"/>
      <c r="F25" s="25">
        <f t="shared" ref="F25:K25" si="1">F24/12</f>
        <v>9.5833333333333326E-2</v>
      </c>
      <c r="G25" s="25">
        <f t="shared" si="1"/>
        <v>3.6354166666666667E-2</v>
      </c>
      <c r="H25" s="25">
        <f t="shared" si="1"/>
        <v>0.28333333333333333</v>
      </c>
      <c r="I25" s="25">
        <f t="shared" si="1"/>
        <v>1.7187499999999998E-2</v>
      </c>
      <c r="J25" s="25">
        <f t="shared" si="1"/>
        <v>0</v>
      </c>
      <c r="K25" s="25">
        <f t="shared" si="1"/>
        <v>4.1666666666666666E-3</v>
      </c>
    </row>
    <row r="26" spans="4:11" x14ac:dyDescent="0.25">
      <c r="D26" s="128"/>
      <c r="E26" s="128"/>
      <c r="F26" s="48"/>
      <c r="G26" s="48"/>
      <c r="H26" s="48"/>
      <c r="I26" s="48"/>
      <c r="J26" s="48"/>
      <c r="K26" s="48"/>
    </row>
    <row r="27" spans="4:11" x14ac:dyDescent="0.25">
      <c r="D27" s="15" t="s">
        <v>185</v>
      </c>
      <c r="E27" s="15"/>
      <c r="F27" s="48"/>
      <c r="G27" s="48"/>
      <c r="H27" s="48"/>
      <c r="I27" s="48"/>
      <c r="J27" s="48"/>
      <c r="K27" s="48"/>
    </row>
    <row r="28" spans="4:11" ht="21.75" customHeight="1" x14ac:dyDescent="0.25">
      <c r="D28" s="128" t="s">
        <v>172</v>
      </c>
      <c r="E28" s="128"/>
      <c r="F28" s="25">
        <f>15/20</f>
        <v>0.75</v>
      </c>
      <c r="G28" s="25">
        <f>F28/5</f>
        <v>0.15</v>
      </c>
      <c r="H28" s="25">
        <f>5/20</f>
        <v>0.25</v>
      </c>
      <c r="I28" s="25">
        <v>0</v>
      </c>
      <c r="J28" s="25">
        <v>0</v>
      </c>
      <c r="K28" s="25">
        <v>0</v>
      </c>
    </row>
    <row r="29" spans="4:11" ht="15.75" customHeight="1" x14ac:dyDescent="0.25">
      <c r="D29" s="128" t="s">
        <v>173</v>
      </c>
      <c r="E29" s="128"/>
      <c r="F29" s="25">
        <v>0</v>
      </c>
      <c r="G29" s="25">
        <f>30/8/20</f>
        <v>0.1875</v>
      </c>
      <c r="H29" s="25">
        <v>0</v>
      </c>
      <c r="I29" s="25">
        <v>0</v>
      </c>
      <c r="J29" s="25">
        <v>0</v>
      </c>
      <c r="K29" s="25">
        <v>0</v>
      </c>
    </row>
    <row r="30" spans="4:11" ht="15.75" customHeight="1" x14ac:dyDescent="0.25">
      <c r="D30" s="128" t="s">
        <v>178</v>
      </c>
      <c r="E30" s="128"/>
      <c r="F30" s="25">
        <v>0</v>
      </c>
      <c r="G30" s="25">
        <v>0</v>
      </c>
      <c r="H30" s="25">
        <f>0.5/20*100</f>
        <v>2.5</v>
      </c>
      <c r="I30" s="25">
        <v>0</v>
      </c>
      <c r="J30" s="25">
        <v>0</v>
      </c>
      <c r="K30" s="25">
        <v>0</v>
      </c>
    </row>
    <row r="31" spans="4:11" ht="24.75" customHeight="1" x14ac:dyDescent="0.25">
      <c r="D31" s="128" t="s">
        <v>179</v>
      </c>
      <c r="E31" s="128"/>
      <c r="F31" s="25">
        <v>0</v>
      </c>
      <c r="G31" s="25">
        <v>0</v>
      </c>
      <c r="H31" s="25">
        <v>0</v>
      </c>
      <c r="I31" s="25">
        <f>1.5/20</f>
        <v>7.4999999999999997E-2</v>
      </c>
      <c r="J31" s="25">
        <v>0</v>
      </c>
      <c r="K31" s="25">
        <v>0</v>
      </c>
    </row>
    <row r="32" spans="4:11" ht="21.75" customHeight="1" x14ac:dyDescent="0.25">
      <c r="D32" s="128" t="s">
        <v>186</v>
      </c>
      <c r="E32" s="128"/>
      <c r="F32" s="25">
        <v>0</v>
      </c>
      <c r="G32" s="25">
        <f>3/8/20</f>
        <v>1.8749999999999999E-2</v>
      </c>
      <c r="H32" s="25">
        <v>0</v>
      </c>
      <c r="I32" s="25">
        <f>2/20</f>
        <v>0.1</v>
      </c>
      <c r="J32" s="25">
        <v>0</v>
      </c>
      <c r="K32" s="25">
        <v>0</v>
      </c>
    </row>
    <row r="33" spans="4:11" ht="15.75" customHeight="1" x14ac:dyDescent="0.25">
      <c r="D33" s="128" t="s">
        <v>187</v>
      </c>
      <c r="E33" s="128"/>
      <c r="F33" s="25">
        <f>15/20</f>
        <v>0.75</v>
      </c>
      <c r="G33" s="25">
        <f>F33/5</f>
        <v>0.15</v>
      </c>
      <c r="H33" s="25">
        <f>15/20</f>
        <v>0.75</v>
      </c>
      <c r="I33" s="25">
        <f>5/8/20</f>
        <v>3.125E-2</v>
      </c>
      <c r="J33" s="25">
        <v>0</v>
      </c>
      <c r="K33" s="25">
        <v>0</v>
      </c>
    </row>
    <row r="34" spans="4:11" ht="15.75" customHeight="1" x14ac:dyDescent="0.25">
      <c r="D34" s="128" t="s">
        <v>188</v>
      </c>
      <c r="E34" s="128"/>
      <c r="F34" s="25">
        <f>15/20</f>
        <v>0.75</v>
      </c>
      <c r="G34" s="25">
        <f>F34/5</f>
        <v>0.15</v>
      </c>
      <c r="H34" s="25">
        <f>15/20</f>
        <v>0.75</v>
      </c>
      <c r="I34" s="25">
        <f>5/8/20</f>
        <v>3.125E-2</v>
      </c>
      <c r="J34" s="25">
        <v>0</v>
      </c>
      <c r="K34" s="25">
        <v>0</v>
      </c>
    </row>
    <row r="35" spans="4:11" ht="15.75" customHeight="1" x14ac:dyDescent="0.25">
      <c r="D35" s="128" t="s">
        <v>189</v>
      </c>
      <c r="E35" s="128"/>
      <c r="F35" s="25">
        <f>3/8/20</f>
        <v>1.8749999999999999E-2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</row>
    <row r="36" spans="4:11" ht="15.75" customHeight="1" x14ac:dyDescent="0.25">
      <c r="D36" s="128" t="s">
        <v>182</v>
      </c>
      <c r="E36" s="128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f>2/20</f>
        <v>0.1</v>
      </c>
    </row>
    <row r="37" spans="4:11" ht="15.75" customHeight="1" x14ac:dyDescent="0.25">
      <c r="D37" s="128" t="s">
        <v>190</v>
      </c>
      <c r="E37" s="128"/>
      <c r="F37" s="25">
        <f t="shared" ref="F37:K37" si="2">SUM(F28:F36)</f>
        <v>2.2687499999999998</v>
      </c>
      <c r="G37" s="25">
        <f t="shared" si="2"/>
        <v>0.65625</v>
      </c>
      <c r="H37" s="25">
        <f t="shared" si="2"/>
        <v>4.25</v>
      </c>
      <c r="I37" s="25">
        <f t="shared" si="2"/>
        <v>0.23749999999999999</v>
      </c>
      <c r="J37" s="25">
        <f t="shared" si="2"/>
        <v>0</v>
      </c>
      <c r="K37" s="25">
        <f t="shared" si="2"/>
        <v>0.1</v>
      </c>
    </row>
    <row r="38" spans="4:11" ht="15.75" customHeight="1" x14ac:dyDescent="0.25">
      <c r="D38" s="128" t="s">
        <v>191</v>
      </c>
      <c r="E38" s="128"/>
      <c r="F38" s="25">
        <f t="shared" ref="F38:K38" si="3">F37/12</f>
        <v>0.18906249999999999</v>
      </c>
      <c r="G38" s="25">
        <f t="shared" si="3"/>
        <v>5.46875E-2</v>
      </c>
      <c r="H38" s="25">
        <f t="shared" si="3"/>
        <v>0.35416666666666669</v>
      </c>
      <c r="I38" s="25">
        <f t="shared" si="3"/>
        <v>1.9791666666666666E-2</v>
      </c>
      <c r="J38" s="25">
        <f t="shared" si="3"/>
        <v>0</v>
      </c>
      <c r="K38" s="25">
        <f t="shared" si="3"/>
        <v>8.3333333333333332E-3</v>
      </c>
    </row>
    <row r="39" spans="4:11" x14ac:dyDescent="0.25">
      <c r="D39" s="128"/>
      <c r="E39" s="128"/>
      <c r="F39" s="48"/>
      <c r="G39" s="48"/>
      <c r="H39" s="48"/>
      <c r="I39" s="48"/>
      <c r="J39" s="48"/>
      <c r="K39" s="48"/>
    </row>
    <row r="40" spans="4:11" x14ac:dyDescent="0.25">
      <c r="D40" s="15" t="s">
        <v>192</v>
      </c>
      <c r="E40" s="15"/>
      <c r="F40" s="48"/>
      <c r="G40" s="48"/>
      <c r="H40" s="48"/>
      <c r="I40" s="48"/>
      <c r="J40" s="48"/>
      <c r="K40" s="48"/>
    </row>
    <row r="41" spans="4:11" ht="15.75" customHeight="1" x14ac:dyDescent="0.25">
      <c r="D41" s="128" t="s">
        <v>172</v>
      </c>
      <c r="E41" s="128"/>
      <c r="F41" s="25">
        <f>10/20</f>
        <v>0.5</v>
      </c>
      <c r="G41" s="25">
        <f>F41/5</f>
        <v>0.1</v>
      </c>
      <c r="H41" s="25">
        <f>5/20</f>
        <v>0.25</v>
      </c>
      <c r="I41" s="25">
        <v>0</v>
      </c>
      <c r="J41" s="25">
        <v>0</v>
      </c>
      <c r="K41" s="25">
        <v>0</v>
      </c>
    </row>
    <row r="42" spans="4:11" ht="15.75" customHeight="1" x14ac:dyDescent="0.25">
      <c r="D42" s="128" t="s">
        <v>173</v>
      </c>
      <c r="E42" s="128"/>
      <c r="F42" s="25">
        <v>0</v>
      </c>
      <c r="G42" s="25">
        <f>40/8/20</f>
        <v>0.25</v>
      </c>
      <c r="H42" s="25">
        <v>0</v>
      </c>
      <c r="I42" s="25">
        <v>0</v>
      </c>
      <c r="J42" s="25">
        <v>0</v>
      </c>
      <c r="K42" s="25">
        <v>0</v>
      </c>
    </row>
    <row r="43" spans="4:11" ht="15.75" customHeight="1" x14ac:dyDescent="0.25">
      <c r="D43" s="128" t="s">
        <v>178</v>
      </c>
      <c r="E43" s="128"/>
      <c r="F43" s="25">
        <v>0</v>
      </c>
      <c r="G43" s="25">
        <v>0</v>
      </c>
      <c r="H43" s="25">
        <f>0.5/20*100</f>
        <v>2.5</v>
      </c>
      <c r="I43" s="25">
        <v>0</v>
      </c>
      <c r="J43" s="25">
        <v>0</v>
      </c>
      <c r="K43" s="25">
        <v>0</v>
      </c>
    </row>
    <row r="44" spans="4:11" ht="24.75" customHeight="1" x14ac:dyDescent="0.25">
      <c r="D44" s="128" t="s">
        <v>193</v>
      </c>
      <c r="E44" s="128"/>
      <c r="F44" s="25">
        <v>0</v>
      </c>
      <c r="G44" s="25">
        <v>0</v>
      </c>
      <c r="H44" s="25">
        <v>0</v>
      </c>
      <c r="I44" s="25">
        <f>15/20</f>
        <v>0.75</v>
      </c>
      <c r="J44" s="25">
        <v>0</v>
      </c>
      <c r="K44" s="25">
        <v>0</v>
      </c>
    </row>
    <row r="45" spans="4:11" ht="24" customHeight="1" x14ac:dyDescent="0.25">
      <c r="D45" s="128" t="s">
        <v>179</v>
      </c>
      <c r="E45" s="128"/>
      <c r="F45" s="25">
        <v>0</v>
      </c>
      <c r="G45" s="25">
        <v>0</v>
      </c>
      <c r="H45" s="25">
        <v>0</v>
      </c>
      <c r="I45" s="25">
        <f>1/20</f>
        <v>0.05</v>
      </c>
      <c r="J45" s="25">
        <v>0</v>
      </c>
      <c r="K45" s="25">
        <v>0</v>
      </c>
    </row>
    <row r="46" spans="4:11" ht="20.25" customHeight="1" x14ac:dyDescent="0.25">
      <c r="D46" s="128" t="s">
        <v>180</v>
      </c>
      <c r="E46" s="128"/>
      <c r="F46" s="25">
        <v>0</v>
      </c>
      <c r="G46" s="25">
        <f>3/8/20</f>
        <v>1.8749999999999999E-2</v>
      </c>
      <c r="H46" s="25">
        <v>0</v>
      </c>
      <c r="I46" s="25">
        <f>2.5/20</f>
        <v>0.125</v>
      </c>
      <c r="J46" s="25">
        <v>0</v>
      </c>
      <c r="K46" s="25">
        <v>0</v>
      </c>
    </row>
    <row r="47" spans="4:11" ht="15.75" customHeight="1" x14ac:dyDescent="0.25">
      <c r="D47" s="128" t="s">
        <v>187</v>
      </c>
      <c r="E47" s="128"/>
      <c r="F47" s="25">
        <f>15/20</f>
        <v>0.75</v>
      </c>
      <c r="G47" s="25">
        <f>F47/5</f>
        <v>0.15</v>
      </c>
      <c r="H47" s="25">
        <f>15/20</f>
        <v>0.75</v>
      </c>
      <c r="I47" s="25">
        <f>5/8/20</f>
        <v>3.125E-2</v>
      </c>
      <c r="J47" s="25">
        <v>0</v>
      </c>
      <c r="K47" s="25">
        <v>0</v>
      </c>
    </row>
    <row r="48" spans="4:11" ht="15.75" customHeight="1" x14ac:dyDescent="0.25">
      <c r="D48" s="128" t="s">
        <v>189</v>
      </c>
      <c r="E48" s="128"/>
      <c r="F48" s="25">
        <f>3/8/20</f>
        <v>1.8749999999999999E-2</v>
      </c>
      <c r="G48" s="25">
        <v>0</v>
      </c>
      <c r="H48" s="25">
        <v>0</v>
      </c>
      <c r="I48" s="25">
        <f>5/8/20</f>
        <v>3.125E-2</v>
      </c>
      <c r="J48" s="25">
        <v>0</v>
      </c>
      <c r="K48" s="25">
        <v>0</v>
      </c>
    </row>
    <row r="49" spans="4:11" ht="15.75" customHeight="1" x14ac:dyDescent="0.25">
      <c r="D49" s="128" t="s">
        <v>182</v>
      </c>
      <c r="E49" s="128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f>1/20</f>
        <v>0.05</v>
      </c>
    </row>
    <row r="50" spans="4:11" ht="15.75" customHeight="1" x14ac:dyDescent="0.25">
      <c r="D50" s="128" t="s">
        <v>190</v>
      </c>
      <c r="E50" s="128"/>
      <c r="F50" s="25">
        <f t="shared" ref="F50:K50" si="4">SUM(F41:F49)</f>
        <v>1.26875</v>
      </c>
      <c r="G50" s="25">
        <f t="shared" si="4"/>
        <v>0.51874999999999993</v>
      </c>
      <c r="H50" s="25">
        <f t="shared" si="4"/>
        <v>3.5</v>
      </c>
      <c r="I50" s="25">
        <f t="shared" si="4"/>
        <v>0.98750000000000004</v>
      </c>
      <c r="J50" s="25">
        <f t="shared" si="4"/>
        <v>0</v>
      </c>
      <c r="K50" s="25">
        <f t="shared" si="4"/>
        <v>0.05</v>
      </c>
    </row>
    <row r="51" spans="4:11" ht="15.75" customHeight="1" x14ac:dyDescent="0.25">
      <c r="D51" s="128" t="s">
        <v>191</v>
      </c>
      <c r="E51" s="128"/>
      <c r="F51" s="25">
        <f t="shared" ref="F51:K51" si="5">F50/12</f>
        <v>0.10572916666666667</v>
      </c>
      <c r="G51" s="25">
        <f t="shared" si="5"/>
        <v>4.3229166666666659E-2</v>
      </c>
      <c r="H51" s="25">
        <f t="shared" si="5"/>
        <v>0.29166666666666669</v>
      </c>
      <c r="I51" s="25">
        <f t="shared" si="5"/>
        <v>8.2291666666666666E-2</v>
      </c>
      <c r="J51" s="25">
        <f t="shared" si="5"/>
        <v>0</v>
      </c>
      <c r="K51" s="25">
        <f t="shared" si="5"/>
        <v>4.1666666666666666E-3</v>
      </c>
    </row>
    <row r="52" spans="4:11" x14ac:dyDescent="0.25">
      <c r="D52" s="128"/>
      <c r="E52" s="128"/>
      <c r="F52" s="48"/>
      <c r="G52" s="48"/>
      <c r="H52" s="48"/>
      <c r="I52" s="48"/>
      <c r="J52" s="48"/>
      <c r="K52" s="48"/>
    </row>
    <row r="53" spans="4:11" x14ac:dyDescent="0.25">
      <c r="D53" s="15" t="s">
        <v>194</v>
      </c>
      <c r="E53" s="51"/>
    </row>
    <row r="54" spans="4:11" ht="20.25" customHeight="1" x14ac:dyDescent="0.25">
      <c r="D54" s="128" t="s">
        <v>172</v>
      </c>
      <c r="E54" s="128"/>
      <c r="F54" s="25">
        <f>20/20</f>
        <v>1</v>
      </c>
      <c r="G54" s="25">
        <f>F54/5</f>
        <v>0.2</v>
      </c>
      <c r="H54" s="25">
        <f>10/20</f>
        <v>0.5</v>
      </c>
      <c r="I54" s="25">
        <f>0.5/20</f>
        <v>2.5000000000000001E-2</v>
      </c>
      <c r="J54" s="25">
        <v>0</v>
      </c>
      <c r="K54" s="25">
        <v>0</v>
      </c>
    </row>
    <row r="55" spans="4:11" ht="15.75" customHeight="1" x14ac:dyDescent="0.25">
      <c r="D55" s="128" t="s">
        <v>173</v>
      </c>
      <c r="E55" s="128"/>
      <c r="F55" s="25">
        <v>0</v>
      </c>
      <c r="G55" s="25">
        <f>40/8/20</f>
        <v>0.25</v>
      </c>
      <c r="H55" s="25">
        <v>0</v>
      </c>
      <c r="I55" s="25">
        <v>0</v>
      </c>
      <c r="J55" s="25">
        <v>0</v>
      </c>
      <c r="K55" s="25">
        <v>0</v>
      </c>
    </row>
    <row r="56" spans="4:11" ht="15.75" customHeight="1" x14ac:dyDescent="0.25">
      <c r="D56" s="128" t="s">
        <v>195</v>
      </c>
      <c r="E56" s="128"/>
      <c r="F56" s="25">
        <v>0</v>
      </c>
      <c r="G56" s="25">
        <v>0</v>
      </c>
      <c r="H56" s="25">
        <f>0.5/20*300</f>
        <v>7.5</v>
      </c>
      <c r="I56" s="25">
        <v>0</v>
      </c>
      <c r="J56" s="25">
        <v>0</v>
      </c>
      <c r="K56" s="25">
        <v>0</v>
      </c>
    </row>
    <row r="57" spans="4:11" ht="24" customHeight="1" x14ac:dyDescent="0.25">
      <c r="D57" s="128" t="s">
        <v>196</v>
      </c>
      <c r="E57" s="128"/>
      <c r="F57" s="25">
        <v>0</v>
      </c>
      <c r="G57" s="25">
        <v>0</v>
      </c>
      <c r="H57" s="25">
        <v>0</v>
      </c>
      <c r="I57" s="25">
        <f>1/20*4</f>
        <v>0.2</v>
      </c>
      <c r="J57" s="25">
        <v>0</v>
      </c>
      <c r="K57" s="25">
        <v>0</v>
      </c>
    </row>
    <row r="58" spans="4:11" ht="22.5" customHeight="1" x14ac:dyDescent="0.25">
      <c r="D58" s="128" t="s">
        <v>186</v>
      </c>
      <c r="E58" s="128"/>
      <c r="F58" s="25">
        <v>0</v>
      </c>
      <c r="G58" s="25">
        <f>3/8/20</f>
        <v>1.8749999999999999E-2</v>
      </c>
      <c r="H58" s="25">
        <v>0</v>
      </c>
      <c r="I58" s="25">
        <f>2.5/20</f>
        <v>0.125</v>
      </c>
      <c r="J58" s="25">
        <v>0</v>
      </c>
      <c r="K58" s="25">
        <v>0</v>
      </c>
    </row>
    <row r="59" spans="4:11" ht="15.75" customHeight="1" x14ac:dyDescent="0.25">
      <c r="D59" s="128" t="s">
        <v>187</v>
      </c>
      <c r="E59" s="128"/>
      <c r="F59" s="25">
        <f>15/20</f>
        <v>0.75</v>
      </c>
      <c r="G59" s="25">
        <f>F59/5</f>
        <v>0.15</v>
      </c>
      <c r="H59" s="25">
        <f>15/20</f>
        <v>0.75</v>
      </c>
      <c r="I59" s="25">
        <f>5/8/20</f>
        <v>3.125E-2</v>
      </c>
      <c r="J59" s="25">
        <v>0</v>
      </c>
      <c r="K59" s="25">
        <v>0</v>
      </c>
    </row>
    <row r="60" spans="4:11" ht="15.75" customHeight="1" x14ac:dyDescent="0.25">
      <c r="D60" s="128" t="s">
        <v>188</v>
      </c>
      <c r="E60" s="128"/>
      <c r="F60" s="25">
        <f>17/20</f>
        <v>0.85</v>
      </c>
      <c r="G60" s="25">
        <f>F60/5</f>
        <v>0.16999999999999998</v>
      </c>
      <c r="H60" s="25">
        <f>16/20</f>
        <v>0.8</v>
      </c>
      <c r="I60" s="25">
        <f>5/8/20</f>
        <v>3.125E-2</v>
      </c>
      <c r="J60" s="25">
        <v>0</v>
      </c>
      <c r="K60" s="25">
        <v>0</v>
      </c>
    </row>
    <row r="61" spans="4:11" ht="22.5" customHeight="1" x14ac:dyDescent="0.25">
      <c r="D61" s="128" t="s">
        <v>197</v>
      </c>
      <c r="E61" s="128"/>
      <c r="F61" s="25">
        <v>0</v>
      </c>
      <c r="G61" s="25">
        <v>0</v>
      </c>
      <c r="H61" s="25">
        <v>0</v>
      </c>
      <c r="I61" s="25">
        <f>6/8</f>
        <v>0.75</v>
      </c>
      <c r="J61" s="25">
        <v>0</v>
      </c>
      <c r="K61" s="25">
        <v>0</v>
      </c>
    </row>
    <row r="62" spans="4:11" ht="23.25" customHeight="1" x14ac:dyDescent="0.25">
      <c r="D62" s="128" t="s">
        <v>198</v>
      </c>
      <c r="E62" s="128"/>
      <c r="F62" s="25">
        <f>10/20</f>
        <v>0.5</v>
      </c>
      <c r="G62" s="25">
        <f>F62/5</f>
        <v>0.1</v>
      </c>
      <c r="H62" s="25">
        <f>3/20</f>
        <v>0.15</v>
      </c>
      <c r="I62" s="25">
        <f>2/20</f>
        <v>0.1</v>
      </c>
      <c r="J62" s="25">
        <v>0</v>
      </c>
      <c r="K62" s="25">
        <v>0</v>
      </c>
    </row>
    <row r="63" spans="4:11" ht="15.75" customHeight="1" x14ac:dyDescent="0.25">
      <c r="D63" s="128" t="s">
        <v>189</v>
      </c>
      <c r="E63" s="128"/>
      <c r="F63" s="25">
        <f>3/8/20</f>
        <v>1.8749999999999999E-2</v>
      </c>
      <c r="G63" s="25">
        <f>1.5/8/20</f>
        <v>9.3749999999999997E-3</v>
      </c>
      <c r="H63" s="25">
        <v>0</v>
      </c>
      <c r="I63" s="25">
        <v>0</v>
      </c>
      <c r="J63" s="25">
        <v>0</v>
      </c>
      <c r="K63" s="25">
        <v>0</v>
      </c>
    </row>
    <row r="64" spans="4:11" x14ac:dyDescent="0.25">
      <c r="D64" s="49" t="s">
        <v>182</v>
      </c>
      <c r="E64" s="50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f>3/20</f>
        <v>0.15</v>
      </c>
    </row>
    <row r="65" spans="4:17" ht="15.75" customHeight="1" x14ac:dyDescent="0.25">
      <c r="D65" s="128" t="s">
        <v>199</v>
      </c>
      <c r="E65" s="128"/>
      <c r="F65" s="25">
        <f t="shared" ref="F65:K65" si="6">SUM(F54:F64)</f>
        <v>3.1187499999999999</v>
      </c>
      <c r="G65" s="25">
        <f t="shared" si="6"/>
        <v>0.89812500000000006</v>
      </c>
      <c r="H65" s="25">
        <f t="shared" si="6"/>
        <v>9.7000000000000011</v>
      </c>
      <c r="I65" s="25">
        <f t="shared" si="6"/>
        <v>1.2625000000000002</v>
      </c>
      <c r="J65" s="25">
        <f t="shared" si="6"/>
        <v>0</v>
      </c>
      <c r="K65" s="25">
        <f t="shared" si="6"/>
        <v>0.15</v>
      </c>
    </row>
    <row r="66" spans="4:17" ht="15.75" customHeight="1" x14ac:dyDescent="0.25">
      <c r="D66" s="128" t="s">
        <v>200</v>
      </c>
      <c r="E66" s="128"/>
      <c r="F66" s="25">
        <f t="shared" ref="F66:K66" si="7">F65/12</f>
        <v>0.25989583333333333</v>
      </c>
      <c r="G66" s="25">
        <f t="shared" si="7"/>
        <v>7.4843750000000001E-2</v>
      </c>
      <c r="H66" s="25">
        <f t="shared" si="7"/>
        <v>0.80833333333333346</v>
      </c>
      <c r="I66" s="25">
        <f t="shared" si="7"/>
        <v>0.10520833333333335</v>
      </c>
      <c r="J66" s="25">
        <f t="shared" si="7"/>
        <v>0</v>
      </c>
      <c r="K66" s="25">
        <f t="shared" si="7"/>
        <v>1.2499999999999999E-2</v>
      </c>
    </row>
    <row r="67" spans="4:17" x14ac:dyDescent="0.25">
      <c r="D67" s="128"/>
      <c r="E67" s="128"/>
      <c r="F67" s="25"/>
      <c r="G67" s="25"/>
      <c r="H67" s="25"/>
      <c r="I67" s="25"/>
      <c r="J67" s="25"/>
      <c r="K67" s="25"/>
    </row>
    <row r="68" spans="4:17" x14ac:dyDescent="0.25">
      <c r="D68" s="15" t="s">
        <v>201</v>
      </c>
      <c r="E68" s="52" t="s">
        <v>202</v>
      </c>
      <c r="F68" s="25"/>
      <c r="G68" s="25"/>
      <c r="H68" s="25"/>
      <c r="I68" s="25"/>
      <c r="J68" s="25"/>
      <c r="K68" s="25"/>
    </row>
    <row r="69" spans="4:17" ht="22.5" x14ac:dyDescent="0.25">
      <c r="D69" s="24" t="s">
        <v>203</v>
      </c>
      <c r="E69" s="53">
        <v>1</v>
      </c>
      <c r="F69" s="25">
        <f t="shared" ref="F69:F83" si="8">L69*$E69</f>
        <v>1</v>
      </c>
      <c r="G69" s="25">
        <f t="shared" ref="G69:G83" si="9">M69*$E69</f>
        <v>0.2</v>
      </c>
      <c r="H69" s="25">
        <f t="shared" ref="H69:H83" si="10">N69*$E69</f>
        <v>0.5</v>
      </c>
      <c r="I69" s="25">
        <f t="shared" ref="I69:I83" si="11">O69*$E69</f>
        <v>0.03</v>
      </c>
      <c r="J69" s="25">
        <f t="shared" ref="J69:J83" si="12">P69*$E69</f>
        <v>0</v>
      </c>
      <c r="K69" s="25">
        <f t="shared" ref="K69:K83" si="13">Q69*$E69</f>
        <v>0</v>
      </c>
      <c r="L69">
        <f>20/20</f>
        <v>1</v>
      </c>
      <c r="M69">
        <f>L69/5</f>
        <v>0.2</v>
      </c>
      <c r="N69">
        <v>0.5</v>
      </c>
      <c r="O69">
        <f>0.6/20</f>
        <v>0.03</v>
      </c>
      <c r="P69">
        <v>0</v>
      </c>
      <c r="Q69">
        <v>0</v>
      </c>
    </row>
    <row r="70" spans="4:17" x14ac:dyDescent="0.25">
      <c r="D70" s="24" t="s">
        <v>173</v>
      </c>
      <c r="E70" s="53">
        <v>1</v>
      </c>
      <c r="F70" s="25">
        <f t="shared" si="8"/>
        <v>0</v>
      </c>
      <c r="G70" s="25">
        <f t="shared" si="9"/>
        <v>0.25</v>
      </c>
      <c r="H70" s="25">
        <f t="shared" si="10"/>
        <v>0</v>
      </c>
      <c r="I70" s="25">
        <f t="shared" si="11"/>
        <v>0</v>
      </c>
      <c r="J70" s="25">
        <f t="shared" si="12"/>
        <v>0</v>
      </c>
      <c r="K70" s="25">
        <f t="shared" si="13"/>
        <v>0</v>
      </c>
      <c r="L70">
        <v>0</v>
      </c>
      <c r="M70">
        <f>40/8/20</f>
        <v>0.25</v>
      </c>
      <c r="N70">
        <v>0</v>
      </c>
      <c r="O70">
        <v>0</v>
      </c>
      <c r="P70">
        <v>0</v>
      </c>
      <c r="Q70">
        <v>0</v>
      </c>
    </row>
    <row r="71" spans="4:17" x14ac:dyDescent="0.25">
      <c r="D71" s="24" t="s">
        <v>178</v>
      </c>
      <c r="E71" s="53">
        <v>0.6</v>
      </c>
      <c r="F71" s="25">
        <f t="shared" si="8"/>
        <v>0</v>
      </c>
      <c r="G71" s="25">
        <f t="shared" si="9"/>
        <v>0</v>
      </c>
      <c r="H71" s="25">
        <f t="shared" si="10"/>
        <v>1.5</v>
      </c>
      <c r="I71" s="25">
        <f t="shared" si="11"/>
        <v>0</v>
      </c>
      <c r="J71" s="25">
        <f t="shared" si="12"/>
        <v>0</v>
      </c>
      <c r="K71" s="25">
        <f t="shared" si="13"/>
        <v>0</v>
      </c>
      <c r="L71">
        <v>0</v>
      </c>
      <c r="M71">
        <v>0</v>
      </c>
      <c r="N71">
        <f>0.5/20*100</f>
        <v>2.5</v>
      </c>
      <c r="O71">
        <v>0</v>
      </c>
      <c r="P71">
        <v>0</v>
      </c>
      <c r="Q71">
        <v>0</v>
      </c>
    </row>
    <row r="72" spans="4:17" x14ac:dyDescent="0.25">
      <c r="D72" s="24" t="s">
        <v>195</v>
      </c>
      <c r="E72" s="53">
        <v>0.02</v>
      </c>
      <c r="F72" s="25">
        <f t="shared" si="8"/>
        <v>0</v>
      </c>
      <c r="G72" s="25">
        <f t="shared" si="9"/>
        <v>0</v>
      </c>
      <c r="H72" s="25">
        <f t="shared" si="10"/>
        <v>0.15</v>
      </c>
      <c r="I72" s="25">
        <f t="shared" si="11"/>
        <v>0</v>
      </c>
      <c r="J72" s="25">
        <f t="shared" si="12"/>
        <v>0</v>
      </c>
      <c r="K72" s="25">
        <f t="shared" si="13"/>
        <v>0</v>
      </c>
      <c r="L72">
        <v>0</v>
      </c>
      <c r="M72">
        <v>0</v>
      </c>
      <c r="N72">
        <f>0.5/20*300</f>
        <v>7.5</v>
      </c>
      <c r="O72">
        <v>0</v>
      </c>
      <c r="P72">
        <v>0</v>
      </c>
      <c r="Q72">
        <v>0</v>
      </c>
    </row>
    <row r="73" spans="4:17" ht="22.5" x14ac:dyDescent="0.25">
      <c r="D73" s="24" t="s">
        <v>204</v>
      </c>
      <c r="E73" s="53">
        <v>0.7</v>
      </c>
      <c r="F73" s="25">
        <f t="shared" si="8"/>
        <v>0</v>
      </c>
      <c r="G73" s="25">
        <f t="shared" si="9"/>
        <v>0</v>
      </c>
      <c r="H73" s="25">
        <f t="shared" si="10"/>
        <v>0</v>
      </c>
      <c r="I73" s="25">
        <f t="shared" si="11"/>
        <v>3.4999999999999996E-2</v>
      </c>
      <c r="J73" s="25">
        <f t="shared" si="12"/>
        <v>0</v>
      </c>
      <c r="K73" s="25">
        <f t="shared" si="13"/>
        <v>0</v>
      </c>
      <c r="L73">
        <v>0</v>
      </c>
      <c r="M73">
        <v>0</v>
      </c>
      <c r="N73">
        <v>0</v>
      </c>
      <c r="O73">
        <f>1/20</f>
        <v>0.05</v>
      </c>
      <c r="P73">
        <v>0</v>
      </c>
      <c r="Q73">
        <v>0</v>
      </c>
    </row>
    <row r="74" spans="4:17" ht="22.5" customHeight="1" x14ac:dyDescent="0.25">
      <c r="D74" s="24" t="s">
        <v>205</v>
      </c>
      <c r="E74" s="53">
        <v>0.3</v>
      </c>
      <c r="F74" s="25">
        <f t="shared" si="8"/>
        <v>0</v>
      </c>
      <c r="G74" s="25">
        <f t="shared" si="9"/>
        <v>0</v>
      </c>
      <c r="H74" s="25">
        <f t="shared" si="10"/>
        <v>0</v>
      </c>
      <c r="I74" s="25">
        <f t="shared" si="11"/>
        <v>0.06</v>
      </c>
      <c r="J74" s="25">
        <f t="shared" si="12"/>
        <v>0</v>
      </c>
      <c r="K74" s="25">
        <f t="shared" si="13"/>
        <v>0</v>
      </c>
      <c r="L74">
        <v>0</v>
      </c>
      <c r="M74">
        <v>0</v>
      </c>
      <c r="N74">
        <v>0</v>
      </c>
      <c r="O74">
        <f>1/20*4</f>
        <v>0.2</v>
      </c>
      <c r="P74">
        <v>0</v>
      </c>
      <c r="Q74">
        <v>0</v>
      </c>
    </row>
    <row r="75" spans="4:17" hidden="1" x14ac:dyDescent="0.25">
      <c r="D75" s="24"/>
      <c r="E75" s="53"/>
      <c r="F75" s="25">
        <f t="shared" si="8"/>
        <v>0</v>
      </c>
      <c r="G75" s="25">
        <f t="shared" si="9"/>
        <v>0</v>
      </c>
      <c r="H75" s="25">
        <f t="shared" si="10"/>
        <v>0</v>
      </c>
      <c r="I75" s="25">
        <f t="shared" si="11"/>
        <v>0</v>
      </c>
      <c r="J75" s="25">
        <f t="shared" si="12"/>
        <v>0</v>
      </c>
      <c r="K75" s="25">
        <f t="shared" si="13"/>
        <v>0</v>
      </c>
      <c r="P75">
        <v>0</v>
      </c>
      <c r="Q75">
        <v>0</v>
      </c>
    </row>
    <row r="76" spans="4:17" ht="22.5" x14ac:dyDescent="0.25">
      <c r="D76" s="24" t="s">
        <v>180</v>
      </c>
      <c r="E76" s="53">
        <v>0.7</v>
      </c>
      <c r="F76" s="25">
        <f t="shared" si="8"/>
        <v>0</v>
      </c>
      <c r="G76" s="25">
        <f t="shared" si="9"/>
        <v>1.3125E-2</v>
      </c>
      <c r="H76" s="25">
        <f t="shared" si="10"/>
        <v>0</v>
      </c>
      <c r="I76" s="25">
        <f t="shared" si="11"/>
        <v>8.7499999999999994E-2</v>
      </c>
      <c r="J76" s="25">
        <f t="shared" si="12"/>
        <v>0</v>
      </c>
      <c r="K76" s="25">
        <f t="shared" si="13"/>
        <v>0</v>
      </c>
      <c r="L76">
        <v>0</v>
      </c>
      <c r="M76">
        <f>3/8/20</f>
        <v>1.8749999999999999E-2</v>
      </c>
      <c r="N76">
        <v>0</v>
      </c>
      <c r="O76">
        <f>2.5/20</f>
        <v>0.125</v>
      </c>
      <c r="P76">
        <v>0</v>
      </c>
      <c r="Q76">
        <v>0</v>
      </c>
    </row>
    <row r="77" spans="4:17" ht="22.5" x14ac:dyDescent="0.25">
      <c r="D77" s="24" t="s">
        <v>186</v>
      </c>
      <c r="E77" s="53">
        <v>0.3</v>
      </c>
      <c r="F77" s="25">
        <f t="shared" si="8"/>
        <v>0</v>
      </c>
      <c r="G77" s="25">
        <f t="shared" si="9"/>
        <v>5.6249999999999998E-3</v>
      </c>
      <c r="H77" s="25">
        <f t="shared" si="10"/>
        <v>0</v>
      </c>
      <c r="I77" s="25">
        <f t="shared" si="11"/>
        <v>0.06</v>
      </c>
      <c r="J77" s="25">
        <f t="shared" si="12"/>
        <v>0</v>
      </c>
      <c r="K77" s="25">
        <f t="shared" si="13"/>
        <v>0</v>
      </c>
      <c r="L77">
        <v>0</v>
      </c>
      <c r="M77">
        <f>3/8/20</f>
        <v>1.8749999999999999E-2</v>
      </c>
      <c r="N77">
        <v>0</v>
      </c>
      <c r="O77">
        <f>4/20</f>
        <v>0.2</v>
      </c>
      <c r="P77">
        <v>0</v>
      </c>
      <c r="Q77">
        <v>0</v>
      </c>
    </row>
    <row r="78" spans="4:17" x14ac:dyDescent="0.25">
      <c r="D78" s="24" t="s">
        <v>187</v>
      </c>
      <c r="E78" s="53">
        <v>0.55000000000000004</v>
      </c>
      <c r="F78" s="25">
        <f t="shared" si="8"/>
        <v>0.41250000000000003</v>
      </c>
      <c r="G78" s="25">
        <f t="shared" si="9"/>
        <v>8.2500000000000004E-2</v>
      </c>
      <c r="H78" s="25">
        <f t="shared" si="10"/>
        <v>0.41250000000000003</v>
      </c>
      <c r="I78" s="25">
        <f t="shared" si="11"/>
        <v>1.7187500000000001E-2</v>
      </c>
      <c r="J78" s="25">
        <f t="shared" si="12"/>
        <v>0</v>
      </c>
      <c r="K78" s="25">
        <f t="shared" si="13"/>
        <v>0</v>
      </c>
      <c r="L78">
        <v>0.75</v>
      </c>
      <c r="M78">
        <f>L78/5</f>
        <v>0.15</v>
      </c>
      <c r="N78">
        <f>15/20</f>
        <v>0.75</v>
      </c>
      <c r="O78">
        <f>5/8/20</f>
        <v>3.125E-2</v>
      </c>
      <c r="P78">
        <v>0</v>
      </c>
      <c r="Q78">
        <v>0</v>
      </c>
    </row>
    <row r="79" spans="4:17" x14ac:dyDescent="0.25">
      <c r="D79" s="24" t="s">
        <v>188</v>
      </c>
      <c r="E79" s="53">
        <v>0.1</v>
      </c>
      <c r="F79" s="25">
        <f t="shared" si="8"/>
        <v>7.5000000000000011E-2</v>
      </c>
      <c r="G79" s="25">
        <f t="shared" si="9"/>
        <v>1.4999999999999999E-2</v>
      </c>
      <c r="H79" s="25">
        <f t="shared" si="10"/>
        <v>7.5000000000000011E-2</v>
      </c>
      <c r="I79" s="25">
        <f t="shared" si="11"/>
        <v>3.1250000000000002E-3</v>
      </c>
      <c r="J79" s="25">
        <f t="shared" si="12"/>
        <v>0</v>
      </c>
      <c r="K79" s="25">
        <f t="shared" si="13"/>
        <v>0</v>
      </c>
      <c r="L79">
        <v>0.75</v>
      </c>
      <c r="M79">
        <f>L79/5</f>
        <v>0.15</v>
      </c>
      <c r="N79">
        <f>15/20</f>
        <v>0.75</v>
      </c>
      <c r="O79">
        <f>5/8/20</f>
        <v>3.125E-2</v>
      </c>
      <c r="P79">
        <v>0</v>
      </c>
      <c r="Q79">
        <v>0</v>
      </c>
    </row>
    <row r="80" spans="4:17" ht="22.5" x14ac:dyDescent="0.25">
      <c r="D80" s="24" t="s">
        <v>197</v>
      </c>
      <c r="E80" s="53">
        <v>0.3</v>
      </c>
      <c r="F80" s="25">
        <f t="shared" si="8"/>
        <v>0</v>
      </c>
      <c r="G80" s="25">
        <f t="shared" si="9"/>
        <v>0</v>
      </c>
      <c r="H80" s="25">
        <f t="shared" si="10"/>
        <v>0</v>
      </c>
      <c r="I80" s="25">
        <f t="shared" si="11"/>
        <v>3.7499999999999999E-2</v>
      </c>
      <c r="J80" s="25">
        <f t="shared" si="12"/>
        <v>0</v>
      </c>
      <c r="K80" s="25">
        <f t="shared" si="13"/>
        <v>0</v>
      </c>
      <c r="L80">
        <v>0</v>
      </c>
      <c r="M80">
        <v>0</v>
      </c>
      <c r="N80">
        <v>0</v>
      </c>
      <c r="O80">
        <f>1/8</f>
        <v>0.125</v>
      </c>
      <c r="P80">
        <v>0</v>
      </c>
      <c r="Q80">
        <v>0</v>
      </c>
    </row>
    <row r="81" spans="4:17" ht="22.5" x14ac:dyDescent="0.25">
      <c r="D81" s="24" t="s">
        <v>198</v>
      </c>
      <c r="E81" s="53">
        <v>0.25</v>
      </c>
      <c r="F81" s="25">
        <f t="shared" si="8"/>
        <v>0.125</v>
      </c>
      <c r="G81" s="25">
        <f t="shared" si="9"/>
        <v>2.5000000000000001E-2</v>
      </c>
      <c r="H81" s="25">
        <f t="shared" si="10"/>
        <v>3.7499999999999999E-2</v>
      </c>
      <c r="I81" s="25">
        <f t="shared" si="11"/>
        <v>2.5000000000000001E-2</v>
      </c>
      <c r="J81" s="25">
        <f t="shared" si="12"/>
        <v>0</v>
      </c>
      <c r="K81" s="25">
        <f t="shared" si="13"/>
        <v>0</v>
      </c>
      <c r="L81">
        <f>10/20</f>
        <v>0.5</v>
      </c>
      <c r="M81">
        <f>L81/5</f>
        <v>0.1</v>
      </c>
      <c r="N81">
        <f>3/20</f>
        <v>0.15</v>
      </c>
      <c r="O81">
        <f>2/20</f>
        <v>0.1</v>
      </c>
      <c r="P81">
        <v>0</v>
      </c>
      <c r="Q81">
        <v>0</v>
      </c>
    </row>
    <row r="82" spans="4:17" x14ac:dyDescent="0.25">
      <c r="D82" s="24" t="s">
        <v>189</v>
      </c>
      <c r="E82" s="53">
        <v>0.8</v>
      </c>
      <c r="F82" s="25">
        <f t="shared" si="8"/>
        <v>1.4999999999999999E-2</v>
      </c>
      <c r="G82" s="25">
        <f t="shared" si="9"/>
        <v>7.4999999999999997E-3</v>
      </c>
      <c r="H82" s="25">
        <f t="shared" si="10"/>
        <v>0</v>
      </c>
      <c r="I82" s="25">
        <f t="shared" si="11"/>
        <v>0</v>
      </c>
      <c r="J82" s="25">
        <f t="shared" si="12"/>
        <v>0</v>
      </c>
      <c r="K82" s="25">
        <f t="shared" si="13"/>
        <v>0</v>
      </c>
      <c r="L82">
        <f>3/8/20</f>
        <v>1.8749999999999999E-2</v>
      </c>
      <c r="M82">
        <f>1.5/8/20</f>
        <v>9.3749999999999997E-3</v>
      </c>
      <c r="N82">
        <v>0</v>
      </c>
      <c r="O82">
        <v>0</v>
      </c>
      <c r="P82">
        <v>0</v>
      </c>
      <c r="Q82">
        <v>0</v>
      </c>
    </row>
    <row r="83" spans="4:17" x14ac:dyDescent="0.25">
      <c r="D83" s="24" t="s">
        <v>182</v>
      </c>
      <c r="E83" s="53">
        <v>0.3</v>
      </c>
      <c r="F83" s="25">
        <f t="shared" si="8"/>
        <v>0</v>
      </c>
      <c r="G83" s="25">
        <f t="shared" si="9"/>
        <v>0</v>
      </c>
      <c r="H83" s="25">
        <f t="shared" si="10"/>
        <v>0</v>
      </c>
      <c r="I83" s="25">
        <f t="shared" si="11"/>
        <v>0</v>
      </c>
      <c r="J83" s="25">
        <f t="shared" si="12"/>
        <v>0</v>
      </c>
      <c r="K83" s="25">
        <f t="shared" si="13"/>
        <v>0.22499999999999998</v>
      </c>
      <c r="L83">
        <v>0</v>
      </c>
      <c r="M83">
        <v>0</v>
      </c>
      <c r="N83">
        <v>0</v>
      </c>
      <c r="O83">
        <v>0</v>
      </c>
      <c r="P83">
        <v>0</v>
      </c>
      <c r="Q83">
        <f>15/20</f>
        <v>0.75</v>
      </c>
    </row>
    <row r="84" spans="4:17" x14ac:dyDescent="0.25">
      <c r="D84" s="24" t="s">
        <v>206</v>
      </c>
      <c r="E84" s="53"/>
      <c r="F84" s="25">
        <f t="shared" ref="F84:K84" si="14">SUM(F69:F83)</f>
        <v>1.6274999999999999</v>
      </c>
      <c r="G84" s="25">
        <f t="shared" si="14"/>
        <v>0.59875</v>
      </c>
      <c r="H84" s="25">
        <f t="shared" si="14"/>
        <v>2.6750000000000003</v>
      </c>
      <c r="I84" s="25">
        <f t="shared" si="14"/>
        <v>0.35531249999999998</v>
      </c>
      <c r="J84" s="25">
        <f t="shared" si="14"/>
        <v>0</v>
      </c>
      <c r="K84" s="25">
        <f t="shared" si="14"/>
        <v>0.22499999999999998</v>
      </c>
    </row>
    <row r="85" spans="4:17" x14ac:dyDescent="0.25">
      <c r="D85" s="54" t="s">
        <v>207</v>
      </c>
      <c r="E85" s="54"/>
      <c r="F85" s="25">
        <f t="shared" ref="F85:K85" si="15">F84/12</f>
        <v>0.135625</v>
      </c>
      <c r="G85" s="25">
        <f t="shared" si="15"/>
        <v>4.9895833333333334E-2</v>
      </c>
      <c r="H85" s="25">
        <f t="shared" si="15"/>
        <v>0.22291666666666668</v>
      </c>
      <c r="I85" s="25">
        <f t="shared" si="15"/>
        <v>2.9609374999999997E-2</v>
      </c>
      <c r="J85" s="25">
        <f t="shared" si="15"/>
        <v>0</v>
      </c>
      <c r="K85" s="25">
        <f t="shared" si="15"/>
        <v>1.8749999999999999E-2</v>
      </c>
    </row>
    <row r="86" spans="4:17" x14ac:dyDescent="0.25">
      <c r="D86" s="48"/>
      <c r="E86" s="48"/>
      <c r="F86" s="48"/>
      <c r="G86" s="48"/>
      <c r="H86" s="48"/>
      <c r="I86" s="48"/>
      <c r="J86" s="48"/>
      <c r="K86" s="48"/>
    </row>
    <row r="87" spans="4:17" x14ac:dyDescent="0.25">
      <c r="D87" s="15" t="s">
        <v>208</v>
      </c>
      <c r="E87" s="15"/>
      <c r="F87" s="25">
        <v>0</v>
      </c>
      <c r="G87" s="25">
        <v>0</v>
      </c>
      <c r="H87" s="25">
        <v>0</v>
      </c>
      <c r="I87" s="25">
        <v>0</v>
      </c>
      <c r="J87" s="25">
        <v>1</v>
      </c>
      <c r="K87" s="25">
        <v>0</v>
      </c>
    </row>
    <row r="88" spans="4:17" ht="15.75" customHeight="1" x14ac:dyDescent="0.25">
      <c r="D88" s="128" t="s">
        <v>209</v>
      </c>
      <c r="E88" s="128"/>
      <c r="F88" s="25">
        <f>F87/12</f>
        <v>0</v>
      </c>
      <c r="G88" s="25">
        <f>G87/12</f>
        <v>0</v>
      </c>
      <c r="H88" s="25">
        <f>H87/12</f>
        <v>0</v>
      </c>
      <c r="I88" s="25">
        <f>I87/12</f>
        <v>0</v>
      </c>
      <c r="J88" s="25">
        <v>1</v>
      </c>
      <c r="K88" s="25">
        <v>0</v>
      </c>
    </row>
    <row r="89" spans="4:17" x14ac:dyDescent="0.25">
      <c r="D89" s="15" t="s">
        <v>210</v>
      </c>
      <c r="E89" s="15"/>
      <c r="F89" s="25">
        <f>150/20</f>
        <v>7.5</v>
      </c>
      <c r="G89" s="25">
        <f>F89/5</f>
        <v>1.5</v>
      </c>
      <c r="H89" s="25">
        <f>80/20</f>
        <v>4</v>
      </c>
      <c r="I89" s="25">
        <f>12/8/20*7.5</f>
        <v>0.5625</v>
      </c>
      <c r="J89" s="25">
        <v>0</v>
      </c>
      <c r="K89" s="25">
        <v>0</v>
      </c>
    </row>
    <row r="90" spans="4:17" ht="15.75" customHeight="1" x14ac:dyDescent="0.25">
      <c r="D90" s="128" t="s">
        <v>211</v>
      </c>
      <c r="E90" s="128"/>
      <c r="F90" s="25">
        <f t="shared" ref="F90:K90" si="16">F89/12</f>
        <v>0.625</v>
      </c>
      <c r="G90" s="25">
        <f t="shared" si="16"/>
        <v>0.125</v>
      </c>
      <c r="H90" s="25">
        <f t="shared" si="16"/>
        <v>0.33333333333333331</v>
      </c>
      <c r="I90" s="25">
        <f t="shared" si="16"/>
        <v>4.6875E-2</v>
      </c>
      <c r="J90" s="25">
        <f t="shared" si="16"/>
        <v>0</v>
      </c>
      <c r="K90" s="25">
        <f t="shared" si="16"/>
        <v>0</v>
      </c>
    </row>
    <row r="91" spans="4:17" x14ac:dyDescent="0.25">
      <c r="D91" s="15" t="s">
        <v>182</v>
      </c>
      <c r="E91" s="15"/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f>5/20</f>
        <v>0.25</v>
      </c>
    </row>
    <row r="92" spans="4:17" ht="15.75" customHeight="1" x14ac:dyDescent="0.25">
      <c r="D92" s="128" t="s">
        <v>182</v>
      </c>
      <c r="E92" s="128"/>
      <c r="F92" s="25">
        <f t="shared" ref="F92:K92" si="17">F91/12</f>
        <v>0</v>
      </c>
      <c r="G92" s="25">
        <f t="shared" si="17"/>
        <v>0</v>
      </c>
      <c r="H92" s="25">
        <f t="shared" si="17"/>
        <v>0</v>
      </c>
      <c r="I92" s="25">
        <f t="shared" si="17"/>
        <v>0</v>
      </c>
      <c r="J92" s="25">
        <f t="shared" si="17"/>
        <v>0</v>
      </c>
      <c r="K92" s="25">
        <f t="shared" si="17"/>
        <v>2.0833333333333332E-2</v>
      </c>
    </row>
    <row r="93" spans="4:17" x14ac:dyDescent="0.25">
      <c r="F93" s="25"/>
      <c r="G93" s="25"/>
      <c r="H93" s="25"/>
      <c r="I93" s="25"/>
      <c r="J93" s="25"/>
      <c r="K93" s="25"/>
    </row>
    <row r="98" spans="13:19" ht="26.25" customHeight="1" x14ac:dyDescent="0.25"/>
    <row r="102" spans="13:19" ht="15.75" customHeight="1" x14ac:dyDescent="0.25">
      <c r="M102" s="26"/>
      <c r="N102" s="129" t="s">
        <v>212</v>
      </c>
      <c r="O102" s="129"/>
      <c r="P102" s="129"/>
      <c r="Q102" s="129"/>
      <c r="R102" s="129"/>
      <c r="S102" s="129"/>
    </row>
    <row r="103" spans="13:19" ht="22.5" x14ac:dyDescent="0.25">
      <c r="M103" s="26"/>
      <c r="N103" s="21" t="s">
        <v>213</v>
      </c>
      <c r="O103" s="15" t="s">
        <v>37</v>
      </c>
      <c r="P103" s="21" t="s">
        <v>214</v>
      </c>
      <c r="Q103" s="15" t="s">
        <v>39</v>
      </c>
      <c r="R103" s="21" t="s">
        <v>215</v>
      </c>
      <c r="S103" s="15" t="s">
        <v>216</v>
      </c>
    </row>
    <row r="104" spans="13:19" x14ac:dyDescent="0.25">
      <c r="M104" s="15" t="s">
        <v>171</v>
      </c>
      <c r="N104" s="34">
        <f t="shared" ref="N104:S104" si="18">F14</f>
        <v>1.2499999999999999E-2</v>
      </c>
      <c r="O104" s="34">
        <f t="shared" si="18"/>
        <v>7.7083333333333335E-3</v>
      </c>
      <c r="P104" s="34">
        <f t="shared" si="18"/>
        <v>3.3333333333333333E-2</v>
      </c>
      <c r="Q104" s="34">
        <f t="shared" si="18"/>
        <v>0</v>
      </c>
      <c r="R104" s="34">
        <f t="shared" si="18"/>
        <v>0</v>
      </c>
      <c r="S104" s="34">
        <f t="shared" si="18"/>
        <v>0</v>
      </c>
    </row>
    <row r="105" spans="13:19" x14ac:dyDescent="0.25">
      <c r="M105" s="15" t="s">
        <v>177</v>
      </c>
      <c r="N105" s="34">
        <f t="shared" ref="N105:S105" si="19">F25</f>
        <v>9.5833333333333326E-2</v>
      </c>
      <c r="O105" s="34">
        <f t="shared" si="19"/>
        <v>3.6354166666666667E-2</v>
      </c>
      <c r="P105" s="34">
        <f t="shared" si="19"/>
        <v>0.28333333333333333</v>
      </c>
      <c r="Q105" s="34">
        <f t="shared" si="19"/>
        <v>1.7187499999999998E-2</v>
      </c>
      <c r="R105" s="34">
        <f t="shared" si="19"/>
        <v>0</v>
      </c>
      <c r="S105" s="34">
        <f t="shared" si="19"/>
        <v>4.1666666666666666E-3</v>
      </c>
    </row>
    <row r="106" spans="13:19" x14ac:dyDescent="0.25">
      <c r="M106" s="15" t="s">
        <v>185</v>
      </c>
      <c r="N106" s="34">
        <f t="shared" ref="N106:S106" si="20">F38</f>
        <v>0.18906249999999999</v>
      </c>
      <c r="O106" s="34">
        <f t="shared" si="20"/>
        <v>5.46875E-2</v>
      </c>
      <c r="P106" s="34">
        <f t="shared" si="20"/>
        <v>0.35416666666666669</v>
      </c>
      <c r="Q106" s="34">
        <f t="shared" si="20"/>
        <v>1.9791666666666666E-2</v>
      </c>
      <c r="R106" s="34">
        <f t="shared" si="20"/>
        <v>0</v>
      </c>
      <c r="S106" s="34">
        <f t="shared" si="20"/>
        <v>8.3333333333333332E-3</v>
      </c>
    </row>
    <row r="107" spans="13:19" x14ac:dyDescent="0.25">
      <c r="M107" s="15" t="s">
        <v>194</v>
      </c>
      <c r="N107" s="34">
        <f t="shared" ref="N107:S107" si="21">F66</f>
        <v>0.25989583333333333</v>
      </c>
      <c r="O107" s="34">
        <f t="shared" si="21"/>
        <v>7.4843750000000001E-2</v>
      </c>
      <c r="P107" s="34">
        <f t="shared" si="21"/>
        <v>0.80833333333333346</v>
      </c>
      <c r="Q107" s="34">
        <f t="shared" si="21"/>
        <v>0.10520833333333335</v>
      </c>
      <c r="R107" s="34">
        <f t="shared" si="21"/>
        <v>0</v>
      </c>
      <c r="S107" s="34">
        <f t="shared" si="21"/>
        <v>1.2499999999999999E-2</v>
      </c>
    </row>
    <row r="108" spans="13:19" x14ac:dyDescent="0.25">
      <c r="M108" s="15" t="s">
        <v>192</v>
      </c>
      <c r="N108" s="34">
        <f t="shared" ref="N108:S108" si="22">F51</f>
        <v>0.10572916666666667</v>
      </c>
      <c r="O108" s="34">
        <f t="shared" si="22"/>
        <v>4.3229166666666659E-2</v>
      </c>
      <c r="P108" s="34">
        <f t="shared" si="22"/>
        <v>0.29166666666666669</v>
      </c>
      <c r="Q108" s="34">
        <f t="shared" si="22"/>
        <v>8.2291666666666666E-2</v>
      </c>
      <c r="R108" s="34">
        <f t="shared" si="22"/>
        <v>0</v>
      </c>
      <c r="S108" s="34">
        <f t="shared" si="22"/>
        <v>4.1666666666666666E-3</v>
      </c>
    </row>
    <row r="109" spans="13:19" x14ac:dyDescent="0.25">
      <c r="M109" s="15" t="s">
        <v>201</v>
      </c>
      <c r="N109" s="34">
        <f t="shared" ref="N109:S109" si="23">F85</f>
        <v>0.135625</v>
      </c>
      <c r="O109" s="34">
        <f t="shared" si="23"/>
        <v>4.9895833333333334E-2</v>
      </c>
      <c r="P109" s="34">
        <f t="shared" si="23"/>
        <v>0.22291666666666668</v>
      </c>
      <c r="Q109" s="34">
        <f t="shared" si="23"/>
        <v>2.9609374999999997E-2</v>
      </c>
      <c r="R109" s="34">
        <f t="shared" si="23"/>
        <v>0</v>
      </c>
      <c r="S109" s="34">
        <f t="shared" si="23"/>
        <v>1.8749999999999999E-2</v>
      </c>
    </row>
    <row r="110" spans="13:19" x14ac:dyDescent="0.25">
      <c r="M110" s="15" t="s">
        <v>208</v>
      </c>
      <c r="N110" s="34">
        <f t="shared" ref="N110:S110" si="24">F88</f>
        <v>0</v>
      </c>
      <c r="O110" s="34">
        <f t="shared" si="24"/>
        <v>0</v>
      </c>
      <c r="P110" s="34">
        <f t="shared" si="24"/>
        <v>0</v>
      </c>
      <c r="Q110" s="34">
        <f t="shared" si="24"/>
        <v>0</v>
      </c>
      <c r="R110" s="34">
        <f t="shared" si="24"/>
        <v>1</v>
      </c>
      <c r="S110" s="34">
        <f t="shared" si="24"/>
        <v>0</v>
      </c>
    </row>
    <row r="111" spans="13:19" x14ac:dyDescent="0.25">
      <c r="M111" s="15" t="s">
        <v>210</v>
      </c>
      <c r="N111" s="34">
        <f t="shared" ref="N111:S111" si="25">F90</f>
        <v>0.625</v>
      </c>
      <c r="O111" s="34">
        <f t="shared" si="25"/>
        <v>0.125</v>
      </c>
      <c r="P111" s="34">
        <f t="shared" si="25"/>
        <v>0.33333333333333331</v>
      </c>
      <c r="Q111" s="34">
        <f t="shared" si="25"/>
        <v>4.6875E-2</v>
      </c>
      <c r="R111" s="34">
        <f t="shared" si="25"/>
        <v>0</v>
      </c>
      <c r="S111" s="34">
        <f t="shared" si="25"/>
        <v>0</v>
      </c>
    </row>
    <row r="112" spans="13:19" x14ac:dyDescent="0.25">
      <c r="M112" s="15" t="s">
        <v>217</v>
      </c>
      <c r="N112" s="34">
        <f>F92</f>
        <v>0</v>
      </c>
      <c r="O112" s="34">
        <f>G92</f>
        <v>0</v>
      </c>
      <c r="P112" s="34">
        <f>H92</f>
        <v>0</v>
      </c>
      <c r="Q112" s="34">
        <f>I92</f>
        <v>0</v>
      </c>
      <c r="R112" s="34">
        <f>J92</f>
        <v>0</v>
      </c>
      <c r="S112" s="34">
        <f>K91</f>
        <v>0.25</v>
      </c>
    </row>
  </sheetData>
  <mergeCells count="56">
    <mergeCell ref="N102:S102"/>
    <mergeCell ref="D66:E66"/>
    <mergeCell ref="D67:E67"/>
    <mergeCell ref="D88:E88"/>
    <mergeCell ref="D90:E90"/>
    <mergeCell ref="D92:E92"/>
    <mergeCell ref="D60:E60"/>
    <mergeCell ref="D61:E61"/>
    <mergeCell ref="D62:E62"/>
    <mergeCell ref="D63:E63"/>
    <mergeCell ref="D65:E65"/>
    <mergeCell ref="D55:E55"/>
    <mergeCell ref="D56:E56"/>
    <mergeCell ref="D57:E57"/>
    <mergeCell ref="D58:E58"/>
    <mergeCell ref="D59:E59"/>
    <mergeCell ref="D49:E49"/>
    <mergeCell ref="D50:E50"/>
    <mergeCell ref="D51:E51"/>
    <mergeCell ref="D52:E52"/>
    <mergeCell ref="D54:E54"/>
    <mergeCell ref="D44:E44"/>
    <mergeCell ref="D45:E45"/>
    <mergeCell ref="D46:E46"/>
    <mergeCell ref="D47:E47"/>
    <mergeCell ref="D48:E48"/>
    <mergeCell ref="D38:E38"/>
    <mergeCell ref="D39:E39"/>
    <mergeCell ref="D41:E41"/>
    <mergeCell ref="D42:E42"/>
    <mergeCell ref="D43:E4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1:E21"/>
    <mergeCell ref="D22:E22"/>
    <mergeCell ref="D24:E24"/>
    <mergeCell ref="D25:E25"/>
    <mergeCell ref="D26:E26"/>
    <mergeCell ref="D15:E15"/>
    <mergeCell ref="D17:E17"/>
    <mergeCell ref="D18:E18"/>
    <mergeCell ref="D19:E19"/>
    <mergeCell ref="D20:E20"/>
    <mergeCell ref="D10:E10"/>
    <mergeCell ref="D11:E11"/>
    <mergeCell ref="D12:E12"/>
    <mergeCell ref="D13:E13"/>
    <mergeCell ref="D14:E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4:AK65"/>
  <sheetViews>
    <sheetView topLeftCell="U14" zoomScaleNormal="100" workbookViewId="0">
      <selection activeCell="AI32" sqref="AI32"/>
    </sheetView>
  </sheetViews>
  <sheetFormatPr baseColWidth="10" defaultColWidth="9.140625" defaultRowHeight="15" x14ac:dyDescent="0.25"/>
  <cols>
    <col min="1" max="1" width="11.42578125"/>
    <col min="2" max="2" width="35.7109375"/>
    <col min="3" max="7" width="11.42578125"/>
    <col min="8" max="8" width="24.7109375"/>
    <col min="9" max="12" width="0" hidden="1" customWidth="1"/>
    <col min="13" max="13" width="14.140625"/>
    <col min="14" max="15" width="11.42578125"/>
    <col min="16" max="16" width="23.28515625"/>
    <col min="17" max="17" width="14.140625"/>
    <col min="18" max="24" width="11.42578125"/>
    <col min="25" max="25" width="24.7109375"/>
    <col min="26" max="26" width="8.7109375"/>
    <col min="27" max="28" width="8.5703125"/>
    <col min="29" max="37" width="8.28515625"/>
    <col min="38" max="1025" width="11.42578125"/>
  </cols>
  <sheetData>
    <row r="4" spans="2:37" x14ac:dyDescent="0.25">
      <c r="S4" t="s">
        <v>258</v>
      </c>
      <c r="T4" s="20">
        <v>1.4999999999999999E-2</v>
      </c>
    </row>
    <row r="5" spans="2:37" x14ac:dyDescent="0.25">
      <c r="L5" s="69"/>
    </row>
    <row r="6" spans="2:37" x14ac:dyDescent="0.25">
      <c r="H6" s="15" t="s">
        <v>259</v>
      </c>
      <c r="I6" s="15" t="s">
        <v>260</v>
      </c>
      <c r="J6" s="15" t="s">
        <v>261</v>
      </c>
      <c r="K6" s="15" t="s">
        <v>262</v>
      </c>
      <c r="L6" s="15" t="s">
        <v>263</v>
      </c>
      <c r="M6" s="15" t="s">
        <v>264</v>
      </c>
      <c r="P6" s="15" t="str">
        <f t="shared" ref="P6:P13" si="0">H6</f>
        <v>Precios Planes</v>
      </c>
      <c r="Q6" s="15" t="str">
        <f t="shared" ref="Q6:Q15" si="1">M6</f>
        <v>Costo Total mensual</v>
      </c>
      <c r="R6" s="15" t="s">
        <v>265</v>
      </c>
      <c r="S6" s="15" t="s">
        <v>266</v>
      </c>
      <c r="T6" s="15" t="s">
        <v>267</v>
      </c>
    </row>
    <row r="7" spans="2:37" x14ac:dyDescent="0.25">
      <c r="B7" s="15" t="str">
        <f>'costos totales anuales'!B27</f>
        <v>Costos variables Plan Personal</v>
      </c>
      <c r="C7" s="15" t="str">
        <f>'costos totales anuales'!C27</f>
        <v>Unitario</v>
      </c>
      <c r="H7" s="24" t="s">
        <v>171</v>
      </c>
      <c r="I7" s="25">
        <f>C10</f>
        <v>85</v>
      </c>
      <c r="J7" s="40">
        <f>'gastos totales'!K53</f>
        <v>689.73295999999993</v>
      </c>
      <c r="K7" s="25">
        <f>'gastos totales'!L53</f>
        <v>1.3591226757427199</v>
      </c>
      <c r="L7" s="40">
        <f t="shared" ref="L7:L15" si="2">SUM(I7:K7)</f>
        <v>776.09208267574263</v>
      </c>
      <c r="M7" s="40">
        <f t="shared" ref="M7:M15" si="3">L7/12</f>
        <v>64.674340222978557</v>
      </c>
      <c r="P7" s="24" t="str">
        <f t="shared" si="0"/>
        <v>Plan Personal</v>
      </c>
      <c r="Q7" s="25">
        <f t="shared" si="1"/>
        <v>64.674340222978557</v>
      </c>
      <c r="R7" s="25">
        <f t="shared" ref="R7:R15" si="4">Q7*$T$4</f>
        <v>0.97011510334467832</v>
      </c>
      <c r="S7" s="25">
        <f t="shared" ref="S7:S15" si="5">ROUND(Q7+R7,0)-0.01</f>
        <v>65.989999999999995</v>
      </c>
      <c r="T7" s="25">
        <f t="shared" ref="T7:T15" si="6">S7*12</f>
        <v>791.87999999999988</v>
      </c>
    </row>
    <row r="8" spans="2:37" x14ac:dyDescent="0.25">
      <c r="B8" s="24" t="str">
        <f>'costos totales anuales'!B28</f>
        <v>hosting</v>
      </c>
      <c r="C8" s="57">
        <f>'costos totales anuales'!C28</f>
        <v>72</v>
      </c>
      <c r="H8" s="24" t="s">
        <v>177</v>
      </c>
      <c r="I8" s="25">
        <f>C15</f>
        <v>205</v>
      </c>
      <c r="J8" s="40">
        <f>'gastos totales'!K54</f>
        <v>4241.8991599999999</v>
      </c>
      <c r="K8" s="25">
        <f>'gastos totales'!L54</f>
        <v>3.0580260204211198</v>
      </c>
      <c r="L8" s="40">
        <f t="shared" si="2"/>
        <v>4449.9571860204214</v>
      </c>
      <c r="M8" s="40">
        <f t="shared" si="3"/>
        <v>370.82976550170179</v>
      </c>
      <c r="P8" s="24" t="str">
        <f t="shared" si="0"/>
        <v>Plan Empresarial - Económico</v>
      </c>
      <c r="Q8" s="25">
        <f t="shared" si="1"/>
        <v>370.82976550170179</v>
      </c>
      <c r="R8" s="25">
        <f t="shared" si="4"/>
        <v>5.5624464825255266</v>
      </c>
      <c r="S8" s="25">
        <f t="shared" si="5"/>
        <v>375.99</v>
      </c>
      <c r="T8" s="25">
        <f t="shared" si="6"/>
        <v>4511.88</v>
      </c>
    </row>
    <row r="9" spans="2:37" x14ac:dyDescent="0.25">
      <c r="B9" s="24" t="str">
        <f>'costos totales anuales'!B29</f>
        <v>dominio</v>
      </c>
      <c r="C9" s="25">
        <f>'costos totales anuales'!C29</f>
        <v>13</v>
      </c>
      <c r="H9" s="24" t="s">
        <v>268</v>
      </c>
      <c r="I9" s="25">
        <f>C21</f>
        <v>979</v>
      </c>
      <c r="J9" s="40">
        <f>'gastos totales'!K55</f>
        <v>5869.1200399999998</v>
      </c>
      <c r="K9" s="25">
        <f>'gastos totales'!L55</f>
        <v>2.8881356859532801</v>
      </c>
      <c r="L9" s="40">
        <f t="shared" si="2"/>
        <v>6851.0081756859527</v>
      </c>
      <c r="M9" s="40">
        <f t="shared" si="3"/>
        <v>570.91734797382935</v>
      </c>
      <c r="P9" s="24" t="str">
        <f t="shared" si="0"/>
        <v>Plan Empresarial - Estandar</v>
      </c>
      <c r="Q9" s="25">
        <f t="shared" si="1"/>
        <v>570.91734797382935</v>
      </c>
      <c r="R9" s="25">
        <f t="shared" si="4"/>
        <v>8.56376021960744</v>
      </c>
      <c r="S9" s="25">
        <f t="shared" si="5"/>
        <v>578.99</v>
      </c>
      <c r="T9" s="25">
        <f t="shared" si="6"/>
        <v>6947.88</v>
      </c>
    </row>
    <row r="10" spans="2:37" ht="22.5" x14ac:dyDescent="0.25">
      <c r="B10" s="24" t="str">
        <f>'costos totales anuales'!B30</f>
        <v>Costo total Plan Personal</v>
      </c>
      <c r="C10" s="25">
        <f>'costos totales anuales'!C30</f>
        <v>85</v>
      </c>
      <c r="H10" s="24" t="s">
        <v>192</v>
      </c>
      <c r="I10" s="25">
        <f>C28</f>
        <v>979</v>
      </c>
      <c r="J10" s="40">
        <f>'gastos totales'!K57</f>
        <v>4841.6200399999998</v>
      </c>
      <c r="K10" s="25">
        <f>'gastos totales'!L56</f>
        <v>2.8881356859532801</v>
      </c>
      <c r="L10" s="40">
        <f t="shared" si="2"/>
        <v>5823.5081756859527</v>
      </c>
      <c r="M10" s="40">
        <f t="shared" si="3"/>
        <v>485.29234797382941</v>
      </c>
      <c r="P10" s="24" t="str">
        <f t="shared" si="0"/>
        <v>Plan Empresarial - Ropa y tecnologia</v>
      </c>
      <c r="Q10" s="25">
        <f t="shared" si="1"/>
        <v>485.29234797382941</v>
      </c>
      <c r="R10" s="25">
        <f t="shared" si="4"/>
        <v>7.2793852196074411</v>
      </c>
      <c r="S10" s="25">
        <f t="shared" si="5"/>
        <v>492.99</v>
      </c>
      <c r="T10" s="25">
        <f t="shared" si="6"/>
        <v>5915.88</v>
      </c>
    </row>
    <row r="11" spans="2:37" x14ac:dyDescent="0.25">
      <c r="B11" s="15" t="str">
        <f>'costos totales anuales'!B31</f>
        <v>Costos variables Plan Empresarial - Económico</v>
      </c>
      <c r="C11" s="15" t="str">
        <f>'costos totales anuales'!C31</f>
        <v>Unitario</v>
      </c>
      <c r="H11" s="24" t="s">
        <v>194</v>
      </c>
      <c r="I11" s="25">
        <f>C36</f>
        <v>2953</v>
      </c>
      <c r="J11" s="40">
        <f>'gastos totales'!K56</f>
        <v>11073.49504</v>
      </c>
      <c r="K11" s="25">
        <f>'gastos totales'!L57</f>
        <v>2.8881356859532801</v>
      </c>
      <c r="L11" s="40">
        <f t="shared" si="2"/>
        <v>14029.383175685953</v>
      </c>
      <c r="M11" s="40">
        <f t="shared" si="3"/>
        <v>1169.115264640496</v>
      </c>
      <c r="P11" s="24" t="str">
        <f t="shared" si="0"/>
        <v>Plan Empresarial - Premium</v>
      </c>
      <c r="Q11" s="25">
        <f t="shared" si="1"/>
        <v>1169.115264640496</v>
      </c>
      <c r="R11" s="25">
        <f t="shared" si="4"/>
        <v>17.536728969607438</v>
      </c>
      <c r="S11" s="25">
        <f t="shared" si="5"/>
        <v>1186.99</v>
      </c>
      <c r="T11" s="25">
        <f t="shared" si="6"/>
        <v>14243.880000000001</v>
      </c>
    </row>
    <row r="12" spans="2:37" x14ac:dyDescent="0.25">
      <c r="B12" s="24" t="str">
        <f>'costos totales anuales'!B32</f>
        <v>hosting</v>
      </c>
      <c r="C12" s="57">
        <f>'costos totales anuales'!C32</f>
        <v>72</v>
      </c>
      <c r="H12" s="24" t="s">
        <v>269</v>
      </c>
      <c r="I12" s="25">
        <f>C60</f>
        <v>1449.65</v>
      </c>
      <c r="J12" s="40">
        <f>'gastos totales'!K59</f>
        <v>10846.560000000001</v>
      </c>
      <c r="K12" s="25">
        <f>'gastos totales'!L59</f>
        <v>31.036977457920006</v>
      </c>
      <c r="L12" s="40">
        <f t="shared" si="2"/>
        <v>12327.24697745792</v>
      </c>
      <c r="M12" s="40">
        <f t="shared" si="3"/>
        <v>1027.2705814548267</v>
      </c>
      <c r="P12" s="24" t="str">
        <f t="shared" si="0"/>
        <v>Servicio Redes Datos</v>
      </c>
      <c r="Q12" s="25">
        <f t="shared" si="1"/>
        <v>1027.2705814548267</v>
      </c>
      <c r="R12" s="25">
        <f t="shared" si="4"/>
        <v>15.409058721822399</v>
      </c>
      <c r="S12" s="25">
        <f t="shared" si="5"/>
        <v>1042.99</v>
      </c>
      <c r="T12" s="25">
        <f t="shared" si="6"/>
        <v>12515.880000000001</v>
      </c>
    </row>
    <row r="13" spans="2:37" x14ac:dyDescent="0.25">
      <c r="B13" s="24" t="str">
        <f>'costos totales anuales'!B34</f>
        <v>dominio</v>
      </c>
      <c r="C13" s="25">
        <f>'costos totales anuales'!C34</f>
        <v>13</v>
      </c>
      <c r="H13" s="24" t="s">
        <v>270</v>
      </c>
      <c r="I13" s="25">
        <f>C65</f>
        <v>6735.65</v>
      </c>
      <c r="J13" s="40">
        <f>'gastos totales'!K60</f>
        <v>14354.706</v>
      </c>
      <c r="K13" s="25">
        <f>'gastos totales'!L60</f>
        <v>28.967845627392006</v>
      </c>
      <c r="L13" s="40">
        <f t="shared" si="2"/>
        <v>21119.32384562739</v>
      </c>
      <c r="M13" s="40">
        <f t="shared" si="3"/>
        <v>1759.9436538022826</v>
      </c>
      <c r="P13" s="24" t="str">
        <f t="shared" si="0"/>
        <v>Software Web como Servicio</v>
      </c>
      <c r="Q13" s="25">
        <f t="shared" si="1"/>
        <v>1759.9436538022826</v>
      </c>
      <c r="R13" s="25">
        <f t="shared" si="4"/>
        <v>26.39915480703424</v>
      </c>
      <c r="S13" s="25">
        <f t="shared" si="5"/>
        <v>1785.99</v>
      </c>
      <c r="T13" s="25">
        <f t="shared" si="6"/>
        <v>21431.88</v>
      </c>
    </row>
    <row r="14" spans="2:37" x14ac:dyDescent="0.25">
      <c r="B14" s="24" t="str">
        <f>'costos totales anuales'!B35</f>
        <v>Email Marketing Empresarial 500 suscriptores</v>
      </c>
      <c r="C14" s="57">
        <f>'costos totales anuales'!C35</f>
        <v>120</v>
      </c>
      <c r="H14" s="24" t="s">
        <v>217</v>
      </c>
      <c r="I14" s="25">
        <v>0</v>
      </c>
      <c r="J14" s="25">
        <f>'gastos totales'!K61</f>
        <v>4177.0720000000001</v>
      </c>
      <c r="K14" s="25">
        <f>'gastos totales'!L61</f>
        <v>11.380225067904002</v>
      </c>
      <c r="L14" s="25">
        <f t="shared" si="2"/>
        <v>4188.4522250679038</v>
      </c>
      <c r="M14" s="25">
        <f t="shared" si="3"/>
        <v>349.0376854223253</v>
      </c>
      <c r="P14" s="24" t="s">
        <v>217</v>
      </c>
      <c r="Q14" s="25">
        <f t="shared" si="1"/>
        <v>349.0376854223253</v>
      </c>
      <c r="R14" s="25">
        <f t="shared" si="4"/>
        <v>5.2355652813348792</v>
      </c>
      <c r="S14" s="25">
        <f t="shared" si="5"/>
        <v>353.99</v>
      </c>
      <c r="T14" s="25">
        <f t="shared" si="6"/>
        <v>4247.88</v>
      </c>
    </row>
    <row r="15" spans="2:37" x14ac:dyDescent="0.25">
      <c r="B15" s="24" t="str">
        <f>'costos totales anuales'!B36</f>
        <v>Costo total Plan Empresarial - Económico</v>
      </c>
      <c r="C15" s="25">
        <f>'costos totales anuales'!C36</f>
        <v>205</v>
      </c>
      <c r="H15" s="24" t="s">
        <v>271</v>
      </c>
      <c r="I15" s="25">
        <f>C48</f>
        <v>501.87999999999994</v>
      </c>
      <c r="J15" s="25">
        <f>'gastos totales'!K58</f>
        <v>4578.3260100000007</v>
      </c>
      <c r="K15" s="25">
        <f>'gastos totales'!L58</f>
        <v>3.9074776927603203</v>
      </c>
      <c r="L15" s="25">
        <f t="shared" si="2"/>
        <v>5084.1134876927608</v>
      </c>
      <c r="M15" s="25">
        <f t="shared" si="3"/>
        <v>423.67612397439672</v>
      </c>
      <c r="P15" s="24" t="s">
        <v>271</v>
      </c>
      <c r="Q15" s="70">
        <f t="shared" si="1"/>
        <v>423.67612397439672</v>
      </c>
      <c r="R15" s="70">
        <f t="shared" si="4"/>
        <v>6.3551418596159506</v>
      </c>
      <c r="S15" s="70">
        <f t="shared" si="5"/>
        <v>429.99</v>
      </c>
      <c r="T15" s="70">
        <f t="shared" si="6"/>
        <v>5159.88</v>
      </c>
    </row>
    <row r="16" spans="2:37" x14ac:dyDescent="0.25">
      <c r="B16" s="15" t="str">
        <f>'costos totales anuales'!B37</f>
        <v>Costos variables Plan Empresarial - Estándar</v>
      </c>
      <c r="C16" s="15" t="str">
        <f>'costos totales anuales'!C37</f>
        <v>Unitario</v>
      </c>
      <c r="Y16" s="38" t="s">
        <v>272</v>
      </c>
      <c r="Z16" s="56"/>
      <c r="AA16" s="56"/>
      <c r="AB16" s="15">
        <f>'costos totales anuales'!E10</f>
        <v>2014</v>
      </c>
      <c r="AC16" s="15">
        <f>'costos totales anuales'!F10</f>
        <v>2015</v>
      </c>
      <c r="AD16" s="15">
        <f>'costos totales anuales'!G10</f>
        <v>2016</v>
      </c>
      <c r="AE16" s="15">
        <f>'costos totales anuales'!H10</f>
        <v>2017</v>
      </c>
      <c r="AF16" s="15">
        <f>'costos totales anuales'!I10</f>
        <v>2018</v>
      </c>
      <c r="AG16" s="15">
        <f>'costos totales anuales'!J10</f>
        <v>2019</v>
      </c>
      <c r="AH16" s="15">
        <f>'costos totales anuales'!K10</f>
        <v>2020</v>
      </c>
      <c r="AI16" s="15">
        <f>'costos totales anuales'!L10</f>
        <v>2021</v>
      </c>
      <c r="AJ16" s="15">
        <f>'costos totales anuales'!M10</f>
        <v>2022</v>
      </c>
      <c r="AK16" s="15">
        <f>'costos totales anuales'!N10</f>
        <v>2023</v>
      </c>
    </row>
    <row r="17" spans="2:37" x14ac:dyDescent="0.25">
      <c r="B17" s="24" t="str">
        <f>'costos totales anuales'!B38</f>
        <v>hosting</v>
      </c>
      <c r="C17" s="57">
        <f>'costos totales anuales'!C38</f>
        <v>72</v>
      </c>
      <c r="Y17" s="24" t="str">
        <f>'costos totales anuales'!B11</f>
        <v>Demanda</v>
      </c>
      <c r="Z17" s="57"/>
      <c r="AA17" s="57"/>
      <c r="AB17" s="58">
        <f>'costos totales anuales'!E11</f>
        <v>4</v>
      </c>
      <c r="AC17" s="57">
        <f>'costos totales anuales'!F11</f>
        <v>7</v>
      </c>
      <c r="AD17" s="57">
        <f>'costos totales anuales'!G11</f>
        <v>12</v>
      </c>
      <c r="AE17" s="37">
        <f>'costos totales anuales'!H11</f>
        <v>15.66666666666697</v>
      </c>
      <c r="AF17" s="37">
        <f>'costos totales anuales'!I11</f>
        <v>20.222222222224445</v>
      </c>
      <c r="AG17" s="37">
        <f>'costos totales anuales'!J11</f>
        <v>24.185185185187947</v>
      </c>
      <c r="AH17" s="37">
        <f>'costos totales anuales'!K11</f>
        <v>28.543209876548644</v>
      </c>
      <c r="AI17" s="37">
        <f>'costos totales anuales'!L11</f>
        <v>32.637860082311818</v>
      </c>
      <c r="AJ17" s="37">
        <f>'costos totales anuales'!M11</f>
        <v>36.908093278472734</v>
      </c>
      <c r="AK17" s="37">
        <f>'costos totales anuales'!N11</f>
        <v>41.061271147700609</v>
      </c>
    </row>
    <row r="18" spans="2:37" x14ac:dyDescent="0.25">
      <c r="B18" s="24" t="str">
        <f>'costos totales anuales'!B40</f>
        <v>dominio</v>
      </c>
      <c r="C18" s="25">
        <f>'costos totales anuales'!C40</f>
        <v>13</v>
      </c>
    </row>
    <row r="19" spans="2:37" ht="33.75" x14ac:dyDescent="0.25">
      <c r="B19" s="24" t="str">
        <f>'costos totales anuales'!B41</f>
        <v>Email Marketing Empresarial 1000 suscriptores</v>
      </c>
      <c r="C19" s="57">
        <f>'costos totales anuales'!C41</f>
        <v>30</v>
      </c>
      <c r="Y19" s="15" t="str">
        <f t="shared" ref="Y19:Y26" si="7">P6</f>
        <v>Precios Planes</v>
      </c>
      <c r="Z19" s="24" t="s">
        <v>273</v>
      </c>
      <c r="AA19" s="24" t="s">
        <v>274</v>
      </c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2:37" x14ac:dyDescent="0.25">
      <c r="B20" s="24" t="str">
        <f>'costos totales anuales'!B43</f>
        <v>Posicionamiento Web 2 palabras claves</v>
      </c>
      <c r="C20" s="57">
        <f>'costos totales anuales'!C43</f>
        <v>576</v>
      </c>
      <c r="Y20" s="24" t="str">
        <f t="shared" si="7"/>
        <v>Plan Personal</v>
      </c>
      <c r="Z20" s="40">
        <f t="shared" ref="Z20:Z28" si="8">T7</f>
        <v>791.87999999999988</v>
      </c>
      <c r="AA20" s="64">
        <v>0.1</v>
      </c>
      <c r="AB20" s="40">
        <f t="shared" ref="AB20:AK28" si="9">$Z20*ROUND(AB$17*$AA20,0)</f>
        <v>0</v>
      </c>
      <c r="AC20" s="40">
        <f t="shared" si="9"/>
        <v>791.87999999999988</v>
      </c>
      <c r="AD20" s="40">
        <f t="shared" si="9"/>
        <v>791.87999999999988</v>
      </c>
      <c r="AE20" s="40">
        <f t="shared" si="9"/>
        <v>1583.7599999999998</v>
      </c>
      <c r="AF20" s="40">
        <f t="shared" si="9"/>
        <v>1583.7599999999998</v>
      </c>
      <c r="AG20" s="40">
        <f t="shared" si="9"/>
        <v>1583.7599999999998</v>
      </c>
      <c r="AH20" s="40">
        <f t="shared" si="9"/>
        <v>2375.6399999999994</v>
      </c>
      <c r="AI20" s="40">
        <f t="shared" si="9"/>
        <v>2375.6399999999994</v>
      </c>
      <c r="AJ20" s="40">
        <f t="shared" si="9"/>
        <v>3167.5199999999995</v>
      </c>
      <c r="AK20" s="40">
        <f t="shared" si="9"/>
        <v>3167.5199999999995</v>
      </c>
    </row>
    <row r="21" spans="2:37" x14ac:dyDescent="0.25">
      <c r="B21" s="24" t="str">
        <f>'costos totales anuales'!B44</f>
        <v>Costo total Plan Empresarial - Estándar</v>
      </c>
      <c r="C21" s="25">
        <f>'costos totales anuales'!C44</f>
        <v>979</v>
      </c>
      <c r="Y21" s="24" t="str">
        <f t="shared" si="7"/>
        <v>Plan Empresarial - Económico</v>
      </c>
      <c r="Z21" s="40">
        <f t="shared" si="8"/>
        <v>4511.88</v>
      </c>
      <c r="AA21" s="64">
        <v>0.2</v>
      </c>
      <c r="AB21" s="40">
        <f t="shared" si="9"/>
        <v>4511.88</v>
      </c>
      <c r="AC21" s="40">
        <f t="shared" si="9"/>
        <v>4511.88</v>
      </c>
      <c r="AD21" s="40">
        <f t="shared" si="9"/>
        <v>9023.76</v>
      </c>
      <c r="AE21" s="40">
        <f t="shared" si="9"/>
        <v>13535.64</v>
      </c>
      <c r="AF21" s="40">
        <f t="shared" si="9"/>
        <v>18047.52</v>
      </c>
      <c r="AG21" s="40">
        <f t="shared" si="9"/>
        <v>22559.4</v>
      </c>
      <c r="AH21" s="40">
        <f t="shared" si="9"/>
        <v>27071.279999999999</v>
      </c>
      <c r="AI21" s="40">
        <f t="shared" si="9"/>
        <v>31583.16</v>
      </c>
      <c r="AJ21" s="40">
        <f t="shared" si="9"/>
        <v>31583.16</v>
      </c>
      <c r="AK21" s="40">
        <f t="shared" si="9"/>
        <v>36095.040000000001</v>
      </c>
    </row>
    <row r="22" spans="2:37" x14ac:dyDescent="0.25">
      <c r="B22" s="15" t="str">
        <f>'costos totales anuales'!B45</f>
        <v>Costos variables Plan Empresarial - Ropa y tecnologia</v>
      </c>
      <c r="C22" s="15" t="str">
        <f>'costos totales anuales'!C45</f>
        <v>Unitario</v>
      </c>
      <c r="Y22" s="24" t="str">
        <f t="shared" si="7"/>
        <v>Plan Empresarial - Estandar</v>
      </c>
      <c r="Z22" s="40">
        <f t="shared" si="8"/>
        <v>6947.88</v>
      </c>
      <c r="AA22" s="64">
        <v>0.1</v>
      </c>
      <c r="AB22" s="40">
        <f t="shared" si="9"/>
        <v>0</v>
      </c>
      <c r="AC22" s="40">
        <f t="shared" si="9"/>
        <v>6947.88</v>
      </c>
      <c r="AD22" s="40">
        <f t="shared" si="9"/>
        <v>6947.88</v>
      </c>
      <c r="AE22" s="40">
        <f t="shared" si="9"/>
        <v>13895.76</v>
      </c>
      <c r="AF22" s="40">
        <f t="shared" si="9"/>
        <v>13895.76</v>
      </c>
      <c r="AG22" s="40">
        <f t="shared" si="9"/>
        <v>13895.76</v>
      </c>
      <c r="AH22" s="40">
        <f t="shared" si="9"/>
        <v>20843.64</v>
      </c>
      <c r="AI22" s="40">
        <f t="shared" si="9"/>
        <v>20843.64</v>
      </c>
      <c r="AJ22" s="40">
        <f t="shared" si="9"/>
        <v>27791.52</v>
      </c>
      <c r="AK22" s="40">
        <f t="shared" si="9"/>
        <v>27791.52</v>
      </c>
    </row>
    <row r="23" spans="2:37" x14ac:dyDescent="0.25">
      <c r="B23" s="24" t="str">
        <f>'costos totales anuales'!B46</f>
        <v>hosting</v>
      </c>
      <c r="C23" s="57">
        <f>'costos totales anuales'!C46</f>
        <v>72</v>
      </c>
      <c r="Y23" s="24" t="str">
        <f t="shared" si="7"/>
        <v>Plan Empresarial - Ropa y tecnologia</v>
      </c>
      <c r="Z23" s="40">
        <f t="shared" si="8"/>
        <v>5915.88</v>
      </c>
      <c r="AA23" s="64">
        <v>0.4</v>
      </c>
      <c r="AB23" s="40">
        <f t="shared" si="9"/>
        <v>11831.76</v>
      </c>
      <c r="AC23" s="40">
        <f t="shared" si="9"/>
        <v>17747.64</v>
      </c>
      <c r="AD23" s="40">
        <f t="shared" si="9"/>
        <v>29579.4</v>
      </c>
      <c r="AE23" s="40">
        <f t="shared" si="9"/>
        <v>35495.279999999999</v>
      </c>
      <c r="AF23" s="40">
        <f t="shared" si="9"/>
        <v>47327.040000000001</v>
      </c>
      <c r="AG23" s="40">
        <f t="shared" si="9"/>
        <v>59158.8</v>
      </c>
      <c r="AH23" s="40">
        <f t="shared" si="9"/>
        <v>65074.68</v>
      </c>
      <c r="AI23" s="40">
        <f t="shared" si="9"/>
        <v>76906.44</v>
      </c>
      <c r="AJ23" s="40">
        <f t="shared" si="9"/>
        <v>88738.2</v>
      </c>
      <c r="AK23" s="40">
        <f t="shared" si="9"/>
        <v>94654.080000000002</v>
      </c>
    </row>
    <row r="24" spans="2:37" x14ac:dyDescent="0.25">
      <c r="B24" s="24" t="str">
        <f>'costos totales anuales'!B48</f>
        <v>dominio</v>
      </c>
      <c r="C24" s="25">
        <f>'costos totales anuales'!C48</f>
        <v>13</v>
      </c>
      <c r="Y24" s="24" t="str">
        <f t="shared" si="7"/>
        <v>Plan Empresarial - Premium</v>
      </c>
      <c r="Z24" s="40">
        <f t="shared" si="8"/>
        <v>14243.880000000001</v>
      </c>
      <c r="AA24" s="64">
        <v>0.05</v>
      </c>
      <c r="AB24" s="40">
        <f t="shared" si="9"/>
        <v>0</v>
      </c>
      <c r="AC24" s="40">
        <f t="shared" si="9"/>
        <v>0</v>
      </c>
      <c r="AD24" s="40">
        <f t="shared" si="9"/>
        <v>14243.880000000001</v>
      </c>
      <c r="AE24" s="40">
        <f t="shared" si="9"/>
        <v>14243.880000000001</v>
      </c>
      <c r="AF24" s="40">
        <f t="shared" si="9"/>
        <v>14243.880000000001</v>
      </c>
      <c r="AG24" s="40">
        <f t="shared" si="9"/>
        <v>14243.880000000001</v>
      </c>
      <c r="AH24" s="40">
        <f t="shared" si="9"/>
        <v>14243.880000000001</v>
      </c>
      <c r="AI24" s="40">
        <f t="shared" si="9"/>
        <v>28487.760000000002</v>
      </c>
      <c r="AJ24" s="40">
        <f t="shared" si="9"/>
        <v>28487.760000000002</v>
      </c>
      <c r="AK24" s="40">
        <f t="shared" si="9"/>
        <v>28487.760000000002</v>
      </c>
    </row>
    <row r="25" spans="2:37" x14ac:dyDescent="0.25">
      <c r="B25" s="24" t="str">
        <f>'costos totales anuales'!B49</f>
        <v>Email Marketing Empresarial 1000 suscriptores</v>
      </c>
      <c r="C25" s="57">
        <f>'costos totales anuales'!C49</f>
        <v>30</v>
      </c>
      <c r="Y25" s="24" t="str">
        <f t="shared" si="7"/>
        <v>Servicio Redes Datos</v>
      </c>
      <c r="Z25" s="40">
        <f t="shared" si="8"/>
        <v>12515.880000000001</v>
      </c>
      <c r="AA25" s="64">
        <v>0.3</v>
      </c>
      <c r="AB25" s="40">
        <f t="shared" si="9"/>
        <v>12515.880000000001</v>
      </c>
      <c r="AC25" s="40">
        <f t="shared" si="9"/>
        <v>25031.760000000002</v>
      </c>
      <c r="AD25" s="40">
        <f t="shared" si="9"/>
        <v>50063.520000000004</v>
      </c>
      <c r="AE25" s="40">
        <f t="shared" si="9"/>
        <v>62579.400000000009</v>
      </c>
      <c r="AF25" s="40">
        <f t="shared" si="9"/>
        <v>75095.28</v>
      </c>
      <c r="AG25" s="40">
        <f t="shared" si="9"/>
        <v>87611.16</v>
      </c>
      <c r="AH25" s="40">
        <f t="shared" si="9"/>
        <v>112642.92000000001</v>
      </c>
      <c r="AI25" s="40">
        <f t="shared" si="9"/>
        <v>125158.80000000002</v>
      </c>
      <c r="AJ25" s="40">
        <f t="shared" si="9"/>
        <v>137674.68000000002</v>
      </c>
      <c r="AK25" s="40">
        <f t="shared" si="9"/>
        <v>150190.56</v>
      </c>
    </row>
    <row r="26" spans="2:37" ht="22.5" x14ac:dyDescent="0.25">
      <c r="B26" s="24" t="str">
        <f>'costos totales anuales'!B50</f>
        <v>Banners en Diarios digitales principales (1 vez al mes).</v>
      </c>
      <c r="C26" s="57">
        <f>'costos totales anuales'!C50</f>
        <v>288</v>
      </c>
      <c r="Y26" s="24" t="str">
        <f t="shared" si="7"/>
        <v>Software Web como Servicio</v>
      </c>
      <c r="Z26" s="40">
        <f t="shared" si="8"/>
        <v>21431.88</v>
      </c>
      <c r="AA26" s="64">
        <v>0.18</v>
      </c>
      <c r="AB26" s="40">
        <f t="shared" si="9"/>
        <v>21431.88</v>
      </c>
      <c r="AC26" s="40">
        <f t="shared" si="9"/>
        <v>21431.88</v>
      </c>
      <c r="AD26" s="40">
        <f t="shared" si="9"/>
        <v>42863.76</v>
      </c>
      <c r="AE26" s="40">
        <f t="shared" si="9"/>
        <v>64295.64</v>
      </c>
      <c r="AF26" s="40">
        <f t="shared" si="9"/>
        <v>85727.52</v>
      </c>
      <c r="AG26" s="40">
        <f t="shared" si="9"/>
        <v>85727.52</v>
      </c>
      <c r="AH26" s="40">
        <f t="shared" si="9"/>
        <v>107159.40000000001</v>
      </c>
      <c r="AI26" s="40">
        <f t="shared" si="9"/>
        <v>128591.28</v>
      </c>
      <c r="AJ26" s="40">
        <f t="shared" si="9"/>
        <v>150023.16</v>
      </c>
      <c r="AK26" s="40">
        <f t="shared" si="9"/>
        <v>150023.16</v>
      </c>
    </row>
    <row r="27" spans="2:37" x14ac:dyDescent="0.25">
      <c r="B27" s="24" t="str">
        <f>'costos totales anuales'!B51</f>
        <v>Posicionamiento Web 2 palabras claves</v>
      </c>
      <c r="C27" s="57">
        <f>'costos totales anuales'!C51</f>
        <v>576</v>
      </c>
      <c r="Y27" s="24" t="s">
        <v>217</v>
      </c>
      <c r="Z27" s="40">
        <f t="shared" si="8"/>
        <v>4247.88</v>
      </c>
      <c r="AA27" s="64">
        <v>0.05</v>
      </c>
      <c r="AB27" s="71">
        <f t="shared" si="9"/>
        <v>0</v>
      </c>
      <c r="AC27" s="71">
        <f t="shared" si="9"/>
        <v>0</v>
      </c>
      <c r="AD27" s="71">
        <f t="shared" si="9"/>
        <v>4247.88</v>
      </c>
      <c r="AE27" s="71">
        <f t="shared" si="9"/>
        <v>4247.88</v>
      </c>
      <c r="AF27" s="71">
        <f t="shared" si="9"/>
        <v>4247.88</v>
      </c>
      <c r="AG27" s="71">
        <f t="shared" si="9"/>
        <v>4247.88</v>
      </c>
      <c r="AH27" s="71">
        <f t="shared" si="9"/>
        <v>4247.88</v>
      </c>
      <c r="AI27" s="71">
        <f t="shared" si="9"/>
        <v>8495.76</v>
      </c>
      <c r="AJ27" s="71">
        <f t="shared" si="9"/>
        <v>8495.76</v>
      </c>
      <c r="AK27" s="71">
        <f t="shared" si="9"/>
        <v>8495.76</v>
      </c>
    </row>
    <row r="28" spans="2:37" x14ac:dyDescent="0.25">
      <c r="B28" s="24" t="str">
        <f>'costos totales anuales'!B52</f>
        <v>Costo total Plan Empresarial - Estándar</v>
      </c>
      <c r="C28" s="25">
        <f>'costos totales anuales'!C52</f>
        <v>979</v>
      </c>
      <c r="Y28" s="24" t="s">
        <v>271</v>
      </c>
      <c r="Z28" s="40">
        <f t="shared" si="8"/>
        <v>5159.88</v>
      </c>
      <c r="AA28" s="64">
        <v>0.15</v>
      </c>
      <c r="AB28" s="71">
        <f t="shared" si="9"/>
        <v>5159.88</v>
      </c>
      <c r="AC28" s="71">
        <f t="shared" si="9"/>
        <v>5159.88</v>
      </c>
      <c r="AD28" s="71">
        <f t="shared" si="9"/>
        <v>10319.76</v>
      </c>
      <c r="AE28" s="71">
        <f t="shared" si="9"/>
        <v>10319.76</v>
      </c>
      <c r="AF28" s="71">
        <f t="shared" si="9"/>
        <v>15479.64</v>
      </c>
      <c r="AG28" s="71">
        <f t="shared" si="9"/>
        <v>20639.52</v>
      </c>
      <c r="AH28" s="71">
        <f t="shared" si="9"/>
        <v>20639.52</v>
      </c>
      <c r="AI28" s="71">
        <f t="shared" si="9"/>
        <v>25799.4</v>
      </c>
      <c r="AJ28" s="71">
        <f t="shared" si="9"/>
        <v>30959.279999999999</v>
      </c>
      <c r="AK28" s="71">
        <f t="shared" si="9"/>
        <v>30959.279999999999</v>
      </c>
    </row>
    <row r="29" spans="2:37" x14ac:dyDescent="0.25">
      <c r="B29" s="15" t="str">
        <f>'costos totales anuales'!B53</f>
        <v>Costos variables Plan Empresarial - Premium</v>
      </c>
      <c r="C29" s="56" t="str">
        <f>'costos totales anuales'!C53</f>
        <v>Unitario</v>
      </c>
      <c r="Y29" s="24" t="s">
        <v>275</v>
      </c>
      <c r="Z29" s="72">
        <f>SUM(Z20:Z28)</f>
        <v>75766.920000000013</v>
      </c>
      <c r="AA29" s="24"/>
      <c r="AB29" s="72">
        <f t="shared" ref="AB29:AK29" si="10">SUM(AB20:AB28)</f>
        <v>55451.28</v>
      </c>
      <c r="AC29" s="72">
        <f t="shared" si="10"/>
        <v>81622.8</v>
      </c>
      <c r="AD29" s="72">
        <f t="shared" si="10"/>
        <v>168081.72000000003</v>
      </c>
      <c r="AE29" s="72">
        <f t="shared" si="10"/>
        <v>220197.00000000006</v>
      </c>
      <c r="AF29" s="72">
        <f t="shared" si="10"/>
        <v>275648.28000000003</v>
      </c>
      <c r="AG29" s="72">
        <f t="shared" si="10"/>
        <v>309667.68000000005</v>
      </c>
      <c r="AH29" s="72">
        <f t="shared" si="10"/>
        <v>374298.84</v>
      </c>
      <c r="AI29" s="72">
        <f t="shared" si="10"/>
        <v>448241.88000000012</v>
      </c>
      <c r="AJ29" s="72">
        <f t="shared" si="10"/>
        <v>506921.04000000004</v>
      </c>
      <c r="AK29" s="72">
        <f t="shared" si="10"/>
        <v>529864.68000000005</v>
      </c>
    </row>
    <row r="30" spans="2:37" x14ac:dyDescent="0.25">
      <c r="B30" s="24" t="str">
        <f>'costos totales anuales'!B54</f>
        <v>hosting</v>
      </c>
      <c r="C30" s="57">
        <f>'costos totales anuales'!C54</f>
        <v>96</v>
      </c>
    </row>
    <row r="31" spans="2:37" x14ac:dyDescent="0.25">
      <c r="B31" s="24" t="str">
        <f>'costos totales anuales'!B56</f>
        <v>dominio</v>
      </c>
      <c r="C31" s="25">
        <f>'costos totales anuales'!C56</f>
        <v>13</v>
      </c>
    </row>
    <row r="32" spans="2:37" x14ac:dyDescent="0.25">
      <c r="B32" s="24" t="str">
        <f>'costos totales anuales'!B57</f>
        <v>Email Marketing Empresarial 1000 suscriptores</v>
      </c>
      <c r="C32" s="57">
        <f>'costos totales anuales'!C57</f>
        <v>180</v>
      </c>
    </row>
    <row r="33" spans="2:3" ht="22.5" x14ac:dyDescent="0.25">
      <c r="B33" s="24" t="str">
        <f>'costos totales anuales'!B58</f>
        <v>Banners en Diarios digitales principales (1 vez al semana).</v>
      </c>
      <c r="C33" s="57">
        <f>'costos totales anuales'!C58</f>
        <v>1152</v>
      </c>
    </row>
    <row r="34" spans="2:3" x14ac:dyDescent="0.25">
      <c r="B34" s="24" t="str">
        <f>'costos totales anuales'!B59</f>
        <v>Posicionamiento Web 4 palabras claves</v>
      </c>
      <c r="C34" s="57">
        <f>'costos totales anuales'!C59</f>
        <v>1152</v>
      </c>
    </row>
    <row r="35" spans="2:3" x14ac:dyDescent="0.25">
      <c r="B35" s="24" t="str">
        <f>'costos totales anuales'!B60</f>
        <v>Publicidad en las principales redes sociales</v>
      </c>
      <c r="C35" s="57">
        <f>'costos totales anuales'!C60</f>
        <v>360</v>
      </c>
    </row>
    <row r="36" spans="2:3" x14ac:dyDescent="0.25">
      <c r="B36" s="24" t="str">
        <f>'costos totales anuales'!B61</f>
        <v>Costo total Plan Empresarial - Premium</v>
      </c>
      <c r="C36" s="25">
        <f>'costos totales anuales'!C61</f>
        <v>2953</v>
      </c>
    </row>
    <row r="37" spans="2:3" x14ac:dyDescent="0.25">
      <c r="B37" s="15" t="str">
        <f>'costos totales anuales'!B62</f>
        <v>Costos variables Plan a medida</v>
      </c>
      <c r="C37" s="25" t="str">
        <f>'costos totales anuales'!C62</f>
        <v>Unitario</v>
      </c>
    </row>
    <row r="38" spans="2:3" x14ac:dyDescent="0.25">
      <c r="B38" s="24" t="str">
        <f>'costos totales anuales'!B63</f>
        <v>hosting</v>
      </c>
      <c r="C38" s="25">
        <f>'costos totales anuales'!C63</f>
        <v>72</v>
      </c>
    </row>
    <row r="39" spans="2:3" x14ac:dyDescent="0.25">
      <c r="B39" s="24" t="str">
        <f>'costos totales anuales'!B64</f>
        <v>Consultoria Web</v>
      </c>
      <c r="C39" s="25">
        <f>'costos totales anuales'!C64</f>
        <v>0</v>
      </c>
    </row>
    <row r="40" spans="2:3" x14ac:dyDescent="0.25">
      <c r="B40" s="24" t="str">
        <f>'costos totales anuales'!B65</f>
        <v>dominio</v>
      </c>
      <c r="C40" s="25">
        <f>'costos totales anuales'!C65</f>
        <v>13</v>
      </c>
    </row>
    <row r="41" spans="2:3" x14ac:dyDescent="0.25">
      <c r="B41" s="24" t="str">
        <f>'costos totales anuales'!B66</f>
        <v>Email Marketing Empresarial 500 suscriptores</v>
      </c>
      <c r="C41" s="25">
        <f>'costos totales anuales'!C66</f>
        <v>180</v>
      </c>
    </row>
    <row r="42" spans="2:3" x14ac:dyDescent="0.25">
      <c r="B42" s="24" t="str">
        <f>'costos totales anuales'!B67</f>
        <v>Email Marketing Empresarial 1000 suscriptores</v>
      </c>
      <c r="C42" s="25">
        <f>'costos totales anuales'!C67</f>
        <v>180</v>
      </c>
    </row>
    <row r="43" spans="2:3" ht="22.5" x14ac:dyDescent="0.25">
      <c r="B43" s="24" t="str">
        <f>'costos totales anuales'!B68</f>
        <v>Banners en Diarios digitales principales (1 vez al mes).</v>
      </c>
      <c r="C43" s="25">
        <f>'costos totales anuales'!C68</f>
        <v>288</v>
      </c>
    </row>
    <row r="44" spans="2:3" ht="22.5" x14ac:dyDescent="0.25">
      <c r="B44" s="24" t="str">
        <f>'costos totales anuales'!B69</f>
        <v>Banners en Diarios digitales principales (1 vez al semana).</v>
      </c>
      <c r="C44" s="25">
        <f>'costos totales anuales'!C69</f>
        <v>1152</v>
      </c>
    </row>
    <row r="45" spans="2:3" x14ac:dyDescent="0.25">
      <c r="B45" s="24" t="str">
        <f>'costos totales anuales'!B70</f>
        <v>Posicionamiento Web 2 palabras claves</v>
      </c>
      <c r="C45" s="25">
        <f>'costos totales anuales'!C70</f>
        <v>576</v>
      </c>
    </row>
    <row r="46" spans="2:3" x14ac:dyDescent="0.25">
      <c r="B46" s="24" t="str">
        <f>'costos totales anuales'!B71</f>
        <v>Posicionamiento Web 4 palabras claves</v>
      </c>
      <c r="C46" s="25">
        <f>'costos totales anuales'!C71</f>
        <v>1152</v>
      </c>
    </row>
    <row r="47" spans="2:3" x14ac:dyDescent="0.25">
      <c r="B47" s="24" t="str">
        <f>'costos totales anuales'!B72</f>
        <v>Publicidad en las principales redes sociales</v>
      </c>
      <c r="C47" s="25">
        <f>'costos totales anuales'!C72</f>
        <v>360</v>
      </c>
    </row>
    <row r="48" spans="2:3" x14ac:dyDescent="0.25">
      <c r="B48" s="24" t="str">
        <f>'costos totales anuales'!B73</f>
        <v>Costo total Plan a medida</v>
      </c>
      <c r="C48" s="25">
        <f>'costos totales anuales'!C73</f>
        <v>501.87999999999994</v>
      </c>
    </row>
    <row r="49" spans="2:3" x14ac:dyDescent="0.25">
      <c r="B49" s="24"/>
      <c r="C49" s="25"/>
    </row>
    <row r="50" spans="2:3" x14ac:dyDescent="0.25">
      <c r="B50" s="15" t="str">
        <f>'costos totales anuales'!B75</f>
        <v>Costos variables Servicio Redes Datos</v>
      </c>
      <c r="C50" s="25" t="str">
        <f>'costos totales anuales'!C75</f>
        <v>Unitario</v>
      </c>
    </row>
    <row r="51" spans="2:3" x14ac:dyDescent="0.25">
      <c r="B51" s="24" t="str">
        <f>'costos totales anuales'!B76</f>
        <v>Switch</v>
      </c>
      <c r="C51" s="25">
        <f>'costos totales anuales'!C76</f>
        <v>67</v>
      </c>
    </row>
    <row r="52" spans="2:3" x14ac:dyDescent="0.25">
      <c r="B52" s="24" t="str">
        <f>'costos totales anuales'!B77</f>
        <v>Patch Panel</v>
      </c>
      <c r="C52" s="25">
        <f>'costos totales anuales'!C77</f>
        <v>40.75</v>
      </c>
    </row>
    <row r="53" spans="2:3" x14ac:dyDescent="0.25">
      <c r="B53" s="24" t="str">
        <f>'costos totales anuales'!B78</f>
        <v>Caja Cable Utp</v>
      </c>
      <c r="C53" s="25">
        <f>'costos totales anuales'!C78</f>
        <v>58</v>
      </c>
    </row>
    <row r="54" spans="2:3" x14ac:dyDescent="0.25">
      <c r="B54" s="24" t="str">
        <f>'costos totales anuales'!B79</f>
        <v>Ponchadora</v>
      </c>
      <c r="C54" s="25">
        <f>'costos totales anuales'!C79</f>
        <v>11</v>
      </c>
    </row>
    <row r="55" spans="2:3" x14ac:dyDescent="0.25">
      <c r="B55" s="24" t="str">
        <f>'costos totales anuales'!B80</f>
        <v>Punto toma red rj45</v>
      </c>
      <c r="C55" s="25">
        <f>'costos totales anuales'!C80</f>
        <v>10</v>
      </c>
    </row>
    <row r="56" spans="2:3" x14ac:dyDescent="0.25">
      <c r="B56" s="24" t="str">
        <f>'costos totales anuales'!B81</f>
        <v>Cajetin Rj45</v>
      </c>
      <c r="C56" s="25">
        <f>'costos totales anuales'!C81</f>
        <v>18.899999999999999</v>
      </c>
    </row>
    <row r="57" spans="2:3" x14ac:dyDescent="0.25">
      <c r="B57" s="24" t="str">
        <f>'costos totales anuales'!B82</f>
        <v>Router Firewall</v>
      </c>
      <c r="C57" s="25">
        <f>'costos totales anuales'!C82</f>
        <v>144</v>
      </c>
    </row>
    <row r="58" spans="2:3" x14ac:dyDescent="0.25">
      <c r="B58" s="24" t="str">
        <f>'costos totales anuales'!B83</f>
        <v>Rack Switch</v>
      </c>
      <c r="C58" s="25">
        <f>'costos totales anuales'!C83</f>
        <v>200</v>
      </c>
    </row>
    <row r="59" spans="2:3" x14ac:dyDescent="0.25">
      <c r="B59" s="24" t="str">
        <f>'costos totales anuales'!B84</f>
        <v>Servidor</v>
      </c>
      <c r="C59" s="25">
        <f>'costos totales anuales'!C84</f>
        <v>900</v>
      </c>
    </row>
    <row r="60" spans="2:3" x14ac:dyDescent="0.25">
      <c r="B60" s="24" t="str">
        <f>'costos totales anuales'!B85</f>
        <v>Costo total Servicio Redes Datos</v>
      </c>
      <c r="C60" s="25">
        <f>'costos totales anuales'!C85</f>
        <v>1449.65</v>
      </c>
    </row>
    <row r="61" spans="2:3" x14ac:dyDescent="0.25">
      <c r="B61" s="15" t="str">
        <f>'costos totales anuales'!B86</f>
        <v>Software web como servicio</v>
      </c>
      <c r="C61" s="25" t="str">
        <f>'costos totales anuales'!C86</f>
        <v>Unitario</v>
      </c>
    </row>
    <row r="62" spans="2:3" x14ac:dyDescent="0.25">
      <c r="B62" s="24" t="str">
        <f>'costos totales anuales'!B87</f>
        <v>hosting</v>
      </c>
      <c r="C62" s="25">
        <f>'costos totales anuales'!C87</f>
        <v>72</v>
      </c>
    </row>
    <row r="63" spans="2:3" x14ac:dyDescent="0.25">
      <c r="B63" s="24" t="str">
        <f>'costos totales anuales'!B88</f>
        <v>dominio</v>
      </c>
      <c r="C63" s="25">
        <f>'costos totales anuales'!C88</f>
        <v>13</v>
      </c>
    </row>
    <row r="64" spans="2:3" x14ac:dyDescent="0.25">
      <c r="B64" s="24" t="str">
        <f>'costos totales anuales'!B89</f>
        <v>Costo total Software web como servicio</v>
      </c>
      <c r="C64" s="25">
        <f>'costos totales anuales'!C89</f>
        <v>85</v>
      </c>
    </row>
    <row r="65" spans="2:3" x14ac:dyDescent="0.25">
      <c r="B65" s="24" t="str">
        <f>'costos totales anuales'!B90</f>
        <v>Total Consumo insumos Planes anual</v>
      </c>
      <c r="C65" s="25">
        <f>'costos totales anuales'!C90</f>
        <v>6735.65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valores activos fijos</vt:lpstr>
      <vt:lpstr>depreciacion</vt:lpstr>
      <vt:lpstr>salario basico</vt:lpstr>
      <vt:lpstr>numero_personal</vt:lpstr>
      <vt:lpstr>depreciacion 3 y 10</vt:lpstr>
      <vt:lpstr>gastos puestos en marcha</vt:lpstr>
      <vt:lpstr>capital trabajo</vt:lpstr>
      <vt:lpstr>personal por producto</vt:lpstr>
      <vt:lpstr>ingresos totales</vt:lpstr>
      <vt:lpstr>inversion total inicial</vt:lpstr>
      <vt:lpstr>valores activos fijos cantidad</vt:lpstr>
      <vt:lpstr>costos totales anuales</vt:lpstr>
      <vt:lpstr>gastos totales</vt:lpstr>
      <vt:lpstr>investigacion demanda</vt:lpstr>
      <vt:lpstr>costos financieros</vt:lpstr>
      <vt:lpstr>costos financieros 100%</vt:lpstr>
      <vt:lpstr>flujo de caja inversionista</vt:lpstr>
      <vt:lpstr>flujo caja inversionista 100%</vt:lpstr>
      <vt:lpstr>van y TIR</vt:lpstr>
      <vt:lpstr>van y TIR 100%</vt:lpstr>
      <vt:lpstr>Tmar</vt:lpstr>
      <vt:lpstr>beta</vt:lpstr>
      <vt:lpstr>depreciacion acti fijo anual</vt:lpstr>
      <vt:lpstr>variables de segmentacion</vt:lpstr>
      <vt:lpstr>beneficios adicionales</vt:lpstr>
      <vt:lpstr>Competencia directa</vt:lpstr>
      <vt:lpstr>competidores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kandres</dc:creator>
  <cp:lastModifiedBy>kleber</cp:lastModifiedBy>
  <cp:revision>0</cp:revision>
  <dcterms:created xsi:type="dcterms:W3CDTF">2013-12-13T15:52:57Z</dcterms:created>
  <dcterms:modified xsi:type="dcterms:W3CDTF">2015-07-16T22:18:38Z</dcterms:modified>
  <dc:language>es-EC</dc:language>
</cp:coreProperties>
</file>