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8190" tabRatio="672" activeTab="1"/>
  </bookViews>
  <sheets>
    <sheet name="clase" sheetId="1" r:id="rId1"/>
    <sheet name="practica" sheetId="2" r:id="rId2"/>
    <sheet name="Hoja3" sheetId="3" r:id="rId3"/>
  </sheets>
  <calcPr calcId="144525" iterateDelta="1E-4"/>
</workbook>
</file>

<file path=xl/calcChain.xml><?xml version="1.0" encoding="utf-8"?>
<calcChain xmlns="http://schemas.openxmlformats.org/spreadsheetml/2006/main">
  <c r="B23" i="2" l="1"/>
  <c r="B25" i="2" s="1"/>
  <c r="B36" i="2" l="1"/>
  <c r="B37" i="2" s="1"/>
  <c r="AJ57" i="1"/>
  <c r="B29" i="2"/>
  <c r="B28" i="2" s="1"/>
  <c r="B31" i="2" s="1"/>
  <c r="AJ56" i="1"/>
  <c r="AJ55" i="1"/>
  <c r="AJ68" i="1"/>
  <c r="B17" i="2"/>
  <c r="B18" i="2" s="1"/>
  <c r="BH17" i="1"/>
  <c r="AU59" i="1"/>
  <c r="B11" i="2" l="1"/>
  <c r="B12" i="2" s="1"/>
  <c r="B5" i="2"/>
  <c r="B6" i="2" s="1"/>
  <c r="BL7" i="1"/>
  <c r="BC17" i="1"/>
  <c r="AU61" i="1"/>
  <c r="AU48" i="1"/>
  <c r="AU34" i="1"/>
  <c r="AU26" i="1"/>
  <c r="AU20" i="1"/>
  <c r="AO23" i="1"/>
  <c r="AP79" i="1"/>
  <c r="AP78" i="1"/>
  <c r="AQ56" i="1"/>
  <c r="AQ55" i="1"/>
  <c r="AK29" i="1"/>
  <c r="AL55" i="1"/>
  <c r="AK55" i="1"/>
  <c r="AI11" i="1"/>
  <c r="W51" i="1"/>
  <c r="V31" i="1"/>
  <c r="AA9" i="1"/>
  <c r="AB8" i="1"/>
  <c r="AA11" i="1"/>
  <c r="AA10" i="1"/>
  <c r="AA8" i="1"/>
  <c r="C37" i="1"/>
  <c r="O11" i="1"/>
  <c r="O10" i="1"/>
  <c r="O9" i="1"/>
  <c r="O8" i="1"/>
  <c r="G8" i="1"/>
  <c r="AQ65" i="1"/>
  <c r="Y65" i="1"/>
  <c r="AQ64" i="1"/>
  <c r="Y64" i="1"/>
  <c r="AQ63" i="1"/>
  <c r="Y63" i="1"/>
  <c r="AQ62" i="1"/>
  <c r="Y62" i="1"/>
  <c r="AQ61" i="1"/>
  <c r="AQ60" i="1"/>
  <c r="AQ59" i="1"/>
  <c r="AQ58" i="1"/>
  <c r="AM54" i="1"/>
  <c r="AI55" i="1" s="1"/>
  <c r="AI50" i="1"/>
  <c r="AK21" i="1"/>
  <c r="AK20" i="1"/>
  <c r="AK19" i="1"/>
  <c r="K19" i="1"/>
  <c r="O17" i="1"/>
  <c r="G17" i="1"/>
  <c r="AW16" i="1"/>
  <c r="O16" i="1"/>
  <c r="G16" i="1"/>
  <c r="AW15" i="1"/>
  <c r="O15" i="1"/>
  <c r="G15" i="1"/>
  <c r="AW14" i="1"/>
  <c r="AA14" i="1"/>
  <c r="V14" i="1"/>
  <c r="O14" i="1"/>
  <c r="G14" i="1"/>
  <c r="AW13" i="1"/>
  <c r="AA13" i="1"/>
  <c r="O13" i="1"/>
  <c r="G13" i="1"/>
  <c r="AW12" i="1"/>
  <c r="AA12" i="1"/>
  <c r="O12" i="1"/>
  <c r="G12" i="1"/>
  <c r="AW11" i="1"/>
  <c r="G11" i="1"/>
  <c r="BH10" i="1"/>
  <c r="BC10" i="1"/>
  <c r="AW10" i="1"/>
  <c r="G10" i="1"/>
  <c r="AW9" i="1"/>
  <c r="G9" i="1"/>
  <c r="AW8" i="1"/>
  <c r="AB9" i="1"/>
  <c r="AB10" i="1" s="1"/>
  <c r="AB11" i="1" s="1"/>
  <c r="AB12" i="1" s="1"/>
  <c r="AB13" i="1" s="1"/>
  <c r="AB14" i="1" s="1"/>
  <c r="AL78" i="1" l="1"/>
  <c r="AK78" i="1"/>
  <c r="AJ78" i="1"/>
  <c r="AL77" i="1"/>
  <c r="AK77" i="1"/>
  <c r="AJ77" i="1"/>
  <c r="AL76" i="1"/>
  <c r="AK76" i="1"/>
  <c r="AJ76" i="1"/>
  <c r="AL75" i="1"/>
  <c r="AK75" i="1"/>
  <c r="AJ75" i="1"/>
  <c r="AL74" i="1"/>
  <c r="AK74" i="1"/>
  <c r="AJ74" i="1"/>
  <c r="AL73" i="1"/>
  <c r="AK73" i="1"/>
  <c r="AJ73" i="1"/>
  <c r="AL72" i="1"/>
  <c r="AK72" i="1"/>
  <c r="AJ72" i="1"/>
  <c r="AL71" i="1"/>
  <c r="AK71" i="1"/>
  <c r="AJ71" i="1"/>
  <c r="AL70" i="1"/>
  <c r="AK70" i="1"/>
  <c r="AJ70" i="1"/>
  <c r="AL69" i="1"/>
  <c r="AK69" i="1"/>
  <c r="AJ69" i="1"/>
  <c r="AL68" i="1"/>
  <c r="AK68" i="1"/>
  <c r="AL67" i="1"/>
  <c r="AK67" i="1"/>
  <c r="AJ67" i="1"/>
  <c r="AL66" i="1"/>
  <c r="AK66" i="1"/>
  <c r="AJ66" i="1"/>
  <c r="AL65" i="1"/>
  <c r="AK65" i="1"/>
  <c r="AJ65" i="1"/>
  <c r="AL64" i="1"/>
  <c r="AK64" i="1"/>
  <c r="AJ64" i="1"/>
  <c r="AL63" i="1"/>
  <c r="AK63" i="1"/>
  <c r="AJ63" i="1"/>
  <c r="AL62" i="1"/>
  <c r="AK62" i="1"/>
  <c r="AJ62" i="1"/>
  <c r="AM55" i="1"/>
  <c r="AI56" i="1" s="1"/>
  <c r="AM56" i="1" s="1"/>
  <c r="AI57" i="1" s="1"/>
  <c r="AM57" i="1" s="1"/>
  <c r="AI58" i="1" s="1"/>
  <c r="AM58" i="1" s="1"/>
  <c r="AI59" i="1" s="1"/>
  <c r="AM59" i="1" s="1"/>
  <c r="AI60" i="1" s="1"/>
  <c r="AM60" i="1" s="1"/>
  <c r="AI61" i="1" s="1"/>
  <c r="AM61" i="1" s="1"/>
  <c r="AI62" i="1" s="1"/>
  <c r="AM62" i="1" s="1"/>
  <c r="AI63" i="1" s="1"/>
  <c r="AM63" i="1" s="1"/>
  <c r="AI64" i="1" s="1"/>
  <c r="AM64" i="1" s="1"/>
  <c r="AI65" i="1" s="1"/>
  <c r="AM65" i="1" s="1"/>
  <c r="AI66" i="1" s="1"/>
  <c r="AM66" i="1" s="1"/>
  <c r="AI67" i="1" s="1"/>
  <c r="AM67" i="1" s="1"/>
  <c r="AI68" i="1" s="1"/>
  <c r="AM68" i="1" s="1"/>
  <c r="AI69" i="1" s="1"/>
  <c r="AM69" i="1" s="1"/>
  <c r="AI70" i="1" s="1"/>
  <c r="AM70" i="1" s="1"/>
  <c r="AI71" i="1" s="1"/>
  <c r="AM71" i="1" s="1"/>
  <c r="AI72" i="1" s="1"/>
  <c r="AM72" i="1" s="1"/>
  <c r="AI73" i="1" s="1"/>
  <c r="AM73" i="1" s="1"/>
  <c r="AI74" i="1" s="1"/>
  <c r="AM74" i="1" s="1"/>
  <c r="AI75" i="1" s="1"/>
  <c r="AM75" i="1" s="1"/>
  <c r="AI76" i="1" s="1"/>
  <c r="AM76" i="1" s="1"/>
  <c r="AI77" i="1" s="1"/>
  <c r="AM77" i="1" s="1"/>
  <c r="AI78" i="1" s="1"/>
  <c r="AM78" i="1" s="1"/>
  <c r="AK56" i="1"/>
  <c r="AL56" i="1"/>
  <c r="AK57" i="1"/>
  <c r="AL57" i="1"/>
  <c r="AJ58" i="1"/>
  <c r="AK58" i="1"/>
  <c r="AL58" i="1"/>
  <c r="AJ59" i="1"/>
  <c r="AK59" i="1"/>
  <c r="AL59" i="1"/>
  <c r="AJ60" i="1"/>
  <c r="AK60" i="1"/>
  <c r="AL60" i="1"/>
  <c r="AJ61" i="1"/>
  <c r="AK61" i="1"/>
  <c r="AL61" i="1"/>
</calcChain>
</file>

<file path=xl/sharedStrings.xml><?xml version="1.0" encoding="utf-8"?>
<sst xmlns="http://schemas.openxmlformats.org/spreadsheetml/2006/main" count="243" uniqueCount="181">
  <si>
    <t>VAN – VNA    ;   TIR ; TIRM</t>
  </si>
  <si>
    <t>NPER</t>
  </si>
  <si>
    <t>Inversion Inicial:</t>
  </si>
  <si>
    <t>VA</t>
  </si>
  <si>
    <t>VF</t>
  </si>
  <si>
    <t>VF Plan</t>
  </si>
  <si>
    <t>tasa</t>
  </si>
  <si>
    <t>tasa de interes por periodo</t>
  </si>
  <si>
    <t>n:</t>
  </si>
  <si>
    <t>Vida util del proyecto</t>
  </si>
  <si>
    <t>Depósitos anuales</t>
  </si>
  <si>
    <t>Amortiz.lin</t>
  </si>
  <si>
    <t>Amortiz.progre</t>
  </si>
  <si>
    <t>DB</t>
  </si>
  <si>
    <t>pago</t>
  </si>
  <si>
    <t>pago efectuado en cada periodo</t>
  </si>
  <si>
    <t>i</t>
  </si>
  <si>
    <t>va</t>
  </si>
  <si>
    <t>suma total serie de futuros pagos</t>
  </si>
  <si>
    <t>Periodo</t>
  </si>
  <si>
    <t>Prestamos anual</t>
  </si>
  <si>
    <t>periodo</t>
  </si>
  <si>
    <t>amortización</t>
  </si>
  <si>
    <t>Año</t>
  </si>
  <si>
    <t>Costo</t>
  </si>
  <si>
    <t>depreciación</t>
  </si>
  <si>
    <t>valor_activo</t>
  </si>
  <si>
    <t>vf</t>
  </si>
  <si>
    <t>saldo en efectivo que desea lograr después de 
Efectuar el ultimo pago</t>
  </si>
  <si>
    <t>flujo de efectivo neto</t>
  </si>
  <si>
    <t>Valor residual</t>
  </si>
  <si>
    <t>año</t>
  </si>
  <si>
    <t>valor</t>
  </si>
  <si>
    <t>costo</t>
  </si>
  <si>
    <t>vida util</t>
  </si>
  <si>
    <t>tipo</t>
  </si>
  <si>
    <t>1 = anticipados, 0= vencidos</t>
  </si>
  <si>
    <t>fecha compra</t>
  </si>
  <si>
    <t>primer periodo</t>
  </si>
  <si>
    <t>mes</t>
  </si>
  <si>
    <t>costo residual</t>
  </si>
  <si>
    <t>1-((valor_residual/costo)^(1/vida))</t>
  </si>
  <si>
    <t>tasa interes</t>
  </si>
  <si>
    <t>tasa depreciación</t>
  </si>
  <si>
    <t>numero periodos</t>
  </si>
  <si>
    <t>base</t>
  </si>
  <si>
    <t>pago anual</t>
  </si>
  <si>
    <t>0 = 360 días, 1 = real, 2 = real/360, 3 = real/365</t>
  </si>
  <si>
    <t>TASA NOMINAL</t>
  </si>
  <si>
    <t>convert</t>
  </si>
  <si>
    <t>unidad medida</t>
  </si>
  <si>
    <t>convertir en</t>
  </si>
  <si>
    <t>resultado</t>
  </si>
  <si>
    <t>tasa efectiva</t>
  </si>
  <si>
    <t>TIR</t>
  </si>
  <si>
    <t>Es la tasa de interes cuando el valor
Actual neto es igual a 0.</t>
  </si>
  <si>
    <t>Se deposita 1000 cada año, para que
Al final del periodo de 4 años, pueda
Recibir con intereses.</t>
  </si>
  <si>
    <t>Se conoce cuanto se va a depositar
De manera inicial, pero el prestamista
Te indica que la tasa de interes varia con
El tiempo, año tras año el interes
Cambia.</t>
  </si>
  <si>
    <t>Vida util</t>
  </si>
  <si>
    <t>metros</t>
  </si>
  <si>
    <t>yardas</t>
  </si>
  <si>
    <t>num periodos por anio</t>
  </si>
  <si>
    <t>Entre 3 y 4 años</t>
  </si>
  <si>
    <t>millas</t>
  </si>
  <si>
    <t>VNA</t>
  </si>
  <si>
    <t>Entre 5 y 6 años</t>
  </si>
  <si>
    <t>La tasa de amortizacion crecera 50% para el periodo precedente al ultimo</t>
  </si>
  <si>
    <t>INT.ACUM</t>
  </si>
  <si>
    <t>kilometros</t>
  </si>
  <si>
    <t>Calcula la tasa nomimnal</t>
  </si>
  <si>
    <t>mas de 6 años</t>
  </si>
  <si>
    <t>La tasa de amortizacion crecera 100% para el ultimo periodo.</t>
  </si>
  <si>
    <t>fecha emisión</t>
  </si>
  <si>
    <t>tasa nominal</t>
  </si>
  <si>
    <t>primer interes</t>
  </si>
  <si>
    <t>f. liquidacion</t>
  </si>
  <si>
    <t>CUPON.DIAS</t>
  </si>
  <si>
    <t>emision</t>
  </si>
  <si>
    <t>Instancia donde se crea el valor bursatil</t>
  </si>
  <si>
    <t>valor  nominal</t>
  </si>
  <si>
    <t>SLN</t>
  </si>
  <si>
    <t>liquidación</t>
  </si>
  <si>
    <t>fecha donde es comprado el valor bursatil</t>
  </si>
  <si>
    <t>frecuencia</t>
  </si>
  <si>
    <t>Precio Compra</t>
  </si>
  <si>
    <t>Vida Util</t>
  </si>
  <si>
    <t>Valor Residual</t>
  </si>
  <si>
    <t>Depreciación Anual</t>
  </si>
  <si>
    <t>tasa de reinversion</t>
  </si>
  <si>
    <t>Es la tasa con la que reinvierto
Los fondos ganados de cada fin
De periodo</t>
  </si>
  <si>
    <t>vencimiento</t>
  </si>
  <si>
    <t>fecha donde expira el valor bursatil</t>
  </si>
  <si>
    <t>tasa financiamiento</t>
  </si>
  <si>
    <t>(1: pagos anuales; 2: pagos semestrales; 4: pagos trimestrales)</t>
  </si>
  <si>
    <t>metodo calc</t>
  </si>
  <si>
    <t>Int Acum</t>
  </si>
  <si>
    <t>valor bursatil:</t>
  </si>
  <si>
    <t>compra de accion de la bolsa de valores</t>
  </si>
  <si>
    <t>cupon:</t>
  </si>
  <si>
    <t>Es el pago o dividendo del valor bursatil</t>
  </si>
  <si>
    <t>La frecuencia quiere decir que los cupones se los paga con tal frecuencia, que puede ser, anuales,</t>
  </si>
  <si>
    <t>TIRM</t>
  </si>
  <si>
    <t>semestrales o trimestrales</t>
  </si>
  <si>
    <t>cupon.dias</t>
  </si>
  <si>
    <t>liquidacion</t>
  </si>
  <si>
    <t>VNA NO PER ; TIR NO PER</t>
  </si>
  <si>
    <t>cupon dias</t>
  </si>
  <si>
    <t>INT.EFECTIVO</t>
  </si>
  <si>
    <t>Pago – PagoInt – PagoPrin</t>
  </si>
  <si>
    <t>Tasa interes nominal</t>
  </si>
  <si>
    <t>SYD</t>
  </si>
  <si>
    <t>Flujo De Efectivo No Periódico</t>
  </si>
  <si>
    <t>numero de periodos por año</t>
  </si>
  <si>
    <t>Quiere decir que el periodo es semestral, por eso hay 2 periodos en el año</t>
  </si>
  <si>
    <t>monto</t>
  </si>
  <si>
    <t>Utilizar funcion Pago</t>
  </si>
  <si>
    <t>costo bien</t>
  </si>
  <si>
    <t>Fechas</t>
  </si>
  <si>
    <t>interes</t>
  </si>
  <si>
    <t>PAGO(i,N,-monto)</t>
  </si>
  <si>
    <t>valor residual</t>
  </si>
  <si>
    <t>2013/02/15</t>
  </si>
  <si>
    <t>Inversión Inicial</t>
  </si>
  <si>
    <t>N</t>
  </si>
  <si>
    <t>2013/04/15</t>
  </si>
  <si>
    <t>interes mensual</t>
  </si>
  <si>
    <t>Calculo de la amortizacion o el importe anual del bien.</t>
  </si>
  <si>
    <t>2013/06/15</t>
  </si>
  <si>
    <t>Tasa interes efectivo</t>
  </si>
  <si>
    <t>monto_final* interes</t>
  </si>
  <si>
    <t>Cuota - interes</t>
  </si>
  <si>
    <t>Incial - Amort</t>
  </si>
  <si>
    <t>2013/07/15</t>
  </si>
  <si>
    <t>2013/09/15</t>
  </si>
  <si>
    <t>Periodos</t>
  </si>
  <si>
    <t>Inicial</t>
  </si>
  <si>
    <t>Intereses</t>
  </si>
  <si>
    <t>Amort</t>
  </si>
  <si>
    <t>Cuota</t>
  </si>
  <si>
    <t>Final</t>
  </si>
  <si>
    <t>2013/12/15</t>
  </si>
  <si>
    <t>2014/02/15</t>
  </si>
  <si>
    <t>2014/04/15</t>
  </si>
  <si>
    <t>INT.PAGO.DIR</t>
  </si>
  <si>
    <t>2014/05/15</t>
  </si>
  <si>
    <t>numero periodo</t>
  </si>
  <si>
    <t>años</t>
  </si>
  <si>
    <t>valor actual inversion</t>
  </si>
  <si>
    <t>El valor inicial del préstamo</t>
  </si>
  <si>
    <t>VNA NO PER</t>
  </si>
  <si>
    <t>Interés pagado</t>
  </si>
  <si>
    <t>TIR NO PER</t>
  </si>
  <si>
    <t>El signo negativo significa un egreso de dinero</t>
  </si>
  <si>
    <t>TASA</t>
  </si>
  <si>
    <t>Valor actual</t>
  </si>
  <si>
    <t>Esta tasa es mensuall,</t>
  </si>
  <si>
    <t>Calculo tasa anual</t>
  </si>
  <si>
    <t>vv</t>
  </si>
  <si>
    <t>Este ejercicio, tiene como ejemplo, que Que uno presta $3,717,10, en un inicio Pero anualmente recibe $1000, anual Donde en total recibe $4000, junto  Con los intereses.</t>
  </si>
  <si>
    <t>nper</t>
  </si>
  <si>
    <t>interes annual</t>
  </si>
  <si>
    <t>Valor Retiro</t>
  </si>
  <si>
    <t>interes trimestral</t>
  </si>
  <si>
    <t>Valor Costara</t>
  </si>
  <si>
    <t>Monto</t>
  </si>
  <si>
    <t>Nper</t>
  </si>
  <si>
    <t>Interes</t>
  </si>
  <si>
    <t>Interes anual</t>
  </si>
  <si>
    <t>Interes trimestral</t>
  </si>
  <si>
    <t>Valor futuro</t>
  </si>
  <si>
    <t>Tiempo</t>
  </si>
  <si>
    <t>Interes mensual</t>
  </si>
  <si>
    <t>Tasa</t>
  </si>
  <si>
    <t>Inversion</t>
  </si>
  <si>
    <t>Valor</t>
  </si>
  <si>
    <t>Valor total</t>
  </si>
  <si>
    <t>Tasa Bimensual</t>
  </si>
  <si>
    <t>Total periodos</t>
  </si>
  <si>
    <t>Interes semestral</t>
  </si>
  <si>
    <t>Interes al año</t>
  </si>
  <si>
    <t>Valor de intereses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</si>
</sst>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\ #,##0_);[Red]\(&quot;$&quot;\ #,##0\)"/>
    <numFmt numFmtId="8" formatCode="&quot;$&quot;\ #,##0.00_);[Red]\(&quot;$&quot;\ #,##0.00\)"/>
    <numFmt numFmtId="43" formatCode="_(* #,##0.00_);_(* \(#,##0.00\);_(* &quot;-&quot;??_);_(@_)"/>
    <numFmt numFmtId="164" formatCode="&quot;$&quot;#,##0.00_);[Red]\(&quot;$&quot;#,##0.00\)"/>
    <numFmt numFmtId="165" formatCode="[$$-300A]#,##0.00;[Red][$$-300A]\-#,##0.00"/>
    <numFmt numFmtId="166" formatCode="[$$-540A]#,##0.00_ ;[Red]\-[$$-540A]#,##0.00\ "/>
    <numFmt numFmtId="167" formatCode="yyyy\-mm\-dd"/>
    <numFmt numFmtId="168" formatCode="0.0000%"/>
    <numFmt numFmtId="176" formatCode="_(* #,##0_);_(* \(#,##0\);_(* &quot;-&quot;??_);_(@_)"/>
  </numFmts>
  <fonts count="11">
    <font>
      <sz val="11"/>
      <color rgb="FF000000"/>
      <name val="Calibri"/>
      <family val="2"/>
      <charset val="1"/>
    </font>
    <font>
      <sz val="10"/>
      <name val="Arial"/>
    </font>
    <font>
      <b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6"/>
      <color rgb="FF000000"/>
      <name val="Colibri"/>
      <charset val="1"/>
    </font>
    <font>
      <b/>
      <sz val="11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9900"/>
        <bgColor rgb="FF808000"/>
      </patternFill>
    </fill>
  </fills>
  <borders count="2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  <xf numFmtId="0" fontId="5" fillId="0" borderId="0"/>
  </cellStyleXfs>
  <cellXfs count="116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2" xfId="0" applyFont="1" applyBorder="1"/>
    <xf numFmtId="10" fontId="0" fillId="0" borderId="0" xfId="0" applyNumberFormat="1"/>
    <xf numFmtId="0" fontId="0" fillId="0" borderId="5" xfId="0" applyFont="1" applyBorder="1"/>
    <xf numFmtId="10" fontId="0" fillId="0" borderId="5" xfId="0" applyNumberFormat="1" applyBorder="1"/>
    <xf numFmtId="165" fontId="0" fillId="0" borderId="0" xfId="0" applyNumberFormat="1" applyBorder="1"/>
    <xf numFmtId="165" fontId="0" fillId="0" borderId="3" xfId="0" applyNumberFormat="1" applyBorder="1"/>
    <xf numFmtId="166" fontId="0" fillId="0" borderId="2" xfId="0" applyNumberFormat="1" applyFont="1" applyBorder="1"/>
    <xf numFmtId="167" fontId="0" fillId="0" borderId="0" xfId="0" applyNumberFormat="1"/>
    <xf numFmtId="0" fontId="0" fillId="0" borderId="6" xfId="0" applyFont="1" applyBorder="1"/>
    <xf numFmtId="0" fontId="0" fillId="0" borderId="7" xfId="0" applyBorder="1"/>
    <xf numFmtId="0" fontId="0" fillId="0" borderId="8" xfId="0" applyBorder="1"/>
    <xf numFmtId="10" fontId="0" fillId="0" borderId="3" xfId="0" applyNumberFormat="1" applyBorder="1"/>
    <xf numFmtId="10" fontId="0" fillId="0" borderId="7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0" fontId="5" fillId="0" borderId="2" xfId="3" applyBorder="1" applyAlignment="1">
      <alignment horizontal="center"/>
    </xf>
    <xf numFmtId="166" fontId="0" fillId="0" borderId="0" xfId="0" applyNumberFormat="1" applyBorder="1"/>
    <xf numFmtId="166" fontId="0" fillId="0" borderId="3" xfId="0" applyNumberFormat="1" applyBorder="1"/>
    <xf numFmtId="0" fontId="0" fillId="0" borderId="6" xfId="0" applyBorder="1"/>
    <xf numFmtId="0" fontId="0" fillId="0" borderId="7" xfId="0" applyFont="1" applyBorder="1"/>
    <xf numFmtId="0" fontId="2" fillId="0" borderId="5" xfId="0" applyFont="1" applyBorder="1"/>
    <xf numFmtId="10" fontId="0" fillId="0" borderId="0" xfId="0" applyNumberFormat="1" applyBorder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165" fontId="0" fillId="0" borderId="0" xfId="0" applyNumberFormat="1"/>
    <xf numFmtId="0" fontId="0" fillId="0" borderId="4" xfId="0" applyBorder="1"/>
    <xf numFmtId="0" fontId="0" fillId="0" borderId="9" xfId="0" applyBorder="1"/>
    <xf numFmtId="0" fontId="6" fillId="0" borderId="9" xfId="0" applyFont="1" applyBorder="1"/>
    <xf numFmtId="0" fontId="0" fillId="0" borderId="10" xfId="0" applyBorder="1"/>
    <xf numFmtId="0" fontId="7" fillId="0" borderId="0" xfId="3" applyFont="1" applyBorder="1" applyAlignment="1">
      <alignment horizontal="center"/>
    </xf>
    <xf numFmtId="0" fontId="0" fillId="0" borderId="5" xfId="0" applyBorder="1"/>
    <xf numFmtId="165" fontId="0" fillId="0" borderId="5" xfId="0" applyNumberFormat="1" applyBorder="1"/>
    <xf numFmtId="0" fontId="7" fillId="0" borderId="0" xfId="3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5" fillId="0" borderId="0" xfId="3" applyBorder="1" applyAlignment="1">
      <alignment horizontal="center"/>
    </xf>
    <xf numFmtId="167" fontId="0" fillId="0" borderId="3" xfId="0" applyNumberFormat="1" applyBorder="1"/>
    <xf numFmtId="166" fontId="0" fillId="0" borderId="5" xfId="0" applyNumberFormat="1" applyFont="1" applyBorder="1"/>
    <xf numFmtId="166" fontId="0" fillId="0" borderId="12" xfId="0" applyNumberFormat="1" applyBorder="1"/>
    <xf numFmtId="0" fontId="7" fillId="0" borderId="13" xfId="3" applyFont="1" applyBorder="1" applyAlignment="1">
      <alignment horizontal="center"/>
    </xf>
    <xf numFmtId="0" fontId="7" fillId="0" borderId="14" xfId="3" applyFont="1" applyBorder="1" applyAlignment="1">
      <alignment horizontal="center"/>
    </xf>
    <xf numFmtId="0" fontId="7" fillId="0" borderId="15" xfId="3" applyFont="1" applyBorder="1" applyAlignment="1">
      <alignment horizontal="center"/>
    </xf>
    <xf numFmtId="0" fontId="5" fillId="0" borderId="16" xfId="3" applyBorder="1" applyAlignment="1">
      <alignment horizontal="center"/>
    </xf>
    <xf numFmtId="0" fontId="0" fillId="0" borderId="12" xfId="0" applyBorder="1"/>
    <xf numFmtId="166" fontId="0" fillId="0" borderId="17" xfId="0" applyNumberFormat="1" applyBorder="1"/>
    <xf numFmtId="0" fontId="5" fillId="0" borderId="18" xfId="3" applyBorder="1" applyAlignment="1">
      <alignment horizontal="center"/>
    </xf>
    <xf numFmtId="166" fontId="0" fillId="0" borderId="19" xfId="0" applyNumberFormat="1" applyBorder="1"/>
    <xf numFmtId="0" fontId="8" fillId="0" borderId="2" xfId="3" applyFont="1" applyBorder="1" applyAlignment="1">
      <alignment horizontal="center"/>
    </xf>
    <xf numFmtId="166" fontId="9" fillId="0" borderId="0" xfId="0" applyNumberFormat="1" applyFont="1" applyBorder="1"/>
    <xf numFmtId="166" fontId="9" fillId="0" borderId="3" xfId="0" applyNumberFormat="1" applyFont="1" applyBorder="1"/>
    <xf numFmtId="0" fontId="5" fillId="0" borderId="2" xfId="3" applyFont="1" applyBorder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166" fontId="0" fillId="0" borderId="3" xfId="0" applyNumberFormat="1" applyFont="1" applyBorder="1"/>
    <xf numFmtId="0" fontId="0" fillId="0" borderId="8" xfId="0" applyFont="1" applyBorder="1"/>
    <xf numFmtId="1" fontId="0" fillId="0" borderId="7" xfId="0" applyNumberFormat="1" applyBorder="1"/>
    <xf numFmtId="168" fontId="1" fillId="0" borderId="0" xfId="2" applyNumberFormat="1"/>
    <xf numFmtId="0" fontId="0" fillId="0" borderId="0" xfId="0" applyNumberFormat="1" applyFont="1" applyBorder="1"/>
    <xf numFmtId="10" fontId="1" fillId="0" borderId="0" xfId="2" applyNumberFormat="1" applyBorder="1"/>
    <xf numFmtId="10" fontId="1" fillId="0" borderId="7" xfId="2" applyNumberFormat="1" applyBorder="1"/>
    <xf numFmtId="9" fontId="0" fillId="0" borderId="7" xfId="0" applyNumberFormat="1" applyBorder="1"/>
    <xf numFmtId="43" fontId="1" fillId="0" borderId="7" xfId="1" applyBorder="1"/>
    <xf numFmtId="0" fontId="0" fillId="0" borderId="22" xfId="0" applyBorder="1"/>
    <xf numFmtId="0" fontId="0" fillId="0" borderId="23" xfId="0" applyBorder="1"/>
    <xf numFmtId="9" fontId="0" fillId="0" borderId="23" xfId="0" applyNumberFormat="1" applyBorder="1"/>
    <xf numFmtId="10" fontId="1" fillId="0" borderId="23" xfId="2" applyNumberFormat="1" applyBorder="1"/>
    <xf numFmtId="0" fontId="0" fillId="0" borderId="24" xfId="0" applyBorder="1"/>
    <xf numFmtId="164" fontId="0" fillId="0" borderId="25" xfId="0" applyNumberFormat="1" applyBorder="1"/>
    <xf numFmtId="0" fontId="0" fillId="0" borderId="22" xfId="0" applyFill="1" applyBorder="1"/>
    <xf numFmtId="0" fontId="4" fillId="0" borderId="1" xfId="3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165" fontId="0" fillId="0" borderId="12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7" fillId="0" borderId="1" xfId="3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9" fontId="1" fillId="0" borderId="23" xfId="2" applyNumberFormat="1" applyBorder="1"/>
    <xf numFmtId="164" fontId="0" fillId="0" borderId="23" xfId="0" applyNumberFormat="1" applyBorder="1"/>
    <xf numFmtId="0" fontId="0" fillId="0" borderId="20" xfId="0" applyBorder="1" applyAlignment="1"/>
    <xf numFmtId="0" fontId="0" fillId="0" borderId="21" xfId="0" applyBorder="1" applyAlignment="1"/>
    <xf numFmtId="0" fontId="0" fillId="0" borderId="22" xfId="0" applyFill="1" applyBorder="1" applyAlignment="1"/>
    <xf numFmtId="176" fontId="1" fillId="0" borderId="23" xfId="1" applyNumberFormat="1" applyBorder="1" applyAlignment="1"/>
    <xf numFmtId="0" fontId="0" fillId="0" borderId="24" xfId="0" applyFill="1" applyBorder="1" applyAlignment="1"/>
    <xf numFmtId="8" fontId="1" fillId="0" borderId="25" xfId="2" applyNumberFormat="1" applyBorder="1" applyAlignment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9" fontId="1" fillId="0" borderId="23" xfId="2" applyBorder="1"/>
    <xf numFmtId="0" fontId="0" fillId="0" borderId="24" xfId="0" applyFill="1" applyBorder="1"/>
    <xf numFmtId="6" fontId="0" fillId="0" borderId="25" xfId="0" applyNumberFormat="1" applyBorder="1"/>
    <xf numFmtId="0" fontId="0" fillId="0" borderId="20" xfId="0" applyBorder="1"/>
    <xf numFmtId="0" fontId="0" fillId="0" borderId="21" xfId="0" applyBorder="1"/>
    <xf numFmtId="176" fontId="1" fillId="0" borderId="23" xfId="1" applyNumberFormat="1" applyBorder="1"/>
    <xf numFmtId="8" fontId="0" fillId="0" borderId="25" xfId="0" applyNumberFormat="1" applyBorder="1"/>
  </cellXfs>
  <cellStyles count="4">
    <cellStyle name="Millares" xfId="1" builtinId="3"/>
    <cellStyle name="Normal" xfId="0" builtinId="0"/>
    <cellStyle name="Porcentaje" xfId="2" builtinId="5"/>
    <cellStyle name="TableStyleLight1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688095</xdr:colOff>
      <xdr:row>43</xdr:row>
      <xdr:rowOff>126780</xdr:rowOff>
    </xdr:from>
    <xdr:to>
      <xdr:col>7</xdr:col>
      <xdr:colOff>382320</xdr:colOff>
      <xdr:row>43</xdr:row>
      <xdr:rowOff>136500</xdr:rowOff>
    </xdr:to>
    <xdr:sp macro="" textlink="">
      <xdr:nvSpPr>
        <xdr:cNvPr id="2" name="Line 1"/>
        <xdr:cNvSpPr/>
      </xdr:nvSpPr>
      <xdr:spPr>
        <a:xfrm flipV="1">
          <a:off x="1259595" y="10023255"/>
          <a:ext cx="4266225" cy="972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4</xdr:col>
      <xdr:colOff>195270</xdr:colOff>
      <xdr:row>43</xdr:row>
      <xdr:rowOff>47715</xdr:rowOff>
    </xdr:from>
    <xdr:to>
      <xdr:col>4</xdr:col>
      <xdr:colOff>195270</xdr:colOff>
      <xdr:row>44</xdr:row>
      <xdr:rowOff>41175</xdr:rowOff>
    </xdr:to>
    <xdr:sp macro="" textlink="">
      <xdr:nvSpPr>
        <xdr:cNvPr id="3" name="Line 1"/>
        <xdr:cNvSpPr/>
      </xdr:nvSpPr>
      <xdr:spPr>
        <a:xfrm>
          <a:off x="3386145" y="994419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1</xdr:col>
      <xdr:colOff>602220</xdr:colOff>
      <xdr:row>43</xdr:row>
      <xdr:rowOff>180000</xdr:rowOff>
    </xdr:from>
    <xdr:to>
      <xdr:col>1</xdr:col>
      <xdr:colOff>775035</xdr:colOff>
      <xdr:row>48</xdr:row>
      <xdr:rowOff>25980</xdr:rowOff>
    </xdr:to>
    <xdr:sp macro="" textlink="">
      <xdr:nvSpPr>
        <xdr:cNvPr id="4" name="CustomShape 1"/>
        <xdr:cNvSpPr/>
      </xdr:nvSpPr>
      <xdr:spPr>
        <a:xfrm>
          <a:off x="1173720" y="10076475"/>
          <a:ext cx="172815" cy="798480"/>
        </a:xfrm>
        <a:prstGeom prst="leftBrace">
          <a:avLst>
            <a:gd name="adj1" fmla="val 2491"/>
            <a:gd name="adj2" fmla="val 10659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7</xdr:col>
      <xdr:colOff>346620</xdr:colOff>
      <xdr:row>43</xdr:row>
      <xdr:rowOff>185010</xdr:rowOff>
    </xdr:from>
    <xdr:to>
      <xdr:col>8</xdr:col>
      <xdr:colOff>6600</xdr:colOff>
      <xdr:row>48</xdr:row>
      <xdr:rowOff>30990</xdr:rowOff>
    </xdr:to>
    <xdr:sp macro="" textlink="">
      <xdr:nvSpPr>
        <xdr:cNvPr id="5" name="CustomShape 1"/>
        <xdr:cNvSpPr/>
      </xdr:nvSpPr>
      <xdr:spPr>
        <a:xfrm flipH="1">
          <a:off x="5490120" y="10081485"/>
          <a:ext cx="231480" cy="798480"/>
        </a:xfrm>
        <a:prstGeom prst="leftBrace">
          <a:avLst>
            <a:gd name="adj1" fmla="val 2491"/>
            <a:gd name="adj2" fmla="val 11738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</xdr:col>
      <xdr:colOff>732675</xdr:colOff>
      <xdr:row>43</xdr:row>
      <xdr:rowOff>38415</xdr:rowOff>
    </xdr:from>
    <xdr:to>
      <xdr:col>2</xdr:col>
      <xdr:colOff>732675</xdr:colOff>
      <xdr:row>44</xdr:row>
      <xdr:rowOff>90195</xdr:rowOff>
    </xdr:to>
    <xdr:sp macro="" textlink="">
      <xdr:nvSpPr>
        <xdr:cNvPr id="6" name="Line 1"/>
        <xdr:cNvSpPr/>
      </xdr:nvSpPr>
      <xdr:spPr>
        <a:xfrm>
          <a:off x="2361450" y="9934890"/>
          <a:ext cx="0" cy="24228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6</xdr:col>
      <xdr:colOff>16575</xdr:colOff>
      <xdr:row>43</xdr:row>
      <xdr:rowOff>28665</xdr:rowOff>
    </xdr:from>
    <xdr:to>
      <xdr:col>6</xdr:col>
      <xdr:colOff>16575</xdr:colOff>
      <xdr:row>44</xdr:row>
      <xdr:rowOff>22125</xdr:rowOff>
    </xdr:to>
    <xdr:sp macro="" textlink="">
      <xdr:nvSpPr>
        <xdr:cNvPr id="7" name="Line 1"/>
        <xdr:cNvSpPr/>
      </xdr:nvSpPr>
      <xdr:spPr>
        <a:xfrm>
          <a:off x="4398075" y="992514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21</xdr:col>
      <xdr:colOff>251386</xdr:colOff>
      <xdr:row>32</xdr:row>
      <xdr:rowOff>13271</xdr:rowOff>
    </xdr:from>
    <xdr:to>
      <xdr:col>21</xdr:col>
      <xdr:colOff>308626</xdr:colOff>
      <xdr:row>38</xdr:row>
      <xdr:rowOff>63551</xdr:rowOff>
    </xdr:to>
    <xdr:sp macro="" textlink="">
      <xdr:nvSpPr>
        <xdr:cNvPr id="8" name="CustomShape 1"/>
        <xdr:cNvSpPr/>
      </xdr:nvSpPr>
      <xdr:spPr>
        <a:xfrm>
          <a:off x="15094511" y="7823771"/>
          <a:ext cx="57240" cy="1193280"/>
        </a:xfrm>
        <a:prstGeom prst="leftBrace">
          <a:avLst>
            <a:gd name="adj1" fmla="val 1800"/>
            <a:gd name="adj2" fmla="val 10800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22</xdr:col>
      <xdr:colOff>476790</xdr:colOff>
      <xdr:row>27</xdr:row>
      <xdr:rowOff>594542</xdr:rowOff>
    </xdr:from>
    <xdr:to>
      <xdr:col>24</xdr:col>
      <xdr:colOff>178350</xdr:colOff>
      <xdr:row>28</xdr:row>
      <xdr:rowOff>72142</xdr:rowOff>
    </xdr:to>
    <xdr:sp macro="" textlink="">
      <xdr:nvSpPr>
        <xdr:cNvPr id="9" name="CustomShape 1"/>
        <xdr:cNvSpPr/>
      </xdr:nvSpPr>
      <xdr:spPr>
        <a:xfrm>
          <a:off x="16264478" y="6754042"/>
          <a:ext cx="844560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Emision</a:t>
          </a:r>
          <a:endParaRPr/>
        </a:p>
        <a:p>
          <a:r>
            <a:rPr lang="es-EC" sz="1200">
              <a:latin typeface="Times New Roman"/>
            </a:rPr>
            <a:t>2013-01-01</a:t>
          </a:r>
          <a:endParaRPr/>
        </a:p>
      </xdr:txBody>
    </xdr:sp>
    <xdr:clientData/>
  </xdr:twoCellAnchor>
  <xdr:twoCellAnchor editAs="absolute">
    <xdr:from>
      <xdr:col>21</xdr:col>
      <xdr:colOff>371406</xdr:colOff>
      <xdr:row>32</xdr:row>
      <xdr:rowOff>70482</xdr:rowOff>
    </xdr:from>
    <xdr:to>
      <xdr:col>28</xdr:col>
      <xdr:colOff>524843</xdr:colOff>
      <xdr:row>33</xdr:row>
      <xdr:rowOff>106482</xdr:rowOff>
    </xdr:to>
    <xdr:sp macro="" textlink="">
      <xdr:nvSpPr>
        <xdr:cNvPr id="10" name="CustomShape 1"/>
        <xdr:cNvSpPr/>
      </xdr:nvSpPr>
      <xdr:spPr>
        <a:xfrm>
          <a:off x="15214531" y="7880982"/>
          <a:ext cx="5249312" cy="226500"/>
        </a:xfrm>
        <a:prstGeom prst="flowChartProcess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39290</xdr:colOff>
      <xdr:row>31</xdr:row>
      <xdr:rowOff>71870</xdr:rowOff>
    </xdr:from>
    <xdr:to>
      <xdr:col>23</xdr:col>
      <xdr:colOff>102290</xdr:colOff>
      <xdr:row>36</xdr:row>
      <xdr:rowOff>142310</xdr:rowOff>
    </xdr:to>
    <xdr:sp macro="" textlink="">
      <xdr:nvSpPr>
        <xdr:cNvPr id="11" name="CustomShape 1"/>
        <xdr:cNvSpPr/>
      </xdr:nvSpPr>
      <xdr:spPr>
        <a:xfrm>
          <a:off x="16398478" y="7691870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24</xdr:col>
      <xdr:colOff>295350</xdr:colOff>
      <xdr:row>27</xdr:row>
      <xdr:rowOff>589335</xdr:rowOff>
    </xdr:from>
    <xdr:to>
      <xdr:col>25</xdr:col>
      <xdr:colOff>296070</xdr:colOff>
      <xdr:row>28</xdr:row>
      <xdr:rowOff>66935</xdr:rowOff>
    </xdr:to>
    <xdr:sp macro="" textlink="">
      <xdr:nvSpPr>
        <xdr:cNvPr id="12" name="CustomShape 1"/>
        <xdr:cNvSpPr/>
      </xdr:nvSpPr>
      <xdr:spPr>
        <a:xfrm>
          <a:off x="17226038" y="6748835"/>
          <a:ext cx="913532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Liquidacion</a:t>
          </a:r>
          <a:endParaRPr/>
        </a:p>
        <a:p>
          <a:r>
            <a:rPr lang="es-EC" sz="1200">
              <a:latin typeface="Times New Roman"/>
            </a:rPr>
            <a:t>2013-04-01</a:t>
          </a:r>
          <a:endParaRPr/>
        </a:p>
      </xdr:txBody>
    </xdr:sp>
    <xdr:clientData/>
  </xdr:twoCellAnchor>
  <xdr:twoCellAnchor editAs="absolute">
    <xdr:from>
      <xdr:col>24</xdr:col>
      <xdr:colOff>594167</xdr:colOff>
      <xdr:row>31</xdr:row>
      <xdr:rowOff>100345</xdr:rowOff>
    </xdr:from>
    <xdr:to>
      <xdr:col>24</xdr:col>
      <xdr:colOff>657167</xdr:colOff>
      <xdr:row>36</xdr:row>
      <xdr:rowOff>170785</xdr:rowOff>
    </xdr:to>
    <xdr:sp macro="" textlink="">
      <xdr:nvSpPr>
        <xdr:cNvPr id="13" name="CustomShape 1"/>
        <xdr:cNvSpPr/>
      </xdr:nvSpPr>
      <xdr:spPr>
        <a:xfrm>
          <a:off x="17524855" y="7720345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25</xdr:col>
      <xdr:colOff>347722</xdr:colOff>
      <xdr:row>27</xdr:row>
      <xdr:rowOff>689037</xdr:rowOff>
    </xdr:from>
    <xdr:to>
      <xdr:col>27</xdr:col>
      <xdr:colOff>436462</xdr:colOff>
      <xdr:row>28</xdr:row>
      <xdr:rowOff>166637</xdr:rowOff>
    </xdr:to>
    <xdr:sp macro="" textlink="">
      <xdr:nvSpPr>
        <xdr:cNvPr id="14" name="CustomShape 1"/>
        <xdr:cNvSpPr/>
      </xdr:nvSpPr>
      <xdr:spPr>
        <a:xfrm>
          <a:off x="18191222" y="6848537"/>
          <a:ext cx="1438115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1(Primer Interes)</a:t>
          </a:r>
          <a:endParaRPr/>
        </a:p>
        <a:p>
          <a:r>
            <a:rPr lang="es-EC" sz="1200">
              <a:latin typeface="Times New Roman"/>
            </a:rPr>
            <a:t>         2013-07-01</a:t>
          </a:r>
          <a:endParaRPr/>
        </a:p>
      </xdr:txBody>
    </xdr:sp>
    <xdr:clientData/>
  </xdr:twoCellAnchor>
  <xdr:twoCellAnchor editAs="absolute">
    <xdr:from>
      <xdr:col>26</xdr:col>
      <xdr:colOff>236530</xdr:colOff>
      <xdr:row>31</xdr:row>
      <xdr:rowOff>123183</xdr:rowOff>
    </xdr:from>
    <xdr:to>
      <xdr:col>26</xdr:col>
      <xdr:colOff>299530</xdr:colOff>
      <xdr:row>37</xdr:row>
      <xdr:rowOff>3123</xdr:rowOff>
    </xdr:to>
    <xdr:sp macro="" textlink="">
      <xdr:nvSpPr>
        <xdr:cNvPr id="15" name="CustomShape 1"/>
        <xdr:cNvSpPr/>
      </xdr:nvSpPr>
      <xdr:spPr>
        <a:xfrm>
          <a:off x="18651530" y="7743183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27</xdr:col>
      <xdr:colOff>297044</xdr:colOff>
      <xdr:row>27</xdr:row>
      <xdr:rowOff>641465</xdr:rowOff>
    </xdr:from>
    <xdr:to>
      <xdr:col>29</xdr:col>
      <xdr:colOff>249589</xdr:colOff>
      <xdr:row>28</xdr:row>
      <xdr:rowOff>119065</xdr:rowOff>
    </xdr:to>
    <xdr:sp macro="" textlink="">
      <xdr:nvSpPr>
        <xdr:cNvPr id="16" name="CustomShape 1"/>
        <xdr:cNvSpPr/>
      </xdr:nvSpPr>
      <xdr:spPr>
        <a:xfrm>
          <a:off x="19489919" y="6800965"/>
          <a:ext cx="1270170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2(Primer Interes)</a:t>
          </a:r>
          <a:endParaRPr/>
        </a:p>
        <a:p>
          <a:r>
            <a:rPr lang="es-EC" sz="1200">
              <a:latin typeface="Times New Roman"/>
            </a:rPr>
            <a:t>         2014-01-01</a:t>
          </a:r>
          <a:endParaRPr/>
        </a:p>
      </xdr:txBody>
    </xdr:sp>
    <xdr:clientData/>
  </xdr:twoCellAnchor>
  <xdr:twoCellAnchor editAs="absolute">
    <xdr:from>
      <xdr:col>23</xdr:col>
      <xdr:colOff>532587</xdr:colOff>
      <xdr:row>36</xdr:row>
      <xdr:rowOff>162770</xdr:rowOff>
    </xdr:from>
    <xdr:to>
      <xdr:col>25</xdr:col>
      <xdr:colOff>168775</xdr:colOff>
      <xdr:row>37</xdr:row>
      <xdr:rowOff>86750</xdr:rowOff>
    </xdr:to>
    <xdr:sp macro="" textlink="">
      <xdr:nvSpPr>
        <xdr:cNvPr id="17" name="CustomShape 1"/>
        <xdr:cNvSpPr/>
      </xdr:nvSpPr>
      <xdr:spPr>
        <a:xfrm>
          <a:off x="16891775" y="8735270"/>
          <a:ext cx="1120500" cy="114480"/>
        </a:xfrm>
        <a:prstGeom prst="leftRightArrow">
          <a:avLst>
            <a:gd name="adj1" fmla="val 4300"/>
            <a:gd name="adj2" fmla="val 5400"/>
          </a:avLst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207150</xdr:colOff>
      <xdr:row>48</xdr:row>
      <xdr:rowOff>148530</xdr:rowOff>
    </xdr:from>
    <xdr:to>
      <xdr:col>24</xdr:col>
      <xdr:colOff>667590</xdr:colOff>
      <xdr:row>49</xdr:row>
      <xdr:rowOff>140190</xdr:rowOff>
    </xdr:to>
    <xdr:sp macro="" textlink="">
      <xdr:nvSpPr>
        <xdr:cNvPr id="18" name="CustomShape 1"/>
        <xdr:cNvSpPr/>
      </xdr:nvSpPr>
      <xdr:spPr>
        <a:xfrm>
          <a:off x="21948120" y="6545880"/>
          <a:ext cx="1219320" cy="18216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          Int Acum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86"/>
  <sheetViews>
    <sheetView zoomScale="85" zoomScaleNormal="85" workbookViewId="0">
      <selection activeCell="AJ62" sqref="AJ62"/>
    </sheetView>
  </sheetViews>
  <sheetFormatPr baseColWidth="10" defaultColWidth="9.140625" defaultRowHeight="15" outlineLevelRow="1"/>
  <cols>
    <col min="1" max="1" width="8.5703125"/>
    <col min="2" max="2" width="15.85546875"/>
    <col min="3" max="3" width="11.140625"/>
    <col min="4" max="4" width="12.28515625"/>
    <col min="5" max="5" width="10.28515625"/>
    <col min="6" max="6" width="7.5703125"/>
    <col min="7" max="7" width="11.42578125"/>
    <col min="8" max="8" width="8.5703125"/>
    <col min="9" max="9" width="11.42578125"/>
    <col min="10" max="10" width="15.85546875"/>
    <col min="11" max="11" width="11.140625"/>
    <col min="12" max="14" width="8.5703125"/>
    <col min="15" max="15" width="16.140625"/>
    <col min="16" max="20" width="8.5703125"/>
    <col min="21" max="21" width="13.7109375" bestFit="1" customWidth="1"/>
    <col min="22" max="22" width="14.140625"/>
    <col min="23" max="24" width="8.5703125"/>
    <col min="25" max="25" width="13.7109375"/>
    <col min="26" max="26" width="8.5703125"/>
    <col min="27" max="27" width="11.7109375"/>
    <col min="28" max="28" width="11.140625"/>
    <col min="29" max="33" width="8.5703125"/>
    <col min="34" max="34" width="14.5703125"/>
    <col min="35" max="35" width="13.85546875"/>
    <col min="36" max="36" width="28.28515625"/>
    <col min="37" max="37" width="16.85546875"/>
    <col min="38" max="38" width="10.42578125"/>
    <col min="39" max="39" width="12.28515625"/>
    <col min="40" max="40" width="22.140625" bestFit="1" customWidth="1"/>
    <col min="41" max="41" width="49.85546875" bestFit="1" customWidth="1"/>
    <col min="42" max="42" width="15.5703125" customWidth="1"/>
    <col min="43" max="43" width="11.5703125"/>
    <col min="44" max="44" width="12.28515625"/>
    <col min="45" max="45" width="14.7109375"/>
    <col min="46" max="46" width="14.140625"/>
    <col min="47" max="47" width="25.5703125" customWidth="1"/>
    <col min="48" max="48" width="30" customWidth="1"/>
    <col min="49" max="49" width="10.85546875"/>
    <col min="50" max="52" width="8.5703125"/>
    <col min="53" max="53" width="32.42578125" customWidth="1"/>
    <col min="54" max="54" width="14.85546875"/>
    <col min="55" max="55" width="10.5703125"/>
    <col min="56" max="57" width="8.5703125"/>
    <col min="58" max="58" width="17.7109375" customWidth="1"/>
    <col min="59" max="59" width="15.42578125"/>
    <col min="60" max="60" width="10"/>
    <col min="61" max="61" width="8.5703125"/>
    <col min="62" max="62" width="29.28515625" customWidth="1"/>
    <col min="63" max="63" width="15.42578125"/>
    <col min="64" max="64" width="10"/>
    <col min="65" max="1025" width="8.5703125"/>
  </cols>
  <sheetData>
    <row r="1" spans="2:64">
      <c r="AT1" s="82" t="s">
        <v>0</v>
      </c>
      <c r="AU1" s="82"/>
      <c r="AV1" s="82"/>
      <c r="AW1" s="82"/>
      <c r="AX1" s="82"/>
    </row>
    <row r="2" spans="2:64">
      <c r="AT2" s="1"/>
      <c r="AW2" s="2"/>
      <c r="AX2" s="3"/>
    </row>
    <row r="3" spans="2:64">
      <c r="AH3" s="84" t="s">
        <v>1</v>
      </c>
      <c r="AI3" s="84"/>
      <c r="AJ3" s="84"/>
      <c r="AK3" s="84"/>
      <c r="AL3" s="84"/>
      <c r="AM3" s="84"/>
      <c r="AN3" s="84"/>
      <c r="AO3" s="84"/>
      <c r="AT3" s="1" t="s">
        <v>2</v>
      </c>
      <c r="AU3">
        <v>15000</v>
      </c>
      <c r="AW3" s="2"/>
      <c r="AX3" s="3"/>
      <c r="BA3" s="88" t="s">
        <v>3</v>
      </c>
      <c r="BB3" s="88"/>
      <c r="BC3" s="88"/>
      <c r="BF3" s="88" t="s">
        <v>4</v>
      </c>
      <c r="BG3" s="88"/>
      <c r="BH3" s="88"/>
      <c r="BJ3" s="88" t="s">
        <v>5</v>
      </c>
      <c r="BK3" s="88"/>
      <c r="BL3" s="88"/>
    </row>
    <row r="4" spans="2:64">
      <c r="AH4" s="4" t="s">
        <v>6</v>
      </c>
      <c r="AI4" s="5">
        <v>0.01</v>
      </c>
      <c r="AJ4" t="s">
        <v>7</v>
      </c>
      <c r="AO4" s="3"/>
      <c r="AT4" s="1" t="s">
        <v>8</v>
      </c>
      <c r="AU4">
        <v>8</v>
      </c>
      <c r="AV4" t="s">
        <v>9</v>
      </c>
      <c r="AW4" s="2"/>
      <c r="AX4" s="3"/>
      <c r="BA4" s="1"/>
      <c r="BC4" s="3"/>
      <c r="BF4" s="1" t="s">
        <v>10</v>
      </c>
      <c r="BH4" s="3">
        <v>1000</v>
      </c>
      <c r="BJ4" t="s">
        <v>10</v>
      </c>
      <c r="BL4" s="3">
        <v>1000</v>
      </c>
    </row>
    <row r="5" spans="2:64" ht="21">
      <c r="B5" s="95" t="s">
        <v>11</v>
      </c>
      <c r="C5" s="95"/>
      <c r="D5" s="95"/>
      <c r="E5" s="95"/>
      <c r="F5" s="95"/>
      <c r="G5" s="95"/>
      <c r="H5" s="95"/>
      <c r="J5" s="95" t="s">
        <v>12</v>
      </c>
      <c r="K5" s="95"/>
      <c r="L5" s="95"/>
      <c r="M5" s="95"/>
      <c r="N5" s="95"/>
      <c r="O5" s="95"/>
      <c r="P5" s="95"/>
      <c r="Q5" s="95"/>
      <c r="R5" s="95"/>
      <c r="U5" s="95" t="s">
        <v>13</v>
      </c>
      <c r="V5" s="95"/>
      <c r="W5" s="95"/>
      <c r="X5" s="95"/>
      <c r="Y5" s="95"/>
      <c r="Z5" s="95"/>
      <c r="AA5" s="95"/>
      <c r="AB5" s="95"/>
      <c r="AH5" s="4" t="s">
        <v>14</v>
      </c>
      <c r="AI5">
        <v>100</v>
      </c>
      <c r="AJ5" t="s">
        <v>15</v>
      </c>
      <c r="AO5" s="3"/>
      <c r="AT5" s="1" t="s">
        <v>16</v>
      </c>
      <c r="AU5" s="5">
        <v>0.1</v>
      </c>
      <c r="AW5" s="2"/>
      <c r="AX5" s="3"/>
      <c r="BA5" s="1"/>
      <c r="BC5" s="3"/>
      <c r="BF5" s="1"/>
      <c r="BH5" s="3"/>
      <c r="BJ5" s="1"/>
      <c r="BL5" s="3"/>
    </row>
    <row r="6" spans="2:64">
      <c r="B6" s="1"/>
      <c r="H6" s="3"/>
      <c r="J6" s="1"/>
      <c r="P6" s="2"/>
      <c r="R6" s="3"/>
      <c r="U6" s="1"/>
      <c r="AA6" s="2"/>
      <c r="AB6" s="3"/>
      <c r="AH6" s="4" t="s">
        <v>17</v>
      </c>
      <c r="AI6">
        <v>-2000</v>
      </c>
      <c r="AJ6" s="86" t="s">
        <v>18</v>
      </c>
      <c r="AK6" s="86"/>
      <c r="AL6" s="86"/>
      <c r="AM6" s="86"/>
      <c r="AN6" s="86"/>
      <c r="AO6" s="3"/>
      <c r="AT6" s="1"/>
      <c r="AW6" s="2"/>
      <c r="AX6" s="3"/>
      <c r="BA6" s="6" t="s">
        <v>19</v>
      </c>
      <c r="BB6" s="6" t="s">
        <v>20</v>
      </c>
      <c r="BC6" s="3"/>
      <c r="BF6" s="6" t="s">
        <v>19</v>
      </c>
      <c r="BG6" s="6" t="s">
        <v>20</v>
      </c>
      <c r="BH6" s="3"/>
      <c r="BJ6" s="6" t="s">
        <v>19</v>
      </c>
      <c r="BK6" s="6" t="s">
        <v>20</v>
      </c>
      <c r="BL6" s="3"/>
    </row>
    <row r="7" spans="2:64" ht="13.9" customHeight="1">
      <c r="B7" s="1"/>
      <c r="F7" t="s">
        <v>21</v>
      </c>
      <c r="G7" t="s">
        <v>22</v>
      </c>
      <c r="H7" s="3" t="s">
        <v>23</v>
      </c>
      <c r="J7" s="1"/>
      <c r="M7" s="2" t="s">
        <v>23</v>
      </c>
      <c r="N7" t="s">
        <v>21</v>
      </c>
      <c r="O7" t="s">
        <v>22</v>
      </c>
      <c r="R7" s="3"/>
      <c r="U7" s="1" t="s">
        <v>24</v>
      </c>
      <c r="V7">
        <v>15000</v>
      </c>
      <c r="Z7" t="s">
        <v>21</v>
      </c>
      <c r="AA7" s="2" t="s">
        <v>25</v>
      </c>
      <c r="AB7" s="3" t="s">
        <v>26</v>
      </c>
      <c r="AH7" s="4" t="s">
        <v>27</v>
      </c>
      <c r="AI7">
        <v>100</v>
      </c>
      <c r="AJ7" s="96" t="s">
        <v>28</v>
      </c>
      <c r="AK7" s="96"/>
      <c r="AL7" s="96"/>
      <c r="AM7" s="96"/>
      <c r="AN7" s="96"/>
      <c r="AO7" s="96"/>
      <c r="AT7" s="94" t="s">
        <v>29</v>
      </c>
      <c r="AU7" s="94"/>
      <c r="AV7" s="94"/>
      <c r="AW7" s="94"/>
      <c r="AX7" s="3"/>
      <c r="BA7" s="6">
        <v>1</v>
      </c>
      <c r="BB7" s="6">
        <v>1000</v>
      </c>
      <c r="BC7" s="3"/>
      <c r="BF7" s="6">
        <v>1</v>
      </c>
      <c r="BG7" s="6">
        <v>-1000</v>
      </c>
      <c r="BH7" s="3"/>
      <c r="BJ7" s="6">
        <v>1</v>
      </c>
      <c r="BK7" s="7">
        <v>1.15E-2</v>
      </c>
      <c r="BL7" s="18">
        <f>FVSCHEDULE(BL4,BK7:BK10)</f>
        <v>1059.56298021</v>
      </c>
    </row>
    <row r="8" spans="2:64">
      <c r="B8" s="1"/>
      <c r="F8">
        <v>1</v>
      </c>
      <c r="G8">
        <f>AMORLINC($C$9,$C$10,$C$11,$C$12,F8,$C$14,$C$15)</f>
        <v>250</v>
      </c>
      <c r="H8" s="3">
        <v>2010</v>
      </c>
      <c r="J8" s="1"/>
      <c r="M8" s="2">
        <v>2010</v>
      </c>
      <c r="N8">
        <v>0</v>
      </c>
      <c r="O8">
        <f>AMORDEGRC($K$9,$K$10,$K$11,$K$12,N8,$K$14,$K$15)</f>
        <v>229</v>
      </c>
      <c r="R8" s="3"/>
      <c r="U8" s="1" t="s">
        <v>30</v>
      </c>
      <c r="V8">
        <v>1500</v>
      </c>
      <c r="Z8">
        <v>1</v>
      </c>
      <c r="AA8" s="8">
        <f>DB($V$7,$V$8,$V$9,Z8,$V$11)</f>
        <v>4785</v>
      </c>
      <c r="AB8" s="9">
        <f>$V$7-AA8</f>
        <v>10215</v>
      </c>
      <c r="AH8" s="1"/>
      <c r="AJ8" s="96"/>
      <c r="AK8" s="96"/>
      <c r="AL8" s="96"/>
      <c r="AM8" s="96"/>
      <c r="AN8" s="96"/>
      <c r="AO8" s="96"/>
      <c r="AT8" s="10" t="s">
        <v>31</v>
      </c>
      <c r="AU8" t="s">
        <v>21</v>
      </c>
      <c r="AV8" t="s">
        <v>32</v>
      </c>
      <c r="AW8" s="2">
        <f>-AU3</f>
        <v>-15000</v>
      </c>
      <c r="AX8" s="3"/>
      <c r="BA8" s="6">
        <v>2</v>
      </c>
      <c r="BB8" s="6">
        <v>1000</v>
      </c>
      <c r="BC8" s="3"/>
      <c r="BF8" s="6">
        <v>2</v>
      </c>
      <c r="BG8" s="6">
        <v>-1000</v>
      </c>
      <c r="BH8" s="3"/>
      <c r="BJ8" s="6">
        <v>2</v>
      </c>
      <c r="BK8" s="7">
        <v>1.18E-2</v>
      </c>
      <c r="BL8" s="3"/>
    </row>
    <row r="9" spans="2:64">
      <c r="B9" s="1" t="s">
        <v>33</v>
      </c>
      <c r="C9">
        <v>2500</v>
      </c>
      <c r="F9">
        <v>2</v>
      </c>
      <c r="G9">
        <f t="shared" ref="G9:G17" si="0">AMORLINC($C$9,$C$10,$C$11,$C$12,F9,$C$14,$C$15)</f>
        <v>250</v>
      </c>
      <c r="H9" s="3">
        <v>2011</v>
      </c>
      <c r="J9" s="1" t="s">
        <v>33</v>
      </c>
      <c r="K9">
        <v>2500</v>
      </c>
      <c r="M9" s="2">
        <v>2011</v>
      </c>
      <c r="N9">
        <v>1</v>
      </c>
      <c r="O9">
        <f>AMORDEGRC($K$9,$K$10,$K$11,$K$12,N9,$K$14,$K$15)</f>
        <v>568</v>
      </c>
      <c r="R9" s="3"/>
      <c r="U9" s="1" t="s">
        <v>34</v>
      </c>
      <c r="V9">
        <v>6</v>
      </c>
      <c r="Z9">
        <v>2</v>
      </c>
      <c r="AA9" s="8">
        <f>DB($V$7,$V$8,$V$9,Z9,$V$11)</f>
        <v>3258.585</v>
      </c>
      <c r="AB9" s="9">
        <f t="shared" ref="AB9:AB14" si="1">AB8-AA9</f>
        <v>6956.415</v>
      </c>
      <c r="AH9" s="4" t="s">
        <v>35</v>
      </c>
      <c r="AI9">
        <v>0</v>
      </c>
      <c r="AJ9" t="s">
        <v>36</v>
      </c>
      <c r="AO9" s="3"/>
      <c r="AT9" s="1">
        <v>2011</v>
      </c>
      <c r="AU9">
        <v>1</v>
      </c>
      <c r="AV9">
        <v>14000</v>
      </c>
      <c r="AW9" s="2">
        <f t="shared" ref="AW9:AW16" si="2">AV9</f>
        <v>14000</v>
      </c>
      <c r="AX9" s="3"/>
      <c r="BA9" s="6">
        <v>3</v>
      </c>
      <c r="BB9" s="6">
        <v>1000</v>
      </c>
      <c r="BC9" s="3"/>
      <c r="BF9" s="6">
        <v>3</v>
      </c>
      <c r="BG9" s="6">
        <v>-1000</v>
      </c>
      <c r="BH9" s="3"/>
      <c r="BJ9" s="6">
        <v>3</v>
      </c>
      <c r="BK9" s="7">
        <v>1.4999999999999999E-2</v>
      </c>
      <c r="BL9" s="3"/>
    </row>
    <row r="10" spans="2:64">
      <c r="B10" s="1" t="s">
        <v>37</v>
      </c>
      <c r="C10" s="11">
        <v>40409</v>
      </c>
      <c r="F10">
        <v>3</v>
      </c>
      <c r="G10">
        <f t="shared" si="0"/>
        <v>250</v>
      </c>
      <c r="H10" s="3">
        <v>2012</v>
      </c>
      <c r="J10" s="1" t="s">
        <v>37</v>
      </c>
      <c r="K10" s="11">
        <v>40409</v>
      </c>
      <c r="M10" s="2">
        <v>2012</v>
      </c>
      <c r="N10">
        <v>2</v>
      </c>
      <c r="O10">
        <f>AMORDEGRC($K$9,$K$10,$K$11,$K$12,N10,$K$14,$K$15)</f>
        <v>426</v>
      </c>
      <c r="R10" s="3"/>
      <c r="U10" s="1" t="s">
        <v>21</v>
      </c>
      <c r="V10">
        <v>1</v>
      </c>
      <c r="Z10">
        <v>3</v>
      </c>
      <c r="AA10" s="8">
        <f>DB($V$7,$V$8,$V$9,Z10,$V$11)</f>
        <v>2219.0963849999998</v>
      </c>
      <c r="AB10" s="9">
        <f t="shared" si="1"/>
        <v>4737.3186150000001</v>
      </c>
      <c r="AH10" s="1"/>
      <c r="AO10" s="3"/>
      <c r="AT10" s="1">
        <v>2012</v>
      </c>
      <c r="AU10">
        <v>2</v>
      </c>
      <c r="AV10">
        <v>13880</v>
      </c>
      <c r="AW10" s="2">
        <f t="shared" si="2"/>
        <v>13880</v>
      </c>
      <c r="AX10" s="3"/>
      <c r="BA10" s="6">
        <v>4</v>
      </c>
      <c r="BB10" s="6">
        <v>1000</v>
      </c>
      <c r="BC10" s="3">
        <f>SUM(BB7:BB10)</f>
        <v>4000</v>
      </c>
      <c r="BF10" s="6">
        <v>4</v>
      </c>
      <c r="BG10" s="6">
        <v>-1000</v>
      </c>
      <c r="BH10" s="3">
        <f>SUM(BG7:BG10)</f>
        <v>-4000</v>
      </c>
      <c r="BJ10" s="6">
        <v>4</v>
      </c>
      <c r="BK10" s="7">
        <v>0.02</v>
      </c>
      <c r="BL10" s="3"/>
    </row>
    <row r="11" spans="2:64">
      <c r="B11" s="1" t="s">
        <v>38</v>
      </c>
      <c r="C11" s="11">
        <v>40543</v>
      </c>
      <c r="F11">
        <v>4</v>
      </c>
      <c r="G11">
        <f t="shared" si="0"/>
        <v>250</v>
      </c>
      <c r="H11" s="3">
        <v>2013</v>
      </c>
      <c r="J11" s="1" t="s">
        <v>38</v>
      </c>
      <c r="K11" s="11">
        <v>40543</v>
      </c>
      <c r="M11" s="2">
        <v>2013</v>
      </c>
      <c r="N11">
        <v>3</v>
      </c>
      <c r="O11">
        <f>AMORDEGRC($K$9,$K$10,$K$11,$K$12,N11,$K$14,$K$15)</f>
        <v>319</v>
      </c>
      <c r="R11" s="3"/>
      <c r="U11" s="1" t="s">
        <v>39</v>
      </c>
      <c r="V11">
        <v>12</v>
      </c>
      <c r="Z11">
        <v>4</v>
      </c>
      <c r="AA11" s="8">
        <f>DB($V$7,$V$8,$V$9,Z11,$V$11)</f>
        <v>1511.204638185</v>
      </c>
      <c r="AB11" s="9">
        <f t="shared" si="1"/>
        <v>3226.1139768150001</v>
      </c>
      <c r="AH11" s="12" t="s">
        <v>1</v>
      </c>
      <c r="AI11" s="62">
        <f>NPER(AI4,AI5,AI6,,$AI$9)</f>
        <v>22.425741878036444</v>
      </c>
      <c r="AJ11" s="13"/>
      <c r="AK11" s="13"/>
      <c r="AL11" s="13"/>
      <c r="AM11" s="13"/>
      <c r="AN11" s="13"/>
      <c r="AO11" s="14"/>
      <c r="AT11" s="1">
        <v>2013</v>
      </c>
      <c r="AU11">
        <v>3</v>
      </c>
      <c r="AV11">
        <v>14202</v>
      </c>
      <c r="AW11" s="2">
        <f t="shared" si="2"/>
        <v>14202</v>
      </c>
      <c r="AX11" s="3"/>
      <c r="BA11" s="1"/>
      <c r="BC11" s="3"/>
      <c r="BF11" s="1"/>
      <c r="BH11" s="3"/>
      <c r="BJ11" s="1"/>
      <c r="BL11" s="3"/>
    </row>
    <row r="12" spans="2:64">
      <c r="B12" s="1" t="s">
        <v>40</v>
      </c>
      <c r="C12">
        <v>300</v>
      </c>
      <c r="F12">
        <v>5</v>
      </c>
      <c r="G12">
        <f t="shared" si="0"/>
        <v>250</v>
      </c>
      <c r="H12" s="3">
        <v>2014</v>
      </c>
      <c r="J12" s="1" t="s">
        <v>40</v>
      </c>
      <c r="K12">
        <v>300</v>
      </c>
      <c r="M12" s="2">
        <v>2014</v>
      </c>
      <c r="N12">
        <v>4</v>
      </c>
      <c r="O12">
        <f t="shared" ref="O12:O17" si="3">AMORDEGRC($K$9,$K$10,$K$11,$K$12,N12,$K$14,$K$15)</f>
        <v>240</v>
      </c>
      <c r="R12" s="3"/>
      <c r="U12" s="1"/>
      <c r="V12" s="5"/>
      <c r="Z12">
        <v>5</v>
      </c>
      <c r="AA12" s="8">
        <f t="shared" ref="AA12:AA14" si="4">DB($V$7,$V$8,$V$9,Z12,$V$11)</f>
        <v>1029.1303586039851</v>
      </c>
      <c r="AB12" s="9">
        <f t="shared" si="1"/>
        <v>2196.9836182110148</v>
      </c>
      <c r="AT12" s="1">
        <v>2014</v>
      </c>
      <c r="AU12">
        <v>4</v>
      </c>
      <c r="AV12">
        <v>14120</v>
      </c>
      <c r="AW12" s="2">
        <f t="shared" si="2"/>
        <v>14120</v>
      </c>
      <c r="AX12" s="3"/>
      <c r="BA12" s="1"/>
      <c r="BC12" s="3"/>
      <c r="BF12" s="1"/>
      <c r="BH12" s="3"/>
      <c r="BJ12" s="1"/>
      <c r="BL12" s="3"/>
    </row>
    <row r="13" spans="2:64">
      <c r="B13" s="1" t="s">
        <v>21</v>
      </c>
      <c r="C13">
        <v>1</v>
      </c>
      <c r="F13">
        <v>6</v>
      </c>
      <c r="G13">
        <f t="shared" si="0"/>
        <v>250</v>
      </c>
      <c r="H13" s="3">
        <v>2015</v>
      </c>
      <c r="J13" s="1" t="s">
        <v>21</v>
      </c>
      <c r="K13">
        <v>1</v>
      </c>
      <c r="M13" s="2">
        <v>2015</v>
      </c>
      <c r="N13">
        <v>5</v>
      </c>
      <c r="O13">
        <f t="shared" si="3"/>
        <v>180</v>
      </c>
      <c r="R13" s="3"/>
      <c r="U13" s="1" t="s">
        <v>6</v>
      </c>
      <c r="V13" s="86" t="s">
        <v>41</v>
      </c>
      <c r="W13" s="86"/>
      <c r="X13" s="86"/>
      <c r="Z13">
        <v>6</v>
      </c>
      <c r="AA13" s="8">
        <f t="shared" si="4"/>
        <v>700.83777420931369</v>
      </c>
      <c r="AB13" s="9">
        <f t="shared" si="1"/>
        <v>1496.1458440017011</v>
      </c>
      <c r="AT13" s="1">
        <v>2015</v>
      </c>
      <c r="AU13">
        <v>5</v>
      </c>
      <c r="AV13">
        <v>15000</v>
      </c>
      <c r="AW13" s="2">
        <f t="shared" si="2"/>
        <v>15000</v>
      </c>
      <c r="AX13" s="3"/>
      <c r="BA13" s="1"/>
      <c r="BB13" t="s">
        <v>42</v>
      </c>
      <c r="BC13" s="15">
        <v>0.03</v>
      </c>
      <c r="BF13" s="1"/>
      <c r="BG13" t="s">
        <v>42</v>
      </c>
      <c r="BH13" s="15">
        <v>2.5000000000000001E-2</v>
      </c>
      <c r="BJ13" s="1"/>
      <c r="BL13" s="15"/>
    </row>
    <row r="14" spans="2:64">
      <c r="B14" s="1" t="s">
        <v>43</v>
      </c>
      <c r="C14" s="5">
        <v>0.1</v>
      </c>
      <c r="F14">
        <v>7</v>
      </c>
      <c r="G14">
        <f t="shared" si="0"/>
        <v>250</v>
      </c>
      <c r="H14" s="3">
        <v>2016</v>
      </c>
      <c r="J14" s="1" t="s">
        <v>43</v>
      </c>
      <c r="K14" s="5">
        <v>0.1</v>
      </c>
      <c r="M14" s="2">
        <v>2016</v>
      </c>
      <c r="N14">
        <v>6</v>
      </c>
      <c r="O14">
        <f t="shared" si="3"/>
        <v>135</v>
      </c>
      <c r="R14" s="3"/>
      <c r="U14" s="12" t="s">
        <v>6</v>
      </c>
      <c r="V14" s="16">
        <f>1-(V8/V7)^(1/V9)</f>
        <v>0.31870793094203864</v>
      </c>
      <c r="W14" s="13"/>
      <c r="X14" s="13"/>
      <c r="Y14" s="13"/>
      <c r="Z14" s="13">
        <v>7</v>
      </c>
      <c r="AA14" s="17" t="e">
        <f t="shared" si="4"/>
        <v>#NUM!</v>
      </c>
      <c r="AB14" s="18" t="e">
        <f t="shared" si="1"/>
        <v>#NUM!</v>
      </c>
      <c r="AT14" s="1">
        <v>2016</v>
      </c>
      <c r="AU14">
        <v>6</v>
      </c>
      <c r="AV14">
        <v>12500</v>
      </c>
      <c r="AW14" s="2">
        <f t="shared" si="2"/>
        <v>12500</v>
      </c>
      <c r="AX14" s="3"/>
      <c r="BA14" s="1"/>
      <c r="BB14" t="s">
        <v>44</v>
      </c>
      <c r="BC14" s="3">
        <v>4</v>
      </c>
      <c r="BF14" s="1"/>
      <c r="BG14" t="s">
        <v>44</v>
      </c>
      <c r="BH14" s="3">
        <v>4</v>
      </c>
      <c r="BJ14" s="1"/>
      <c r="BL14" s="3"/>
    </row>
    <row r="15" spans="2:64">
      <c r="B15" s="1" t="s">
        <v>45</v>
      </c>
      <c r="C15">
        <v>1</v>
      </c>
      <c r="F15">
        <v>8</v>
      </c>
      <c r="G15">
        <f t="shared" si="0"/>
        <v>250</v>
      </c>
      <c r="H15" s="3">
        <v>2017</v>
      </c>
      <c r="J15" s="1" t="s">
        <v>45</v>
      </c>
      <c r="K15">
        <v>1</v>
      </c>
      <c r="M15" s="2">
        <v>2017</v>
      </c>
      <c r="N15">
        <v>7</v>
      </c>
      <c r="O15">
        <f t="shared" si="3"/>
        <v>101</v>
      </c>
      <c r="R15" s="3"/>
      <c r="AT15" s="1">
        <v>2017</v>
      </c>
      <c r="AU15">
        <v>7</v>
      </c>
      <c r="AV15">
        <v>15100</v>
      </c>
      <c r="AW15" s="2">
        <f t="shared" si="2"/>
        <v>15100</v>
      </c>
      <c r="AX15" s="3"/>
      <c r="BA15" s="1"/>
      <c r="BB15" t="s">
        <v>46</v>
      </c>
      <c r="BC15" s="3">
        <v>1000</v>
      </c>
      <c r="BF15" s="1"/>
      <c r="BG15" t="s">
        <v>46</v>
      </c>
      <c r="BH15" s="3">
        <v>1000</v>
      </c>
      <c r="BJ15" s="1"/>
      <c r="BL15" s="3"/>
    </row>
    <row r="16" spans="2:64">
      <c r="B16" s="86" t="s">
        <v>47</v>
      </c>
      <c r="C16" s="86"/>
      <c r="D16" s="86"/>
      <c r="E16" s="86"/>
      <c r="F16" s="86">
        <v>9</v>
      </c>
      <c r="G16">
        <f t="shared" si="0"/>
        <v>108.21917808219177</v>
      </c>
      <c r="H16" s="3">
        <v>2018</v>
      </c>
      <c r="J16" s="1"/>
      <c r="M16" s="2">
        <v>2018</v>
      </c>
      <c r="N16">
        <v>8</v>
      </c>
      <c r="O16">
        <f t="shared" si="3"/>
        <v>152</v>
      </c>
      <c r="R16" s="3"/>
      <c r="AN16" s="76" t="s">
        <v>48</v>
      </c>
      <c r="AO16" s="76"/>
      <c r="AP16" s="76"/>
      <c r="AQ16" s="76"/>
      <c r="AT16" s="1">
        <v>2018</v>
      </c>
      <c r="AU16">
        <v>8</v>
      </c>
      <c r="AV16">
        <v>16200</v>
      </c>
      <c r="AW16" s="2">
        <f t="shared" si="2"/>
        <v>16200</v>
      </c>
      <c r="AX16" s="3"/>
      <c r="BA16" s="1"/>
      <c r="BC16" s="3"/>
      <c r="BF16" s="1"/>
      <c r="BH16" s="3"/>
      <c r="BJ16" s="1"/>
      <c r="BL16" s="3"/>
    </row>
    <row r="17" spans="2:63">
      <c r="B17" s="12"/>
      <c r="C17" s="13"/>
      <c r="D17" s="13"/>
      <c r="E17" s="13"/>
      <c r="F17" s="13">
        <v>10</v>
      </c>
      <c r="G17" s="13">
        <f t="shared" si="0"/>
        <v>0</v>
      </c>
      <c r="H17" s="14">
        <v>2019</v>
      </c>
      <c r="J17" s="1"/>
      <c r="K17" s="2"/>
      <c r="L17" s="2"/>
      <c r="M17" s="2">
        <v>2019</v>
      </c>
      <c r="N17">
        <v>9</v>
      </c>
      <c r="O17">
        <f t="shared" si="3"/>
        <v>0</v>
      </c>
      <c r="P17" s="2"/>
      <c r="R17" s="3"/>
      <c r="AH17" s="82" t="s">
        <v>49</v>
      </c>
      <c r="AI17" s="82"/>
      <c r="AJ17" s="82"/>
      <c r="AK17" s="82"/>
      <c r="AN17" s="19"/>
      <c r="AO17" s="20"/>
      <c r="AP17" s="20"/>
      <c r="AQ17" s="21"/>
      <c r="AT17" s="1"/>
      <c r="AW17" s="2"/>
      <c r="AX17" s="3"/>
      <c r="BA17" s="22"/>
      <c r="BB17" s="23" t="s">
        <v>3</v>
      </c>
      <c r="BC17" s="18">
        <f>PV(BC13,BC14,-BC15)</f>
        <v>3717.098402810368</v>
      </c>
      <c r="BF17" s="22"/>
      <c r="BG17" s="23" t="s">
        <v>4</v>
      </c>
      <c r="BH17" s="18">
        <f>FV(BH13,BH14,-BH15)</f>
        <v>4152.5156249999909</v>
      </c>
      <c r="BJ17" s="22"/>
      <c r="BK17" s="23" t="s">
        <v>4</v>
      </c>
    </row>
    <row r="18" spans="2:63" ht="84.95" customHeight="1">
      <c r="J18" s="1"/>
      <c r="R18" s="3"/>
      <c r="AH18" s="24" t="s">
        <v>32</v>
      </c>
      <c r="AI18" s="24" t="s">
        <v>50</v>
      </c>
      <c r="AJ18" s="24" t="s">
        <v>51</v>
      </c>
      <c r="AK18" s="24" t="s">
        <v>52</v>
      </c>
      <c r="AN18" s="19" t="s">
        <v>53</v>
      </c>
      <c r="AO18" s="25">
        <v>2.4E-2</v>
      </c>
      <c r="AP18" s="20"/>
      <c r="AQ18" s="21"/>
      <c r="AT18" s="26" t="s">
        <v>54</v>
      </c>
      <c r="AU18" s="27" t="s">
        <v>55</v>
      </c>
      <c r="AW18" s="2"/>
      <c r="AX18" s="3"/>
      <c r="BA18" s="27" t="s">
        <v>158</v>
      </c>
      <c r="BF18" s="27" t="s">
        <v>56</v>
      </c>
      <c r="BJ18" s="27" t="s">
        <v>57</v>
      </c>
    </row>
    <row r="19" spans="2:63">
      <c r="J19" s="6" t="s">
        <v>58</v>
      </c>
      <c r="K19" s="6">
        <f>1/K14</f>
        <v>10</v>
      </c>
      <c r="R19" s="3"/>
      <c r="AH19" s="28">
        <v>100</v>
      </c>
      <c r="AI19" s="29" t="s">
        <v>59</v>
      </c>
      <c r="AJ19" s="29" t="s">
        <v>60</v>
      </c>
      <c r="AK19" s="28">
        <f>CONVERT(AH19,"m","yd")</f>
        <v>109.36132983377078</v>
      </c>
      <c r="AL19" s="30"/>
      <c r="AM19" s="30"/>
      <c r="AN19" s="19" t="s">
        <v>61</v>
      </c>
      <c r="AO19" s="2">
        <v>12</v>
      </c>
      <c r="AP19" s="20"/>
      <c r="AQ19" s="21"/>
      <c r="AT19" s="1"/>
      <c r="AW19" s="2"/>
      <c r="AX19" s="3"/>
    </row>
    <row r="20" spans="2:63">
      <c r="J20" s="6" t="s">
        <v>62</v>
      </c>
      <c r="K20" s="6">
        <v>1.5</v>
      </c>
      <c r="R20" s="3"/>
      <c r="AH20" s="31">
        <v>200</v>
      </c>
      <c r="AI20" s="6" t="s">
        <v>63</v>
      </c>
      <c r="AJ20" s="6" t="s">
        <v>59</v>
      </c>
      <c r="AK20" s="6">
        <f>CONVERT(AH20,"mi","m")</f>
        <v>321868.79999999999</v>
      </c>
      <c r="AN20" s="19"/>
      <c r="AO20" s="20"/>
      <c r="AP20" s="20"/>
      <c r="AQ20" s="21"/>
      <c r="AT20" s="1" t="s">
        <v>64</v>
      </c>
      <c r="AU20" s="32">
        <f>NPV($AU$5,AV9:AV16)-$AU$3</f>
        <v>61188.52101583789</v>
      </c>
      <c r="AW20" s="2"/>
      <c r="AX20" s="3"/>
    </row>
    <row r="21" spans="2:63" ht="20.25">
      <c r="J21" s="6" t="s">
        <v>65</v>
      </c>
      <c r="K21" s="6">
        <v>2</v>
      </c>
      <c r="L21" s="78" t="s">
        <v>66</v>
      </c>
      <c r="M21" s="78"/>
      <c r="N21" s="78"/>
      <c r="O21" s="78"/>
      <c r="P21" s="78"/>
      <c r="Q21" s="78"/>
      <c r="R21" s="78"/>
      <c r="U21" s="33"/>
      <c r="V21" s="34"/>
      <c r="W21" s="34"/>
      <c r="X21" s="34"/>
      <c r="Y21" s="35" t="s">
        <v>67</v>
      </c>
      <c r="Z21" s="34"/>
      <c r="AA21" s="34"/>
      <c r="AB21" s="34"/>
      <c r="AC21" s="34"/>
      <c r="AD21" s="34"/>
      <c r="AE21" s="34"/>
      <c r="AF21" s="36"/>
      <c r="AH21" s="31">
        <v>300</v>
      </c>
      <c r="AI21" s="6" t="s">
        <v>68</v>
      </c>
      <c r="AJ21" s="6" t="s">
        <v>59</v>
      </c>
      <c r="AK21" s="6">
        <f>CONVERT(AH21,"km","m")</f>
        <v>300000</v>
      </c>
      <c r="AN21" s="19" t="s">
        <v>69</v>
      </c>
      <c r="AO21" s="20"/>
      <c r="AP21" s="20"/>
      <c r="AQ21" s="21"/>
      <c r="AT21" s="1"/>
      <c r="AW21" s="2"/>
      <c r="AX21" s="3"/>
    </row>
    <row r="22" spans="2:63">
      <c r="J22" s="6" t="s">
        <v>70</v>
      </c>
      <c r="K22" s="6">
        <v>2.5</v>
      </c>
      <c r="L22" s="92" t="s">
        <v>71</v>
      </c>
      <c r="M22" s="92"/>
      <c r="N22" s="92"/>
      <c r="O22" s="92"/>
      <c r="P22" s="92"/>
      <c r="Q22" s="92"/>
      <c r="R22" s="14"/>
      <c r="U22" s="1"/>
      <c r="AF22" s="3"/>
      <c r="AH22" s="2"/>
      <c r="AI22" s="5"/>
      <c r="AN22" s="19"/>
      <c r="AO22" s="20"/>
      <c r="AP22" s="20"/>
      <c r="AQ22" s="21"/>
      <c r="AT22" s="1"/>
      <c r="AX22" s="3"/>
    </row>
    <row r="23" spans="2:63">
      <c r="U23" s="1" t="s">
        <v>72</v>
      </c>
      <c r="V23" s="11">
        <v>41275</v>
      </c>
      <c r="AF23" s="3"/>
      <c r="AH23" s="2"/>
      <c r="AN23" s="19" t="s">
        <v>73</v>
      </c>
      <c r="AO23" s="25">
        <f>NOMINAL(AO18,AO19)</f>
        <v>2.3739978466119638E-2</v>
      </c>
      <c r="AP23" s="20"/>
      <c r="AQ23" s="21"/>
      <c r="AT23" s="1"/>
      <c r="AX23" s="3"/>
    </row>
    <row r="24" spans="2:63">
      <c r="U24" s="1" t="s">
        <v>74</v>
      </c>
      <c r="V24" s="11">
        <v>41456</v>
      </c>
      <c r="AF24" s="3"/>
      <c r="AH24" s="2"/>
      <c r="AN24" s="22"/>
      <c r="AO24" s="13"/>
      <c r="AP24" s="13"/>
      <c r="AQ24" s="14"/>
      <c r="AT24" s="1"/>
      <c r="AX24" s="3"/>
    </row>
    <row r="25" spans="2:63">
      <c r="U25" s="1" t="s">
        <v>75</v>
      </c>
      <c r="V25" s="11">
        <v>41365</v>
      </c>
      <c r="AF25" s="3"/>
      <c r="AH25" s="2"/>
      <c r="AN25" s="2"/>
      <c r="AT25" s="1"/>
      <c r="AX25" s="3"/>
    </row>
    <row r="26" spans="2:63">
      <c r="B26" s="82" t="s">
        <v>76</v>
      </c>
      <c r="C26" s="82"/>
      <c r="D26" s="82"/>
      <c r="E26" s="82"/>
      <c r="F26" s="82"/>
      <c r="G26" s="82"/>
      <c r="H26" s="82"/>
      <c r="I26" s="82"/>
      <c r="U26" s="1" t="s">
        <v>6</v>
      </c>
      <c r="V26" s="5">
        <v>0.1</v>
      </c>
      <c r="AF26" s="3"/>
      <c r="AH26" s="2"/>
      <c r="AN26" s="2"/>
      <c r="AT26" s="1" t="s">
        <v>54</v>
      </c>
      <c r="AU26" s="25">
        <f>IRR(AW8:AW16)</f>
        <v>0.93068436136971178</v>
      </c>
      <c r="AV26" s="2"/>
      <c r="AW26" s="2"/>
      <c r="AX26" s="3"/>
    </row>
    <row r="27" spans="2:63">
      <c r="B27" s="1" t="s">
        <v>77</v>
      </c>
      <c r="C27" s="90" t="s">
        <v>78</v>
      </c>
      <c r="D27" s="90"/>
      <c r="E27" s="90"/>
      <c r="F27" s="90"/>
      <c r="I27" s="3"/>
      <c r="U27" s="1" t="s">
        <v>79</v>
      </c>
      <c r="V27">
        <v>5000</v>
      </c>
      <c r="AF27" s="3"/>
      <c r="AH27" s="93" t="s">
        <v>80</v>
      </c>
      <c r="AI27" s="93"/>
      <c r="AJ27" s="93"/>
      <c r="AK27" s="93"/>
      <c r="AL27" s="37"/>
      <c r="AM27" s="37"/>
      <c r="AT27" s="1"/>
      <c r="AX27" s="3"/>
    </row>
    <row r="28" spans="2:63" ht="69.95" customHeight="1">
      <c r="B28" s="1" t="s">
        <v>81</v>
      </c>
      <c r="C28" s="11">
        <v>42050</v>
      </c>
      <c r="D28" s="90" t="s">
        <v>82</v>
      </c>
      <c r="E28" s="90"/>
      <c r="F28" s="90"/>
      <c r="G28" s="90"/>
      <c r="I28" s="3"/>
      <c r="U28" s="1" t="s">
        <v>83</v>
      </c>
      <c r="V28">
        <v>2</v>
      </c>
      <c r="AF28" s="3"/>
      <c r="AH28" s="6" t="s">
        <v>84</v>
      </c>
      <c r="AI28" s="6" t="s">
        <v>85</v>
      </c>
      <c r="AJ28" s="6" t="s">
        <v>86</v>
      </c>
      <c r="AK28" s="6" t="s">
        <v>87</v>
      </c>
      <c r="AL28" s="2"/>
      <c r="AM28" s="20"/>
      <c r="AT28" s="91" t="s">
        <v>88</v>
      </c>
      <c r="AU28" s="91"/>
      <c r="AV28" s="27" t="s">
        <v>89</v>
      </c>
      <c r="AX28" s="3"/>
    </row>
    <row r="29" spans="2:63">
      <c r="B29" s="1" t="s">
        <v>90</v>
      </c>
      <c r="C29" s="11">
        <v>42155</v>
      </c>
      <c r="D29" s="90" t="s">
        <v>91</v>
      </c>
      <c r="E29" s="90"/>
      <c r="F29" s="90"/>
      <c r="G29" s="90"/>
      <c r="I29" s="3"/>
      <c r="U29" s="1" t="s">
        <v>45</v>
      </c>
      <c r="V29">
        <v>1</v>
      </c>
      <c r="AF29" s="3"/>
      <c r="AH29" s="38">
        <v>20000</v>
      </c>
      <c r="AI29" s="38">
        <v>4</v>
      </c>
      <c r="AJ29" s="38">
        <v>200</v>
      </c>
      <c r="AK29" s="39">
        <f>SLN(AH29,AJ29,AI29)</f>
        <v>4950</v>
      </c>
      <c r="AL29" s="20"/>
      <c r="AT29" s="91" t="s">
        <v>92</v>
      </c>
      <c r="AU29" s="91"/>
      <c r="AV29" s="5">
        <v>0.11700000000000001</v>
      </c>
      <c r="AX29" s="3"/>
    </row>
    <row r="30" spans="2:63" outlineLevel="1">
      <c r="B30" s="1" t="s">
        <v>83</v>
      </c>
      <c r="C30">
        <v>2</v>
      </c>
      <c r="D30" t="s">
        <v>93</v>
      </c>
      <c r="I30" s="3"/>
      <c r="U30" s="1" t="s">
        <v>94</v>
      </c>
      <c r="V30">
        <v>1</v>
      </c>
      <c r="AF30" s="3"/>
      <c r="AH30" s="2"/>
      <c r="AI30" s="2"/>
      <c r="AJ30" s="2"/>
      <c r="AK30" s="2"/>
      <c r="AL30" s="20"/>
      <c r="AM30" s="20"/>
      <c r="AT30" s="91" t="s">
        <v>88</v>
      </c>
      <c r="AU30" s="91"/>
      <c r="AV30" s="5">
        <v>0.13</v>
      </c>
      <c r="AX30" s="3"/>
    </row>
    <row r="31" spans="2:63">
      <c r="B31" s="1" t="s">
        <v>45</v>
      </c>
      <c r="C31">
        <v>2</v>
      </c>
      <c r="D31" s="86" t="s">
        <v>47</v>
      </c>
      <c r="E31" s="86"/>
      <c r="F31" s="86"/>
      <c r="G31" s="86"/>
      <c r="H31" s="86"/>
      <c r="I31" s="3"/>
      <c r="U31" s="1" t="s">
        <v>95</v>
      </c>
      <c r="V31">
        <f>ACCRINT(V23,V24,V25,V26,V27,V28,V29,V30)</f>
        <v>124.30939226519337</v>
      </c>
      <c r="AF31" s="3"/>
      <c r="AH31" s="2"/>
      <c r="AI31" s="2"/>
      <c r="AJ31" s="2"/>
      <c r="AK31" s="2"/>
      <c r="AL31" s="20"/>
      <c r="AM31" s="20"/>
      <c r="AT31" s="1"/>
      <c r="AX31" s="3"/>
    </row>
    <row r="32" spans="2:63">
      <c r="B32" s="1" t="s">
        <v>96</v>
      </c>
      <c r="C32" t="s">
        <v>97</v>
      </c>
      <c r="I32" s="3"/>
      <c r="U32" s="1"/>
      <c r="AF32" s="3"/>
      <c r="AH32" s="2"/>
      <c r="AI32" s="2"/>
      <c r="AJ32" s="2"/>
      <c r="AK32" s="2"/>
      <c r="AL32" s="20"/>
      <c r="AM32" s="20"/>
      <c r="AT32" s="1"/>
      <c r="AX32" s="3"/>
    </row>
    <row r="33" spans="2:50">
      <c r="B33" s="1" t="s">
        <v>98</v>
      </c>
      <c r="C33" t="s">
        <v>99</v>
      </c>
      <c r="I33" s="3"/>
      <c r="U33" s="1"/>
      <c r="AF33" s="3"/>
      <c r="AH33" s="40"/>
      <c r="AI33" s="37"/>
      <c r="AJ33" s="37"/>
      <c r="AK33" s="37"/>
      <c r="AL33" s="20"/>
      <c r="AM33" s="20"/>
      <c r="AT33" s="1"/>
      <c r="AX33" s="3"/>
    </row>
    <row r="34" spans="2:50">
      <c r="B34" s="87" t="s">
        <v>100</v>
      </c>
      <c r="C34" s="87"/>
      <c r="D34" s="87"/>
      <c r="E34" s="87"/>
      <c r="F34" s="87"/>
      <c r="G34" s="87"/>
      <c r="H34" s="87"/>
      <c r="I34" s="87"/>
      <c r="U34" s="1"/>
      <c r="AF34" s="3"/>
      <c r="AH34" s="2"/>
      <c r="AI34" s="2"/>
      <c r="AJ34" s="2"/>
      <c r="AK34" s="2"/>
      <c r="AL34" s="20"/>
      <c r="AM34" s="20"/>
      <c r="AT34" s="22" t="s">
        <v>101</v>
      </c>
      <c r="AU34" s="67">
        <f>MIRR(AW8:AW16,AV29,AV30)</f>
        <v>0.36604423335091862</v>
      </c>
      <c r="AV34" s="13"/>
      <c r="AW34" s="13"/>
      <c r="AX34" s="14"/>
    </row>
    <row r="35" spans="2:50">
      <c r="B35" s="87" t="s">
        <v>102</v>
      </c>
      <c r="C35" s="87"/>
      <c r="D35" s="87"/>
      <c r="E35" s="87"/>
      <c r="F35" s="87"/>
      <c r="G35" s="87"/>
      <c r="H35" s="87"/>
      <c r="I35" s="87"/>
      <c r="U35" s="1"/>
      <c r="AF35" s="3"/>
      <c r="AH35" s="2"/>
      <c r="AI35" s="2"/>
      <c r="AJ35" s="2"/>
      <c r="AK35" s="8"/>
      <c r="AL35" s="20"/>
      <c r="AM35" s="20"/>
    </row>
    <row r="36" spans="2:50">
      <c r="B36" s="41"/>
      <c r="I36" s="3"/>
      <c r="U36" s="1"/>
      <c r="AF36" s="3"/>
      <c r="AH36" s="42"/>
      <c r="AI36" s="20"/>
      <c r="AJ36" s="20"/>
      <c r="AK36" s="20"/>
      <c r="AL36" s="20"/>
      <c r="AM36" s="20"/>
    </row>
    <row r="37" spans="2:50">
      <c r="B37" s="41" t="s">
        <v>103</v>
      </c>
      <c r="C37">
        <f>COUPDAYS(C28,C29,C30,C31)</f>
        <v>180</v>
      </c>
      <c r="I37" s="3"/>
      <c r="U37" s="1"/>
      <c r="AF37" s="3"/>
      <c r="AH37" s="42"/>
      <c r="AI37" s="20"/>
      <c r="AJ37" s="20"/>
      <c r="AK37" s="20"/>
      <c r="AL37" s="20"/>
      <c r="AM37" s="20"/>
    </row>
    <row r="38" spans="2:50">
      <c r="B38" s="41"/>
      <c r="I38" s="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4"/>
      <c r="AH38" s="42"/>
      <c r="AI38" s="20"/>
      <c r="AJ38" s="20"/>
      <c r="AK38" s="20"/>
      <c r="AL38" s="20"/>
      <c r="AM38" s="20"/>
    </row>
    <row r="39" spans="2:50">
      <c r="B39" s="1"/>
      <c r="C39" t="s">
        <v>77</v>
      </c>
      <c r="E39" t="s">
        <v>104</v>
      </c>
      <c r="I39" s="3" t="s">
        <v>90</v>
      </c>
      <c r="AH39" s="42"/>
      <c r="AI39" s="20"/>
      <c r="AJ39" s="20"/>
      <c r="AK39" s="20"/>
      <c r="AL39" s="20"/>
      <c r="AM39" s="20"/>
      <c r="AT39" s="88" t="s">
        <v>105</v>
      </c>
      <c r="AU39" s="88"/>
      <c r="AV39" s="88"/>
      <c r="AW39" s="88"/>
      <c r="AX39" s="88"/>
    </row>
    <row r="40" spans="2:50">
      <c r="B40" s="1"/>
      <c r="I40" s="3"/>
      <c r="AH40" s="42"/>
      <c r="AI40" s="20"/>
      <c r="AJ40" s="20"/>
      <c r="AK40" s="20"/>
      <c r="AL40" s="20"/>
      <c r="AM40" s="20"/>
      <c r="AT40" s="1"/>
      <c r="AX40" s="3"/>
    </row>
    <row r="41" spans="2:50">
      <c r="B41" s="1"/>
      <c r="E41" s="11">
        <v>42050</v>
      </c>
      <c r="I41" s="43">
        <v>42155</v>
      </c>
      <c r="AT41" s="1" t="s">
        <v>2</v>
      </c>
      <c r="AU41">
        <v>15000</v>
      </c>
      <c r="AX41" s="3"/>
    </row>
    <row r="42" spans="2:50">
      <c r="B42" s="1"/>
      <c r="I42" s="3"/>
      <c r="AT42" s="1" t="s">
        <v>16</v>
      </c>
      <c r="AU42" s="5">
        <v>0.1</v>
      </c>
      <c r="AX42" s="3"/>
    </row>
    <row r="43" spans="2:50">
      <c r="B43" s="12"/>
      <c r="C43" s="13"/>
      <c r="D43" s="89" t="s">
        <v>106</v>
      </c>
      <c r="E43" s="89"/>
      <c r="F43" s="89"/>
      <c r="G43" s="13"/>
      <c r="H43" s="13"/>
      <c r="I43" s="14"/>
      <c r="AT43" s="1"/>
      <c r="AX43" s="3"/>
    </row>
    <row r="44" spans="2:50">
      <c r="U44" s="84" t="s">
        <v>107</v>
      </c>
      <c r="V44" s="84"/>
      <c r="W44" s="84"/>
      <c r="X44" s="84"/>
      <c r="Y44" s="84"/>
      <c r="Z44" s="84"/>
      <c r="AA44" s="84"/>
      <c r="AB44" s="84"/>
      <c r="AC44" s="84"/>
      <c r="AD44" s="84"/>
      <c r="AT44" s="1"/>
      <c r="AX44" s="3"/>
    </row>
    <row r="45" spans="2:50">
      <c r="U45" s="1"/>
      <c r="AD45" s="3"/>
      <c r="AH45" s="82" t="s">
        <v>108</v>
      </c>
      <c r="AI45" s="82"/>
      <c r="AJ45" s="82"/>
      <c r="AK45" s="82"/>
      <c r="AL45" s="82"/>
      <c r="AM45" s="82"/>
      <c r="AN45" s="82"/>
      <c r="AT45" s="1"/>
      <c r="AX45" s="3"/>
    </row>
    <row r="46" spans="2:50">
      <c r="U46" s="77" t="s">
        <v>109</v>
      </c>
      <c r="V46" s="77"/>
      <c r="W46" s="5">
        <v>5.1999999999999998E-2</v>
      </c>
      <c r="AD46" s="3"/>
      <c r="AH46" s="1"/>
      <c r="AN46" s="3"/>
      <c r="AO46" s="82" t="s">
        <v>110</v>
      </c>
      <c r="AP46" s="82"/>
      <c r="AQ46" s="82"/>
      <c r="AR46" s="82"/>
      <c r="AT46" s="85" t="s">
        <v>111</v>
      </c>
      <c r="AU46" s="85"/>
      <c r="AV46" s="85"/>
      <c r="AW46" s="85"/>
      <c r="AX46" s="3"/>
    </row>
    <row r="47" spans="2:50">
      <c r="U47" s="77" t="s">
        <v>112</v>
      </c>
      <c r="V47" s="77"/>
      <c r="W47">
        <v>2</v>
      </c>
      <c r="X47" s="78" t="s">
        <v>113</v>
      </c>
      <c r="Y47" s="78"/>
      <c r="Z47" s="78"/>
      <c r="AA47" s="78"/>
      <c r="AB47" s="78"/>
      <c r="AC47" s="78"/>
      <c r="AD47" s="78"/>
      <c r="AH47" s="1" t="s">
        <v>114</v>
      </c>
      <c r="AI47">
        <v>30000</v>
      </c>
      <c r="AL47" t="s">
        <v>115</v>
      </c>
      <c r="AN47" s="3"/>
      <c r="AO47" s="1" t="s">
        <v>116</v>
      </c>
      <c r="AP47">
        <v>30000</v>
      </c>
      <c r="AR47" s="3"/>
      <c r="AT47" s="44" t="s">
        <v>117</v>
      </c>
      <c r="AU47" s="6" t="s">
        <v>32</v>
      </c>
      <c r="AV47" s="6"/>
      <c r="AW47" s="6"/>
      <c r="AX47" s="3"/>
    </row>
    <row r="48" spans="2:50">
      <c r="U48" s="1"/>
      <c r="AD48" s="3"/>
      <c r="AH48" s="1" t="s">
        <v>118</v>
      </c>
      <c r="AI48" s="5">
        <v>1.95E-2</v>
      </c>
      <c r="AL48" t="s">
        <v>119</v>
      </c>
      <c r="AN48" s="3"/>
      <c r="AO48" s="1" t="s">
        <v>120</v>
      </c>
      <c r="AP48">
        <v>3000</v>
      </c>
      <c r="AR48" s="3"/>
      <c r="AT48" s="6" t="s">
        <v>121</v>
      </c>
      <c r="AU48" s="6">
        <f>-AU41</f>
        <v>-15000</v>
      </c>
      <c r="AV48" s="79" t="s">
        <v>122</v>
      </c>
      <c r="AW48" s="79"/>
      <c r="AX48" s="3"/>
    </row>
    <row r="49" spans="21:50">
      <c r="U49" s="1"/>
      <c r="AD49" s="3"/>
      <c r="AH49" s="1" t="s">
        <v>123</v>
      </c>
      <c r="AI49">
        <v>24</v>
      </c>
      <c r="AN49" s="3"/>
      <c r="AO49" s="1" t="s">
        <v>34</v>
      </c>
      <c r="AP49">
        <v>10</v>
      </c>
      <c r="AR49" s="3"/>
      <c r="AT49" s="6" t="s">
        <v>124</v>
      </c>
      <c r="AU49" s="6">
        <v>14000</v>
      </c>
      <c r="AV49" s="6"/>
      <c r="AW49" s="6"/>
      <c r="AX49" s="3"/>
    </row>
    <row r="50" spans="21:50">
      <c r="U50" s="1"/>
      <c r="AD50" s="3"/>
      <c r="AH50" s="1" t="s">
        <v>125</v>
      </c>
      <c r="AI50" s="63">
        <f>AI48/12</f>
        <v>1.6249999999999999E-3</v>
      </c>
      <c r="AN50" s="3"/>
      <c r="AO50" s="1" t="s">
        <v>126</v>
      </c>
      <c r="AR50" s="3"/>
      <c r="AT50" s="6" t="s">
        <v>127</v>
      </c>
      <c r="AU50" s="6">
        <v>13880</v>
      </c>
      <c r="AV50" s="6"/>
      <c r="AW50" s="6"/>
      <c r="AX50" s="3"/>
    </row>
    <row r="51" spans="21:50">
      <c r="U51" s="80" t="s">
        <v>128</v>
      </c>
      <c r="V51" s="80"/>
      <c r="W51" s="16">
        <f>EFFECT(W46,W47)</f>
        <v>5.2675999999999945E-2</v>
      </c>
      <c r="X51" s="13"/>
      <c r="Y51" s="13"/>
      <c r="Z51" s="13"/>
      <c r="AA51" s="13"/>
      <c r="AB51" s="13"/>
      <c r="AC51" s="13"/>
      <c r="AD51" s="14"/>
      <c r="AH51" s="1"/>
      <c r="AJ51" t="s">
        <v>129</v>
      </c>
      <c r="AK51" t="s">
        <v>130</v>
      </c>
      <c r="AM51" s="3" t="s">
        <v>131</v>
      </c>
      <c r="AO51" s="1"/>
      <c r="AR51" s="3"/>
      <c r="AT51" s="6" t="s">
        <v>132</v>
      </c>
      <c r="AU51" s="6">
        <v>14202</v>
      </c>
      <c r="AV51" s="6"/>
      <c r="AW51" s="6"/>
      <c r="AX51" s="3"/>
    </row>
    <row r="52" spans="21:50">
      <c r="AH52" s="1"/>
      <c r="AM52" s="3"/>
      <c r="AO52" s="1">
        <v>-1</v>
      </c>
      <c r="AQ52" s="45"/>
      <c r="AR52" s="3"/>
      <c r="AT52" s="6" t="s">
        <v>133</v>
      </c>
      <c r="AU52" s="6">
        <v>14120</v>
      </c>
      <c r="AV52" s="6"/>
      <c r="AW52" s="6"/>
      <c r="AX52" s="3"/>
    </row>
    <row r="53" spans="21:50">
      <c r="AH53" s="46" t="s">
        <v>134</v>
      </c>
      <c r="AI53" s="47" t="s">
        <v>135</v>
      </c>
      <c r="AJ53" s="47" t="s">
        <v>136</v>
      </c>
      <c r="AK53" s="47" t="s">
        <v>137</v>
      </c>
      <c r="AL53" s="47" t="s">
        <v>138</v>
      </c>
      <c r="AM53" s="48" t="s">
        <v>139</v>
      </c>
      <c r="AO53" s="46" t="s">
        <v>134</v>
      </c>
      <c r="AP53" s="47" t="s">
        <v>135</v>
      </c>
      <c r="AQ53" s="47" t="s">
        <v>137</v>
      </c>
      <c r="AR53" s="48"/>
      <c r="AT53" s="6" t="s">
        <v>140</v>
      </c>
      <c r="AU53" s="6">
        <v>15000</v>
      </c>
      <c r="AV53" s="6"/>
      <c r="AW53" s="6"/>
      <c r="AX53" s="3"/>
    </row>
    <row r="54" spans="21:50">
      <c r="AH54" s="49">
        <v>0</v>
      </c>
      <c r="AI54" s="50"/>
      <c r="AJ54" s="50"/>
      <c r="AK54" s="50"/>
      <c r="AL54" s="50"/>
      <c r="AM54" s="51">
        <f>AI47</f>
        <v>30000</v>
      </c>
      <c r="AO54" s="49">
        <v>0</v>
      </c>
      <c r="AP54" s="81">
        <v>30000</v>
      </c>
      <c r="AQ54" s="45"/>
      <c r="AR54" s="51"/>
      <c r="AT54" s="6" t="s">
        <v>141</v>
      </c>
      <c r="AU54" s="6">
        <v>12500</v>
      </c>
      <c r="AV54" s="6"/>
      <c r="AW54" s="6"/>
      <c r="AX54" s="3"/>
    </row>
    <row r="55" spans="21:50">
      <c r="AH55" s="49">
        <v>1</v>
      </c>
      <c r="AI55" s="45">
        <f t="shared" ref="AI55:AI78" si="5">AM54</f>
        <v>30000</v>
      </c>
      <c r="AJ55" s="45">
        <f>IPMT($AI$50,AH55,$AI$49,-$AM$54)</f>
        <v>48.75</v>
      </c>
      <c r="AK55" s="45">
        <f>PPMT($AI$50,AH55,$AI$49,-$AM$54)</f>
        <v>1226.7986550605017</v>
      </c>
      <c r="AL55" s="45">
        <f>PMT($AI$50,$AI$49,-$AI$47)</f>
        <v>1275.5486550605017</v>
      </c>
      <c r="AM55" s="51">
        <f t="shared" ref="AM55:AM78" si="6">AI55-AK55</f>
        <v>28773.201344939498</v>
      </c>
      <c r="AO55" s="49">
        <v>1</v>
      </c>
      <c r="AP55" s="81"/>
      <c r="AQ55" s="45">
        <f>SYD($AP$47,$AP$48,$AP$49,AO55)</f>
        <v>4909.090909090909</v>
      </c>
      <c r="AR55" s="51"/>
      <c r="AT55" s="6" t="s">
        <v>142</v>
      </c>
      <c r="AU55" s="6">
        <v>15100</v>
      </c>
      <c r="AV55" s="6"/>
      <c r="AW55" s="6"/>
      <c r="AX55" s="3"/>
    </row>
    <row r="56" spans="21:50">
      <c r="U56" s="82" t="s">
        <v>143</v>
      </c>
      <c r="V56" s="82"/>
      <c r="W56" s="82"/>
      <c r="X56" s="82"/>
      <c r="Y56" s="82"/>
      <c r="Z56" s="82"/>
      <c r="AH56" s="49">
        <v>2</v>
      </c>
      <c r="AI56" s="45">
        <f t="shared" si="5"/>
        <v>28773.201344939498</v>
      </c>
      <c r="AJ56" s="45">
        <f>IPMT($AI$50,AH56,$AI$49,-$AM$54)</f>
        <v>46.756452185526683</v>
      </c>
      <c r="AK56" s="45">
        <f t="shared" ref="AK56:AK78" si="7">PPMT($AI$50,AH56,$AI$49,-$AM$54)</f>
        <v>1228.7922028749749</v>
      </c>
      <c r="AL56" s="45">
        <f t="shared" ref="AL56:AL78" si="8">PMT($AI$50,$AI$49,-$AI$47)</f>
        <v>1275.5486550605017</v>
      </c>
      <c r="AM56" s="51">
        <f t="shared" si="6"/>
        <v>27544.409142064524</v>
      </c>
      <c r="AO56" s="49">
        <v>2</v>
      </c>
      <c r="AP56" s="81"/>
      <c r="AQ56" s="45">
        <f>SYD($AP$47,$AP$48,$AP$49,AO56)</f>
        <v>4418.181818181818</v>
      </c>
      <c r="AR56" s="51"/>
      <c r="AT56" s="6" t="s">
        <v>144</v>
      </c>
      <c r="AU56" s="6">
        <v>16200</v>
      </c>
      <c r="AV56" s="6"/>
      <c r="AW56" s="6"/>
      <c r="AX56" s="3"/>
    </row>
    <row r="57" spans="21:50">
      <c r="U57" s="77" t="s">
        <v>6</v>
      </c>
      <c r="V57" s="77"/>
      <c r="W57" s="5">
        <v>0.06</v>
      </c>
      <c r="Z57" s="3"/>
      <c r="AH57" s="49">
        <v>3</v>
      </c>
      <c r="AI57" s="45">
        <f t="shared" si="5"/>
        <v>27544.409142064524</v>
      </c>
      <c r="AJ57" s="45">
        <f>IPMT($AI$50,AH57,$AI$49,-$AM$54)</f>
        <v>44.759664855854858</v>
      </c>
      <c r="AK57" s="45">
        <f t="shared" si="7"/>
        <v>1230.7889902046468</v>
      </c>
      <c r="AL57" s="45">
        <f t="shared" si="8"/>
        <v>1275.5486550605017</v>
      </c>
      <c r="AM57" s="51">
        <f t="shared" si="6"/>
        <v>26313.620151859875</v>
      </c>
      <c r="AO57" s="49">
        <v>3</v>
      </c>
      <c r="AP57" s="81"/>
      <c r="AQ57" s="45" t="s">
        <v>157</v>
      </c>
      <c r="AR57" s="51"/>
      <c r="AT57" s="1"/>
      <c r="AX57" s="3"/>
    </row>
    <row r="58" spans="21:50">
      <c r="U58" s="77" t="s">
        <v>145</v>
      </c>
      <c r="V58" s="77"/>
      <c r="W58">
        <v>4</v>
      </c>
      <c r="X58" t="s">
        <v>146</v>
      </c>
      <c r="Z58" s="3"/>
      <c r="AH58" s="49">
        <v>4</v>
      </c>
      <c r="AI58" s="45">
        <f t="shared" si="5"/>
        <v>26313.620151859875</v>
      </c>
      <c r="AJ58" s="45">
        <f t="shared" ref="AJ56:AJ78" si="9">IPMT($AI$50,AH58,$AI$49,-$AM$54)</f>
        <v>42.75963274677229</v>
      </c>
      <c r="AK58" s="45">
        <f t="shared" si="7"/>
        <v>1232.7890223137294</v>
      </c>
      <c r="AL58" s="45">
        <f t="shared" si="8"/>
        <v>1275.5486550605017</v>
      </c>
      <c r="AM58" s="51">
        <f t="shared" si="6"/>
        <v>25080.831129546146</v>
      </c>
      <c r="AO58" s="49">
        <v>4</v>
      </c>
      <c r="AP58" s="81"/>
      <c r="AQ58" s="45">
        <f t="shared" ref="AQ58:AQ65" si="10">SYD($AP$47,$AP$48,$AP$49,AO58)</f>
        <v>3436.3636363636365</v>
      </c>
      <c r="AR58" s="51"/>
      <c r="AT58" s="1"/>
      <c r="AX58" s="3"/>
    </row>
    <row r="59" spans="21:50">
      <c r="U59" s="77" t="s">
        <v>147</v>
      </c>
      <c r="V59" s="77"/>
      <c r="W59">
        <v>5000</v>
      </c>
      <c r="X59" t="s">
        <v>148</v>
      </c>
      <c r="Z59" s="3"/>
      <c r="AH59" s="49">
        <v>5</v>
      </c>
      <c r="AI59" s="45">
        <f t="shared" si="5"/>
        <v>25080.831129546146</v>
      </c>
      <c r="AJ59" s="45">
        <f t="shared" si="9"/>
        <v>40.756350585512486</v>
      </c>
      <c r="AK59" s="45">
        <f t="shared" si="7"/>
        <v>1234.7923044749891</v>
      </c>
      <c r="AL59" s="45">
        <f t="shared" si="8"/>
        <v>1275.5486550605017</v>
      </c>
      <c r="AM59" s="51">
        <f t="shared" si="6"/>
        <v>23846.038825071158</v>
      </c>
      <c r="AO59" s="49">
        <v>5</v>
      </c>
      <c r="AP59" s="81"/>
      <c r="AQ59" s="45">
        <f t="shared" si="10"/>
        <v>2945.4545454545455</v>
      </c>
      <c r="AR59" s="51"/>
      <c r="AT59" s="1" t="s">
        <v>149</v>
      </c>
      <c r="AU59" s="32" t="e">
        <f>XNPV(AU42,AU49:AU56,AT49:AT56)</f>
        <v>#VALUE!</v>
      </c>
      <c r="AX59" s="3"/>
    </row>
    <row r="60" spans="21:50">
      <c r="U60" s="4"/>
      <c r="Z60" s="3"/>
      <c r="AH60" s="49">
        <v>6</v>
      </c>
      <c r="AI60" s="45">
        <f t="shared" si="5"/>
        <v>23846.038825071158</v>
      </c>
      <c r="AJ60" s="45">
        <f t="shared" si="9"/>
        <v>38.749813090740631</v>
      </c>
      <c r="AK60" s="45">
        <f t="shared" si="7"/>
        <v>1236.798841969761</v>
      </c>
      <c r="AL60" s="45">
        <f t="shared" si="8"/>
        <v>1275.5486550605017</v>
      </c>
      <c r="AM60" s="51">
        <f t="shared" si="6"/>
        <v>22609.239983101397</v>
      </c>
      <c r="AO60" s="49">
        <v>6</v>
      </c>
      <c r="AP60" s="81"/>
      <c r="AQ60" s="45">
        <f t="shared" si="10"/>
        <v>2454.5454545454545</v>
      </c>
      <c r="AR60" s="51"/>
      <c r="AT60" s="1"/>
      <c r="AX60" s="3"/>
    </row>
    <row r="61" spans="21:50">
      <c r="U61" s="4"/>
      <c r="X61" s="6" t="s">
        <v>21</v>
      </c>
      <c r="Y61" s="6" t="s">
        <v>150</v>
      </c>
      <c r="Z61" s="3"/>
      <c r="AH61" s="49">
        <v>7</v>
      </c>
      <c r="AI61" s="45">
        <f t="shared" si="5"/>
        <v>22609.239983101397</v>
      </c>
      <c r="AJ61" s="45">
        <f t="shared" si="9"/>
        <v>36.740014972539768</v>
      </c>
      <c r="AK61" s="45">
        <f t="shared" si="7"/>
        <v>1238.808640087962</v>
      </c>
      <c r="AL61" s="45">
        <f t="shared" si="8"/>
        <v>1275.5486550605017</v>
      </c>
      <c r="AM61" s="51">
        <f t="shared" si="6"/>
        <v>21370.431343013435</v>
      </c>
      <c r="AO61" s="49">
        <v>7</v>
      </c>
      <c r="AP61" s="81"/>
      <c r="AQ61" s="45">
        <f t="shared" si="10"/>
        <v>1963.6363636363637</v>
      </c>
      <c r="AR61" s="51"/>
      <c r="AT61" s="22" t="s">
        <v>151</v>
      </c>
      <c r="AU61" s="68">
        <f>XIRR(AU48:AU56,AT48:AT56)</f>
        <v>68.475326919555641</v>
      </c>
      <c r="AV61" s="13"/>
      <c r="AW61" s="13"/>
      <c r="AX61" s="14"/>
    </row>
    <row r="62" spans="21:50">
      <c r="U62" s="4"/>
      <c r="X62" s="6">
        <v>1</v>
      </c>
      <c r="Y62" s="6">
        <f>ISPMT($W$57,X62,$W$58,$W$59)</f>
        <v>-225</v>
      </c>
      <c r="Z62" s="83" t="s">
        <v>152</v>
      </c>
      <c r="AA62" s="83"/>
      <c r="AB62" s="83"/>
      <c r="AC62" s="83"/>
      <c r="AH62" s="49">
        <v>8</v>
      </c>
      <c r="AI62" s="45">
        <f t="shared" si="5"/>
        <v>21370.431343013435</v>
      </c>
      <c r="AJ62" s="45">
        <f t="shared" si="9"/>
        <v>34.726950932396825</v>
      </c>
      <c r="AK62" s="45">
        <f t="shared" si="7"/>
        <v>1240.8217041281048</v>
      </c>
      <c r="AL62" s="45">
        <f t="shared" si="8"/>
        <v>1275.5486550605017</v>
      </c>
      <c r="AM62" s="51">
        <f t="shared" si="6"/>
        <v>20129.609638885329</v>
      </c>
      <c r="AO62" s="49">
        <v>8</v>
      </c>
      <c r="AP62" s="81"/>
      <c r="AQ62" s="45">
        <f t="shared" si="10"/>
        <v>1472.7272727272727</v>
      </c>
      <c r="AR62" s="51"/>
    </row>
    <row r="63" spans="21:50">
      <c r="U63" s="4"/>
      <c r="X63" s="6">
        <v>2</v>
      </c>
      <c r="Y63" s="6">
        <f>ISPMT($W$57,X63,$W$58,$W$59)</f>
        <v>-150</v>
      </c>
      <c r="Z63" s="3"/>
      <c r="AH63" s="49">
        <v>9</v>
      </c>
      <c r="AI63" s="45">
        <f t="shared" si="5"/>
        <v>20129.609638885329</v>
      </c>
      <c r="AJ63" s="45">
        <f t="shared" si="9"/>
        <v>32.710615663188662</v>
      </c>
      <c r="AK63" s="45">
        <f t="shared" si="7"/>
        <v>1242.8380393973132</v>
      </c>
      <c r="AL63" s="45">
        <f t="shared" si="8"/>
        <v>1275.5486550605017</v>
      </c>
      <c r="AM63" s="51">
        <f t="shared" si="6"/>
        <v>18886.771599488016</v>
      </c>
      <c r="AO63" s="49">
        <v>9</v>
      </c>
      <c r="AP63" s="81"/>
      <c r="AQ63" s="45">
        <f t="shared" si="10"/>
        <v>981.81818181818187</v>
      </c>
      <c r="AR63" s="51"/>
    </row>
    <row r="64" spans="21:50">
      <c r="U64" s="4"/>
      <c r="X64" s="6">
        <v>3</v>
      </c>
      <c r="Y64" s="6">
        <f>ISPMT($W$57,X64,$W$58,$W$59)</f>
        <v>-75</v>
      </c>
      <c r="Z64" s="3"/>
      <c r="AH64" s="49">
        <v>10</v>
      </c>
      <c r="AI64" s="45">
        <f t="shared" si="5"/>
        <v>18886.771599488016</v>
      </c>
      <c r="AJ64" s="45">
        <f t="shared" si="9"/>
        <v>30.69100384916803</v>
      </c>
      <c r="AK64" s="45">
        <f t="shared" si="7"/>
        <v>1244.8576512113336</v>
      </c>
      <c r="AL64" s="45">
        <f t="shared" si="8"/>
        <v>1275.5486550605017</v>
      </c>
      <c r="AM64" s="51">
        <f t="shared" si="6"/>
        <v>17641.913948276684</v>
      </c>
      <c r="AO64" s="49">
        <v>10</v>
      </c>
      <c r="AP64" s="81"/>
      <c r="AQ64" s="45">
        <f t="shared" si="10"/>
        <v>490.90909090909093</v>
      </c>
      <c r="AR64" s="51"/>
    </row>
    <row r="65" spans="21:44">
      <c r="U65" s="4"/>
      <c r="X65" s="6">
        <v>4</v>
      </c>
      <c r="Y65" s="6">
        <f>ISPMT($W$57,X65,$W$58,$W$59)</f>
        <v>0</v>
      </c>
      <c r="Z65" s="3"/>
      <c r="AH65" s="49">
        <v>11</v>
      </c>
      <c r="AI65" s="45">
        <f t="shared" si="5"/>
        <v>17641.913948276684</v>
      </c>
      <c r="AJ65" s="45">
        <f t="shared" si="9"/>
        <v>28.66811016594961</v>
      </c>
      <c r="AK65" s="45">
        <f t="shared" si="7"/>
        <v>1246.880544894552</v>
      </c>
      <c r="AL65" s="45">
        <f t="shared" si="8"/>
        <v>1275.5486550605017</v>
      </c>
      <c r="AM65" s="51">
        <f t="shared" si="6"/>
        <v>16395.033403382131</v>
      </c>
      <c r="AO65" s="52">
        <v>11</v>
      </c>
      <c r="AP65" s="81"/>
      <c r="AQ65" s="53" t="e">
        <f t="shared" si="10"/>
        <v>#NUM!</v>
      </c>
      <c r="AR65" s="51"/>
    </row>
    <row r="66" spans="21:44">
      <c r="U66" s="12"/>
      <c r="V66" s="13"/>
      <c r="W66" s="13"/>
      <c r="X66" s="13"/>
      <c r="Y66" s="13"/>
      <c r="Z66" s="14"/>
      <c r="AH66" s="52">
        <v>12</v>
      </c>
      <c r="AI66" s="45">
        <f t="shared" si="5"/>
        <v>16395.033403382131</v>
      </c>
      <c r="AJ66" s="45">
        <f t="shared" si="9"/>
        <v>26.641929280495962</v>
      </c>
      <c r="AK66" s="45">
        <f t="shared" si="7"/>
        <v>1248.9067257800057</v>
      </c>
      <c r="AL66" s="45">
        <f t="shared" si="8"/>
        <v>1275.5486550605017</v>
      </c>
      <c r="AM66" s="51">
        <f t="shared" si="6"/>
        <v>15146.126677602126</v>
      </c>
      <c r="AO66" s="42"/>
      <c r="AP66" s="20"/>
      <c r="AQ66" s="20"/>
      <c r="AR66" s="20"/>
    </row>
    <row r="67" spans="21:44">
      <c r="AH67" s="49">
        <v>13</v>
      </c>
      <c r="AI67" s="45">
        <f t="shared" si="5"/>
        <v>15146.126677602126</v>
      </c>
      <c r="AJ67" s="45">
        <f t="shared" si="9"/>
        <v>24.612455851103451</v>
      </c>
      <c r="AK67" s="45">
        <f t="shared" si="7"/>
        <v>1250.9361992093982</v>
      </c>
      <c r="AL67" s="45">
        <f t="shared" si="8"/>
        <v>1275.5486550605017</v>
      </c>
      <c r="AM67" s="51">
        <f t="shared" si="6"/>
        <v>13895.190478392728</v>
      </c>
      <c r="AO67" s="42"/>
      <c r="AP67" s="20"/>
      <c r="AQ67" s="20"/>
      <c r="AR67" s="20"/>
    </row>
    <row r="68" spans="21:44">
      <c r="AH68" s="49">
        <v>14</v>
      </c>
      <c r="AI68" s="45">
        <f t="shared" si="5"/>
        <v>13895.190478392728</v>
      </c>
      <c r="AJ68" s="45">
        <f>IPMT($AI$50,AH68,$AI$49,-$AM$54)</f>
        <v>22.579684527388185</v>
      </c>
      <c r="AK68" s="45">
        <f t="shared" si="7"/>
        <v>1252.9689705331134</v>
      </c>
      <c r="AL68" s="45">
        <f t="shared" si="8"/>
        <v>1275.5486550605017</v>
      </c>
      <c r="AM68" s="51">
        <f t="shared" si="6"/>
        <v>12642.221507859615</v>
      </c>
      <c r="AO68" s="42"/>
      <c r="AP68" s="20"/>
      <c r="AQ68" s="20"/>
      <c r="AR68" s="20"/>
    </row>
    <row r="69" spans="21:44">
      <c r="AH69" s="49">
        <v>15</v>
      </c>
      <c r="AI69" s="45">
        <f t="shared" si="5"/>
        <v>12642.221507859615</v>
      </c>
      <c r="AJ69" s="45">
        <f t="shared" si="9"/>
        <v>20.543609950271872</v>
      </c>
      <c r="AK69" s="45">
        <f t="shared" si="7"/>
        <v>1255.0050451102297</v>
      </c>
      <c r="AL69" s="45">
        <f t="shared" si="8"/>
        <v>1275.5486550605017</v>
      </c>
      <c r="AM69" s="51">
        <f t="shared" si="6"/>
        <v>11387.216462749384</v>
      </c>
      <c r="AO69" s="42"/>
      <c r="AP69" s="20"/>
      <c r="AQ69" s="20"/>
      <c r="AR69" s="20"/>
    </row>
    <row r="70" spans="21:44">
      <c r="AH70" s="49">
        <v>16</v>
      </c>
      <c r="AI70" s="45">
        <f t="shared" si="5"/>
        <v>11387.216462749384</v>
      </c>
      <c r="AJ70" s="45">
        <f t="shared" si="9"/>
        <v>18.504226751967749</v>
      </c>
      <c r="AK70" s="45">
        <f t="shared" si="7"/>
        <v>1257.044428308534</v>
      </c>
      <c r="AL70" s="45">
        <f t="shared" si="8"/>
        <v>1275.5486550605017</v>
      </c>
      <c r="AM70" s="51">
        <f t="shared" si="6"/>
        <v>10130.17203444085</v>
      </c>
      <c r="AO70" s="42"/>
      <c r="AP70" s="20"/>
      <c r="AQ70" s="20"/>
      <c r="AR70" s="20"/>
    </row>
    <row r="71" spans="21:44">
      <c r="AH71" s="49">
        <v>17</v>
      </c>
      <c r="AI71" s="45">
        <f t="shared" si="5"/>
        <v>10130.17203444085</v>
      </c>
      <c r="AJ71" s="45">
        <f t="shared" si="9"/>
        <v>16.461529555966379</v>
      </c>
      <c r="AK71" s="45">
        <f t="shared" si="7"/>
        <v>1259.0871255045352</v>
      </c>
      <c r="AL71" s="45">
        <f t="shared" si="8"/>
        <v>1275.5486550605017</v>
      </c>
      <c r="AM71" s="51">
        <f t="shared" si="6"/>
        <v>8871.0849089363146</v>
      </c>
      <c r="AO71" s="76" t="s">
        <v>153</v>
      </c>
      <c r="AP71" s="76"/>
      <c r="AQ71" s="76"/>
      <c r="AR71" s="76"/>
    </row>
    <row r="72" spans="21:44">
      <c r="AH72" s="49">
        <v>18</v>
      </c>
      <c r="AI72" s="45">
        <f t="shared" si="5"/>
        <v>8871.0849089363146</v>
      </c>
      <c r="AJ72" s="45">
        <f t="shared" si="9"/>
        <v>14.415512977021514</v>
      </c>
      <c r="AK72" s="45">
        <f t="shared" si="7"/>
        <v>1261.1331420834802</v>
      </c>
      <c r="AL72" s="45">
        <f t="shared" si="8"/>
        <v>1275.5486550605017</v>
      </c>
      <c r="AM72" s="51">
        <f t="shared" si="6"/>
        <v>7609.9517668528342</v>
      </c>
      <c r="AO72" s="54"/>
      <c r="AP72" s="55"/>
      <c r="AQ72" s="55"/>
      <c r="AR72" s="56"/>
    </row>
    <row r="73" spans="21:44">
      <c r="AH73" s="49">
        <v>19</v>
      </c>
      <c r="AI73" s="45">
        <f t="shared" si="5"/>
        <v>7609.9517668528342</v>
      </c>
      <c r="AJ73" s="45">
        <f t="shared" si="9"/>
        <v>12.366171621135857</v>
      </c>
      <c r="AK73" s="45">
        <f t="shared" si="7"/>
        <v>1263.1824834393658</v>
      </c>
      <c r="AL73" s="45">
        <f t="shared" si="8"/>
        <v>1275.5486550605017</v>
      </c>
      <c r="AM73" s="51">
        <f t="shared" si="6"/>
        <v>6346.7692834134687</v>
      </c>
      <c r="AO73" s="57" t="s">
        <v>145</v>
      </c>
      <c r="AP73" s="58">
        <v>24</v>
      </c>
      <c r="AQ73" s="59"/>
      <c r="AR73" s="60"/>
    </row>
    <row r="74" spans="21:44">
      <c r="AH74" s="49">
        <v>20</v>
      </c>
      <c r="AI74" s="45">
        <f t="shared" si="5"/>
        <v>6346.7692834134687</v>
      </c>
      <c r="AJ74" s="45">
        <f t="shared" si="9"/>
        <v>10.313500085546888</v>
      </c>
      <c r="AK74" s="45">
        <f t="shared" si="7"/>
        <v>1265.2351549749549</v>
      </c>
      <c r="AL74" s="45">
        <f t="shared" si="8"/>
        <v>1275.5486550605017</v>
      </c>
      <c r="AM74" s="51">
        <f t="shared" si="6"/>
        <v>5081.534128438514</v>
      </c>
      <c r="AO74" s="57" t="s">
        <v>14</v>
      </c>
      <c r="AP74" s="64">
        <v>200</v>
      </c>
      <c r="AQ74" s="59"/>
      <c r="AR74" s="60"/>
    </row>
    <row r="75" spans="21:44">
      <c r="AH75" s="49">
        <v>21</v>
      </c>
      <c r="AI75" s="45">
        <f t="shared" si="5"/>
        <v>5081.534128438514</v>
      </c>
      <c r="AJ75" s="45">
        <f t="shared" si="9"/>
        <v>8.2574929587125858</v>
      </c>
      <c r="AK75" s="45">
        <f t="shared" si="7"/>
        <v>1267.291162101789</v>
      </c>
      <c r="AL75" s="45">
        <f t="shared" si="8"/>
        <v>1275.5486550605017</v>
      </c>
      <c r="AM75" s="51">
        <f t="shared" si="6"/>
        <v>3814.2429663367247</v>
      </c>
      <c r="AO75" s="57" t="s">
        <v>154</v>
      </c>
      <c r="AP75" s="64">
        <v>20000</v>
      </c>
      <c r="AQ75" s="59"/>
      <c r="AR75" s="60"/>
    </row>
    <row r="76" spans="21:44">
      <c r="AH76" s="49">
        <v>22</v>
      </c>
      <c r="AI76" s="45">
        <f t="shared" si="5"/>
        <v>3814.2429663367247</v>
      </c>
      <c r="AJ76" s="45">
        <f t="shared" si="9"/>
        <v>6.1981448202971787</v>
      </c>
      <c r="AK76" s="45">
        <f t="shared" si="7"/>
        <v>1269.3505102402044</v>
      </c>
      <c r="AL76" s="45">
        <f t="shared" si="8"/>
        <v>1275.5486550605017</v>
      </c>
      <c r="AM76" s="51">
        <f t="shared" si="6"/>
        <v>2544.8924560965206</v>
      </c>
      <c r="AO76" s="57"/>
      <c r="AP76" s="59"/>
      <c r="AQ76" s="59"/>
      <c r="AR76" s="60"/>
    </row>
    <row r="77" spans="21:44">
      <c r="AH77" s="49">
        <v>23</v>
      </c>
      <c r="AI77" s="45">
        <f t="shared" si="5"/>
        <v>2544.8924560965206</v>
      </c>
      <c r="AJ77" s="45">
        <f t="shared" si="9"/>
        <v>4.1354502411568461</v>
      </c>
      <c r="AK77" s="45">
        <f t="shared" si="7"/>
        <v>1271.4132048193446</v>
      </c>
      <c r="AL77" s="45">
        <f t="shared" si="8"/>
        <v>1275.5486550605017</v>
      </c>
      <c r="AM77" s="51">
        <f t="shared" si="6"/>
        <v>1273.479251277176</v>
      </c>
      <c r="AO77" s="57"/>
      <c r="AP77" s="59"/>
      <c r="AQ77" s="59"/>
      <c r="AR77" s="60"/>
    </row>
    <row r="78" spans="21:44">
      <c r="AH78" s="49">
        <v>24</v>
      </c>
      <c r="AI78" s="45">
        <f t="shared" si="5"/>
        <v>1273.479251277176</v>
      </c>
      <c r="AJ78" s="45">
        <f t="shared" si="9"/>
        <v>2.0694037833254115</v>
      </c>
      <c r="AK78" s="45">
        <f t="shared" si="7"/>
        <v>1273.4792512771762</v>
      </c>
      <c r="AL78" s="45">
        <f t="shared" si="8"/>
        <v>1275.5486550605017</v>
      </c>
      <c r="AM78" s="51">
        <f t="shared" si="6"/>
        <v>0</v>
      </c>
      <c r="AO78" s="57" t="s">
        <v>6</v>
      </c>
      <c r="AP78" s="65">
        <f>-RATE(AP73,AP74,-AP75)</f>
        <v>9.2367917101386629E-2</v>
      </c>
      <c r="AQ78" s="59" t="s">
        <v>155</v>
      </c>
      <c r="AR78" s="60"/>
    </row>
    <row r="79" spans="21:44">
      <c r="AO79" s="12"/>
      <c r="AP79" s="66">
        <f>AP78*12</f>
        <v>1.1084150052166395</v>
      </c>
      <c r="AQ79" s="23" t="s">
        <v>156</v>
      </c>
      <c r="AR79" s="61"/>
    </row>
    <row r="86" spans="36:36">
      <c r="AJ86" t="s">
        <v>80</v>
      </c>
    </row>
  </sheetData>
  <mergeCells count="46">
    <mergeCell ref="AT1:AX1"/>
    <mergeCell ref="AH3:AO3"/>
    <mergeCell ref="BA3:BC3"/>
    <mergeCell ref="BF3:BH3"/>
    <mergeCell ref="BJ3:BL3"/>
    <mergeCell ref="B5:H5"/>
    <mergeCell ref="J5:R5"/>
    <mergeCell ref="U5:AB5"/>
    <mergeCell ref="AJ6:AN6"/>
    <mergeCell ref="AJ7:AO8"/>
    <mergeCell ref="AT7:AW7"/>
    <mergeCell ref="V13:X13"/>
    <mergeCell ref="B16:F16"/>
    <mergeCell ref="AN16:AQ16"/>
    <mergeCell ref="AH17:AK17"/>
    <mergeCell ref="L21:R21"/>
    <mergeCell ref="L22:Q22"/>
    <mergeCell ref="B26:I26"/>
    <mergeCell ref="C27:F27"/>
    <mergeCell ref="AH27:AK27"/>
    <mergeCell ref="D28:G28"/>
    <mergeCell ref="AT28:AU28"/>
    <mergeCell ref="D29:G29"/>
    <mergeCell ref="AT29:AU29"/>
    <mergeCell ref="AT30:AU30"/>
    <mergeCell ref="D31:H31"/>
    <mergeCell ref="B34:I34"/>
    <mergeCell ref="B35:I35"/>
    <mergeCell ref="AT39:AX39"/>
    <mergeCell ref="D43:F43"/>
    <mergeCell ref="U44:AD44"/>
    <mergeCell ref="AH45:AN45"/>
    <mergeCell ref="U46:V46"/>
    <mergeCell ref="AO46:AR46"/>
    <mergeCell ref="AT46:AW46"/>
    <mergeCell ref="AO71:AR71"/>
    <mergeCell ref="U47:V47"/>
    <mergeCell ref="X47:AD47"/>
    <mergeCell ref="AV48:AW48"/>
    <mergeCell ref="U51:V51"/>
    <mergeCell ref="AP54:AP65"/>
    <mergeCell ref="U56:Z56"/>
    <mergeCell ref="U57:V57"/>
    <mergeCell ref="U58:V58"/>
    <mergeCell ref="U59:V59"/>
    <mergeCell ref="Z62:AC6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zoomScaleNormal="100" workbookViewId="0">
      <selection activeCell="D32" sqref="D32"/>
    </sheetView>
  </sheetViews>
  <sheetFormatPr baseColWidth="10" defaultColWidth="9.140625" defaultRowHeight="15"/>
  <cols>
    <col min="1" max="1" width="16.5703125" bestFit="1" customWidth="1"/>
    <col min="2" max="2" width="17.5703125" bestFit="1" customWidth="1"/>
    <col min="3" max="1025" width="8.5703125"/>
  </cols>
  <sheetData>
    <row r="1" spans="1:2">
      <c r="A1" s="97">
        <v>1</v>
      </c>
      <c r="B1" s="98"/>
    </row>
    <row r="2" spans="1:2">
      <c r="A2" s="69" t="s">
        <v>17</v>
      </c>
      <c r="B2" s="70">
        <v>1000</v>
      </c>
    </row>
    <row r="3" spans="1:2">
      <c r="A3" s="69" t="s">
        <v>159</v>
      </c>
      <c r="B3" s="70">
        <v>9</v>
      </c>
    </row>
    <row r="4" spans="1:2">
      <c r="A4" s="69" t="s">
        <v>160</v>
      </c>
      <c r="B4" s="71">
        <v>0.22</v>
      </c>
    </row>
    <row r="5" spans="1:2">
      <c r="A5" s="69" t="s">
        <v>125</v>
      </c>
      <c r="B5" s="72">
        <f>B4/12</f>
        <v>1.8333333333333333E-2</v>
      </c>
    </row>
    <row r="6" spans="1:2" ht="15.75" thickBot="1">
      <c r="A6" s="73" t="s">
        <v>161</v>
      </c>
      <c r="B6" s="74">
        <f>FV(B5,B3,-B2)</f>
        <v>9689.0241596536216</v>
      </c>
    </row>
    <row r="7" spans="1:2">
      <c r="A7" s="97">
        <v>2</v>
      </c>
      <c r="B7" s="98"/>
    </row>
    <row r="8" spans="1:2">
      <c r="A8" s="69" t="s">
        <v>17</v>
      </c>
      <c r="B8" s="70">
        <v>100000</v>
      </c>
    </row>
    <row r="9" spans="1:2">
      <c r="A9" s="69" t="s">
        <v>159</v>
      </c>
      <c r="B9" s="70">
        <v>6</v>
      </c>
    </row>
    <row r="10" spans="1:2">
      <c r="A10" s="69" t="s">
        <v>160</v>
      </c>
      <c r="B10" s="71">
        <v>0.24</v>
      </c>
    </row>
    <row r="11" spans="1:2">
      <c r="A11" s="69" t="s">
        <v>162</v>
      </c>
      <c r="B11" s="99">
        <f>B10/4</f>
        <v>0.06</v>
      </c>
    </row>
    <row r="12" spans="1:2" ht="15.75" thickBot="1">
      <c r="A12" s="69" t="s">
        <v>163</v>
      </c>
      <c r="B12" s="100">
        <f>FV(B11,B9,-B8)</f>
        <v>697531.8537600009</v>
      </c>
    </row>
    <row r="13" spans="1:2">
      <c r="A13" s="107">
        <v>3</v>
      </c>
      <c r="B13" s="108"/>
    </row>
    <row r="14" spans="1:2">
      <c r="A14" s="75" t="s">
        <v>164</v>
      </c>
      <c r="B14" s="70">
        <v>40000</v>
      </c>
    </row>
    <row r="15" spans="1:2">
      <c r="A15" s="75" t="s">
        <v>165</v>
      </c>
      <c r="B15" s="70">
        <v>6</v>
      </c>
    </row>
    <row r="16" spans="1:2">
      <c r="A16" s="75" t="s">
        <v>167</v>
      </c>
      <c r="B16" s="99">
        <v>0.36</v>
      </c>
    </row>
    <row r="17" spans="1:2">
      <c r="A17" s="75" t="s">
        <v>168</v>
      </c>
      <c r="B17" s="109">
        <f>B16/4</f>
        <v>0.09</v>
      </c>
    </row>
    <row r="18" spans="1:2" ht="15.75" thickBot="1">
      <c r="A18" s="110" t="s">
        <v>169</v>
      </c>
      <c r="B18" s="111">
        <f>FV(B17,B15,-B14)</f>
        <v>300933.38259600027</v>
      </c>
    </row>
    <row r="19" spans="1:2">
      <c r="A19" s="101">
        <v>4</v>
      </c>
      <c r="B19" s="102"/>
    </row>
    <row r="20" spans="1:2">
      <c r="A20" s="103" t="s">
        <v>164</v>
      </c>
      <c r="B20" s="70">
        <v>2000</v>
      </c>
    </row>
    <row r="21" spans="1:2">
      <c r="A21" s="103" t="s">
        <v>170</v>
      </c>
      <c r="B21" s="70">
        <v>1</v>
      </c>
    </row>
    <row r="22" spans="1:2">
      <c r="A22" s="103" t="s">
        <v>172</v>
      </c>
      <c r="B22" s="71">
        <v>0.48</v>
      </c>
    </row>
    <row r="23" spans="1:2">
      <c r="A23" s="103" t="s">
        <v>176</v>
      </c>
      <c r="B23" s="71">
        <f>B22/6</f>
        <v>0.08</v>
      </c>
    </row>
    <row r="24" spans="1:2">
      <c r="A24" s="103" t="s">
        <v>177</v>
      </c>
      <c r="B24" s="104">
        <v>6</v>
      </c>
    </row>
    <row r="25" spans="1:2" ht="15.75" thickBot="1">
      <c r="A25" s="105" t="s">
        <v>175</v>
      </c>
      <c r="B25" s="106">
        <f>IPMT(B23,B21,B24,-B20)</f>
        <v>160</v>
      </c>
    </row>
    <row r="26" spans="1:2">
      <c r="A26" s="112">
        <v>5</v>
      </c>
      <c r="B26" s="113"/>
    </row>
    <row r="27" spans="1:2">
      <c r="A27" s="69" t="s">
        <v>173</v>
      </c>
      <c r="B27" s="70">
        <v>20000</v>
      </c>
    </row>
    <row r="28" spans="1:2">
      <c r="A28" s="69" t="s">
        <v>178</v>
      </c>
      <c r="B28" s="109">
        <f>B29/2</f>
        <v>0.15</v>
      </c>
    </row>
    <row r="29" spans="1:2">
      <c r="A29" s="69" t="s">
        <v>179</v>
      </c>
      <c r="B29" s="71">
        <f>30%</f>
        <v>0.3</v>
      </c>
    </row>
    <row r="30" spans="1:2">
      <c r="A30" s="69" t="s">
        <v>134</v>
      </c>
      <c r="B30" s="114">
        <v>5</v>
      </c>
    </row>
    <row r="31" spans="1:2" ht="15.75" thickBot="1">
      <c r="A31" s="73" t="s">
        <v>180</v>
      </c>
      <c r="B31" s="115">
        <f>FV(B28,B30,-B27)</f>
        <v>134847.62499999991</v>
      </c>
    </row>
    <row r="32" spans="1:2">
      <c r="A32" s="112">
        <v>6</v>
      </c>
      <c r="B32" s="113"/>
    </row>
    <row r="33" spans="1:2">
      <c r="A33" s="69" t="s">
        <v>174</v>
      </c>
      <c r="B33" s="70">
        <v>40000</v>
      </c>
    </row>
    <row r="34" spans="1:2">
      <c r="A34" s="69" t="s">
        <v>170</v>
      </c>
      <c r="B34" s="70">
        <v>10</v>
      </c>
    </row>
    <row r="35" spans="1:2">
      <c r="A35" s="69" t="s">
        <v>166</v>
      </c>
      <c r="B35" s="71">
        <v>0.24</v>
      </c>
    </row>
    <row r="36" spans="1:2">
      <c r="A36" s="69" t="s">
        <v>171</v>
      </c>
      <c r="B36" s="109">
        <f>B35/12</f>
        <v>0.02</v>
      </c>
    </row>
    <row r="37" spans="1:2" ht="15.75" thickBot="1">
      <c r="A37" s="73" t="s">
        <v>175</v>
      </c>
      <c r="B37" s="115">
        <f>FV(B36,B34,-B33)</f>
        <v>437988.83998951415</v>
      </c>
    </row>
  </sheetData>
  <mergeCells count="3">
    <mergeCell ref="A1:B1"/>
    <mergeCell ref="A7:B7"/>
    <mergeCell ref="A13:B13"/>
  </mergeCells>
  <pageMargins left="0.7" right="0.7" top="0.75" bottom="0.75" header="0.51180555555555496" footer="0.51180555555555496"/>
  <pageSetup paperSize="0" firstPageNumber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UsuarioPc03</cp:lastModifiedBy>
  <cp:revision>0</cp:revision>
  <dcterms:created xsi:type="dcterms:W3CDTF">2006-09-16T00:00:00Z</dcterms:created>
  <dcterms:modified xsi:type="dcterms:W3CDTF">2015-06-12T05:23:57Z</dcterms:modified>
  <dc:language>es-EC</dc:language>
</cp:coreProperties>
</file>