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C5" i="1"/>
  <c r="N17" i="1"/>
  <c r="N16" i="1"/>
  <c r="N15" i="1"/>
  <c r="N14" i="1"/>
  <c r="N13" i="1"/>
  <c r="Q17" i="1"/>
  <c r="Q16" i="1"/>
  <c r="Q15" i="1"/>
  <c r="Q14" i="1"/>
  <c r="Q13" i="1"/>
  <c r="O8" i="1"/>
  <c r="N8" i="1"/>
  <c r="O7" i="1"/>
  <c r="N7" i="1"/>
  <c r="N12" i="1"/>
  <c r="N11" i="1"/>
  <c r="N10" i="1"/>
  <c r="Q12" i="1"/>
  <c r="Q11" i="1"/>
  <c r="Q10" i="1"/>
  <c r="Q9" i="1"/>
  <c r="Q8" i="1"/>
  <c r="Q7" i="1"/>
  <c r="Q6" i="1"/>
  <c r="Q5" i="1"/>
  <c r="Q4" i="1"/>
  <c r="Q3" i="1"/>
  <c r="Q2" i="1"/>
  <c r="C3" i="1"/>
  <c r="C2" i="1"/>
  <c r="C4" i="1" l="1"/>
  <c r="N6" i="1"/>
  <c r="N5" i="1"/>
  <c r="N3" i="1"/>
  <c r="N18" i="1"/>
  <c r="B9" i="1" l="1"/>
  <c r="H8" i="1" s="1"/>
  <c r="B6" i="1"/>
  <c r="C6" i="1" s="1"/>
  <c r="B7" i="1"/>
  <c r="C7" i="1" s="1"/>
  <c r="N4" i="1"/>
  <c r="N2" i="1"/>
  <c r="H10" i="1" l="1"/>
  <c r="H11" i="1" s="1"/>
  <c r="B14" i="1"/>
  <c r="B13" i="1"/>
  <c r="B15" i="1" l="1"/>
  <c r="B18" i="1" s="1"/>
  <c r="B19" i="1" l="1"/>
  <c r="B16" i="1"/>
  <c r="B20" i="1" l="1"/>
  <c r="B21" i="1" s="1"/>
  <c r="B10" i="1" l="1"/>
  <c r="B11" i="1" s="1"/>
</calcChain>
</file>

<file path=xl/sharedStrings.xml><?xml version="1.0" encoding="utf-8"?>
<sst xmlns="http://schemas.openxmlformats.org/spreadsheetml/2006/main" count="66" uniqueCount="55">
  <si>
    <t>Kerbin</t>
  </si>
  <si>
    <t>Eve</t>
  </si>
  <si>
    <t>Moho</t>
  </si>
  <si>
    <t>Duna</t>
  </si>
  <si>
    <t>Jool</t>
  </si>
  <si>
    <t>Dres</t>
  </si>
  <si>
    <t>Eeloo</t>
  </si>
  <si>
    <t>Inputs</t>
  </si>
  <si>
    <t>Values</t>
  </si>
  <si>
    <t>Kerbol</t>
  </si>
  <si>
    <t>Planet/Body</t>
  </si>
  <si>
    <t>Grav. Param</t>
  </si>
  <si>
    <t>Inputs (mess with these)</t>
  </si>
  <si>
    <t>Outputs (don't mess with these)</t>
  </si>
  <si>
    <t>Phase Angle:</t>
  </si>
  <si>
    <t>Time taken:</t>
  </si>
  <si>
    <t>Degrees Travelled:</t>
  </si>
  <si>
    <t>Ejection Velocity:</t>
  </si>
  <si>
    <t>Parent Body Grav. Parameter:</t>
  </si>
  <si>
    <t>m</t>
  </si>
  <si>
    <t>Units</t>
  </si>
  <si>
    <t>Bolded Outputs are Important</t>
  </si>
  <si>
    <t>m/s</t>
  </si>
  <si>
    <t>s</t>
  </si>
  <si>
    <t>deg.</t>
  </si>
  <si>
    <t>Departure Planet Grav. Param.:</t>
  </si>
  <si>
    <t>SOI Radius:</t>
  </si>
  <si>
    <t>Departure Planet Orbital Radius:</t>
  </si>
  <si>
    <t>Arrival Planet Orbital Radius:</t>
  </si>
  <si>
    <t>SOI Radius</t>
  </si>
  <si>
    <t>SOI Exit Velocity</t>
  </si>
  <si>
    <t>Parking Orbit Altitude (in km):</t>
  </si>
  <si>
    <r>
      <t>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/s</t>
    </r>
    <r>
      <rPr>
        <vertAlign val="superscript"/>
        <sz val="11"/>
        <color theme="1"/>
        <rFont val="Arial"/>
        <family val="2"/>
      </rPr>
      <t>2</t>
    </r>
  </si>
  <si>
    <t>Initial Velocity:</t>
  </si>
  <si>
    <t>Specific Orbital Energy</t>
  </si>
  <si>
    <t>Angular Momentum:</t>
  </si>
  <si>
    <t>Delta-V Required:</t>
  </si>
  <si>
    <r>
      <t>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/s</t>
    </r>
    <r>
      <rPr>
        <vertAlign val="superscript"/>
        <sz val="11"/>
        <color theme="1"/>
        <rFont val="Arial"/>
        <family val="2"/>
      </rPr>
      <t>2</t>
    </r>
  </si>
  <si>
    <r>
      <t>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/s</t>
    </r>
  </si>
  <si>
    <t>Orbital Eccentricity:</t>
  </si>
  <si>
    <t>Ejection Angle:</t>
  </si>
  <si>
    <t>-</t>
  </si>
  <si>
    <t>Planet Radius</t>
  </si>
  <si>
    <t>Parent Body</t>
  </si>
  <si>
    <t>Mun</t>
  </si>
  <si>
    <t>Gilly</t>
  </si>
  <si>
    <t>Minmus</t>
  </si>
  <si>
    <t>Ike</t>
  </si>
  <si>
    <t>Orbital Semi-major axis</t>
  </si>
  <si>
    <t>Laythe</t>
  </si>
  <si>
    <t>Vall</t>
  </si>
  <si>
    <t>Tylo</t>
  </si>
  <si>
    <t>Bop</t>
  </si>
  <si>
    <t>Pol</t>
  </si>
  <si>
    <t>ERRORS LOOK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</si>
</sst>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2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4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C25" sqref="C25"/>
    </sheetView>
  </sheetViews>
  <sheetFormatPr defaultRowHeight="14.25" x14ac:dyDescent="0.2"/>
  <cols>
    <col min="1" max="1" width="30.25" style="31" bestFit="1" customWidth="1"/>
    <col min="2" max="2" width="29.875" bestFit="1" customWidth="1"/>
    <col min="3" max="3" width="25.5" customWidth="1"/>
    <col min="6" max="6" width="27.375" bestFit="1" customWidth="1"/>
    <col min="7" max="7" width="11.375" customWidth="1"/>
    <col min="8" max="11" width="9" hidden="1" customWidth="1"/>
    <col min="12" max="12" width="10.625" style="1" hidden="1" customWidth="1"/>
    <col min="13" max="13" width="20.25" style="1" hidden="1" customWidth="1"/>
    <col min="14" max="14" width="14.125" style="1" hidden="1" customWidth="1"/>
    <col min="15" max="15" width="10.875" hidden="1" customWidth="1"/>
    <col min="16" max="16" width="12.25" hidden="1" customWidth="1"/>
    <col min="17" max="17" width="10.875" hidden="1" customWidth="1"/>
  </cols>
  <sheetData>
    <row r="1" spans="1:18" ht="15" thickBot="1" x14ac:dyDescent="0.25">
      <c r="A1" s="25"/>
      <c r="B1" s="6" t="s">
        <v>7</v>
      </c>
      <c r="C1" s="7" t="s">
        <v>8</v>
      </c>
      <c r="D1" t="s">
        <v>20</v>
      </c>
      <c r="F1" s="3"/>
      <c r="L1" s="2" t="s">
        <v>10</v>
      </c>
      <c r="M1" s="2" t="s">
        <v>48</v>
      </c>
      <c r="N1" s="2" t="s">
        <v>11</v>
      </c>
      <c r="O1" s="11" t="s">
        <v>29</v>
      </c>
      <c r="P1" s="11" t="s">
        <v>42</v>
      </c>
      <c r="Q1" s="11" t="s">
        <v>43</v>
      </c>
      <c r="R1" s="12"/>
    </row>
    <row r="2" spans="1:18" ht="15" x14ac:dyDescent="0.25">
      <c r="A2" s="26" t="s">
        <v>27</v>
      </c>
      <c r="B2" s="4" t="s">
        <v>51</v>
      </c>
      <c r="C2" s="5">
        <f>VLOOKUP(B2,$L$2:$P$29,2,FALSE)</f>
        <v>68500000</v>
      </c>
      <c r="D2" t="s">
        <v>19</v>
      </c>
      <c r="F2" s="4" t="s">
        <v>12</v>
      </c>
      <c r="L2" s="1" t="s">
        <v>2</v>
      </c>
      <c r="M2" s="1">
        <v>5263138304</v>
      </c>
      <c r="N2" s="1">
        <f>1.6860938*10^11</f>
        <v>168609380000</v>
      </c>
      <c r="O2" s="1">
        <v>9646663</v>
      </c>
      <c r="P2" s="1">
        <v>250000</v>
      </c>
      <c r="Q2" s="1" t="str">
        <f>$L$18</f>
        <v>Kerbol</v>
      </c>
    </row>
    <row r="3" spans="1:18" ht="15.75" thickBot="1" x14ac:dyDescent="0.3">
      <c r="A3" s="26" t="s">
        <v>28</v>
      </c>
      <c r="B3" s="8" t="s">
        <v>52</v>
      </c>
      <c r="C3" s="5">
        <f>VLOOKUP(B3,$L$2:$P$29,2,FALSE)</f>
        <v>128500000</v>
      </c>
      <c r="D3" t="s">
        <v>19</v>
      </c>
      <c r="F3" s="22" t="s">
        <v>13</v>
      </c>
      <c r="L3" s="1" t="s">
        <v>1</v>
      </c>
      <c r="M3" s="1">
        <v>9832684544</v>
      </c>
      <c r="N3" s="1">
        <f>8.1717302*10^12</f>
        <v>8171730200000.001</v>
      </c>
      <c r="O3" s="1">
        <v>85109365</v>
      </c>
      <c r="P3" s="1">
        <v>700000</v>
      </c>
      <c r="Q3" s="1" t="str">
        <f>$L$18</f>
        <v>Kerbol</v>
      </c>
    </row>
    <row r="4" spans="1:18" ht="18" thickBot="1" x14ac:dyDescent="0.3">
      <c r="A4" s="27" t="s">
        <v>18</v>
      </c>
      <c r="B4" s="14" t="str">
        <f>IF(VLOOKUP(B2,$L$2:$Q$29,6,FALSE)=VLOOKUP(B3,$L$2:$Q$29,6,FALSE),VLOOKUP(B2,$L$2:$Q$29,6,FALSE),"ERR DIFFERENT PARENT BODY")</f>
        <v>Jool</v>
      </c>
      <c r="C4" s="5">
        <f>VLOOKUP(B4,$L$2:$P$29,3,FALSE)</f>
        <v>282528000000000</v>
      </c>
      <c r="D4" t="s">
        <v>32</v>
      </c>
      <c r="F4" s="23" t="s">
        <v>21</v>
      </c>
      <c r="L4" s="1" t="s">
        <v>0</v>
      </c>
      <c r="M4" s="1">
        <v>13599840256</v>
      </c>
      <c r="N4" s="1">
        <f>3.5316*10^12</f>
        <v>3531600000000</v>
      </c>
      <c r="O4" s="1">
        <v>84159286</v>
      </c>
      <c r="P4" s="1">
        <v>600000</v>
      </c>
      <c r="Q4" s="1" t="str">
        <f>$L$18</f>
        <v>Kerbol</v>
      </c>
    </row>
    <row r="5" spans="1:18" ht="15.75" thickBot="1" x14ac:dyDescent="0.3">
      <c r="A5" s="28" t="s">
        <v>31</v>
      </c>
      <c r="B5" s="13">
        <v>25</v>
      </c>
      <c r="C5" s="5">
        <f>IF(B5*1000+(VLOOKUP($B$2,$L$2:$P$27,5,FALSE))&gt;VLOOKUP($B$2,$L$2:$P$27,4,FALSE),"ERR ORBIT OUT OF SOI",$B$5*1000+VLOOKUP($B$2,$L$2:$P$27,5,FALSE))</f>
        <v>625000</v>
      </c>
      <c r="D5" t="s">
        <v>19</v>
      </c>
      <c r="F5" s="24" t="s">
        <v>54</v>
      </c>
      <c r="L5" s="1" t="s">
        <v>3</v>
      </c>
      <c r="M5" s="1">
        <v>20726155264</v>
      </c>
      <c r="N5" s="1">
        <f>3.0136321*10^11</f>
        <v>301363210000</v>
      </c>
      <c r="O5" s="1">
        <v>47921949</v>
      </c>
      <c r="P5" s="1">
        <v>320000</v>
      </c>
      <c r="Q5" s="1" t="str">
        <f>$L$18</f>
        <v>Kerbol</v>
      </c>
    </row>
    <row r="6" spans="1:18" ht="16.5" x14ac:dyDescent="0.2">
      <c r="A6" s="29" t="s">
        <v>25</v>
      </c>
      <c r="B6" s="9" t="str">
        <f>$B$2</f>
        <v>Tylo</v>
      </c>
      <c r="C6" s="5">
        <f>VLOOKUP(B6,$L$2:$P$29,3,FALSE)</f>
        <v>2825280000000</v>
      </c>
      <c r="D6" t="s">
        <v>32</v>
      </c>
      <c r="L6" s="1" t="s">
        <v>5</v>
      </c>
      <c r="M6" s="1">
        <v>40839348203</v>
      </c>
      <c r="N6" s="1">
        <f>2.1484489*10^10</f>
        <v>21484489000</v>
      </c>
      <c r="O6" s="1">
        <v>32832840</v>
      </c>
      <c r="P6" s="1">
        <v>138000</v>
      </c>
      <c r="Q6" s="1" t="str">
        <f>$L$18</f>
        <v>Kerbol</v>
      </c>
    </row>
    <row r="7" spans="1:18" ht="15" thickBot="1" x14ac:dyDescent="0.25">
      <c r="A7" s="30" t="s">
        <v>26</v>
      </c>
      <c r="B7" s="10" t="str">
        <f>$B$2</f>
        <v>Tylo</v>
      </c>
      <c r="C7" s="5">
        <f>VLOOKUP(B7,$L$2:$P$29,4,FALSE)</f>
        <v>10856518</v>
      </c>
      <c r="D7" t="s">
        <v>19</v>
      </c>
      <c r="L7" s="1" t="s">
        <v>4</v>
      </c>
      <c r="M7" s="1">
        <v>68773560320</v>
      </c>
      <c r="N7" s="1">
        <f>2.82528*10^14</f>
        <v>282528000000000</v>
      </c>
      <c r="O7" s="1">
        <f>2.4559852*10^9</f>
        <v>2455985200</v>
      </c>
      <c r="P7" s="1">
        <v>6000000</v>
      </c>
      <c r="Q7" s="1" t="str">
        <f>$L$18</f>
        <v>Kerbol</v>
      </c>
    </row>
    <row r="8" spans="1:18" ht="15" thickBot="1" x14ac:dyDescent="0.25">
      <c r="B8" s="1"/>
      <c r="H8">
        <f>SQRT($C$4/$C$3)*($B$9/$C$3)*180/3.1415927</f>
        <v>120.80145337210364</v>
      </c>
      <c r="L8" s="1" t="s">
        <v>6</v>
      </c>
      <c r="M8" s="1">
        <v>90118820000</v>
      </c>
      <c r="N8" s="1">
        <f>7.4410815*10^10</f>
        <v>74410815000</v>
      </c>
      <c r="O8" s="1">
        <f>1.1908294*10^8</f>
        <v>119082940</v>
      </c>
      <c r="P8" s="1">
        <v>210000</v>
      </c>
      <c r="Q8" s="1" t="str">
        <f>$L$18</f>
        <v>Kerbol</v>
      </c>
    </row>
    <row r="9" spans="1:18" x14ac:dyDescent="0.2">
      <c r="A9" s="32" t="s">
        <v>15</v>
      </c>
      <c r="B9" s="15">
        <f>(3.1415927)*SQRT(((C2+C3)^3)/(8*C4))</f>
        <v>182714.69499587276</v>
      </c>
      <c r="C9" t="s">
        <v>23</v>
      </c>
      <c r="L9" s="1" t="s">
        <v>45</v>
      </c>
      <c r="M9" s="1">
        <v>31500000</v>
      </c>
      <c r="N9" s="1">
        <v>8289449.7999999998</v>
      </c>
      <c r="O9" s="1">
        <v>126123.27</v>
      </c>
      <c r="P9" s="1">
        <v>13000</v>
      </c>
      <c r="Q9" s="1" t="str">
        <f>$L$3</f>
        <v>Eve</v>
      </c>
    </row>
    <row r="10" spans="1:18" x14ac:dyDescent="0.2">
      <c r="A10" s="32" t="s">
        <v>16</v>
      </c>
      <c r="B10" s="16">
        <f>IF($H$11&lt;0,$H$11+360,$H$11)</f>
        <v>120.80145337210364</v>
      </c>
      <c r="C10" t="s">
        <v>24</v>
      </c>
      <c r="H10">
        <f>ROUND(H8/360,0)</f>
        <v>0</v>
      </c>
      <c r="L10" s="1" t="s">
        <v>44</v>
      </c>
      <c r="M10" s="1">
        <v>12000000</v>
      </c>
      <c r="N10" s="1">
        <f>6.5138398*10^10</f>
        <v>65138398000.000008</v>
      </c>
      <c r="O10" s="1">
        <v>2429559.1</v>
      </c>
      <c r="P10" s="1">
        <v>200000</v>
      </c>
      <c r="Q10" s="1" t="str">
        <f>$L$4</f>
        <v>Kerbin</v>
      </c>
    </row>
    <row r="11" spans="1:18" ht="15.75" thickBot="1" x14ac:dyDescent="0.3">
      <c r="A11" s="33" t="s">
        <v>14</v>
      </c>
      <c r="B11" s="17">
        <f>IF($B$10&gt; 180, $B$10-180,180-$B$10)</f>
        <v>59.198546627896363</v>
      </c>
      <c r="C11" t="s">
        <v>24</v>
      </c>
      <c r="H11">
        <f>IF($H$8&gt;360,$H$8-360*$H$10,IF($H$8&lt;0,$H$8-360*$H$10,$H$8))</f>
        <v>120.80145337210364</v>
      </c>
      <c r="L11" s="1" t="s">
        <v>46</v>
      </c>
      <c r="M11" s="1">
        <v>47000000</v>
      </c>
      <c r="N11" s="1">
        <f>1.7658*10^9</f>
        <v>1765800000</v>
      </c>
      <c r="O11" s="1">
        <v>2247428.4</v>
      </c>
      <c r="P11" s="1">
        <v>60000</v>
      </c>
      <c r="Q11" s="1" t="str">
        <f>$L$4</f>
        <v>Kerbin</v>
      </c>
    </row>
    <row r="12" spans="1:18" ht="15" thickBot="1" x14ac:dyDescent="0.25">
      <c r="B12" s="1"/>
      <c r="L12" s="1" t="s">
        <v>47</v>
      </c>
      <c r="M12" s="1">
        <v>3200000</v>
      </c>
      <c r="N12" s="1">
        <f>1.8568369*10^10</f>
        <v>18568369000</v>
      </c>
      <c r="O12" s="1">
        <v>1049598.8999999999</v>
      </c>
      <c r="P12" s="1">
        <v>130000</v>
      </c>
      <c r="Q12" s="1" t="str">
        <f>$L$5</f>
        <v>Duna</v>
      </c>
    </row>
    <row r="13" spans="1:18" x14ac:dyDescent="0.2">
      <c r="A13" s="32" t="s">
        <v>30</v>
      </c>
      <c r="B13" s="18">
        <f>SQRT(C4/C2)*(SQRT((2*C3)/(C2+C3))-1)</f>
        <v>288.74542622983074</v>
      </c>
      <c r="C13" t="s">
        <v>22</v>
      </c>
      <c r="L13" s="1" t="s">
        <v>49</v>
      </c>
      <c r="M13" s="1">
        <v>27184000</v>
      </c>
      <c r="N13" s="1">
        <f>1.962*10^12</f>
        <v>1962000000000</v>
      </c>
      <c r="O13" s="1">
        <v>3723645.8</v>
      </c>
      <c r="P13" s="1">
        <v>500000</v>
      </c>
      <c r="Q13" s="1" t="str">
        <f>$L$7</f>
        <v>Jool</v>
      </c>
    </row>
    <row r="14" spans="1:18" x14ac:dyDescent="0.2">
      <c r="A14" s="32" t="s">
        <v>33</v>
      </c>
      <c r="B14" s="16">
        <f>SQRT(C6/C5)</f>
        <v>2126.1345206736096</v>
      </c>
      <c r="C14" t="s">
        <v>22</v>
      </c>
      <c r="L14" s="1" t="s">
        <v>50</v>
      </c>
      <c r="M14" s="1">
        <v>43152000</v>
      </c>
      <c r="N14" s="1">
        <f>2.074815*10^11</f>
        <v>207481500000</v>
      </c>
      <c r="O14" s="1">
        <v>2406401.4</v>
      </c>
      <c r="P14" s="1">
        <v>300000</v>
      </c>
      <c r="Q14" s="1" t="str">
        <f t="shared" ref="Q14:Q17" si="0">$L$7</f>
        <v>Jool</v>
      </c>
    </row>
    <row r="15" spans="1:18" x14ac:dyDescent="0.2">
      <c r="A15" s="32" t="s">
        <v>17</v>
      </c>
      <c r="B15" s="16">
        <f>SQRT(B13^2-2*C6/C7+2*C6/C5)</f>
        <v>2933.2224004667851</v>
      </c>
      <c r="C15" t="s">
        <v>22</v>
      </c>
      <c r="L15" s="1" t="s">
        <v>51</v>
      </c>
      <c r="M15" s="1">
        <v>68500000</v>
      </c>
      <c r="N15" s="1">
        <f>2.82528*10^12</f>
        <v>2825280000000</v>
      </c>
      <c r="O15" s="1">
        <v>10856518</v>
      </c>
      <c r="P15" s="1">
        <v>600000</v>
      </c>
      <c r="Q15" s="1" t="str">
        <f t="shared" si="0"/>
        <v>Jool</v>
      </c>
    </row>
    <row r="16" spans="1:18" ht="15.75" thickBot="1" x14ac:dyDescent="0.3">
      <c r="A16" s="33" t="s">
        <v>36</v>
      </c>
      <c r="B16" s="17">
        <f>IF(B13=0,"ERR SAME START/END BODY",B15-B14)</f>
        <v>807.08787979317549</v>
      </c>
      <c r="C16" t="s">
        <v>22</v>
      </c>
      <c r="L16" s="1" t="s">
        <v>52</v>
      </c>
      <c r="M16" s="1">
        <v>128500000</v>
      </c>
      <c r="N16" s="1">
        <f>2.4868349*10^9</f>
        <v>2486834900</v>
      </c>
      <c r="O16" s="1">
        <v>1221060.8999999999</v>
      </c>
      <c r="P16" s="1">
        <v>65000</v>
      </c>
      <c r="Q16" s="1" t="str">
        <f t="shared" si="0"/>
        <v>Jool</v>
      </c>
    </row>
    <row r="17" spans="1:17" ht="15" thickBot="1" x14ac:dyDescent="0.25">
      <c r="B17" s="1"/>
      <c r="L17" s="1" t="s">
        <v>53</v>
      </c>
      <c r="M17" s="1">
        <v>179890000</v>
      </c>
      <c r="N17" s="1">
        <f>7.2170208*10^8</f>
        <v>721702080</v>
      </c>
      <c r="O17" s="1">
        <v>1042138.9</v>
      </c>
      <c r="P17" s="1">
        <v>44000</v>
      </c>
      <c r="Q17" s="1" t="str">
        <f t="shared" si="0"/>
        <v>Jool</v>
      </c>
    </row>
    <row r="18" spans="1:17" ht="16.5" x14ac:dyDescent="0.2">
      <c r="A18" s="32" t="s">
        <v>34</v>
      </c>
      <c r="B18" s="15">
        <f>ABS((B15^2)/2-(ABS(C6)/C5))</f>
        <v>218551.17469993513</v>
      </c>
      <c r="C18" t="s">
        <v>37</v>
      </c>
      <c r="L18" s="1" t="s">
        <v>9</v>
      </c>
      <c r="N18" s="1">
        <f>1.1723328*10^18</f>
        <v>1.1723328E+18</v>
      </c>
      <c r="O18" s="1"/>
      <c r="P18" s="1"/>
      <c r="Q18" s="1"/>
    </row>
    <row r="19" spans="1:17" ht="16.5" x14ac:dyDescent="0.2">
      <c r="A19" s="32" t="s">
        <v>35</v>
      </c>
      <c r="B19" s="19">
        <f>C5*B15</f>
        <v>1833264000.2917407</v>
      </c>
      <c r="C19" t="s">
        <v>38</v>
      </c>
      <c r="O19" s="1"/>
      <c r="P19" s="1"/>
      <c r="Q19" s="1"/>
    </row>
    <row r="20" spans="1:17" x14ac:dyDescent="0.2">
      <c r="A20" s="32" t="s">
        <v>39</v>
      </c>
      <c r="B20" s="20">
        <f>SQRT(1+((2*B18*(B19^2))/(C6^2)))</f>
        <v>1.0881356210571209</v>
      </c>
      <c r="C20" t="s">
        <v>41</v>
      </c>
      <c r="O20" s="1"/>
      <c r="P20" s="1"/>
      <c r="Q20" s="1"/>
    </row>
    <row r="21" spans="1:17" ht="15.75" thickBot="1" x14ac:dyDescent="0.3">
      <c r="A21" s="33" t="s">
        <v>40</v>
      </c>
      <c r="B21" s="21">
        <f>180-(ACOS(1/B20)*57.2957795)</f>
        <v>156.78077316382584</v>
      </c>
      <c r="C21" t="s">
        <v>24</v>
      </c>
      <c r="O21" s="1"/>
      <c r="P21" s="1"/>
      <c r="Q21" s="1"/>
    </row>
    <row r="22" spans="1:17" x14ac:dyDescent="0.2">
      <c r="O22" s="1"/>
      <c r="P22" s="1"/>
      <c r="Q22" s="1"/>
    </row>
    <row r="23" spans="1:17" x14ac:dyDescent="0.2">
      <c r="O23" s="1"/>
      <c r="P23" s="1"/>
      <c r="Q23" s="1"/>
    </row>
    <row r="24" spans="1:17" x14ac:dyDescent="0.2">
      <c r="O24" s="1"/>
      <c r="P24" s="1"/>
      <c r="Q24" s="1"/>
    </row>
    <row r="25" spans="1:17" x14ac:dyDescent="0.2">
      <c r="O25" s="1"/>
      <c r="P25" s="1"/>
      <c r="Q25" s="1"/>
    </row>
    <row r="26" spans="1:17" x14ac:dyDescent="0.2">
      <c r="O26" s="1"/>
      <c r="P26" s="1"/>
      <c r="Q26" s="1"/>
    </row>
    <row r="27" spans="1:17" x14ac:dyDescent="0.2">
      <c r="O27" s="1"/>
      <c r="P27" s="1"/>
      <c r="Q27" s="1"/>
    </row>
    <row r="28" spans="1:17" x14ac:dyDescent="0.2">
      <c r="O28" s="1"/>
      <c r="P28" s="1"/>
      <c r="Q28" s="1"/>
    </row>
    <row r="29" spans="1:17" x14ac:dyDescent="0.2">
      <c r="O29" s="1"/>
      <c r="P29" s="1"/>
      <c r="Q29" s="1"/>
    </row>
  </sheetData>
  <conditionalFormatting sqref="C5">
    <cfRule type="expression" dxfId="3" priority="3">
      <formula>IF($C$5="ERR ORBIT OUT OF SOI",1,0)</formula>
    </cfRule>
  </conditionalFormatting>
  <conditionalFormatting sqref="B16">
    <cfRule type="expression" dxfId="2" priority="2">
      <formula>IF($B$16="ERR SAME START/END BODY",1,0)</formula>
    </cfRule>
  </conditionalFormatting>
  <conditionalFormatting sqref="B4">
    <cfRule type="expression" dxfId="1" priority="1">
      <formula>IF($B$4="ERR DIFFERENT PARENT BODY",1,0)</formula>
    </cfRule>
  </conditionalFormatting>
  <dataValidations count="1">
    <dataValidation type="list" allowBlank="1" showInputMessage="1" showErrorMessage="1" sqref="B2:B3">
      <formula1>$L$2:$L$18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Nabors Corporate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Agan, Robert</dc:creator>
  <cp:lastModifiedBy>Agan, Robert</cp:lastModifiedBy>
  <dcterms:created xsi:type="dcterms:W3CDTF">2015-02-12T15:31:23Z</dcterms:created>
  <dcterms:modified xsi:type="dcterms:W3CDTF">2015-02-12T20:14:16Z</dcterms:modified>
</cp:coreProperties>
</file>