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 Al-sherbaz\Documents\Fourth Year\Hydrogen project\Send to Francesca\"/>
    </mc:Choice>
  </mc:AlternateContent>
  <xr:revisionPtr revIDLastSave="0" documentId="13_ncr:1_{801F8595-559B-40FE-AF9D-7EC8B45228F7}" xr6:coauthVersionLast="45" xr6:coauthVersionMax="45" xr10:uidLastSave="{00000000-0000-0000-0000-000000000000}"/>
  <bookViews>
    <workbookView xWindow="-110" yWindow="-110" windowWidth="19420" windowHeight="11020" activeTab="2" xr2:uid="{D7D5E87D-6D13-4494-BD41-F28A7043EB2B}"/>
  </bookViews>
  <sheets>
    <sheet name="Conversion factors" sheetId="6" r:id="rId1"/>
    <sheet name="Production" sheetId="2" r:id="rId2"/>
    <sheet name="CO2" sheetId="7" r:id="rId3"/>
    <sheet name="Storage " sheetId="1" r:id="rId4"/>
    <sheet name="Transmission" sheetId="5" r:id="rId5"/>
    <sheet name="Capacity factors" sheetId="9" r:id="rId6"/>
    <sheet name="Operation Costs" sheetId="8" r:id="rId7"/>
  </sheets>
  <definedNames>
    <definedName name="_xlnm._FilterDatabase" localSheetId="3" hidden="1">'Storage '!$A$28:$N$47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D14" i="8"/>
  <c r="D144" i="2"/>
  <c r="F23" i="6" l="1"/>
  <c r="F12" i="6" l="1"/>
  <c r="E13" i="6" s="1"/>
  <c r="C123" i="2" l="1"/>
  <c r="D149" i="2" l="1"/>
  <c r="E149" i="2"/>
  <c r="F149" i="2"/>
  <c r="G149" i="2"/>
  <c r="H149" i="2"/>
  <c r="I149" i="2"/>
  <c r="D150" i="2"/>
  <c r="E150" i="2"/>
  <c r="F150" i="2"/>
  <c r="G150" i="2"/>
  <c r="H150" i="2"/>
  <c r="I150" i="2"/>
  <c r="C150" i="2"/>
  <c r="C149" i="2"/>
  <c r="E3" i="7"/>
  <c r="C131" i="2"/>
  <c r="C147" i="2" s="1"/>
  <c r="G21" i="1" l="1"/>
  <c r="G14" i="1"/>
  <c r="G15" i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2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J29" i="9"/>
  <c r="G28" i="9"/>
  <c r="C30" i="9" s="1"/>
  <c r="B3" i="8"/>
  <c r="N162" i="2"/>
  <c r="C119" i="2"/>
  <c r="B3" i="7"/>
  <c r="B19" i="6"/>
  <c r="B20" i="6" s="1"/>
  <c r="C70" i="1"/>
  <c r="D143" i="2"/>
  <c r="E143" i="2" s="1"/>
  <c r="F143" i="2" s="1"/>
  <c r="G143" i="2" s="1"/>
  <c r="H143" i="2" s="1"/>
  <c r="I143" i="2" s="1"/>
  <c r="C129" i="2"/>
  <c r="C128" i="2"/>
  <c r="I127" i="2"/>
  <c r="H127" i="2"/>
  <c r="G127" i="2"/>
  <c r="F127" i="2"/>
  <c r="E127" i="2"/>
  <c r="D127" i="2"/>
  <c r="D131" i="2" s="1"/>
  <c r="D147" i="2" s="1"/>
  <c r="C117" i="2"/>
  <c r="D117" i="2"/>
  <c r="E117" i="2"/>
  <c r="F117" i="2"/>
  <c r="G117" i="2"/>
  <c r="H117" i="2"/>
  <c r="I117" i="2"/>
  <c r="E131" i="2" l="1"/>
  <c r="E147" i="2" s="1"/>
  <c r="B5" i="7"/>
  <c r="B6" i="7" s="1"/>
  <c r="E5" i="7"/>
  <c r="E6" i="7" s="1"/>
  <c r="C134" i="2"/>
  <c r="C148" i="2" s="1"/>
  <c r="D129" i="2"/>
  <c r="D134" i="2" s="1"/>
  <c r="D148" i="2" s="1"/>
  <c r="C125" i="2"/>
  <c r="C146" i="2" s="1"/>
  <c r="C121" i="2"/>
  <c r="C145" i="2" s="1"/>
  <c r="C130" i="2"/>
  <c r="C144" i="2" s="1"/>
  <c r="F30" i="9"/>
  <c r="E30" i="9"/>
  <c r="D30" i="9"/>
  <c r="D128" i="2"/>
  <c r="D119" i="2"/>
  <c r="D123" i="2" s="1"/>
  <c r="F131" i="2" l="1"/>
  <c r="E129" i="2"/>
  <c r="E134" i="2" s="1"/>
  <c r="E148" i="2" s="1"/>
  <c r="D125" i="2"/>
  <c r="D146" i="2" s="1"/>
  <c r="G131" i="2"/>
  <c r="F147" i="2"/>
  <c r="D130" i="2"/>
  <c r="E128" i="2"/>
  <c r="E119" i="2"/>
  <c r="E123" i="2" s="1"/>
  <c r="D121" i="2"/>
  <c r="D145" i="2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H15" i="2"/>
  <c r="H4" i="2"/>
  <c r="H13" i="2"/>
  <c r="H12" i="2"/>
  <c r="H11" i="2"/>
  <c r="H9" i="2"/>
  <c r="H8" i="2"/>
  <c r="H7" i="2"/>
  <c r="H5" i="2"/>
  <c r="H14" i="2"/>
  <c r="F129" i="2" l="1"/>
  <c r="E130" i="2"/>
  <c r="E144" i="2" s="1"/>
  <c r="E125" i="2"/>
  <c r="E146" i="2" s="1"/>
  <c r="G129" i="2"/>
  <c r="F134" i="2"/>
  <c r="F148" i="2" s="1"/>
  <c r="H131" i="2"/>
  <c r="G147" i="2"/>
  <c r="F128" i="2"/>
  <c r="G128" i="2" s="1"/>
  <c r="F119" i="2"/>
  <c r="F123" i="2" s="1"/>
  <c r="E121" i="2"/>
  <c r="E145" i="2" s="1"/>
  <c r="D68" i="2"/>
  <c r="C70" i="2" s="1"/>
  <c r="D66" i="2"/>
  <c r="C66" i="2"/>
  <c r="C69" i="2" s="1"/>
  <c r="B10" i="6"/>
  <c r="D114" i="2"/>
  <c r="E114" i="2" s="1"/>
  <c r="F114" i="2" s="1"/>
  <c r="G114" i="2" s="1"/>
  <c r="H114" i="2" s="1"/>
  <c r="I114" i="2" s="1"/>
  <c r="F130" i="2" l="1"/>
  <c r="F144" i="2" s="1"/>
  <c r="F125" i="2"/>
  <c r="F146" i="2" s="1"/>
  <c r="I131" i="2"/>
  <c r="I147" i="2" s="1"/>
  <c r="H147" i="2"/>
  <c r="H129" i="2"/>
  <c r="G134" i="2"/>
  <c r="G148" i="2" s="1"/>
  <c r="B18" i="8"/>
  <c r="G119" i="2"/>
  <c r="G123" i="2" s="1"/>
  <c r="F121" i="2"/>
  <c r="F145" i="2" s="1"/>
  <c r="G130" i="2"/>
  <c r="G144" i="2" s="1"/>
  <c r="H128" i="2"/>
  <c r="D69" i="2"/>
  <c r="D70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C93" i="2"/>
  <c r="D93" i="2"/>
  <c r="E93" i="2"/>
  <c r="F93" i="2"/>
  <c r="G93" i="2"/>
  <c r="H93" i="2"/>
  <c r="I93" i="2"/>
  <c r="J93" i="2"/>
  <c r="K93" i="2"/>
  <c r="L93" i="2"/>
  <c r="M93" i="2"/>
  <c r="N93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C97" i="2"/>
  <c r="D97" i="2"/>
  <c r="E97" i="2"/>
  <c r="F97" i="2"/>
  <c r="G97" i="2"/>
  <c r="H97" i="2"/>
  <c r="I97" i="2"/>
  <c r="J97" i="2"/>
  <c r="K97" i="2"/>
  <c r="L97" i="2"/>
  <c r="M97" i="2"/>
  <c r="N97" i="2"/>
  <c r="C98" i="2"/>
  <c r="D98" i="2"/>
  <c r="E98" i="2"/>
  <c r="F98" i="2"/>
  <c r="G98" i="2"/>
  <c r="H98" i="2"/>
  <c r="I98" i="2"/>
  <c r="J98" i="2"/>
  <c r="K98" i="2"/>
  <c r="L98" i="2"/>
  <c r="M98" i="2"/>
  <c r="N98" i="2"/>
  <c r="D87" i="2"/>
  <c r="E87" i="2"/>
  <c r="F87" i="2"/>
  <c r="G87" i="2"/>
  <c r="H87" i="2"/>
  <c r="I87" i="2"/>
  <c r="J87" i="2"/>
  <c r="K87" i="2"/>
  <c r="L87" i="2"/>
  <c r="M87" i="2"/>
  <c r="N87" i="2"/>
  <c r="C87" i="2"/>
  <c r="I31" i="1"/>
  <c r="B4" i="6"/>
  <c r="K30" i="1" s="1"/>
  <c r="B3" i="6"/>
  <c r="D107" i="2" l="1"/>
  <c r="D106" i="2"/>
  <c r="G125" i="2"/>
  <c r="G146" i="2" s="1"/>
  <c r="I129" i="2"/>
  <c r="I134" i="2" s="1"/>
  <c r="I148" i="2" s="1"/>
  <c r="H134" i="2"/>
  <c r="H148" i="2" s="1"/>
  <c r="D5" i="8"/>
  <c r="D3" i="8"/>
  <c r="H119" i="2"/>
  <c r="H123" i="2" s="1"/>
  <c r="G121" i="2"/>
  <c r="G145" i="2" s="1"/>
  <c r="I128" i="2"/>
  <c r="H130" i="2"/>
  <c r="H144" i="2" s="1"/>
  <c r="H6" i="1"/>
  <c r="J6" i="1"/>
  <c r="K37" i="1"/>
  <c r="E37" i="1"/>
  <c r="K36" i="1"/>
  <c r="E34" i="1"/>
  <c r="C21" i="1" s="1"/>
  <c r="E21" i="1" s="1"/>
  <c r="C107" i="2"/>
  <c r="B11" i="5"/>
  <c r="E107" i="2"/>
  <c r="C106" i="2"/>
  <c r="H36" i="1"/>
  <c r="E106" i="2"/>
  <c r="O87" i="2"/>
  <c r="Q87" i="2" s="1"/>
  <c r="O98" i="2"/>
  <c r="P98" i="2" s="1"/>
  <c r="O97" i="2"/>
  <c r="P97" i="2" s="1"/>
  <c r="O96" i="2"/>
  <c r="P96" i="2" s="1"/>
  <c r="O95" i="2"/>
  <c r="Q95" i="2" s="1"/>
  <c r="O94" i="2"/>
  <c r="P94" i="2" s="1"/>
  <c r="O93" i="2"/>
  <c r="P93" i="2" s="1"/>
  <c r="O92" i="2"/>
  <c r="P92" i="2" s="1"/>
  <c r="O91" i="2"/>
  <c r="Q91" i="2" s="1"/>
  <c r="O90" i="2"/>
  <c r="Q90" i="2" s="1"/>
  <c r="O89" i="2"/>
  <c r="P89" i="2" s="1"/>
  <c r="O88" i="2"/>
  <c r="Q88" i="2" s="1"/>
  <c r="E33" i="1"/>
  <c r="H35" i="1"/>
  <c r="K33" i="1"/>
  <c r="E29" i="1"/>
  <c r="E30" i="1"/>
  <c r="H32" i="1"/>
  <c r="K32" i="1"/>
  <c r="E36" i="1"/>
  <c r="E32" i="1"/>
  <c r="H29" i="1"/>
  <c r="H34" i="1"/>
  <c r="H30" i="1"/>
  <c r="K35" i="1"/>
  <c r="E35" i="1"/>
  <c r="H37" i="1"/>
  <c r="H33" i="1"/>
  <c r="K29" i="1"/>
  <c r="K34" i="1"/>
  <c r="I130" i="2" l="1"/>
  <c r="I144" i="2" s="1"/>
  <c r="H125" i="2"/>
  <c r="H146" i="2" s="1"/>
  <c r="I119" i="2"/>
  <c r="I121" i="2" s="1"/>
  <c r="I145" i="2" s="1"/>
  <c r="H121" i="2"/>
  <c r="H145" i="2" s="1"/>
  <c r="P90" i="2"/>
  <c r="P87" i="2"/>
  <c r="H5" i="1"/>
  <c r="C14" i="1"/>
  <c r="E14" i="1" s="1"/>
  <c r="Q98" i="2"/>
  <c r="Q93" i="2"/>
  <c r="Q97" i="2"/>
  <c r="Q94" i="2"/>
  <c r="Q89" i="2"/>
  <c r="P88" i="2"/>
  <c r="P91" i="2"/>
  <c r="Q92" i="2"/>
  <c r="Q96" i="2"/>
  <c r="P95" i="2"/>
  <c r="I123" i="2" l="1"/>
  <c r="I125" i="2" s="1"/>
  <c r="I146" i="2" s="1"/>
  <c r="L31" i="1"/>
  <c r="J31" i="1"/>
  <c r="K31" i="1" s="1"/>
  <c r="G31" i="1"/>
  <c r="H31" i="1" s="1"/>
  <c r="F31" i="1"/>
  <c r="D31" i="1"/>
  <c r="E31" i="1" s="1"/>
  <c r="C15" i="1" s="1"/>
  <c r="E15" i="1" s="1"/>
  <c r="F32" i="1" l="1"/>
</calcChain>
</file>

<file path=xl/sharedStrings.xml><?xml version="1.0" encoding="utf-8"?>
<sst xmlns="http://schemas.openxmlformats.org/spreadsheetml/2006/main" count="553" uniqueCount="307">
  <si>
    <t>Storage - Existing and new potential capabilities at each zone</t>
  </si>
  <si>
    <t>Type</t>
  </si>
  <si>
    <t>Storage facility</t>
  </si>
  <si>
    <t>Underground storage</t>
  </si>
  <si>
    <t>Status</t>
  </si>
  <si>
    <t>Zone</t>
  </si>
  <si>
    <t>Salt cavern</t>
  </si>
  <si>
    <t>Operational</t>
  </si>
  <si>
    <t>Larne</t>
  </si>
  <si>
    <t>Rough (offshore Southern North Sea)</t>
  </si>
  <si>
    <t>Depleted oil/ gas field</t>
  </si>
  <si>
    <t>Aldbrough (East Yorkshire)</t>
  </si>
  <si>
    <t>Hatfield Moors (Yorkshire)</t>
  </si>
  <si>
    <t>Humbly Grove (Weald)</t>
  </si>
  <si>
    <t>Source</t>
  </si>
  <si>
    <t>Capacity (mn m3)</t>
  </si>
  <si>
    <t>https://infrastructure.planninginspectorate.gov.uk/wp-content/ipc/uploads/projects/EN030002/EN030002-000783-KGSL%20-%20Beutal%20Black%20Salt%20Deposits%20and%20Gas%20Cavern%20Storage%20in%20the%20UK.pdf</t>
  </si>
  <si>
    <t>Holford (Cheshire)</t>
  </si>
  <si>
    <t>Hole House (Cheshire)</t>
  </si>
  <si>
    <t>Preesall</t>
  </si>
  <si>
    <t>Byley</t>
  </si>
  <si>
    <t>Planned</t>
  </si>
  <si>
    <t>Max Del. (mn m3/ day)</t>
  </si>
  <si>
    <t>Deliverability / withdrawal rate</t>
  </si>
  <si>
    <t>Injection rate</t>
  </si>
  <si>
    <t>Max Inj. (mn m3/ day)</t>
  </si>
  <si>
    <t>Hornsea/ Atwick (East Yorkshire)</t>
  </si>
  <si>
    <t>Hill Top Form (Cheshire)</t>
  </si>
  <si>
    <t>Stublach (Cheshire)</t>
  </si>
  <si>
    <r>
      <t xml:space="preserve">Status </t>
    </r>
    <r>
      <rPr>
        <i/>
        <sz val="8.5"/>
        <rFont val="Arial"/>
        <family val="2"/>
      </rPr>
      <t>(2)</t>
    </r>
  </si>
  <si>
    <t>Long</t>
  </si>
  <si>
    <t xml:space="preserve">Medium </t>
  </si>
  <si>
    <t>Medium</t>
  </si>
  <si>
    <t>Portland</t>
  </si>
  <si>
    <t>Gainsborough</t>
  </si>
  <si>
    <t>Welton</t>
  </si>
  <si>
    <t>Saltfleetby</t>
  </si>
  <si>
    <t>Hewett</t>
  </si>
  <si>
    <t>Albury</t>
  </si>
  <si>
    <t>Storrington</t>
  </si>
  <si>
    <t>Production - Whether production is feasible in each zone</t>
  </si>
  <si>
    <t>Suitable areas for onshore wind turbines</t>
  </si>
  <si>
    <t>Possibly find area after constraints, then divide by area of 1 facility to find max number of facilities in 1 zone</t>
  </si>
  <si>
    <t>Suitable areas for offshore wind turbines</t>
  </si>
  <si>
    <t>Source:</t>
  </si>
  <si>
    <t>Sheila Samsatli, Iain Staffell, Nouri Samsatli – Optimal design and operation of integrated wind-hydrogen-electricity networks for decarbonising the domestic transport sector in Great Britain</t>
  </si>
  <si>
    <t>Sheila Samsatli, Nouri Samsatli – The role of renewable hydrogen and inter-seasonal storage in decarbonising heat – Comprehensive optimisation of future hydrogen renewable energy value chains</t>
  </si>
  <si>
    <t>Sources</t>
  </si>
  <si>
    <t>Transmission</t>
  </si>
  <si>
    <t>Production facilities</t>
  </si>
  <si>
    <t>Storage facilities</t>
  </si>
  <si>
    <t>Units</t>
  </si>
  <si>
    <t>https://www.nrel.gov/docs/fy13osti/56412.pdf</t>
  </si>
  <si>
    <t xml:space="preserve">Production - Production capacity </t>
  </si>
  <si>
    <t>https://ars.els-cdn.com/content/image/1-s2.0-S0306261918314715-mmc1.pdf</t>
  </si>
  <si>
    <t>£mn (per unit)</t>
  </si>
  <si>
    <t>&lt;12 NM from coastline</t>
  </si>
  <si>
    <t>&lt;12-40 NM from coastline</t>
  </si>
  <si>
    <t>&gt;40 NM from coastline</t>
  </si>
  <si>
    <t>Onshore</t>
  </si>
  <si>
    <t>Offshore</t>
  </si>
  <si>
    <t>Average radius of existing wind turbines (m)</t>
  </si>
  <si>
    <t>Cut-in speed (m/s)</t>
  </si>
  <si>
    <t>Cut-out speed (m/s)</t>
  </si>
  <si>
    <t>Efficiency (power coefficient)</t>
  </si>
  <si>
    <t>Minimum spacing between turbines (m)</t>
  </si>
  <si>
    <t>Radius of new wind turbines (m)</t>
  </si>
  <si>
    <t>Rated output speeed (m/s)</t>
  </si>
  <si>
    <t>Technical life (years)</t>
  </si>
  <si>
    <t>Pressurized tanks (L)</t>
  </si>
  <si>
    <t>Pressurized tanks (M)</t>
  </si>
  <si>
    <t>Pressurized tanks (S)</t>
  </si>
  <si>
    <t>Technology</t>
  </si>
  <si>
    <t>Pressurized tank (L)</t>
  </si>
  <si>
    <t>Max storage capacity (MWh)</t>
  </si>
  <si>
    <t>Max. withdrawal rate (MW)</t>
  </si>
  <si>
    <t>Pressurized tank (M)</t>
  </si>
  <si>
    <t>Pressurized tank (S)</t>
  </si>
  <si>
    <t>£mn /km</t>
  </si>
  <si>
    <t>£/ MWh</t>
  </si>
  <si>
    <t>Characteristics of SMR</t>
  </si>
  <si>
    <t>Small</t>
  </si>
  <si>
    <t>Minimum production capacity (t/d)</t>
  </si>
  <si>
    <t>Maximum production capacity (t/d)</t>
  </si>
  <si>
    <t>Large</t>
  </si>
  <si>
    <t>Conversion</t>
  </si>
  <si>
    <t>Capital cost ($mn)</t>
  </si>
  <si>
    <t>Production cost ($/kg)</t>
  </si>
  <si>
    <t>SMR - small</t>
  </si>
  <si>
    <t>SMR - large</t>
  </si>
  <si>
    <t>Design and operation of a future hydrogen supply chain: Multi-period model, A. Almansoori and N. Shah</t>
  </si>
  <si>
    <t>Truck + trailer</t>
  </si>
  <si>
    <t>https://pdf.sciencedirectassets.com/271429/1-s2.0-S0306261917X00111/1-s2.0-S0306261917305457/main.pdf?X-Amz-Date=20191031T204434Z&amp;X-Amz-Algorithm=AWS4-HMAC-SHA256&amp;X-Amz-Signature=8759f38f35ab5dc6d7849f7fad170a6ae3da8f2c946c5979530ea24a61481228&amp;X-Amz-Credential=ASIAQ3PHCVTY6WC52FD3%2F20191031%2Fus-east-1%2Fs3%2Faws4_request&amp;type=client&amp;tid=prr-37f52104-1321-4767-aaba-e70f31ac6c76&amp;sid=b06aa9ec4666b64c315af337ebfb75a896a7gxrqb&amp;pii=S0306261917305457&amp;X-Amz-SignedHeaders=host&amp;X-Amz-Security-Token=AgoJb3JpZ2luX2VjENT%2F%2F%2F%2F%2F%2F%2F%2F%2F%2FwEaCXVzLWVhc3QtMSJHMEUCIQC241zXCulRCjI8GDd7pS72GsEe6MWLqBHT0tClPrvWHAIgHaW2pwPdGT7UqL6R6zIv0%2FJ2xFQ685pmJ1YNffai490qhQQI3f%2F%2F%2F%2F%2F%2F%2F%2F%2F%2FARACGgwwNTkwMDM1NDY4NjUiDOL7fQ8tuGuHuuSaWSrZA1f55kroDU0s2CQfDdi%2FAIls%2BY6dqsEPajb%2BE95k3D1uBUQ%2Fxul8veW5L0UpZkyOwzW6huEN69w31WXE3%2B3ZABTr7tzjE%2B5eZkMKRlC8LWA5AKfeyR%2BFd0w6tdic%2BM65THLzjQW5V%2BFsNXH%2FZv7Ft1WeMEwQ%2BdVADqLxQlJG7vA%2FWVs%2BQJ8vcW58FKLSQ1pO9iSPRliyvmU4%2FNiOMVWBShbbeoFK7sQF9U%2Feekq0TW0VnWTUU30SUksGq3WjFNiZB%2FiVILrzQ9jdQzGi0yQLY5jGicz44uOBKO%2BnZmzsjhZJpn7gL51TzTX8fyH9W3MzOVS0aVXO4JtjZ59pXIrdXUMljtSlvscnWBBo4rkms%2BRxBw0ro%2Bo%2B%2BHAQnI0MEIOAv2hBRJodqbnXX760LlLaVHdsV4KKleNLVvsCYmtFr429ifR2Gfe8H9wm12RxIMwKWmR%2FiP2A31hkJa8iGdAfcGE14lSfzjOjUp9zy8DzFYXkwIYr%2F72nWqrJuHaj%2FoBgTbWw79%2Br8PSrD4lKFgVSu3aHpU7re2Ha2Dzj9S1JxZ2rQJEL2HoWZt5bsKnoMS56uheyXblL5vXPEOJyVW3GAOJLxq3DHhxFAiBCLYuAULe3uKNl8BAblb2uMJ%2Fu7O0FOrQBa5KdRI65QpWCAM%2FDX6t9r5bdN4kPIE1OR94QNLrlhcmq5uo2IwLXbzNFM5D1ct94gitvERQQLW%2FYdHNOeTf2s1QtgcW4UU2Sy9bHavRWTkD7HRm%2F4dTEyltBTGnWjLCfHAp98nme3J%2BCUvYAnmSlYCj9%2BwlgyBnvyu4TZDjZ92eQxhZTwOKsatT7gYoIsb0UgfIsL10oNuESingKx3D6lxMd8hvuR%2F9VfKHPXLFBQZZjsrUN&amp;host=68042c943591013ac2b2430a89b270f6af2c76d8dfd086a07176afe7c76c2c61&amp;X-Amz-Expires=300&amp;hash=1f85e845279fc45772c3cf1acde7f4e0feaab3df4bd1645ffc3222cdfd1abe6a</t>
  </si>
  <si>
    <t>Capacity</t>
  </si>
  <si>
    <t>Gas hydrogen Trailer</t>
  </si>
  <si>
    <t>https://www.irena.org/-/media/Files/IRENA/Agency/Publication/2018/Jan/IRENA_2017_Power_Costs_2018.pdf - page 108</t>
  </si>
  <si>
    <t>Inner London</t>
  </si>
  <si>
    <t>Outer London</t>
  </si>
  <si>
    <t>Wales</t>
  </si>
  <si>
    <t>https://www.metoffice.gov.uk/research/climate/maps-and-data/regional-climates/index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</si>
  <si>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</si>
  <si>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</si>
  <si>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</si>
  <si>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</si>
  <si>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</si>
  <si>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</si>
  <si>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</si>
  <si>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</si>
  <si>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</si>
  <si>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</si>
  <si>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</si>
  <si>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</si>
  <si>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https://www.worldweatheronline.com/birmingham-weather-averages/west-midlands/gb.aspx</t>
  </si>
  <si>
    <t>West Midlands (Birmingham)</t>
  </si>
  <si>
    <t>East Midlands (Londonborough)</t>
  </si>
  <si>
    <t>https://www.worldweatheronline.com/loughborough-weather-averages/leicestershire/gb.aspx</t>
  </si>
  <si>
    <t>https://www.worldweatheronline.com/durham-weather-averages/county-durham/gb.aspx</t>
  </si>
  <si>
    <t>North East (Durham)</t>
  </si>
  <si>
    <t>North West (Manchester)</t>
  </si>
  <si>
    <t>Yorkshire and The Humber (Leeds)</t>
  </si>
  <si>
    <t>East (Norwich)</t>
  </si>
  <si>
    <t>South East (Hampshire)</t>
  </si>
  <si>
    <t>South West (Bristol)</t>
  </si>
  <si>
    <t>Scotland (Edinburgh)</t>
  </si>
  <si>
    <t>Average (m/s)</t>
  </si>
  <si>
    <t>Monthly wind speeds in each zone (2018-2019) (kmph)</t>
  </si>
  <si>
    <t>Unit conversion</t>
  </si>
  <si>
    <t>Units of Energy Measurement</t>
  </si>
  <si>
    <t>Standard is 15oC, 1 atm pressure 1.01325 bar</t>
  </si>
  <si>
    <t>1 tonne/h --&gt; MW</t>
  </si>
  <si>
    <t>1 m3/h (std) --&gt; MW</t>
  </si>
  <si>
    <t>1 HHV --&gt; 1 MJ/m3</t>
  </si>
  <si>
    <t>Natural gas Capacity (GWh)</t>
  </si>
  <si>
    <t>https://www.ofgem.gov.uk/sites/default/files/docs/2015/02/hornsea_exemption_application_final_public_0.pdf</t>
  </si>
  <si>
    <t>Max Del. Natural Gas (GWh/ day)</t>
  </si>
  <si>
    <t>Max Inj. Natural Gas (GWh/ day)</t>
  </si>
  <si>
    <t>Max Del. H2 Gas (GWh/ day)</t>
  </si>
  <si>
    <t>H2 gas capacity (GWh)</t>
  </si>
  <si>
    <t>Max Inj. H2 Gas (GWh/ day)</t>
  </si>
  <si>
    <t>Currency conversion</t>
  </si>
  <si>
    <t>1 USD --&gt; GBP</t>
  </si>
  <si>
    <t>1 EUR --&gt; GBP</t>
  </si>
  <si>
    <t>PCAPmin (MW)</t>
  </si>
  <si>
    <t>PCAPmax (MW)</t>
  </si>
  <si>
    <t>Wind Turbines</t>
  </si>
  <si>
    <t>Monthly wind speeds in each zone (2018-2019) (m/s)</t>
  </si>
  <si>
    <t>Min speed (m/s)</t>
  </si>
  <si>
    <t>Max speed (m/s)</t>
  </si>
  <si>
    <t>SMR</t>
  </si>
  <si>
    <t>Pressurised tank</t>
  </si>
  <si>
    <t>Max. inj. rate (MW)</t>
  </si>
  <si>
    <t>Pipeline</t>
  </si>
  <si>
    <t>Truck</t>
  </si>
  <si>
    <t>Wind Turbines + Electrolyser</t>
  </si>
  <si>
    <t>Electrolyser_PEM</t>
  </si>
  <si>
    <t>CAPEX (£/ input kW)</t>
  </si>
  <si>
    <t>Wind Turbine</t>
  </si>
  <si>
    <t>https://assets.publishing.service.gov.uk/government/uploads/system/uploads/attachment_data/file/760479/H2_supply_chain_evidence_-_publication_version.pdf</t>
  </si>
  <si>
    <t>Max electricity capacity (MW)</t>
  </si>
  <si>
    <t>Min electricity capacity (MW)</t>
  </si>
  <si>
    <t>Pg 105, https://assets.publishing.service.gov.uk/government/uploads/system/uploads/attachment_data/file/760479/H2_supply_chain_evidence_-_publication_version.pdf</t>
  </si>
  <si>
    <t>Underground storage/ salt caverns</t>
  </si>
  <si>
    <t xml:space="preserve">Pipelines </t>
  </si>
  <si>
    <t>Fixed CAPEX</t>
  </si>
  <si>
    <t>£/MW*km</t>
  </si>
  <si>
    <t>£ (per unit)</t>
  </si>
  <si>
    <t>Min. power generated (MW)</t>
  </si>
  <si>
    <t>Max power generated (MW)</t>
  </si>
  <si>
    <t>Electrolyser efficiency (output MW from H2/ input MW from wind)</t>
  </si>
  <si>
    <t>North East</t>
  </si>
  <si>
    <t>North West</t>
  </si>
  <si>
    <t>Yorkshire and The Humber</t>
  </si>
  <si>
    <t>East Midlands</t>
  </si>
  <si>
    <t>West Midlands</t>
  </si>
  <si>
    <t>East</t>
  </si>
  <si>
    <t>South East</t>
  </si>
  <si>
    <t>South West</t>
  </si>
  <si>
    <t>Scotland</t>
  </si>
  <si>
    <t>NE1 1AD</t>
  </si>
  <si>
    <t>HD1 1BG</t>
  </si>
  <si>
    <t>YO41 4BP</t>
  </si>
  <si>
    <t>DE74 2SA</t>
  </si>
  <si>
    <t>B1 1BX</t>
  </si>
  <si>
    <t>NR1 1BG</t>
  </si>
  <si>
    <t>WC2N 5DU</t>
  </si>
  <si>
    <t>BR3 3BY</t>
  </si>
  <si>
    <t>CT15 7AA</t>
  </si>
  <si>
    <t>PL1 1DE</t>
  </si>
  <si>
    <t>AB10 1AL</t>
  </si>
  <si>
    <t>CF10 1AF</t>
  </si>
  <si>
    <t>Area after constraints (km2)</t>
  </si>
  <si>
    <t>0.35 of Z8, 0.2 of Z12, 0.5 of Z10</t>
  </si>
  <si>
    <t>Z9, 0.25 of Z10, 0.2 of Z11</t>
  </si>
  <si>
    <t>Z7</t>
  </si>
  <si>
    <t>0.6 of Z13</t>
  </si>
  <si>
    <t>0.4 of Z13, Z15, 0.5 of Z14, 0.3 of Z12</t>
  </si>
  <si>
    <t>Z16, 0.2 of Z12</t>
  </si>
  <si>
    <t>Z1, Z2, Z3, Z4, Z5</t>
  </si>
  <si>
    <t>0.25 of Z6 and 0.35 of Z8</t>
  </si>
  <si>
    <t>0.75 of Z6</t>
  </si>
  <si>
    <t>0.8 of Z11, 0.5 of Z14, 0.25 of Z10</t>
  </si>
  <si>
    <t>0.3 of Z12, 0.3 of Z8</t>
  </si>
  <si>
    <t>Storage capacity (GWh)</t>
  </si>
  <si>
    <t>£mn/ MW</t>
  </si>
  <si>
    <t>£mn/ MW wind</t>
  </si>
  <si>
    <t>aa</t>
  </si>
  <si>
    <t>£mn/ MWh</t>
  </si>
  <si>
    <t>MWh</t>
  </si>
  <si>
    <t>in km</t>
  </si>
  <si>
    <t>Road Distances</t>
  </si>
  <si>
    <t>Storage capacity (MWh)</t>
  </si>
  <si>
    <t>Diamater (inches)</t>
  </si>
  <si>
    <t>Capacity (MW)</t>
  </si>
  <si>
    <t>H21 report</t>
  </si>
  <si>
    <t>£/km</t>
  </si>
  <si>
    <t>On shore</t>
  </si>
  <si>
    <t>Off shore</t>
  </si>
  <si>
    <t>https://www.ise.fraunhofer.de/content/dam/ise/en/documents/publications/studies/EN2018_Fraunhofer-ISE_LCOE_Renewable_Energy_Technologies.pdf</t>
  </si>
  <si>
    <t>Learning rate</t>
  </si>
  <si>
    <t>CAPEX (£/ output kW)</t>
  </si>
  <si>
    <t>Conversion (IMW HHV/MW input electricity)</t>
  </si>
  <si>
    <t>Capex (£MN/MW HHV H2)</t>
  </si>
  <si>
    <t>SMR+CCS</t>
  </si>
  <si>
    <t>SMR +CCS</t>
  </si>
  <si>
    <t>Decrease rate</t>
  </si>
  <si>
    <t>Capex(£mn/MW HHV) SMR</t>
  </si>
  <si>
    <t>90% CCS</t>
  </si>
  <si>
    <t>Capex(£mn/MW HHV) SMR + 90%ccs</t>
  </si>
  <si>
    <t>With electrolyser (£mn/ MW hhv</t>
  </si>
  <si>
    <t>CAPEX (£mn/ mw hhv)</t>
  </si>
  <si>
    <t>Convert to GAMS</t>
  </si>
  <si>
    <t>Natural gas conversion</t>
  </si>
  <si>
    <t>$/Million BTU</t>
  </si>
  <si>
    <t>Things we can do tomorrow</t>
  </si>
  <si>
    <t>Add natural gas cost profile</t>
  </si>
  <si>
    <t>Add demand linear profile increase</t>
  </si>
  <si>
    <t>Methan heating value</t>
  </si>
  <si>
    <t>Price in 2030</t>
  </si>
  <si>
    <t>https://www.enggcyclopedia.com/2011/09/heating-values-natural-gas/</t>
  </si>
  <si>
    <t>Btu/scf</t>
  </si>
  <si>
    <t>H2 heating value</t>
  </si>
  <si>
    <t>£/mwh</t>
  </si>
  <si>
    <t>£/kwh</t>
  </si>
  <si>
    <t>£mn/mwh</t>
  </si>
  <si>
    <t>https://www.thechemicalengineer.com/features/clean-hydrogen-part-1-hydrogen-from-natural-gas-through-cost-effective-co2-capture/</t>
  </si>
  <si>
    <t>Production</t>
  </si>
  <si>
    <t>Tonn/hr</t>
  </si>
  <si>
    <t>MW of H2</t>
  </si>
  <si>
    <t>CO2 emitted after ccs</t>
  </si>
  <si>
    <t>CO2 produced</t>
  </si>
  <si>
    <t>CCS Capture</t>
  </si>
  <si>
    <t>Tonee/Hour</t>
  </si>
  <si>
    <t>Rate of co2 emission</t>
  </si>
  <si>
    <t xml:space="preserve">Natural gas
</t>
  </si>
  <si>
    <t>http://www.carbon-calculator.org.uk/</t>
  </si>
  <si>
    <t>Tonne co2/mwh</t>
  </si>
  <si>
    <t>WN</t>
  </si>
  <si>
    <t>WD</t>
  </si>
  <si>
    <t>WP</t>
  </si>
  <si>
    <t>WE</t>
  </si>
  <si>
    <t>PN</t>
  </si>
  <si>
    <t>PD</t>
  </si>
  <si>
    <t>PP</t>
  </si>
  <si>
    <t>PE</t>
  </si>
  <si>
    <t>SN</t>
  </si>
  <si>
    <t>SD</t>
  </si>
  <si>
    <t>SP</t>
  </si>
  <si>
    <t>SE</t>
  </si>
  <si>
    <t>AN</t>
  </si>
  <si>
    <t>AD</t>
  </si>
  <si>
    <t>AP</t>
  </si>
  <si>
    <t>AE</t>
  </si>
  <si>
    <t>Season</t>
  </si>
  <si>
    <t>Hour</t>
  </si>
  <si>
    <t>h</t>
  </si>
  <si>
    <t>Winter</t>
  </si>
  <si>
    <t>Spring</t>
  </si>
  <si>
    <t>Summer</t>
  </si>
  <si>
    <t>Autumn</t>
  </si>
  <si>
    <t>7am-5pm</t>
  </si>
  <si>
    <t>12am-7am</t>
  </si>
  <si>
    <t>5pm-8pm</t>
  </si>
  <si>
    <t>8pm-12am</t>
  </si>
  <si>
    <t>Faction of day</t>
  </si>
  <si>
    <t>Number of hours</t>
  </si>
  <si>
    <t>https://www.eci.ox.ac.uk/publications/downloads/sinden06-windresource.pdf</t>
  </si>
  <si>
    <t>For SMR he minimum operating capacity of the plants are 70% with a turn up/down rate of not more than 10% in 24 hours. However, this constraint is relaxed in a fleet operation where the average load factor is lower than 70% during summer periods as some plants are shut down</t>
  </si>
  <si>
    <t>NATGAS</t>
  </si>
  <si>
    <t>Max Del. (MW)</t>
  </si>
  <si>
    <t>Capex(£mn/MW HHV) SMR +55%CCS</t>
  </si>
  <si>
    <t>SMR +CCS90</t>
  </si>
  <si>
    <t>SMRCCS55</t>
  </si>
  <si>
    <t>Tonne/Mw</t>
  </si>
  <si>
    <t>ATR</t>
  </si>
  <si>
    <t>CAPEX (£mn/ output kW H2 HHV)</t>
  </si>
  <si>
    <t>WASTEBIO</t>
  </si>
  <si>
    <t>CLEANBIO</t>
  </si>
  <si>
    <t>ccs</t>
  </si>
  <si>
    <t>SCFM3GAS/SCFM3H2</t>
  </si>
  <si>
    <t>Total</t>
  </si>
  <si>
    <t>Z</t>
  </si>
  <si>
    <t>£mn/MWh</t>
  </si>
  <si>
    <t>Opex</t>
  </si>
  <si>
    <t>SMR - medium +ccs</t>
  </si>
  <si>
    <t>ONWTE +ELECTROYLYSER</t>
  </si>
  <si>
    <t>OFFWTE +electrolyser</t>
  </si>
  <si>
    <t>Approximations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</si>
</sst>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0.00000"/>
    <numFmt numFmtId="167" formatCode="_-* #,##0_-;\-* #,##0_-;_-* &quot;-&quot;??_-;_-@_-"/>
    <numFmt numFmtId="168" formatCode="0.000000000"/>
    <numFmt numFmtId="169" formatCode="0.000"/>
    <numFmt numFmtId="171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8.5"/>
      <name val="Arial"/>
      <family val="2"/>
    </font>
    <font>
      <i/>
      <sz val="8.5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u/>
      <sz val="10"/>
      <color indexed="12"/>
      <name val="MS Sans Serif"/>
      <family val="2"/>
    </font>
    <font>
      <sz val="8.5"/>
      <color rgb="FFFF0000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979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1" fillId="0" borderId="0"/>
    <xf numFmtId="0" fontId="10" fillId="0" borderId="0"/>
    <xf numFmtId="0" fontId="5" fillId="0" borderId="0"/>
    <xf numFmtId="43" fontId="1" fillId="0" borderId="0" applyFont="0" applyFill="0" applyBorder="0" applyAlignment="0" applyProtection="0"/>
    <xf numFmtId="0" fontId="1" fillId="6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1"/>
    <xf numFmtId="3" fontId="0" fillId="0" borderId="0" xfId="0" applyNumberFormat="1"/>
    <xf numFmtId="1" fontId="0" fillId="0" borderId="0" xfId="0" applyNumberFormat="1"/>
    <xf numFmtId="0" fontId="5" fillId="0" borderId="0" xfId="2"/>
    <xf numFmtId="0" fontId="6" fillId="3" borderId="1" xfId="2" applyFont="1" applyFill="1" applyBorder="1" applyAlignment="1">
      <alignment horizontal="center"/>
    </xf>
    <xf numFmtId="0" fontId="13" fillId="3" borderId="2" xfId="2" applyFont="1" applyFill="1" applyBorder="1" applyAlignment="1">
      <alignment horizontal="center"/>
    </xf>
    <xf numFmtId="0" fontId="9" fillId="4" borderId="0" xfId="2" applyFont="1" applyFill="1" applyAlignment="1">
      <alignment horizontal="center"/>
    </xf>
    <xf numFmtId="0" fontId="9" fillId="4" borderId="0" xfId="2" applyFont="1" applyFill="1" applyAlignment="1">
      <alignment horizontal="center" vertical="top"/>
    </xf>
    <xf numFmtId="0" fontId="2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15" fillId="0" borderId="0" xfId="0" applyFont="1" applyBorder="1"/>
    <xf numFmtId="0" fontId="15" fillId="0" borderId="2" xfId="0" applyFont="1" applyBorder="1"/>
    <xf numFmtId="0" fontId="4" fillId="0" borderId="7" xfId="1" applyBorder="1"/>
    <xf numFmtId="0" fontId="0" fillId="0" borderId="6" xfId="0" applyFill="1" applyBorder="1"/>
    <xf numFmtId="0" fontId="16" fillId="0" borderId="0" xfId="0" applyFont="1" applyBorder="1"/>
    <xf numFmtId="0" fontId="16" fillId="0" borderId="0" xfId="0" applyFont="1" applyFill="1" applyBorder="1"/>
    <xf numFmtId="0" fontId="16" fillId="0" borderId="0" xfId="0" applyFont="1" applyBorder="1" applyAlignment="1"/>
    <xf numFmtId="0" fontId="16" fillId="0" borderId="2" xfId="0" applyFont="1" applyBorder="1"/>
    <xf numFmtId="0" fontId="0" fillId="0" borderId="3" xfId="0" applyBorder="1"/>
    <xf numFmtId="0" fontId="15" fillId="0" borderId="4" xfId="0" applyFont="1" applyBorder="1"/>
    <xf numFmtId="0" fontId="0" fillId="0" borderId="2" xfId="0" applyFill="1" applyBorder="1"/>
    <xf numFmtId="2" fontId="2" fillId="0" borderId="0" xfId="0" applyNumberFormat="1" applyFont="1"/>
    <xf numFmtId="0" fontId="3" fillId="0" borderId="0" xfId="0" applyFont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5" fillId="0" borderId="7" xfId="0" applyFont="1" applyBorder="1"/>
    <xf numFmtId="0" fontId="3" fillId="0" borderId="0" xfId="0" applyFont="1" applyFill="1"/>
    <xf numFmtId="0" fontId="0" fillId="0" borderId="0" xfId="0" applyFill="1"/>
    <xf numFmtId="0" fontId="2" fillId="2" borderId="0" xfId="0" applyFont="1" applyFill="1"/>
    <xf numFmtId="3" fontId="17" fillId="5" borderId="0" xfId="0" applyNumberFormat="1" applyFont="1" applyFill="1"/>
    <xf numFmtId="2" fontId="17" fillId="5" borderId="7" xfId="0" applyNumberFormat="1" applyFont="1" applyFill="1" applyBorder="1"/>
    <xf numFmtId="2" fontId="17" fillId="5" borderId="9" xfId="0" applyNumberFormat="1" applyFont="1" applyFill="1" applyBorder="1"/>
    <xf numFmtId="0" fontId="2" fillId="5" borderId="0" xfId="0" applyFont="1" applyFill="1"/>
    <xf numFmtId="0" fontId="17" fillId="5" borderId="0" xfId="0" applyFont="1" applyFill="1"/>
    <xf numFmtId="0" fontId="2" fillId="5" borderId="0" xfId="0" applyFont="1" applyFill="1" applyAlignment="1">
      <alignment wrapText="1"/>
    </xf>
    <xf numFmtId="0" fontId="4" fillId="0" borderId="0" xfId="1" applyBorder="1"/>
    <xf numFmtId="0" fontId="2" fillId="0" borderId="0" xfId="0" applyFont="1" applyFill="1"/>
    <xf numFmtId="0" fontId="0" fillId="0" borderId="0" xfId="0" applyFont="1" applyFill="1"/>
    <xf numFmtId="0" fontId="18" fillId="0" borderId="0" xfId="0" applyFont="1" applyBorder="1" applyAlignment="1">
      <alignment horizontal="left"/>
    </xf>
    <xf numFmtId="0" fontId="19" fillId="0" borderId="0" xfId="0" applyFont="1" applyBorder="1"/>
    <xf numFmtId="0" fontId="19" fillId="0" borderId="0" xfId="0" applyFont="1" applyFill="1" applyBorder="1" applyAlignment="1">
      <alignment horizontal="center"/>
    </xf>
    <xf numFmtId="167" fontId="16" fillId="0" borderId="2" xfId="9" applyNumberFormat="1" applyFont="1" applyBorder="1"/>
    <xf numFmtId="2" fontId="17" fillId="5" borderId="0" xfId="0" applyNumberFormat="1" applyFont="1" applyFill="1"/>
    <xf numFmtId="165" fontId="16" fillId="0" borderId="0" xfId="0" applyNumberFormat="1" applyFont="1" applyBorder="1"/>
    <xf numFmtId="2" fontId="16" fillId="0" borderId="0" xfId="0" applyNumberFormat="1" applyFont="1" applyBorder="1"/>
    <xf numFmtId="168" fontId="16" fillId="0" borderId="0" xfId="0" applyNumberFormat="1" applyFont="1" applyBorder="1"/>
    <xf numFmtId="165" fontId="16" fillId="0" borderId="0" xfId="0" applyNumberFormat="1" applyFont="1" applyFill="1" applyBorder="1"/>
    <xf numFmtId="0" fontId="4" fillId="2" borderId="0" xfId="1" applyFill="1" applyBorder="1"/>
    <xf numFmtId="0" fontId="4" fillId="0" borderId="0" xfId="1" applyFill="1" applyBorder="1"/>
    <xf numFmtId="0" fontId="0" fillId="0" borderId="0" xfId="0"/>
    <xf numFmtId="0" fontId="2" fillId="0" borderId="0" xfId="0" applyFont="1"/>
    <xf numFmtId="2" fontId="0" fillId="10" borderId="0" xfId="0" applyNumberFormat="1" applyFill="1"/>
    <xf numFmtId="167" fontId="0" fillId="0" borderId="0" xfId="9" applyNumberFormat="1" applyFont="1"/>
    <xf numFmtId="4" fontId="16" fillId="0" borderId="0" xfId="0" applyNumberFormat="1" applyFont="1" applyBorder="1" applyAlignment="1">
      <alignment horizontal="right"/>
    </xf>
    <xf numFmtId="43" fontId="0" fillId="0" borderId="0" xfId="0" applyNumberFormat="1"/>
    <xf numFmtId="2" fontId="0" fillId="0" borderId="0" xfId="0" applyNumberFormat="1" applyFont="1"/>
    <xf numFmtId="169" fontId="16" fillId="0" borderId="0" xfId="0" applyNumberFormat="1" applyFont="1" applyFill="1" applyBorder="1" applyAlignment="1"/>
    <xf numFmtId="2" fontId="0" fillId="0" borderId="2" xfId="0" applyNumberFormat="1" applyBorder="1" applyAlignment="1">
      <alignment horizontal="center"/>
    </xf>
    <xf numFmtId="9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71" fontId="20" fillId="11" borderId="12" xfId="10" applyNumberFormat="1" applyFont="1" applyFill="1" applyBorder="1" applyAlignment="1">
      <alignment horizontal="center"/>
    </xf>
    <xf numFmtId="171" fontId="20" fillId="11" borderId="11" xfId="10" applyNumberFormat="1" applyFont="1" applyFill="1" applyBorder="1" applyAlignment="1">
      <alignment horizontal="center"/>
    </xf>
    <xf numFmtId="171" fontId="21" fillId="12" borderId="2" xfId="11" applyNumberFormat="1" applyFont="1" applyFill="1" applyBorder="1" applyAlignment="1">
      <alignment horizontal="center"/>
    </xf>
    <xf numFmtId="171" fontId="0" fillId="0" borderId="0" xfId="0" applyNumberFormat="1"/>
    <xf numFmtId="171" fontId="20" fillId="11" borderId="13" xfId="10" applyNumberFormat="1" applyFont="1" applyFill="1" applyBorder="1" applyAlignment="1">
      <alignment horizontal="center"/>
    </xf>
    <xf numFmtId="171" fontId="20" fillId="11" borderId="14" xfId="10" applyNumberFormat="1" applyFont="1" applyFill="1" applyBorder="1" applyAlignment="1">
      <alignment horizontal="center"/>
    </xf>
    <xf numFmtId="171" fontId="20" fillId="11" borderId="15" xfId="10" applyNumberFormat="1" applyFont="1" applyFill="1" applyBorder="1" applyAlignment="1">
      <alignment horizontal="center"/>
    </xf>
    <xf numFmtId="171" fontId="21" fillId="12" borderId="16" xfId="11" applyNumberFormat="1" applyFont="1" applyFill="1" applyBorder="1" applyAlignment="1">
      <alignment horizontal="center"/>
    </xf>
    <xf numFmtId="171" fontId="21" fillId="12" borderId="17" xfId="11" applyNumberFormat="1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5">
    <cellStyle name="a_Calc_Background" xfId="12" xr:uid="{E2F720F9-1F72-4F24-A1F1-BCD1D22F87A4}"/>
    <cellStyle name="a_Calc_Input_Num" xfId="13" xr:uid="{B05F9D81-BDA6-42ED-85B3-A42308B1DCD7}"/>
    <cellStyle name="a_Calc_Input_Str" xfId="10" xr:uid="{77D19F97-FDB3-4B47-BF88-C14366BE6DA1}"/>
    <cellStyle name="a_Calc_Trans" xfId="11" xr:uid="{7BCAB97F-6BC0-42B3-8E6A-A7169E29274A}"/>
    <cellStyle name="Comma" xfId="9" builtinId="3"/>
    <cellStyle name="Comma 2" xfId="14" xr:uid="{7483F96E-6C08-4ADD-BDA1-FFBF08FF1FAC}"/>
    <cellStyle name="Hyperlink" xfId="1" builtinId="8"/>
    <cellStyle name="Hyperlink 2" xfId="4" xr:uid="{72B7FD40-A4EA-4CBD-A06B-E1C9E1EDA352}"/>
    <cellStyle name="Hyperlink 3" xfId="3" xr:uid="{17CEF0A7-8189-492B-A8C6-F4CB7E4A8BFA}"/>
    <cellStyle name="Normal" xfId="0" builtinId="0"/>
    <cellStyle name="Normal 2" xfId="5" xr:uid="{F6646FC3-20C6-4AC7-94CF-5B9D9C7EFD3D}"/>
    <cellStyle name="Normal 2 2" xfId="6" xr:uid="{3A56F30D-282D-4075-830A-A9911F089F63}"/>
    <cellStyle name="Normal 2 3" xfId="7" xr:uid="{E661B72C-45DD-430A-8B6B-2CCF2E280C35}"/>
    <cellStyle name="Normal 3" xfId="2" xr:uid="{3E04E87F-FCFC-4937-9C15-85365696CB8E}"/>
    <cellStyle name="Normal 8" xfId="8" xr:uid="{83C22895-A56F-4685-9BC9-5A0863B210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233903</xdr:colOff>
      <xdr:row>2</xdr:row>
      <xdr:rowOff>133350</xdr:rowOff>
    </xdr:from>
    <xdr:to>
      <xdr:col>17</xdr:col>
      <xdr:colOff>597877</xdr:colOff>
      <xdr:row>21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3E397-4850-47D7-A761-DBFA12488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603" y="552450"/>
          <a:ext cx="4631174" cy="345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3</xdr:row>
      <xdr:rowOff>177800</xdr:rowOff>
    </xdr:from>
    <xdr:to>
      <xdr:col>1</xdr:col>
      <xdr:colOff>2929890</xdr:colOff>
      <xdr:row>24</xdr:row>
      <xdr:rowOff>172085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F17A6-8ECE-4418-A7CE-687C8D73ADE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781050"/>
          <a:ext cx="2536190" cy="3861435"/>
        </a:xfrm>
        <a:prstGeom prst="rect">
          <a:avLst/>
        </a:prstGeom>
      </xdr:spPr>
    </xdr:pic>
    <xdr:clientData/>
  </xdr:twoCellAnchor>
  <xdr:twoCellAnchor editAs="oneCell">
    <xdr:from>
      <xdr:col>11</xdr:col>
      <xdr:colOff>280555</xdr:colOff>
      <xdr:row>1</xdr:row>
      <xdr:rowOff>114760</xdr:rowOff>
    </xdr:from>
    <xdr:to>
      <xdr:col>16</xdr:col>
      <xdr:colOff>443678</xdr:colOff>
      <xdr:row>21</xdr:row>
      <xdr:rowOff>164209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E011ED-30FC-4385-9107-57375648AA8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2422" y="351929"/>
          <a:ext cx="3904267" cy="3737039"/>
        </a:xfrm>
        <a:prstGeom prst="rect">
          <a:avLst/>
        </a:prstGeom>
      </xdr:spPr>
    </xdr:pic>
    <xdr:clientData/>
  </xdr:twoCellAnchor>
  <xdr:twoCellAnchor editAs="oneCell">
    <xdr:from>
      <xdr:col>1</xdr:col>
      <xdr:colOff>374650</xdr:colOff>
      <xdr:row>30</xdr:row>
      <xdr:rowOff>114300</xdr:rowOff>
    </xdr:from>
    <xdr:to>
      <xdr:col>1</xdr:col>
      <xdr:colOff>2538730</xdr:colOff>
      <xdr:row>48</xdr:row>
      <xdr:rowOff>24130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140BF3-6386-43A7-B073-A629C0A7D0F3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4650" y="5530850"/>
          <a:ext cx="2164080" cy="3224530"/>
        </a:xfrm>
        <a:prstGeom prst="rect">
          <a:avLst/>
        </a:prstGeom>
      </xdr:spPr>
    </xdr:pic>
    <xdr:clientData/>
  </xdr:twoCellAnchor>
  <xdr:twoCellAnchor editAs="oneCell">
    <xdr:from>
      <xdr:col>5</xdr:col>
      <xdr:colOff>1060448</xdr:colOff>
      <xdr:row>56</xdr:row>
      <xdr:rowOff>150368</xdr:rowOff>
    </xdr:from>
    <xdr:to>
      <xdr:col>10</xdr:col>
      <xdr:colOff>94921</xdr:colOff>
      <xdr:row>66</xdr:row>
      <xdr:rowOff>3078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D1E5CF-6C73-4FEF-A38E-C96747932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63801" y="10713780"/>
          <a:ext cx="4348630" cy="1716263"/>
        </a:xfrm>
        <a:prstGeom prst="rect">
          <a:avLst/>
        </a:prstGeom>
      </xdr:spPr>
    </xdr:pic>
    <xdr:clientData/>
  </xdr:twoCellAnchor>
  <xdr:twoCellAnchor editAs="oneCell">
    <xdr:from>
      <xdr:col>2</xdr:col>
      <xdr:colOff>52364</xdr:colOff>
      <xdr:row>2</xdr:row>
      <xdr:rowOff>179713</xdr:rowOff>
    </xdr:from>
    <xdr:to>
      <xdr:col>4</xdr:col>
      <xdr:colOff>745375</xdr:colOff>
      <xdr:row>22</xdr:row>
      <xdr:rowOff>157241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A670F9-1E38-4613-9B10-AE38F8DEE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8870" y="600496"/>
          <a:ext cx="3043842" cy="3665118"/>
        </a:xfrm>
        <a:prstGeom prst="rect">
          <a:avLst/>
        </a:prstGeom>
      </xdr:spPr>
    </xdr:pic>
    <xdr:clientData/>
  </xdr:twoCellAnchor>
  <xdr:twoCellAnchor editAs="oneCell">
    <xdr:from>
      <xdr:col>9</xdr:col>
      <xdr:colOff>553234</xdr:colOff>
      <xdr:row>125</xdr:row>
      <xdr:rowOff>85826</xdr:rowOff>
    </xdr:from>
    <xdr:to>
      <xdr:col>29</xdr:col>
      <xdr:colOff>80608</xdr:colOff>
      <xdr:row>146</xdr:row>
      <xdr:rowOff>85826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037C36-766D-40CC-972F-ADF4C3DA52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0483" t="49009" r="19364" b="12073"/>
        <a:stretch/>
      </xdr:blipFill>
      <xdr:spPr>
        <a:xfrm>
          <a:off x="11296042" y="18126785"/>
          <a:ext cx="12827580" cy="3836096"/>
        </a:xfrm>
        <a:prstGeom prst="rect">
          <a:avLst/>
        </a:prstGeom>
      </xdr:spPr>
    </xdr:pic>
    <xdr:clientData/>
  </xdr:twoCellAnchor>
  <xdr:twoCellAnchor editAs="oneCell">
    <xdr:from>
      <xdr:col>1</xdr:col>
      <xdr:colOff>663370</xdr:colOff>
      <xdr:row>156</xdr:row>
      <xdr:rowOff>60366</xdr:rowOff>
    </xdr:from>
    <xdr:to>
      <xdr:col>21</xdr:col>
      <xdr:colOff>414629</xdr:colOff>
      <xdr:row>172</xdr:row>
      <xdr:rowOff>9566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69103B-A676-4774-93F3-890FC99258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7350" t="32464" r="10422" b="46063"/>
        <a:stretch/>
      </xdr:blipFill>
      <xdr:spPr>
        <a:xfrm>
          <a:off x="1275279" y="24190366"/>
          <a:ext cx="19733045" cy="29048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250658</xdr:colOff>
      <xdr:row>8</xdr:row>
      <xdr:rowOff>94316</xdr:rowOff>
    </xdr:from>
    <xdr:to>
      <xdr:col>13</xdr:col>
      <xdr:colOff>267368</xdr:colOff>
      <xdr:row>20</xdr:row>
      <xdr:rowOff>57559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29CCE0-CE3B-4484-A44F-C5BEE4992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850" t="30539" r="41314" b="10322"/>
        <a:stretch/>
      </xdr:blipFill>
      <xdr:spPr>
        <a:xfrm>
          <a:off x="4461711" y="1197211"/>
          <a:ext cx="3626183" cy="2352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292100</xdr:colOff>
      <xdr:row>32</xdr:row>
      <xdr:rowOff>133350</xdr:rowOff>
    </xdr:from>
    <xdr:to>
      <xdr:col>19</xdr:col>
      <xdr:colOff>512613</xdr:colOff>
      <xdr:row>55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B74D2B-43DA-4951-AFEF-98ED0E59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7300" y="1657350"/>
          <a:ext cx="3878113" cy="4197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425204</xdr:colOff>
      <xdr:row>3</xdr:row>
      <xdr:rowOff>78142</xdr:rowOff>
    </xdr:from>
    <xdr:to>
      <xdr:col>18</xdr:col>
      <xdr:colOff>428653</xdr:colOff>
      <xdr:row>24</xdr:row>
      <xdr:rowOff>67665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67383-B030-4DD7-A8D5-CE27A21E3C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16" t="20832" r="10307"/>
        <a:stretch/>
      </xdr:blipFill>
      <xdr:spPr>
        <a:xfrm>
          <a:off x="5307922" y="645326"/>
          <a:ext cx="7290537" cy="39598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441632</xdr:colOff>
      <xdr:row>11</xdr:row>
      <xdr:rowOff>76200</xdr:rowOff>
    </xdr:from>
    <xdr:to>
      <xdr:col>18</xdr:col>
      <xdr:colOff>154405</xdr:colOff>
      <xdr:row>26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1463B-93A8-4CD6-B1EC-58DAED4FC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5182" y="2470150"/>
          <a:ext cx="3370373" cy="280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571499</xdr:colOff>
      <xdr:row>0</xdr:row>
      <xdr:rowOff>0</xdr:rowOff>
    </xdr:from>
    <xdr:to>
      <xdr:col>17</xdr:col>
      <xdr:colOff>512940</xdr:colOff>
      <xdr:row>7</xdr:row>
      <xdr:rowOff>110358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980D6-46A8-4705-A0FB-BAB8E6626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25449" y="0"/>
          <a:ext cx="3599041" cy="1399408"/>
        </a:xfrm>
        <a:prstGeom prst="rect">
          <a:avLst/>
        </a:prstGeom>
      </xdr:spPr>
    </xdr:pic>
    <xdr:clientData/>
  </xdr:twoCellAnchor>
  <xdr:twoCellAnchor editAs="oneCell">
    <xdr:from>
      <xdr:col>8</xdr:col>
      <xdr:colOff>12459</xdr:colOff>
      <xdr:row>26</xdr:row>
      <xdr:rowOff>6350</xdr:rowOff>
    </xdr:from>
    <xdr:to>
      <xdr:col>14</xdr:col>
      <xdr:colOff>481331</xdr:colOff>
      <xdr:row>33</xdr:row>
      <xdr:rowOff>21823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3E4B46-6A69-489C-9E64-2914694EF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7609" y="5162550"/>
          <a:ext cx="4126472" cy="1304523"/>
        </a:xfrm>
        <a:prstGeom prst="rect">
          <a:avLst/>
        </a:prstGeom>
      </xdr:spPr>
    </xdr:pic>
    <xdr:clientData/>
  </xdr:twoCellAnchor>
  <xdr:twoCellAnchor editAs="oneCell">
    <xdr:from>
      <xdr:col>18</xdr:col>
      <xdr:colOff>273050</xdr:colOff>
      <xdr:row>1</xdr:row>
      <xdr:rowOff>31590</xdr:rowOff>
    </xdr:from>
    <xdr:to>
      <xdr:col>29</xdr:col>
      <xdr:colOff>578938</xdr:colOff>
      <xdr:row>11</xdr:row>
      <xdr:rowOff>158274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F00BE3-0F95-4278-AF79-10824D6BB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6350" y="215740"/>
          <a:ext cx="7011488" cy="1599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nggcyclopedia.com/2011/09/heating-values-natural-ga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worldweatheronline.com/loughborough-weather-averages/leicestershire/gb.aspx" TargetMode="External"/><Relationship Id="rId7" Type="http://schemas.openxmlformats.org/officeDocument/2006/relationships/hyperlink" Target="https://www.ise.fraunhofer.de/content/dam/ise/en/documents/publications/studies/EN2018_Fraunhofer-ISE_LCOE_Renewable_Energy_Technologies.pdf" TargetMode="External"/><Relationship Id="rId2" Type="http://schemas.openxmlformats.org/officeDocument/2006/relationships/hyperlink" Target="https://www.worldweatheronline.com/birmingham-weather-averages/west-midlands/gb.aspx" TargetMode="External"/><Relationship Id="rId1" Type="http://schemas.openxmlformats.org/officeDocument/2006/relationships/hyperlink" Target="https://ars.els-cdn.com/content/image/1-s2.0-S0306261918314715-mmc1.pdf" TargetMode="External"/><Relationship Id="rId6" Type="http://schemas.openxmlformats.org/officeDocument/2006/relationships/hyperlink" Target="https://assets.publishing.service.gov.uk/government/uploads/system/uploads/attachment_data/file/760479/H2_supply_chain_evidence_-_publication_version.pdf" TargetMode="External"/><Relationship Id="rId5" Type="http://schemas.openxmlformats.org/officeDocument/2006/relationships/hyperlink" Target="https://www.metoffice.gov.uk/research/climate/maps-and-data/regional-climates/index" TargetMode="External"/><Relationship Id="rId4" Type="http://schemas.openxmlformats.org/officeDocument/2006/relationships/hyperlink" Target="https://www.worldweatheronline.com/durham-weather-averages/county-durham/gb.aspx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carbon-calculator.org.uk/" TargetMode="External"/><Relationship Id="rId1" Type="http://schemas.openxmlformats.org/officeDocument/2006/relationships/hyperlink" Target="https://www.thechemicalengineer.com/features/clean-hydrogen-part-1-hydrogen-from-natural-gas-through-cost-effective-co2-captur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nfrastructure.planninginspectorate.gov.uk/wp-content/ipc/uploads/projects/EN030002/EN030002-000783-KGSL%20-%20Beutal%20Black%20Salt%20Deposits%20and%20Gas%20Cavern%20Storage%20in%20the%20UK.pdf" TargetMode="External"/><Relationship Id="rId2" Type="http://schemas.openxmlformats.org/officeDocument/2006/relationships/hyperlink" Target="https://infrastructure.planninginspectorate.gov.uk/wp-content/ipc/uploads/projects/EN030002/EN030002-000783-KGSL%20-%20Beutal%20Black%20Salt%20Deposits%20and%20Gas%20Cavern%20Storage%20in%20the%20UK.pdf" TargetMode="External"/><Relationship Id="rId1" Type="http://schemas.openxmlformats.org/officeDocument/2006/relationships/hyperlink" Target="https://infrastructure.planninginspectorate.gov.uk/wp-content/ipc/uploads/projects/EN030002/EN030002-000783-KGSL%20-%20Beutal%20Black%20Salt%20Deposits%20and%20Gas%20Cavern%20Storage%20in%20the%20UK.pdf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ars.els-cdn.com/content/image/1-s2.0-S0306261918314715-mmc1.pdf" TargetMode="External"/><Relationship Id="rId4" Type="http://schemas.openxmlformats.org/officeDocument/2006/relationships/hyperlink" Target="https://www.ofgem.gov.uk/sites/default/files/docs/2015/02/hornsea_exemption_application_final_public_0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eci.ox.ac.uk/publications/downloads/sinden06-windresource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s://ars.els-cdn.com/content/image/1-s2.0-S0306261918314715-mmc1.pdf" TargetMode="External"/><Relationship Id="rId7" Type="http://schemas.openxmlformats.org/officeDocument/2006/relationships/hyperlink" Target="https://assets.publishing.service.gov.uk/government/uploads/system/uploads/attachment_data/file/760479/H2_supply_chain_evidence_-_publication_version.pdf" TargetMode="External"/><Relationship Id="rId2" Type="http://schemas.openxmlformats.org/officeDocument/2006/relationships/hyperlink" Target="https://ars.els-cdn.com/content/image/1-s2.0-S0306261918314715-mmc1.pdf" TargetMode="External"/><Relationship Id="rId1" Type="http://schemas.openxmlformats.org/officeDocument/2006/relationships/hyperlink" Target="https://www.nrel.gov/docs/fy13osti/56412.pdf" TargetMode="External"/><Relationship Id="rId6" Type="http://schemas.openxmlformats.org/officeDocument/2006/relationships/hyperlink" Target="https://www.irena.org/-/media/Files/IRENA/Agency/Publication/2018/Jan/IRENA_2017_Power_Costs_2018.pdf%20-%20page%20108" TargetMode="External"/><Relationship Id="rId5" Type="http://schemas.openxmlformats.org/officeDocument/2006/relationships/hyperlink" Target="https://www.irena.org/-/media/Files/IRENA/Agency/Publication/2018/Jan/IRENA_2017_Power_Costs_2018.pdf%20-%20page%20108" TargetMode="External"/><Relationship Id="rId4" Type="http://schemas.openxmlformats.org/officeDocument/2006/relationships/hyperlink" Target="https://ars.els-cdn.com/content/image/1-s2.0-S0306261918314715-mmc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B5D7-E6C9-4F3A-AE7F-5C6F2FA29EC5}">
  <dimension ref="A1:G29"/>
  <sheetViews>
    <sheetView workbookViewId="0">
      <selection activeCell="E19" sqref="E19"/>
    </sheetView>
  </sheetViews>
  <sheetFormatPr defaultRowHeight="14.5" x14ac:dyDescent="0.35"/>
  <cols>
    <col min="1" max="1" width="18.54296875" bestFit="1" customWidth="1"/>
    <col min="2" max="2" width="11.81640625" bestFit="1" customWidth="1"/>
  </cols>
  <sheetData>
    <row r="1" spans="1:7" ht="18.5" x14ac:dyDescent="0.45">
      <c r="A1" s="40" t="s">
        <v>126</v>
      </c>
    </row>
    <row r="2" spans="1:7" s="3" customFormat="1" x14ac:dyDescent="0.35">
      <c r="A2" s="3" t="s">
        <v>127</v>
      </c>
    </row>
    <row r="3" spans="1:7" x14ac:dyDescent="0.35">
      <c r="A3" t="s">
        <v>129</v>
      </c>
      <c r="B3">
        <f>2067/52.5</f>
        <v>39.371428571428574</v>
      </c>
      <c r="C3" t="s">
        <v>205</v>
      </c>
    </row>
    <row r="4" spans="1:7" x14ac:dyDescent="0.35">
      <c r="A4" t="s">
        <v>130</v>
      </c>
      <c r="B4">
        <f>1/(3.6/12.1)/1000</f>
        <v>3.3611111111111112E-3</v>
      </c>
      <c r="D4" t="s">
        <v>128</v>
      </c>
    </row>
    <row r="5" spans="1:7" x14ac:dyDescent="0.35">
      <c r="A5" t="s">
        <v>131</v>
      </c>
      <c r="B5">
        <v>12.1</v>
      </c>
    </row>
    <row r="8" spans="1:7" s="3" customFormat="1" x14ac:dyDescent="0.35">
      <c r="A8" s="3" t="s">
        <v>139</v>
      </c>
    </row>
    <row r="9" spans="1:7" x14ac:dyDescent="0.35">
      <c r="A9" t="s">
        <v>140</v>
      </c>
      <c r="B9">
        <v>0.77339599999999997</v>
      </c>
    </row>
    <row r="10" spans="1:7" x14ac:dyDescent="0.35">
      <c r="A10" t="s">
        <v>141</v>
      </c>
      <c r="B10">
        <f>1/1.15803</f>
        <v>0.86353548699083793</v>
      </c>
    </row>
    <row r="12" spans="1:7" x14ac:dyDescent="0.35">
      <c r="F12">
        <f>B17/B16</f>
        <v>0.30054884742041715</v>
      </c>
      <c r="G12" t="s">
        <v>298</v>
      </c>
    </row>
    <row r="13" spans="1:7" x14ac:dyDescent="0.35">
      <c r="E13">
        <f>0.8+0.2*F12</f>
        <v>0.86010976948408346</v>
      </c>
    </row>
    <row r="14" spans="1:7" x14ac:dyDescent="0.35">
      <c r="A14" t="s">
        <v>231</v>
      </c>
    </row>
    <row r="15" spans="1:7" x14ac:dyDescent="0.35">
      <c r="A15" t="s">
        <v>237</v>
      </c>
      <c r="B15">
        <v>8</v>
      </c>
      <c r="C15" t="s">
        <v>232</v>
      </c>
    </row>
    <row r="16" spans="1:7" x14ac:dyDescent="0.35">
      <c r="A16" t="s">
        <v>236</v>
      </c>
      <c r="B16">
        <v>911</v>
      </c>
      <c r="C16" t="s">
        <v>239</v>
      </c>
      <c r="D16" s="4" t="s">
        <v>238</v>
      </c>
    </row>
    <row r="17" spans="1:7" x14ac:dyDescent="0.35">
      <c r="A17" t="s">
        <v>240</v>
      </c>
      <c r="B17">
        <v>273.8</v>
      </c>
      <c r="C17" s="71" t="s">
        <v>239</v>
      </c>
    </row>
    <row r="18" spans="1:7" x14ac:dyDescent="0.35">
      <c r="B18">
        <v>0.03</v>
      </c>
      <c r="C18" t="s">
        <v>242</v>
      </c>
    </row>
    <row r="19" spans="1:7" x14ac:dyDescent="0.35">
      <c r="B19">
        <f>B18*1000</f>
        <v>30</v>
      </c>
      <c r="C19" t="s">
        <v>241</v>
      </c>
    </row>
    <row r="20" spans="1:7" s="71" customFormat="1" x14ac:dyDescent="0.35">
      <c r="B20" s="71">
        <f>B19*0.000001</f>
        <v>2.9999999999999997E-5</v>
      </c>
      <c r="C20" s="71" t="s">
        <v>243</v>
      </c>
    </row>
    <row r="21" spans="1:7" s="71" customFormat="1" x14ac:dyDescent="0.35"/>
    <row r="22" spans="1:7" s="71" customFormat="1" x14ac:dyDescent="0.35"/>
    <row r="23" spans="1:7" s="71" customFormat="1" x14ac:dyDescent="0.35">
      <c r="E23" s="71" t="s">
        <v>299</v>
      </c>
      <c r="F23" s="71">
        <f>0.36*1000000/(8760*5)</f>
        <v>8.2191780821917817</v>
      </c>
      <c r="G23" s="71" t="s">
        <v>241</v>
      </c>
    </row>
    <row r="24" spans="1:7" s="71" customFormat="1" x14ac:dyDescent="0.35"/>
    <row r="25" spans="1:7" s="71" customFormat="1" x14ac:dyDescent="0.35"/>
    <row r="27" spans="1:7" x14ac:dyDescent="0.35">
      <c r="A27" t="s">
        <v>233</v>
      </c>
    </row>
    <row r="28" spans="1:7" x14ac:dyDescent="0.35">
      <c r="A28" t="s">
        <v>234</v>
      </c>
    </row>
    <row r="29" spans="1:7" x14ac:dyDescent="0.35">
      <c r="A29" t="s">
        <v>235</v>
      </c>
    </row>
  </sheetData>
  <hyperlinks>
    <hyperlink ref="D16" r:id="rId1" xr:uid="{3D8BFDA3-0372-4BC3-BB2A-265BDA842DE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AA58-066E-489A-A394-7917ECEB4E25}">
  <dimension ref="A1:AC162"/>
  <sheetViews>
    <sheetView topLeftCell="A39" zoomScale="67" zoomScaleNormal="85" workbookViewId="0">
      <selection activeCell="H3" sqref="H3"/>
    </sheetView>
  </sheetViews>
  <sheetFormatPr defaultRowHeight="14.5" x14ac:dyDescent="0.35"/>
  <cols>
    <col min="2" max="2" width="46.90625" bestFit="1" customWidth="1"/>
    <col min="3" max="3" width="16.7265625" bestFit="1" customWidth="1"/>
    <col min="4" max="4" width="17.08984375" bestFit="1" customWidth="1"/>
    <col min="5" max="5" width="17" bestFit="1" customWidth="1"/>
    <col min="6" max="6" width="17.26953125" bestFit="1" customWidth="1"/>
    <col min="7" max="7" width="12.36328125" bestFit="1" customWidth="1"/>
    <col min="8" max="8" width="25.1796875" bestFit="1" customWidth="1"/>
    <col min="9" max="9" width="12.36328125" bestFit="1" customWidth="1"/>
    <col min="15" max="15" width="12.54296875" bestFit="1" customWidth="1"/>
    <col min="16" max="16" width="14.6328125" bestFit="1" customWidth="1"/>
    <col min="17" max="17" width="15" bestFit="1" customWidth="1"/>
  </cols>
  <sheetData>
    <row r="1" spans="2:9" s="3" customFormat="1" ht="18.5" x14ac:dyDescent="0.45">
      <c r="B1" s="2" t="s">
        <v>40</v>
      </c>
    </row>
    <row r="3" spans="2:9" ht="15.5" x14ac:dyDescent="0.35">
      <c r="B3" s="13" t="s">
        <v>41</v>
      </c>
      <c r="G3" t="s">
        <v>300</v>
      </c>
      <c r="H3" s="72" t="s">
        <v>190</v>
      </c>
      <c r="I3" s="72" t="s">
        <v>306</v>
      </c>
    </row>
    <row r="4" spans="2:9" x14ac:dyDescent="0.35">
      <c r="F4" s="72" t="s">
        <v>169</v>
      </c>
      <c r="G4">
        <v>1</v>
      </c>
      <c r="H4" s="64">
        <f>0.75*259.75</f>
        <v>194.8125</v>
      </c>
      <c r="I4" t="s">
        <v>199</v>
      </c>
    </row>
    <row r="5" spans="2:9" x14ac:dyDescent="0.35">
      <c r="F5" s="72" t="s">
        <v>170</v>
      </c>
      <c r="G5">
        <v>2</v>
      </c>
      <c r="H5" s="64">
        <f>0.25*259.75+0.35*601.46</f>
        <v>275.44849999999997</v>
      </c>
      <c r="I5" t="s">
        <v>198</v>
      </c>
    </row>
    <row r="6" spans="2:9" x14ac:dyDescent="0.35">
      <c r="F6" s="72" t="s">
        <v>171</v>
      </c>
      <c r="G6" s="71">
        <v>3</v>
      </c>
      <c r="H6" s="64">
        <v>355.71</v>
      </c>
      <c r="I6" t="s">
        <v>193</v>
      </c>
    </row>
    <row r="7" spans="2:9" x14ac:dyDescent="0.35">
      <c r="F7" s="72" t="s">
        <v>172</v>
      </c>
      <c r="G7" s="71">
        <v>4</v>
      </c>
      <c r="H7" s="64">
        <f>168.25+0.25*281.37+0.2*445.71</f>
        <v>327.73450000000003</v>
      </c>
      <c r="I7" t="s">
        <v>192</v>
      </c>
    </row>
    <row r="8" spans="2:9" x14ac:dyDescent="0.35">
      <c r="F8" s="72" t="s">
        <v>173</v>
      </c>
      <c r="G8" s="71">
        <v>5</v>
      </c>
      <c r="H8" s="64">
        <f>0.35*601.46+0.2*616.9+0.5*281.27</f>
        <v>474.52599999999995</v>
      </c>
      <c r="I8" t="s">
        <v>191</v>
      </c>
    </row>
    <row r="9" spans="2:9" x14ac:dyDescent="0.35">
      <c r="F9" s="72" t="s">
        <v>174</v>
      </c>
      <c r="G9" s="71">
        <v>6</v>
      </c>
      <c r="H9" s="64">
        <f>0.8*445.71+0.5*71.4+0.25*281.37</f>
        <v>462.6105</v>
      </c>
      <c r="I9" t="s">
        <v>200</v>
      </c>
    </row>
    <row r="10" spans="2:9" x14ac:dyDescent="0.35">
      <c r="F10" s="72" t="s">
        <v>96</v>
      </c>
      <c r="G10" s="71">
        <v>7</v>
      </c>
      <c r="H10" s="55">
        <v>0</v>
      </c>
    </row>
    <row r="11" spans="2:9" x14ac:dyDescent="0.35">
      <c r="F11" s="72" t="s">
        <v>97</v>
      </c>
      <c r="G11" s="71">
        <v>8</v>
      </c>
      <c r="H11" s="64">
        <f>0.6*61.34</f>
        <v>36.804000000000002</v>
      </c>
      <c r="I11" t="s">
        <v>194</v>
      </c>
    </row>
    <row r="12" spans="2:9" x14ac:dyDescent="0.35">
      <c r="F12" s="72" t="s">
        <v>175</v>
      </c>
      <c r="G12" s="71">
        <v>9</v>
      </c>
      <c r="H12" s="64">
        <f>0.4*61.34+159.29+0.5*71.4+0.3*616.9</f>
        <v>404.596</v>
      </c>
      <c r="I12" t="s">
        <v>195</v>
      </c>
    </row>
    <row r="13" spans="2:9" x14ac:dyDescent="0.35">
      <c r="F13" s="72" t="s">
        <v>176</v>
      </c>
      <c r="G13" s="71">
        <v>10</v>
      </c>
      <c r="H13" s="55">
        <f>444.21+0.2*616.9</f>
        <v>567.58999999999992</v>
      </c>
      <c r="I13" t="s">
        <v>196</v>
      </c>
    </row>
    <row r="14" spans="2:9" x14ac:dyDescent="0.35">
      <c r="F14" s="72" t="s">
        <v>177</v>
      </c>
      <c r="G14" s="71">
        <v>11</v>
      </c>
      <c r="H14" s="55">
        <f>74.19+140.69+7.11+147.49+420.41</f>
        <v>789.8900000000001</v>
      </c>
      <c r="I14" t="s">
        <v>197</v>
      </c>
    </row>
    <row r="15" spans="2:9" x14ac:dyDescent="0.35">
      <c r="F15" s="72" t="s">
        <v>98</v>
      </c>
      <c r="G15" s="71">
        <v>12</v>
      </c>
      <c r="H15" s="64">
        <f>0.3*616.9+0.3*601.46</f>
        <v>365.50800000000004</v>
      </c>
      <c r="I15" t="s">
        <v>201</v>
      </c>
    </row>
    <row r="16" spans="2:9" x14ac:dyDescent="0.35">
      <c r="G16" s="71"/>
    </row>
    <row r="27" spans="2:3" x14ac:dyDescent="0.35">
      <c r="B27" t="s">
        <v>42</v>
      </c>
    </row>
    <row r="28" spans="2:3" x14ac:dyDescent="0.35">
      <c r="B28" t="s">
        <v>44</v>
      </c>
      <c r="C28" s="14" t="s">
        <v>45</v>
      </c>
    </row>
    <row r="30" spans="2:3" ht="15.5" x14ac:dyDescent="0.35">
      <c r="B30" s="13" t="s">
        <v>43</v>
      </c>
    </row>
    <row r="51" spans="1:5" x14ac:dyDescent="0.35">
      <c r="B51" t="s">
        <v>44</v>
      </c>
      <c r="C51" s="15" t="s">
        <v>46</v>
      </c>
    </row>
    <row r="55" spans="1:5" s="49" customFormat="1" ht="18.5" x14ac:dyDescent="0.45">
      <c r="A55" s="48" t="s">
        <v>53</v>
      </c>
    </row>
    <row r="56" spans="1:5" s="3" customFormat="1" x14ac:dyDescent="0.35">
      <c r="B56" s="50" t="s">
        <v>144</v>
      </c>
    </row>
    <row r="57" spans="1:5" x14ac:dyDescent="0.35">
      <c r="C57" s="1" t="s">
        <v>59</v>
      </c>
      <c r="D57" s="1" t="s">
        <v>60</v>
      </c>
      <c r="E57" s="1" t="s">
        <v>44</v>
      </c>
    </row>
    <row r="58" spans="1:5" x14ac:dyDescent="0.35">
      <c r="B58" t="s">
        <v>61</v>
      </c>
      <c r="C58">
        <v>35</v>
      </c>
      <c r="D58">
        <v>54</v>
      </c>
      <c r="E58" s="4" t="s">
        <v>54</v>
      </c>
    </row>
    <row r="59" spans="1:5" x14ac:dyDescent="0.35">
      <c r="B59" t="s">
        <v>62</v>
      </c>
      <c r="C59">
        <v>3.5</v>
      </c>
      <c r="D59">
        <v>3.5</v>
      </c>
    </row>
    <row r="60" spans="1:5" x14ac:dyDescent="0.35">
      <c r="B60" t="s">
        <v>63</v>
      </c>
      <c r="C60">
        <v>25</v>
      </c>
      <c r="D60">
        <v>25</v>
      </c>
    </row>
    <row r="61" spans="1:5" x14ac:dyDescent="0.35">
      <c r="B61" t="s">
        <v>64</v>
      </c>
      <c r="C61">
        <v>0.35</v>
      </c>
      <c r="D61">
        <v>0.4</v>
      </c>
    </row>
    <row r="62" spans="1:5" x14ac:dyDescent="0.35">
      <c r="B62" t="s">
        <v>65</v>
      </c>
      <c r="C62">
        <v>500</v>
      </c>
      <c r="D62">
        <v>770</v>
      </c>
    </row>
    <row r="63" spans="1:5" x14ac:dyDescent="0.35">
      <c r="B63" t="s">
        <v>66</v>
      </c>
      <c r="C63">
        <v>50</v>
      </c>
      <c r="D63">
        <v>77</v>
      </c>
    </row>
    <row r="64" spans="1:5" x14ac:dyDescent="0.35">
      <c r="B64" t="s">
        <v>67</v>
      </c>
      <c r="C64">
        <v>14</v>
      </c>
      <c r="D64">
        <v>14</v>
      </c>
    </row>
    <row r="65" spans="1:29" x14ac:dyDescent="0.35">
      <c r="B65" t="s">
        <v>68</v>
      </c>
      <c r="C65">
        <v>25</v>
      </c>
      <c r="D65">
        <v>25</v>
      </c>
    </row>
    <row r="66" spans="1:29" x14ac:dyDescent="0.35">
      <c r="B66" t="s">
        <v>166</v>
      </c>
      <c r="C66" s="43">
        <f>(0.5*C$61*1.23*PI()*C$63^2*C$59^3)/1000000</f>
        <v>7.2483169315320187E-2</v>
      </c>
      <c r="D66" s="43">
        <f>(0.5*D$61*1.23*PI()*D$63^2*D$59^3)/1000000</f>
        <v>0.19645838211224384</v>
      </c>
      <c r="AC66" s="43"/>
    </row>
    <row r="67" spans="1:29" x14ac:dyDescent="0.35">
      <c r="B67" t="s">
        <v>167</v>
      </c>
      <c r="C67" s="43">
        <v>4</v>
      </c>
      <c r="D67" s="43">
        <v>6</v>
      </c>
      <c r="AC67" s="43"/>
    </row>
    <row r="68" spans="1:29" x14ac:dyDescent="0.35">
      <c r="B68" t="s">
        <v>168</v>
      </c>
      <c r="C68" s="43"/>
      <c r="D68" s="43">
        <f>31.2/43.6</f>
        <v>0.71559633027522929</v>
      </c>
      <c r="AC68" s="43"/>
    </row>
    <row r="69" spans="1:29" x14ac:dyDescent="0.35">
      <c r="B69" s="1" t="s">
        <v>142</v>
      </c>
      <c r="C69" s="64">
        <f>C66*$D$68</f>
        <v>5.1868689968761227E-2</v>
      </c>
      <c r="D69" s="64">
        <f>D66*$D$68</f>
        <v>0.14058489729133045</v>
      </c>
      <c r="AC69" s="43"/>
    </row>
    <row r="70" spans="1:29" x14ac:dyDescent="0.35">
      <c r="B70" s="1" t="s">
        <v>143</v>
      </c>
      <c r="C70" s="64">
        <f>C67*$D$68</f>
        <v>2.8623853211009171</v>
      </c>
      <c r="D70" s="64">
        <f>D67*$D$68</f>
        <v>4.2935779816513762</v>
      </c>
      <c r="AC70" s="43"/>
    </row>
    <row r="72" spans="1:29" hidden="1" x14ac:dyDescent="0.35">
      <c r="A72" s="46" t="s">
        <v>5</v>
      </c>
      <c r="B72" s="1" t="s">
        <v>125</v>
      </c>
      <c r="C72" t="s">
        <v>100</v>
      </c>
      <c r="D72" t="s">
        <v>101</v>
      </c>
      <c r="E72" t="s">
        <v>102</v>
      </c>
      <c r="F72" t="s">
        <v>103</v>
      </c>
      <c r="G72" t="s">
        <v>104</v>
      </c>
      <c r="H72" t="s">
        <v>105</v>
      </c>
      <c r="I72" t="s">
        <v>106</v>
      </c>
      <c r="J72" t="s">
        <v>107</v>
      </c>
      <c r="K72" t="s">
        <v>108</v>
      </c>
      <c r="L72" t="s">
        <v>109</v>
      </c>
      <c r="M72" t="s">
        <v>110</v>
      </c>
      <c r="N72" t="s">
        <v>111</v>
      </c>
      <c r="O72" s="1" t="s">
        <v>14</v>
      </c>
      <c r="P72" s="4" t="s">
        <v>99</v>
      </c>
    </row>
    <row r="73" spans="1:29" hidden="1" x14ac:dyDescent="0.35">
      <c r="A73">
        <v>1</v>
      </c>
      <c r="B73" s="16" t="s">
        <v>117</v>
      </c>
      <c r="C73">
        <v>16.899999999999999</v>
      </c>
      <c r="D73">
        <v>18.100000000000001</v>
      </c>
      <c r="E73">
        <v>20.7</v>
      </c>
      <c r="F73">
        <v>13.8</v>
      </c>
      <c r="G73">
        <v>13.9</v>
      </c>
      <c r="H73">
        <v>15.6</v>
      </c>
      <c r="I73">
        <v>13.4</v>
      </c>
      <c r="J73">
        <v>16.3</v>
      </c>
      <c r="K73">
        <v>14.6</v>
      </c>
      <c r="L73">
        <v>15.2</v>
      </c>
      <c r="M73">
        <v>19.100000000000001</v>
      </c>
      <c r="N73">
        <v>15.8</v>
      </c>
      <c r="O73" s="4" t="s">
        <v>116</v>
      </c>
    </row>
    <row r="74" spans="1:29" hidden="1" x14ac:dyDescent="0.35">
      <c r="A74">
        <v>2</v>
      </c>
      <c r="B74" s="16" t="s">
        <v>118</v>
      </c>
      <c r="C74">
        <v>12.9</v>
      </c>
      <c r="D74">
        <v>15.3</v>
      </c>
      <c r="E74">
        <v>18</v>
      </c>
      <c r="F74">
        <v>15.6</v>
      </c>
      <c r="G74">
        <v>12.3</v>
      </c>
      <c r="H74">
        <v>13.7</v>
      </c>
      <c r="I74">
        <v>12</v>
      </c>
      <c r="J74">
        <v>14.5</v>
      </c>
      <c r="K74">
        <v>12.3</v>
      </c>
      <c r="L74">
        <v>13.2</v>
      </c>
      <c r="M74">
        <v>18.100000000000001</v>
      </c>
      <c r="N74">
        <v>14.8</v>
      </c>
    </row>
    <row r="75" spans="1:29" hidden="1" x14ac:dyDescent="0.35">
      <c r="A75">
        <v>3</v>
      </c>
      <c r="B75" s="16" t="s">
        <v>119</v>
      </c>
      <c r="C75">
        <v>14.7</v>
      </c>
      <c r="D75">
        <v>15.2</v>
      </c>
      <c r="E75">
        <v>18.899999999999999</v>
      </c>
      <c r="F75">
        <v>12.9</v>
      </c>
      <c r="G75">
        <v>12.4</v>
      </c>
      <c r="H75">
        <v>13.7</v>
      </c>
      <c r="I75">
        <v>12.2</v>
      </c>
      <c r="J75">
        <v>15.6</v>
      </c>
      <c r="K75">
        <v>13.5</v>
      </c>
      <c r="L75">
        <v>13.4</v>
      </c>
      <c r="M75">
        <v>16.100000000000001</v>
      </c>
      <c r="N75">
        <v>14.6</v>
      </c>
    </row>
    <row r="76" spans="1:29" hidden="1" x14ac:dyDescent="0.35">
      <c r="A76">
        <v>4</v>
      </c>
      <c r="B76" s="16" t="s">
        <v>114</v>
      </c>
      <c r="C76">
        <v>15</v>
      </c>
      <c r="D76">
        <v>17.100000000000001</v>
      </c>
      <c r="E76">
        <v>20.2</v>
      </c>
      <c r="F76">
        <v>15.1</v>
      </c>
      <c r="G76">
        <v>12.8</v>
      </c>
      <c r="H76">
        <v>15.4</v>
      </c>
      <c r="I76">
        <v>13.4</v>
      </c>
      <c r="J76">
        <v>16.2</v>
      </c>
      <c r="K76">
        <v>14.7</v>
      </c>
      <c r="L76">
        <v>16.2</v>
      </c>
      <c r="M76">
        <v>18.3</v>
      </c>
      <c r="N76">
        <v>16.8</v>
      </c>
      <c r="O76" s="4" t="s">
        <v>115</v>
      </c>
    </row>
    <row r="77" spans="1:29" hidden="1" x14ac:dyDescent="0.35">
      <c r="A77">
        <v>5</v>
      </c>
      <c r="B77" s="16" t="s">
        <v>113</v>
      </c>
      <c r="C77">
        <v>14.1</v>
      </c>
      <c r="D77">
        <v>15.8</v>
      </c>
      <c r="E77">
        <v>18.899999999999999</v>
      </c>
      <c r="F77">
        <v>14.9</v>
      </c>
      <c r="G77">
        <v>12.2</v>
      </c>
      <c r="H77">
        <v>14.6</v>
      </c>
      <c r="I77">
        <v>13</v>
      </c>
      <c r="J77">
        <v>15.9</v>
      </c>
      <c r="K77">
        <v>14.3</v>
      </c>
      <c r="L77">
        <v>15.6</v>
      </c>
      <c r="M77">
        <v>17.600000000000001</v>
      </c>
      <c r="N77">
        <v>16.2</v>
      </c>
      <c r="O77" s="4" t="s">
        <v>112</v>
      </c>
    </row>
    <row r="78" spans="1:29" hidden="1" x14ac:dyDescent="0.35">
      <c r="A78">
        <v>6</v>
      </c>
      <c r="B78" s="16" t="s">
        <v>120</v>
      </c>
      <c r="C78">
        <v>18.5</v>
      </c>
      <c r="D78">
        <v>17.2</v>
      </c>
      <c r="E78">
        <v>20.9</v>
      </c>
      <c r="F78">
        <v>16.3</v>
      </c>
      <c r="G78">
        <v>13.5</v>
      </c>
      <c r="H78">
        <v>16.100000000000001</v>
      </c>
      <c r="I78">
        <v>14.3</v>
      </c>
      <c r="J78">
        <v>17.3</v>
      </c>
      <c r="K78">
        <v>16.7</v>
      </c>
      <c r="L78">
        <v>18.100000000000001</v>
      </c>
      <c r="M78">
        <v>19.600000000000001</v>
      </c>
      <c r="N78">
        <v>17.899999999999999</v>
      </c>
      <c r="O78" s="39"/>
    </row>
    <row r="79" spans="1:29" hidden="1" x14ac:dyDescent="0.35">
      <c r="A79">
        <v>7</v>
      </c>
      <c r="B79" s="16" t="s">
        <v>96</v>
      </c>
      <c r="C79">
        <v>13.4</v>
      </c>
      <c r="D79">
        <v>13.7</v>
      </c>
      <c r="E79">
        <v>17.600000000000001</v>
      </c>
      <c r="F79">
        <v>13.3</v>
      </c>
      <c r="G79">
        <v>11.7</v>
      </c>
      <c r="H79">
        <v>14.2</v>
      </c>
      <c r="I79">
        <v>12.7</v>
      </c>
      <c r="J79">
        <v>14.6</v>
      </c>
      <c r="K79">
        <v>14.2</v>
      </c>
      <c r="L79">
        <v>14.8</v>
      </c>
      <c r="M79">
        <v>15.4</v>
      </c>
      <c r="N79">
        <v>14.3</v>
      </c>
      <c r="O79" s="39"/>
    </row>
    <row r="80" spans="1:29" hidden="1" x14ac:dyDescent="0.35">
      <c r="A80">
        <v>8</v>
      </c>
      <c r="B80" s="16" t="s">
        <v>97</v>
      </c>
      <c r="C80">
        <v>13.4</v>
      </c>
      <c r="D80">
        <v>13.7</v>
      </c>
      <c r="E80">
        <v>17.600000000000001</v>
      </c>
      <c r="F80">
        <v>13.3</v>
      </c>
      <c r="G80">
        <v>11.7</v>
      </c>
      <c r="H80">
        <v>14.2</v>
      </c>
      <c r="I80">
        <v>12.7</v>
      </c>
      <c r="J80">
        <v>14.6</v>
      </c>
      <c r="K80">
        <v>14.2</v>
      </c>
      <c r="L80">
        <v>14.8</v>
      </c>
      <c r="M80">
        <v>15.4</v>
      </c>
      <c r="N80">
        <v>14.3</v>
      </c>
      <c r="O80" s="39"/>
    </row>
    <row r="81" spans="1:17" hidden="1" x14ac:dyDescent="0.35">
      <c r="A81">
        <v>9</v>
      </c>
      <c r="B81" s="16" t="s">
        <v>121</v>
      </c>
      <c r="C81">
        <v>15.3</v>
      </c>
      <c r="D81">
        <v>16.100000000000001</v>
      </c>
      <c r="E81">
        <v>19.399999999999999</v>
      </c>
      <c r="F81">
        <v>14.8</v>
      </c>
      <c r="G81">
        <v>12.9</v>
      </c>
      <c r="H81">
        <v>15.5</v>
      </c>
      <c r="I81">
        <v>12.9</v>
      </c>
      <c r="J81">
        <v>15.3</v>
      </c>
      <c r="K81">
        <v>16.2</v>
      </c>
      <c r="L81">
        <v>16.8</v>
      </c>
      <c r="M81">
        <v>18.899999999999999</v>
      </c>
      <c r="N81">
        <v>17.2</v>
      </c>
      <c r="O81" s="39"/>
    </row>
    <row r="82" spans="1:17" hidden="1" x14ac:dyDescent="0.35">
      <c r="A82">
        <v>10</v>
      </c>
      <c r="B82" s="16" t="s">
        <v>122</v>
      </c>
      <c r="C82">
        <v>14.3</v>
      </c>
      <c r="D82">
        <v>17.2</v>
      </c>
      <c r="E82">
        <v>19.899999999999999</v>
      </c>
      <c r="F82">
        <v>14.6</v>
      </c>
      <c r="G82">
        <v>12.6</v>
      </c>
      <c r="H82">
        <v>15.9</v>
      </c>
      <c r="I82">
        <v>12.6</v>
      </c>
      <c r="J82">
        <v>16.5</v>
      </c>
      <c r="K82">
        <v>16.899999999999999</v>
      </c>
      <c r="L82">
        <v>17.600000000000001</v>
      </c>
      <c r="M82">
        <v>19.5</v>
      </c>
      <c r="N82">
        <v>18.5</v>
      </c>
      <c r="O82" s="39"/>
    </row>
    <row r="83" spans="1:17" hidden="1" x14ac:dyDescent="0.35">
      <c r="A83">
        <v>11</v>
      </c>
      <c r="B83" s="16" t="s">
        <v>123</v>
      </c>
      <c r="C83">
        <v>16.8</v>
      </c>
      <c r="D83">
        <v>17.600000000000001</v>
      </c>
      <c r="E83">
        <v>21.8</v>
      </c>
      <c r="F83">
        <v>14.8</v>
      </c>
      <c r="G83">
        <v>12.9</v>
      </c>
      <c r="H83">
        <v>14.7</v>
      </c>
      <c r="I83">
        <v>12.7</v>
      </c>
      <c r="J83">
        <v>14.1</v>
      </c>
      <c r="K83">
        <v>13.8</v>
      </c>
      <c r="L83">
        <v>15.1</v>
      </c>
      <c r="M83">
        <v>18.600000000000001</v>
      </c>
      <c r="N83">
        <v>17.5</v>
      </c>
      <c r="O83" s="39"/>
    </row>
    <row r="84" spans="1:17" hidden="1" x14ac:dyDescent="0.35">
      <c r="A84">
        <v>12</v>
      </c>
      <c r="B84" s="16" t="s">
        <v>98</v>
      </c>
      <c r="C84">
        <v>15.1</v>
      </c>
      <c r="D84">
        <v>17.3</v>
      </c>
      <c r="E84">
        <v>19.8</v>
      </c>
      <c r="F84">
        <v>14</v>
      </c>
      <c r="G84">
        <v>12.6</v>
      </c>
      <c r="H84">
        <v>14.9</v>
      </c>
      <c r="I84">
        <v>13.2</v>
      </c>
      <c r="J84">
        <v>17</v>
      </c>
      <c r="K84">
        <v>14.7</v>
      </c>
      <c r="L84">
        <v>15.8</v>
      </c>
      <c r="M84">
        <v>17.899999999999999</v>
      </c>
      <c r="N84">
        <v>15.8</v>
      </c>
      <c r="O84" s="39"/>
    </row>
    <row r="85" spans="1:17" x14ac:dyDescent="0.35">
      <c r="B85" s="16"/>
      <c r="O85" s="39"/>
    </row>
    <row r="86" spans="1:17" hidden="1" x14ac:dyDescent="0.35">
      <c r="A86" s="46" t="s">
        <v>5</v>
      </c>
      <c r="B86" s="1" t="s">
        <v>145</v>
      </c>
      <c r="C86" t="s">
        <v>100</v>
      </c>
      <c r="D86" t="s">
        <v>101</v>
      </c>
      <c r="E86" t="s">
        <v>102</v>
      </c>
      <c r="F86" t="s">
        <v>103</v>
      </c>
      <c r="G86" t="s">
        <v>104</v>
      </c>
      <c r="H86" t="s">
        <v>105</v>
      </c>
      <c r="I86" t="s">
        <v>106</v>
      </c>
      <c r="J86" t="s">
        <v>107</v>
      </c>
      <c r="K86" t="s">
        <v>108</v>
      </c>
      <c r="L86" t="s">
        <v>109</v>
      </c>
      <c r="M86" t="s">
        <v>110</v>
      </c>
      <c r="N86" t="s">
        <v>111</v>
      </c>
      <c r="O86" s="1" t="s">
        <v>124</v>
      </c>
      <c r="P86" s="1" t="s">
        <v>146</v>
      </c>
      <c r="Q86" s="1" t="s">
        <v>147</v>
      </c>
    </row>
    <row r="87" spans="1:17" hidden="1" x14ac:dyDescent="0.35">
      <c r="A87">
        <v>1</v>
      </c>
      <c r="B87" s="16" t="s">
        <v>117</v>
      </c>
      <c r="C87" s="43">
        <f>C73/3.6</f>
        <v>4.6944444444444438</v>
      </c>
      <c r="D87" s="43">
        <f t="shared" ref="D87:N87" si="0">D73/3.6</f>
        <v>5.0277777777777777</v>
      </c>
      <c r="E87" s="43">
        <f t="shared" si="0"/>
        <v>5.75</v>
      </c>
      <c r="F87" s="43">
        <f t="shared" si="0"/>
        <v>3.8333333333333335</v>
      </c>
      <c r="G87" s="43">
        <f t="shared" si="0"/>
        <v>3.8611111111111112</v>
      </c>
      <c r="H87" s="43">
        <f t="shared" si="0"/>
        <v>4.333333333333333</v>
      </c>
      <c r="I87" s="43">
        <f t="shared" si="0"/>
        <v>3.7222222222222223</v>
      </c>
      <c r="J87" s="43">
        <f t="shared" si="0"/>
        <v>4.5277777777777777</v>
      </c>
      <c r="K87" s="43">
        <f t="shared" si="0"/>
        <v>4.0555555555555554</v>
      </c>
      <c r="L87" s="43">
        <f t="shared" si="0"/>
        <v>4.2222222222222223</v>
      </c>
      <c r="M87" s="43">
        <f t="shared" si="0"/>
        <v>5.3055555555555562</v>
      </c>
      <c r="N87" s="43">
        <f t="shared" si="0"/>
        <v>4.3888888888888893</v>
      </c>
      <c r="O87" s="39">
        <f>AVERAGE(C87:N87)</f>
        <v>4.4768518518518512</v>
      </c>
      <c r="P87" s="39">
        <f>O87-_xlfn.STDEV.P(C87:N87)</f>
        <v>3.8786255927621327</v>
      </c>
      <c r="Q87" s="39">
        <f>O87+_xlfn.STDEV.P(C87:N87)</f>
        <v>5.0750781109415701</v>
      </c>
    </row>
    <row r="88" spans="1:17" hidden="1" x14ac:dyDescent="0.35">
      <c r="A88">
        <v>2</v>
      </c>
      <c r="B88" s="16" t="s">
        <v>118</v>
      </c>
      <c r="C88" s="43">
        <f t="shared" ref="C88:N88" si="1">C74/3.6</f>
        <v>3.5833333333333335</v>
      </c>
      <c r="D88" s="43">
        <f t="shared" si="1"/>
        <v>4.25</v>
      </c>
      <c r="E88" s="43">
        <f t="shared" si="1"/>
        <v>5</v>
      </c>
      <c r="F88" s="43">
        <f t="shared" si="1"/>
        <v>4.333333333333333</v>
      </c>
      <c r="G88" s="43">
        <f t="shared" si="1"/>
        <v>3.416666666666667</v>
      </c>
      <c r="H88" s="43">
        <f t="shared" si="1"/>
        <v>3.8055555555555554</v>
      </c>
      <c r="I88" s="43">
        <f t="shared" si="1"/>
        <v>3.333333333333333</v>
      </c>
      <c r="J88" s="43">
        <f t="shared" si="1"/>
        <v>4.0277777777777777</v>
      </c>
      <c r="K88" s="43">
        <f t="shared" si="1"/>
        <v>3.416666666666667</v>
      </c>
      <c r="L88" s="43">
        <f t="shared" si="1"/>
        <v>3.6666666666666665</v>
      </c>
      <c r="M88" s="43">
        <f t="shared" si="1"/>
        <v>5.0277777777777777</v>
      </c>
      <c r="N88" s="43">
        <f t="shared" si="1"/>
        <v>4.1111111111111116</v>
      </c>
      <c r="O88" s="39">
        <f t="shared" ref="O88:O98" si="2">AVERAGE(C88:N88)</f>
        <v>3.9976851851851856</v>
      </c>
      <c r="P88" s="39">
        <f t="shared" ref="P88:P98" si="3">O88-_xlfn.STDEV.P(C88:N88)</f>
        <v>3.4431191296560648</v>
      </c>
      <c r="Q88" s="39">
        <f t="shared" ref="Q88:Q98" si="4">O88+_xlfn.STDEV.P(C88:N88)</f>
        <v>4.5522512407143063</v>
      </c>
    </row>
    <row r="89" spans="1:17" hidden="1" x14ac:dyDescent="0.35">
      <c r="A89">
        <v>3</v>
      </c>
      <c r="B89" s="16" t="s">
        <v>119</v>
      </c>
      <c r="C89" s="43">
        <f t="shared" ref="C89:N89" si="5">C75/3.6</f>
        <v>4.083333333333333</v>
      </c>
      <c r="D89" s="43">
        <f t="shared" si="5"/>
        <v>4.2222222222222223</v>
      </c>
      <c r="E89" s="43">
        <f t="shared" si="5"/>
        <v>5.2499999999999991</v>
      </c>
      <c r="F89" s="43">
        <f t="shared" si="5"/>
        <v>3.5833333333333335</v>
      </c>
      <c r="G89" s="43">
        <f t="shared" si="5"/>
        <v>3.4444444444444446</v>
      </c>
      <c r="H89" s="43">
        <f t="shared" si="5"/>
        <v>3.8055555555555554</v>
      </c>
      <c r="I89" s="43">
        <f t="shared" si="5"/>
        <v>3.3888888888888884</v>
      </c>
      <c r="J89" s="43">
        <f t="shared" si="5"/>
        <v>4.333333333333333</v>
      </c>
      <c r="K89" s="43">
        <f t="shared" si="5"/>
        <v>3.75</v>
      </c>
      <c r="L89" s="43">
        <f t="shared" si="5"/>
        <v>3.7222222222222223</v>
      </c>
      <c r="M89" s="43">
        <f t="shared" si="5"/>
        <v>4.4722222222222223</v>
      </c>
      <c r="N89" s="43">
        <f t="shared" si="5"/>
        <v>4.0555555555555554</v>
      </c>
      <c r="O89" s="39">
        <f t="shared" si="2"/>
        <v>4.0092592592592586</v>
      </c>
      <c r="P89" s="39">
        <f t="shared" si="3"/>
        <v>3.5102461729011427</v>
      </c>
      <c r="Q89" s="39">
        <f t="shared" si="4"/>
        <v>4.5082723456173746</v>
      </c>
    </row>
    <row r="90" spans="1:17" hidden="1" x14ac:dyDescent="0.35">
      <c r="A90">
        <v>4</v>
      </c>
      <c r="B90" s="16" t="s">
        <v>114</v>
      </c>
      <c r="C90" s="43">
        <f t="shared" ref="C90:N90" si="6">C76/3.6</f>
        <v>4.166666666666667</v>
      </c>
      <c r="D90" s="43">
        <f t="shared" si="6"/>
        <v>4.75</v>
      </c>
      <c r="E90" s="43">
        <f t="shared" si="6"/>
        <v>5.6111111111111107</v>
      </c>
      <c r="F90" s="43">
        <f t="shared" si="6"/>
        <v>4.1944444444444446</v>
      </c>
      <c r="G90" s="43">
        <f t="shared" si="6"/>
        <v>3.5555555555555558</v>
      </c>
      <c r="H90" s="43">
        <f t="shared" si="6"/>
        <v>4.2777777777777777</v>
      </c>
      <c r="I90" s="43">
        <f t="shared" si="6"/>
        <v>3.7222222222222223</v>
      </c>
      <c r="J90" s="43">
        <f t="shared" si="6"/>
        <v>4.5</v>
      </c>
      <c r="K90" s="43">
        <f t="shared" si="6"/>
        <v>4.083333333333333</v>
      </c>
      <c r="L90" s="43">
        <f t="shared" si="6"/>
        <v>4.5</v>
      </c>
      <c r="M90" s="43">
        <f t="shared" si="6"/>
        <v>5.083333333333333</v>
      </c>
      <c r="N90" s="43">
        <f t="shared" si="6"/>
        <v>4.666666666666667</v>
      </c>
      <c r="O90" s="39">
        <f t="shared" si="2"/>
        <v>4.4259259259259265</v>
      </c>
      <c r="P90" s="39">
        <f t="shared" si="3"/>
        <v>3.8840416708000203</v>
      </c>
      <c r="Q90" s="39">
        <f t="shared" si="4"/>
        <v>4.9678101810518331</v>
      </c>
    </row>
    <row r="91" spans="1:17" hidden="1" x14ac:dyDescent="0.35">
      <c r="A91">
        <v>5</v>
      </c>
      <c r="B91" s="16" t="s">
        <v>113</v>
      </c>
      <c r="C91" s="43">
        <f t="shared" ref="C91:N91" si="7">C77/3.6</f>
        <v>3.9166666666666665</v>
      </c>
      <c r="D91" s="43">
        <f t="shared" si="7"/>
        <v>4.3888888888888893</v>
      </c>
      <c r="E91" s="43">
        <f t="shared" si="7"/>
        <v>5.2499999999999991</v>
      </c>
      <c r="F91" s="43">
        <f t="shared" si="7"/>
        <v>4.1388888888888893</v>
      </c>
      <c r="G91" s="43">
        <f t="shared" si="7"/>
        <v>3.3888888888888884</v>
      </c>
      <c r="H91" s="43">
        <f t="shared" si="7"/>
        <v>4.0555555555555554</v>
      </c>
      <c r="I91" s="43">
        <f t="shared" si="7"/>
        <v>3.6111111111111112</v>
      </c>
      <c r="J91" s="43">
        <f t="shared" si="7"/>
        <v>4.416666666666667</v>
      </c>
      <c r="K91" s="43">
        <f t="shared" si="7"/>
        <v>3.9722222222222223</v>
      </c>
      <c r="L91" s="43">
        <f t="shared" si="7"/>
        <v>4.333333333333333</v>
      </c>
      <c r="M91" s="43">
        <f t="shared" si="7"/>
        <v>4.8888888888888893</v>
      </c>
      <c r="N91" s="43">
        <f t="shared" si="7"/>
        <v>4.5</v>
      </c>
      <c r="O91" s="39">
        <f t="shared" si="2"/>
        <v>4.2384259259259265</v>
      </c>
      <c r="P91" s="39">
        <f t="shared" si="3"/>
        <v>3.7458814159501563</v>
      </c>
      <c r="Q91" s="39">
        <f t="shared" si="4"/>
        <v>4.7309704359016971</v>
      </c>
    </row>
    <row r="92" spans="1:17" hidden="1" x14ac:dyDescent="0.35">
      <c r="A92">
        <v>6</v>
      </c>
      <c r="B92" s="16" t="s">
        <v>120</v>
      </c>
      <c r="C92" s="43">
        <f t="shared" ref="C92:N92" si="8">C78/3.6</f>
        <v>5.1388888888888884</v>
      </c>
      <c r="D92" s="43">
        <f t="shared" si="8"/>
        <v>4.7777777777777777</v>
      </c>
      <c r="E92" s="43">
        <f t="shared" si="8"/>
        <v>5.8055555555555554</v>
      </c>
      <c r="F92" s="43">
        <f t="shared" si="8"/>
        <v>4.5277777777777777</v>
      </c>
      <c r="G92" s="43">
        <f t="shared" si="8"/>
        <v>3.75</v>
      </c>
      <c r="H92" s="43">
        <f t="shared" si="8"/>
        <v>4.4722222222222223</v>
      </c>
      <c r="I92" s="43">
        <f t="shared" si="8"/>
        <v>3.9722222222222223</v>
      </c>
      <c r="J92" s="43">
        <f t="shared" si="8"/>
        <v>4.8055555555555554</v>
      </c>
      <c r="K92" s="43">
        <f t="shared" si="8"/>
        <v>4.6388888888888884</v>
      </c>
      <c r="L92" s="43">
        <f t="shared" si="8"/>
        <v>5.0277777777777777</v>
      </c>
      <c r="M92" s="43">
        <f t="shared" si="8"/>
        <v>5.4444444444444446</v>
      </c>
      <c r="N92" s="43">
        <f t="shared" si="8"/>
        <v>4.9722222222222214</v>
      </c>
      <c r="O92" s="39">
        <f t="shared" si="2"/>
        <v>4.7777777777777777</v>
      </c>
      <c r="P92" s="39">
        <f t="shared" si="3"/>
        <v>4.2290934179232496</v>
      </c>
      <c r="Q92" s="39">
        <f t="shared" si="4"/>
        <v>5.3264621376323058</v>
      </c>
    </row>
    <row r="93" spans="1:17" hidden="1" x14ac:dyDescent="0.35">
      <c r="A93">
        <v>7</v>
      </c>
      <c r="B93" s="16" t="s">
        <v>96</v>
      </c>
      <c r="C93" s="43">
        <f t="shared" ref="C93:N93" si="9">C79/3.6</f>
        <v>3.7222222222222223</v>
      </c>
      <c r="D93" s="43">
        <f t="shared" si="9"/>
        <v>3.8055555555555554</v>
      </c>
      <c r="E93" s="43">
        <f t="shared" si="9"/>
        <v>4.8888888888888893</v>
      </c>
      <c r="F93" s="43">
        <f t="shared" si="9"/>
        <v>3.6944444444444446</v>
      </c>
      <c r="G93" s="43">
        <f t="shared" si="9"/>
        <v>3.2499999999999996</v>
      </c>
      <c r="H93" s="43">
        <f t="shared" si="9"/>
        <v>3.9444444444444442</v>
      </c>
      <c r="I93" s="43">
        <f t="shared" si="9"/>
        <v>3.5277777777777777</v>
      </c>
      <c r="J93" s="43">
        <f t="shared" si="9"/>
        <v>4.0555555555555554</v>
      </c>
      <c r="K93" s="43">
        <f t="shared" si="9"/>
        <v>3.9444444444444442</v>
      </c>
      <c r="L93" s="43">
        <f t="shared" si="9"/>
        <v>4.1111111111111116</v>
      </c>
      <c r="M93" s="43">
        <f t="shared" si="9"/>
        <v>4.2777777777777777</v>
      </c>
      <c r="N93" s="43">
        <f t="shared" si="9"/>
        <v>3.9722222222222223</v>
      </c>
      <c r="O93" s="39">
        <f t="shared" si="2"/>
        <v>3.9328703703703707</v>
      </c>
      <c r="P93" s="39">
        <f t="shared" si="3"/>
        <v>3.5424207355228812</v>
      </c>
      <c r="Q93" s="39">
        <f t="shared" si="4"/>
        <v>4.3233200052178598</v>
      </c>
    </row>
    <row r="94" spans="1:17" hidden="1" x14ac:dyDescent="0.35">
      <c r="A94">
        <v>8</v>
      </c>
      <c r="B94" s="16" t="s">
        <v>97</v>
      </c>
      <c r="C94" s="43">
        <f t="shared" ref="C94:N94" si="10">C80/3.6</f>
        <v>3.7222222222222223</v>
      </c>
      <c r="D94" s="43">
        <f t="shared" si="10"/>
        <v>3.8055555555555554</v>
      </c>
      <c r="E94" s="43">
        <f t="shared" si="10"/>
        <v>4.8888888888888893</v>
      </c>
      <c r="F94" s="43">
        <f t="shared" si="10"/>
        <v>3.6944444444444446</v>
      </c>
      <c r="G94" s="43">
        <f t="shared" si="10"/>
        <v>3.2499999999999996</v>
      </c>
      <c r="H94" s="43">
        <f t="shared" si="10"/>
        <v>3.9444444444444442</v>
      </c>
      <c r="I94" s="43">
        <f t="shared" si="10"/>
        <v>3.5277777777777777</v>
      </c>
      <c r="J94" s="43">
        <f t="shared" si="10"/>
        <v>4.0555555555555554</v>
      </c>
      <c r="K94" s="43">
        <f t="shared" si="10"/>
        <v>3.9444444444444442</v>
      </c>
      <c r="L94" s="43">
        <f t="shared" si="10"/>
        <v>4.1111111111111116</v>
      </c>
      <c r="M94" s="43">
        <f t="shared" si="10"/>
        <v>4.2777777777777777</v>
      </c>
      <c r="N94" s="43">
        <f t="shared" si="10"/>
        <v>3.9722222222222223</v>
      </c>
      <c r="O94" s="39">
        <f t="shared" si="2"/>
        <v>3.9328703703703707</v>
      </c>
      <c r="P94" s="39">
        <f t="shared" si="3"/>
        <v>3.5424207355228812</v>
      </c>
      <c r="Q94" s="39">
        <f t="shared" si="4"/>
        <v>4.3233200052178598</v>
      </c>
    </row>
    <row r="95" spans="1:17" hidden="1" x14ac:dyDescent="0.35">
      <c r="A95">
        <v>9</v>
      </c>
      <c r="B95" s="16" t="s">
        <v>121</v>
      </c>
      <c r="C95" s="43">
        <f t="shared" ref="C95:N95" si="11">C81/3.6</f>
        <v>4.25</v>
      </c>
      <c r="D95" s="43">
        <f t="shared" si="11"/>
        <v>4.4722222222222223</v>
      </c>
      <c r="E95" s="43">
        <f t="shared" si="11"/>
        <v>5.3888888888888884</v>
      </c>
      <c r="F95" s="43">
        <f t="shared" si="11"/>
        <v>4.1111111111111116</v>
      </c>
      <c r="G95" s="43">
        <f t="shared" si="11"/>
        <v>3.5833333333333335</v>
      </c>
      <c r="H95" s="43">
        <f t="shared" si="11"/>
        <v>4.3055555555555554</v>
      </c>
      <c r="I95" s="43">
        <f t="shared" si="11"/>
        <v>3.5833333333333335</v>
      </c>
      <c r="J95" s="43">
        <f t="shared" si="11"/>
        <v>4.25</v>
      </c>
      <c r="K95" s="43">
        <f t="shared" si="11"/>
        <v>4.5</v>
      </c>
      <c r="L95" s="43">
        <f t="shared" si="11"/>
        <v>4.666666666666667</v>
      </c>
      <c r="M95" s="43">
        <f t="shared" si="11"/>
        <v>5.2499999999999991</v>
      </c>
      <c r="N95" s="43">
        <f t="shared" si="11"/>
        <v>4.7777777777777777</v>
      </c>
      <c r="O95" s="39">
        <f t="shared" si="2"/>
        <v>4.4282407407407405</v>
      </c>
      <c r="P95" s="39">
        <f t="shared" si="3"/>
        <v>3.8966441359036215</v>
      </c>
      <c r="Q95" s="39">
        <f t="shared" si="4"/>
        <v>4.959837345577859</v>
      </c>
    </row>
    <row r="96" spans="1:17" hidden="1" x14ac:dyDescent="0.35">
      <c r="A96">
        <v>10</v>
      </c>
      <c r="B96" s="16" t="s">
        <v>122</v>
      </c>
      <c r="C96" s="43">
        <f t="shared" ref="C96:N96" si="12">C82/3.6</f>
        <v>3.9722222222222223</v>
      </c>
      <c r="D96" s="43">
        <f t="shared" si="12"/>
        <v>4.7777777777777777</v>
      </c>
      <c r="E96" s="43">
        <f t="shared" si="12"/>
        <v>5.5277777777777777</v>
      </c>
      <c r="F96" s="43">
        <f t="shared" si="12"/>
        <v>4.0555555555555554</v>
      </c>
      <c r="G96" s="43">
        <f t="shared" si="12"/>
        <v>3.5</v>
      </c>
      <c r="H96" s="43">
        <f t="shared" si="12"/>
        <v>4.416666666666667</v>
      </c>
      <c r="I96" s="43">
        <f t="shared" si="12"/>
        <v>3.5</v>
      </c>
      <c r="J96" s="43">
        <f t="shared" si="12"/>
        <v>4.583333333333333</v>
      </c>
      <c r="K96" s="43">
        <f t="shared" si="12"/>
        <v>4.6944444444444438</v>
      </c>
      <c r="L96" s="43">
        <f t="shared" si="12"/>
        <v>4.8888888888888893</v>
      </c>
      <c r="M96" s="43">
        <f t="shared" si="12"/>
        <v>5.416666666666667</v>
      </c>
      <c r="N96" s="43">
        <f t="shared" si="12"/>
        <v>5.1388888888888884</v>
      </c>
      <c r="O96" s="39">
        <f t="shared" si="2"/>
        <v>4.5393518518518521</v>
      </c>
      <c r="P96" s="39">
        <f t="shared" si="3"/>
        <v>3.891125170101724</v>
      </c>
      <c r="Q96" s="39">
        <f t="shared" si="4"/>
        <v>5.1875785336019797</v>
      </c>
    </row>
    <row r="97" spans="1:17" hidden="1" x14ac:dyDescent="0.35">
      <c r="A97">
        <v>11</v>
      </c>
      <c r="B97" s="16" t="s">
        <v>123</v>
      </c>
      <c r="C97" s="43">
        <f t="shared" ref="C97:N97" si="13">C83/3.6</f>
        <v>4.666666666666667</v>
      </c>
      <c r="D97" s="43">
        <f t="shared" si="13"/>
        <v>4.8888888888888893</v>
      </c>
      <c r="E97" s="43">
        <f t="shared" si="13"/>
        <v>6.0555555555555554</v>
      </c>
      <c r="F97" s="43">
        <f t="shared" si="13"/>
        <v>4.1111111111111116</v>
      </c>
      <c r="G97" s="43">
        <f t="shared" si="13"/>
        <v>3.5833333333333335</v>
      </c>
      <c r="H97" s="43">
        <f t="shared" si="13"/>
        <v>4.083333333333333</v>
      </c>
      <c r="I97" s="43">
        <f t="shared" si="13"/>
        <v>3.5277777777777777</v>
      </c>
      <c r="J97" s="43">
        <f t="shared" si="13"/>
        <v>3.9166666666666665</v>
      </c>
      <c r="K97" s="43">
        <f t="shared" si="13"/>
        <v>3.8333333333333335</v>
      </c>
      <c r="L97" s="43">
        <f t="shared" si="13"/>
        <v>4.1944444444444446</v>
      </c>
      <c r="M97" s="43">
        <f t="shared" si="13"/>
        <v>5.166666666666667</v>
      </c>
      <c r="N97" s="43">
        <f t="shared" si="13"/>
        <v>4.8611111111111107</v>
      </c>
      <c r="O97" s="39">
        <f t="shared" si="2"/>
        <v>4.4074074074074074</v>
      </c>
      <c r="P97" s="39">
        <f t="shared" si="3"/>
        <v>3.6968233531135186</v>
      </c>
      <c r="Q97" s="39">
        <f t="shared" si="4"/>
        <v>5.1179914617012958</v>
      </c>
    </row>
    <row r="98" spans="1:17" hidden="1" x14ac:dyDescent="0.35">
      <c r="A98">
        <v>12</v>
      </c>
      <c r="B98" s="16" t="s">
        <v>98</v>
      </c>
      <c r="C98" s="43">
        <f t="shared" ref="C98:N98" si="14">C84/3.6</f>
        <v>4.1944444444444446</v>
      </c>
      <c r="D98" s="43">
        <f t="shared" si="14"/>
        <v>4.8055555555555554</v>
      </c>
      <c r="E98" s="43">
        <f t="shared" si="14"/>
        <v>5.5</v>
      </c>
      <c r="F98" s="43">
        <f t="shared" si="14"/>
        <v>3.8888888888888888</v>
      </c>
      <c r="G98" s="43">
        <f t="shared" si="14"/>
        <v>3.5</v>
      </c>
      <c r="H98" s="43">
        <f t="shared" si="14"/>
        <v>4.1388888888888893</v>
      </c>
      <c r="I98" s="43">
        <f t="shared" si="14"/>
        <v>3.6666666666666665</v>
      </c>
      <c r="J98" s="43">
        <f t="shared" si="14"/>
        <v>4.7222222222222223</v>
      </c>
      <c r="K98" s="43">
        <f t="shared" si="14"/>
        <v>4.083333333333333</v>
      </c>
      <c r="L98" s="43">
        <f t="shared" si="14"/>
        <v>4.3888888888888893</v>
      </c>
      <c r="M98" s="43">
        <f t="shared" si="14"/>
        <v>4.9722222222222214</v>
      </c>
      <c r="N98" s="43">
        <f t="shared" si="14"/>
        <v>4.3888888888888893</v>
      </c>
      <c r="O98" s="39">
        <f t="shared" si="2"/>
        <v>4.3541666666666679</v>
      </c>
      <c r="P98" s="39">
        <f t="shared" si="3"/>
        <v>3.8064059568056177</v>
      </c>
      <c r="Q98" s="39">
        <f t="shared" si="4"/>
        <v>4.901927376527718</v>
      </c>
    </row>
    <row r="99" spans="1:17" s="3" customFormat="1" x14ac:dyDescent="0.35">
      <c r="B99" s="50" t="s">
        <v>148</v>
      </c>
    </row>
    <row r="100" spans="1:17" x14ac:dyDescent="0.35">
      <c r="B100" s="1" t="s">
        <v>80</v>
      </c>
      <c r="C100" s="1" t="s">
        <v>81</v>
      </c>
      <c r="D100" s="1" t="s">
        <v>32</v>
      </c>
      <c r="E100" s="1" t="s">
        <v>84</v>
      </c>
      <c r="F100" s="1" t="s">
        <v>14</v>
      </c>
      <c r="G100" s="1"/>
    </row>
    <row r="101" spans="1:17" x14ac:dyDescent="0.35">
      <c r="B101" t="s">
        <v>82</v>
      </c>
      <c r="C101">
        <v>0.3</v>
      </c>
      <c r="D101">
        <v>10</v>
      </c>
      <c r="E101">
        <v>200</v>
      </c>
      <c r="F101" s="47" t="s">
        <v>90</v>
      </c>
    </row>
    <row r="102" spans="1:17" x14ac:dyDescent="0.35">
      <c r="B102" t="s">
        <v>83</v>
      </c>
      <c r="C102">
        <v>9.5</v>
      </c>
      <c r="D102">
        <v>150</v>
      </c>
      <c r="E102">
        <v>960</v>
      </c>
      <c r="F102" s="47" t="s">
        <v>90</v>
      </c>
    </row>
    <row r="103" spans="1:17" x14ac:dyDescent="0.35">
      <c r="B103" t="s">
        <v>85</v>
      </c>
      <c r="C103">
        <v>4.0199999999999996</v>
      </c>
      <c r="D103">
        <v>3.34</v>
      </c>
      <c r="E103">
        <v>3.16</v>
      </c>
      <c r="F103" s="47" t="s">
        <v>90</v>
      </c>
    </row>
    <row r="104" spans="1:17" x14ac:dyDescent="0.35">
      <c r="B104" t="s">
        <v>86</v>
      </c>
      <c r="C104">
        <v>2.9</v>
      </c>
      <c r="D104">
        <v>22.4</v>
      </c>
      <c r="E104">
        <v>90.3</v>
      </c>
      <c r="F104" s="47" t="s">
        <v>90</v>
      </c>
    </row>
    <row r="105" spans="1:17" x14ac:dyDescent="0.35">
      <c r="B105" t="s">
        <v>87</v>
      </c>
      <c r="C105">
        <v>3.36</v>
      </c>
      <c r="D105">
        <v>1.74</v>
      </c>
      <c r="E105">
        <v>1.43</v>
      </c>
      <c r="F105" s="47" t="s">
        <v>90</v>
      </c>
    </row>
    <row r="106" spans="1:17" x14ac:dyDescent="0.35">
      <c r="B106" s="54" t="s">
        <v>142</v>
      </c>
      <c r="C106" s="64">
        <f>C101/24*'Conversion factors'!$B$3</f>
        <v>0.4921428571428571</v>
      </c>
      <c r="D106" s="64">
        <f>D101/24*'Conversion factors'!$B$3</f>
        <v>16.404761904761905</v>
      </c>
      <c r="E106" s="64">
        <f>E101/24*'Conversion factors'!$B$3</f>
        <v>328.09523809523813</v>
      </c>
    </row>
    <row r="107" spans="1:17" x14ac:dyDescent="0.35">
      <c r="B107" s="54" t="s">
        <v>143</v>
      </c>
      <c r="C107" s="64">
        <f>C102/24*'Conversion factors'!$B$3</f>
        <v>15.584523809523811</v>
      </c>
      <c r="D107" s="64">
        <f>D102/24*'Conversion factors'!$B$3</f>
        <v>246.07142857142858</v>
      </c>
      <c r="E107" s="64">
        <f>E102/24*'Conversion factors'!$B$3</f>
        <v>1574.8571428571429</v>
      </c>
    </row>
    <row r="109" spans="1:17" s="3" customFormat="1" x14ac:dyDescent="0.35">
      <c r="B109" s="50" t="s">
        <v>153</v>
      </c>
    </row>
    <row r="110" spans="1:17" s="49" customFormat="1" x14ac:dyDescent="0.35">
      <c r="A110" s="58" t="s">
        <v>156</v>
      </c>
      <c r="B110" s="58"/>
      <c r="C110" s="58" t="s">
        <v>59</v>
      </c>
      <c r="D110" s="58" t="s">
        <v>60</v>
      </c>
    </row>
    <row r="111" spans="1:17" s="49" customFormat="1" x14ac:dyDescent="0.35">
      <c r="A111" s="58"/>
      <c r="B111" s="59" t="s">
        <v>159</v>
      </c>
      <c r="D111" s="49">
        <v>4</v>
      </c>
    </row>
    <row r="112" spans="1:17" s="49" customFormat="1" x14ac:dyDescent="0.35">
      <c r="B112" s="59" t="s">
        <v>158</v>
      </c>
      <c r="D112" s="49">
        <v>900</v>
      </c>
    </row>
    <row r="113" spans="1:11" s="49" customFormat="1" x14ac:dyDescent="0.35">
      <c r="B113" s="58"/>
    </row>
    <row r="114" spans="1:11" x14ac:dyDescent="0.35">
      <c r="A114" s="1" t="s">
        <v>154</v>
      </c>
      <c r="C114" s="1">
        <v>2020</v>
      </c>
      <c r="D114" s="1">
        <f>C114+5</f>
        <v>2025</v>
      </c>
      <c r="E114" s="1">
        <f t="shared" ref="E114:I114" si="15">D114+5</f>
        <v>2030</v>
      </c>
      <c r="F114" s="1">
        <f t="shared" si="15"/>
        <v>2035</v>
      </c>
      <c r="G114" s="1">
        <f t="shared" si="15"/>
        <v>2040</v>
      </c>
      <c r="H114" s="1">
        <f t="shared" si="15"/>
        <v>2045</v>
      </c>
      <c r="I114" s="1">
        <f t="shared" si="15"/>
        <v>2050</v>
      </c>
      <c r="K114" s="1" t="s">
        <v>14</v>
      </c>
    </row>
    <row r="115" spans="1:11" x14ac:dyDescent="0.35">
      <c r="B115" t="s">
        <v>155</v>
      </c>
      <c r="C115">
        <v>750</v>
      </c>
      <c r="D115">
        <v>500</v>
      </c>
      <c r="E115">
        <v>400</v>
      </c>
      <c r="F115">
        <v>375</v>
      </c>
      <c r="G115">
        <v>350</v>
      </c>
      <c r="H115">
        <v>345</v>
      </c>
      <c r="I115">
        <v>340</v>
      </c>
      <c r="K115" s="4" t="s">
        <v>157</v>
      </c>
    </row>
    <row r="116" spans="1:11" x14ac:dyDescent="0.35">
      <c r="B116" t="s">
        <v>220</v>
      </c>
      <c r="C116">
        <v>0.72</v>
      </c>
    </row>
    <row r="117" spans="1:11" s="71" customFormat="1" x14ac:dyDescent="0.35">
      <c r="B117" s="72" t="s">
        <v>221</v>
      </c>
      <c r="C117" s="72">
        <f>C115*1000*0.000001/$C$116</f>
        <v>1.0416666666666667</v>
      </c>
      <c r="D117" s="72">
        <f t="shared" ref="D117:I117" si="16">D115*1000*0.000001/$C$116</f>
        <v>0.69444444444444442</v>
      </c>
      <c r="E117" s="72">
        <f t="shared" si="16"/>
        <v>0.55555555555555558</v>
      </c>
      <c r="F117" s="72">
        <f t="shared" si="16"/>
        <v>0.52083333333333337</v>
      </c>
      <c r="G117" s="72">
        <f t="shared" si="16"/>
        <v>0.4861111111111111</v>
      </c>
      <c r="H117" s="72">
        <f t="shared" si="16"/>
        <v>0.47916666666666663</v>
      </c>
      <c r="I117" s="72">
        <f t="shared" si="16"/>
        <v>0.47222222222222221</v>
      </c>
    </row>
    <row r="118" spans="1:11" x14ac:dyDescent="0.35">
      <c r="A118" s="72" t="s">
        <v>215</v>
      </c>
      <c r="K118" s="4" t="s">
        <v>217</v>
      </c>
    </row>
    <row r="119" spans="1:11" x14ac:dyDescent="0.35">
      <c r="A119" s="72"/>
      <c r="B119" s="71" t="s">
        <v>229</v>
      </c>
      <c r="C119">
        <f>2.2*'Conversion factors'!B9/C120</f>
        <v>2.3631544444444446</v>
      </c>
      <c r="D119">
        <f>C119*(1-$K$122)^5</f>
        <v>1.8285638614795139</v>
      </c>
      <c r="E119" s="71">
        <f t="shared" ref="E119:I119" si="17">D119*(1-$K$122)^5</f>
        <v>1.4149078590142383</v>
      </c>
      <c r="F119" s="71">
        <f t="shared" si="17"/>
        <v>1.0948287296241552</v>
      </c>
      <c r="G119" s="71">
        <f t="shared" si="17"/>
        <v>0.84715760081051283</v>
      </c>
      <c r="H119" s="71">
        <f t="shared" si="17"/>
        <v>0.65551440256540938</v>
      </c>
      <c r="I119" s="71">
        <f t="shared" si="17"/>
        <v>0.5072245489618149</v>
      </c>
      <c r="K119" t="s">
        <v>218</v>
      </c>
    </row>
    <row r="120" spans="1:11" x14ac:dyDescent="0.35">
      <c r="A120" s="72"/>
      <c r="B120" s="71" t="s">
        <v>220</v>
      </c>
      <c r="C120" s="71">
        <v>0.72</v>
      </c>
    </row>
    <row r="121" spans="1:11" s="71" customFormat="1" x14ac:dyDescent="0.35">
      <c r="A121" s="72"/>
      <c r="B121" s="72" t="s">
        <v>228</v>
      </c>
      <c r="C121" s="72">
        <f>C119+C117</f>
        <v>3.4048211111111115</v>
      </c>
      <c r="D121" s="72">
        <f t="shared" ref="D121:I121" si="18">D119+D117</f>
        <v>2.5230083059239581</v>
      </c>
      <c r="E121" s="72">
        <f t="shared" si="18"/>
        <v>1.9704634145697939</v>
      </c>
      <c r="F121" s="72">
        <f t="shared" si="18"/>
        <v>1.6156620629574885</v>
      </c>
      <c r="G121" s="72">
        <f t="shared" si="18"/>
        <v>1.333268711921624</v>
      </c>
      <c r="H121" s="72">
        <f t="shared" si="18"/>
        <v>1.1346810692320761</v>
      </c>
      <c r="I121" s="72">
        <f t="shared" si="18"/>
        <v>0.97944677118403711</v>
      </c>
    </row>
    <row r="122" spans="1:11" x14ac:dyDescent="0.35">
      <c r="A122" s="72" t="s">
        <v>216</v>
      </c>
      <c r="K122" s="80">
        <v>0.05</v>
      </c>
    </row>
    <row r="123" spans="1:11" x14ac:dyDescent="0.35">
      <c r="B123" s="71" t="s">
        <v>219</v>
      </c>
      <c r="C123">
        <f>3/$C$124</f>
        <v>4.166666666666667</v>
      </c>
      <c r="D123" s="71">
        <f>C123*D119/C119</f>
        <v>3.2240872395833335</v>
      </c>
      <c r="E123" s="71">
        <f t="shared" ref="E123:I123" si="19">D123*E119/D119</f>
        <v>2.4947372468265789</v>
      </c>
      <c r="F123" s="71">
        <f t="shared" si="19"/>
        <v>1.9303801256656394</v>
      </c>
      <c r="G123" s="71">
        <f t="shared" si="19"/>
        <v>1.4936913433689263</v>
      </c>
      <c r="H123" s="71">
        <f t="shared" si="19"/>
        <v>1.1557898880076423</v>
      </c>
      <c r="I123" s="71">
        <f t="shared" si="19"/>
        <v>0.8943281830955736</v>
      </c>
    </row>
    <row r="124" spans="1:11" x14ac:dyDescent="0.35">
      <c r="B124" s="71" t="s">
        <v>220</v>
      </c>
      <c r="C124" s="71">
        <v>0.72</v>
      </c>
    </row>
    <row r="125" spans="1:11" x14ac:dyDescent="0.35">
      <c r="B125" s="72" t="s">
        <v>228</v>
      </c>
      <c r="C125" s="72">
        <f>C123+C117</f>
        <v>5.2083333333333339</v>
      </c>
      <c r="D125" s="72">
        <f t="shared" ref="D125:I125" si="20">D123+D117</f>
        <v>3.9185316840277782</v>
      </c>
      <c r="E125" s="72">
        <f t="shared" si="20"/>
        <v>3.0502928023821347</v>
      </c>
      <c r="F125" s="72">
        <f t="shared" si="20"/>
        <v>2.4512134589989727</v>
      </c>
      <c r="G125" s="72">
        <f t="shared" si="20"/>
        <v>1.9798024544800374</v>
      </c>
      <c r="H125" s="72">
        <f t="shared" si="20"/>
        <v>1.634956554674309</v>
      </c>
      <c r="I125" s="72">
        <f t="shared" si="20"/>
        <v>1.3665504053177959</v>
      </c>
    </row>
    <row r="126" spans="1:11" x14ac:dyDescent="0.35">
      <c r="A126" s="72" t="s">
        <v>223</v>
      </c>
    </row>
    <row r="127" spans="1:11" x14ac:dyDescent="0.35">
      <c r="A127" s="80">
        <v>0.9</v>
      </c>
      <c r="B127" t="s">
        <v>224</v>
      </c>
      <c r="C127">
        <v>1</v>
      </c>
      <c r="D127">
        <f>(497/529)</f>
        <v>0.93950850661625707</v>
      </c>
      <c r="E127">
        <f>466/497</f>
        <v>0.93762575452716301</v>
      </c>
      <c r="F127">
        <f>437/466</f>
        <v>0.9377682403433476</v>
      </c>
      <c r="G127">
        <f>410/437</f>
        <v>0.93821510297482835</v>
      </c>
      <c r="H127">
        <f>385/410</f>
        <v>0.93902439024390238</v>
      </c>
      <c r="I127">
        <f>361/385</f>
        <v>0.93766233766233764</v>
      </c>
    </row>
    <row r="128" spans="1:11" x14ac:dyDescent="0.35">
      <c r="B128" t="s">
        <v>225</v>
      </c>
      <c r="C128">
        <f>238.2/336</f>
        <v>0.70892857142857135</v>
      </c>
      <c r="D128">
        <f>C128*D$127</f>
        <v>0.66604442344045356</v>
      </c>
      <c r="E128" s="71">
        <f t="shared" ref="E128:I128" si="21">D128*E$127</f>
        <v>0.62450040507696458</v>
      </c>
      <c r="F128" s="71">
        <f t="shared" si="21"/>
        <v>0.5856366459627329</v>
      </c>
      <c r="G128" s="71">
        <f t="shared" si="21"/>
        <v>0.54945314609775853</v>
      </c>
      <c r="H128" s="71">
        <f t="shared" si="21"/>
        <v>0.51594990548204156</v>
      </c>
      <c r="I128" s="71">
        <f t="shared" si="21"/>
        <v>0.48378679449095324</v>
      </c>
    </row>
    <row r="129" spans="1:9" x14ac:dyDescent="0.35">
      <c r="B129" t="s">
        <v>226</v>
      </c>
      <c r="C129">
        <f>104.8/336</f>
        <v>0.31190476190476191</v>
      </c>
      <c r="D129" s="71">
        <f>C129*D$127</f>
        <v>0.29303717706364207</v>
      </c>
      <c r="E129" s="71">
        <f t="shared" ref="E129:I129" si="22">D129*E$127</f>
        <v>0.27475920424880729</v>
      </c>
      <c r="F129" s="71">
        <f t="shared" si="22"/>
        <v>0.25766045548654243</v>
      </c>
      <c r="G129" s="71">
        <f t="shared" si="22"/>
        <v>0.24174093077684758</v>
      </c>
      <c r="H129" s="71">
        <f t="shared" si="22"/>
        <v>0.22700063011972271</v>
      </c>
      <c r="I129" s="71">
        <f t="shared" si="22"/>
        <v>0.21284994148888284</v>
      </c>
    </row>
    <row r="130" spans="1:9" x14ac:dyDescent="0.35">
      <c r="B130" s="72" t="s">
        <v>227</v>
      </c>
      <c r="C130" s="72">
        <f>C128+C129</f>
        <v>1.0208333333333333</v>
      </c>
      <c r="D130" s="72">
        <f t="shared" ref="D130:I130" si="23">D128+D129</f>
        <v>0.95908160050409563</v>
      </c>
      <c r="E130" s="72">
        <f t="shared" si="23"/>
        <v>0.89925960932577187</v>
      </c>
      <c r="F130" s="72">
        <f t="shared" si="23"/>
        <v>0.84329710144927539</v>
      </c>
      <c r="G130" s="72">
        <f t="shared" si="23"/>
        <v>0.79119407687460608</v>
      </c>
      <c r="H130" s="72">
        <f t="shared" si="23"/>
        <v>0.74295053560176427</v>
      </c>
      <c r="I130" s="72">
        <f t="shared" si="23"/>
        <v>0.69663673597983611</v>
      </c>
    </row>
    <row r="131" spans="1:9" s="71" customFormat="1" x14ac:dyDescent="0.35">
      <c r="A131" s="80">
        <v>0.55000000000000004</v>
      </c>
      <c r="B131" s="71" t="s">
        <v>289</v>
      </c>
      <c r="C131" s="16">
        <f>201.8/336</f>
        <v>0.60059523809523818</v>
      </c>
      <c r="D131" s="16">
        <f>D127*C131</f>
        <v>0.56426433522369257</v>
      </c>
      <c r="E131" s="16">
        <f t="shared" ref="E131:I131" si="24">E127*D131</f>
        <v>0.52906877306688282</v>
      </c>
      <c r="F131" s="16">
        <f t="shared" si="24"/>
        <v>0.49614389233954459</v>
      </c>
      <c r="G131" s="16">
        <f t="shared" si="24"/>
        <v>0.46548969304167798</v>
      </c>
      <c r="H131" s="16">
        <f t="shared" si="24"/>
        <v>0.43710617517328293</v>
      </c>
      <c r="I131" s="16">
        <f t="shared" si="24"/>
        <v>0.40985799801962375</v>
      </c>
    </row>
    <row r="132" spans="1:9" s="71" customFormat="1" x14ac:dyDescent="0.35">
      <c r="A132" s="80"/>
      <c r="C132" s="16"/>
      <c r="D132" s="16"/>
      <c r="E132" s="16"/>
      <c r="F132" s="16"/>
      <c r="G132" s="16"/>
      <c r="H132" s="16"/>
      <c r="I132" s="16"/>
    </row>
    <row r="133" spans="1:9" s="71" customFormat="1" x14ac:dyDescent="0.35">
      <c r="A133" s="80" t="s">
        <v>293</v>
      </c>
      <c r="B133" s="71" t="s">
        <v>294</v>
      </c>
      <c r="C133" s="16">
        <v>0.65100000000000002</v>
      </c>
      <c r="D133" s="16">
        <v>0.61899999999999999</v>
      </c>
      <c r="E133" s="16">
        <v>0.58599999999999997</v>
      </c>
      <c r="F133" s="16">
        <v>0.53800000000000003</v>
      </c>
      <c r="G133" s="16">
        <v>0.505</v>
      </c>
      <c r="H133" s="16">
        <v>0.47399999999999998</v>
      </c>
      <c r="I133" s="16">
        <v>0.44400000000000001</v>
      </c>
    </row>
    <row r="134" spans="1:9" s="71" customFormat="1" x14ac:dyDescent="0.35">
      <c r="A134" s="80">
        <v>0.95</v>
      </c>
      <c r="B134" s="71" t="s">
        <v>297</v>
      </c>
      <c r="C134">
        <f>C129</f>
        <v>0.31190476190476191</v>
      </c>
      <c r="D134" s="71">
        <f t="shared" ref="D134:I134" si="25">D129</f>
        <v>0.29303717706364207</v>
      </c>
      <c r="E134" s="71">
        <f t="shared" si="25"/>
        <v>0.27475920424880729</v>
      </c>
      <c r="F134" s="71">
        <f t="shared" si="25"/>
        <v>0.25766045548654243</v>
      </c>
      <c r="G134" s="71">
        <f t="shared" si="25"/>
        <v>0.24174093077684758</v>
      </c>
      <c r="H134" s="71">
        <f t="shared" si="25"/>
        <v>0.22700063011972271</v>
      </c>
      <c r="I134" s="71">
        <f t="shared" si="25"/>
        <v>0.21284994148888284</v>
      </c>
    </row>
    <row r="135" spans="1:9" s="71" customFormat="1" x14ac:dyDescent="0.35">
      <c r="A135" s="80"/>
      <c r="D135" s="16"/>
      <c r="E135" s="16"/>
      <c r="F135" s="16"/>
      <c r="G135" s="16"/>
      <c r="H135" s="16"/>
      <c r="I135" s="16"/>
    </row>
    <row r="136" spans="1:9" s="71" customFormat="1" x14ac:dyDescent="0.35">
      <c r="A136" s="80" t="s">
        <v>295</v>
      </c>
      <c r="B136" s="71" t="s">
        <v>294</v>
      </c>
      <c r="C136" s="71">
        <v>1.835</v>
      </c>
      <c r="D136" s="71">
        <v>1.7350000000000001</v>
      </c>
      <c r="E136" s="16">
        <v>1.6339999999999999</v>
      </c>
      <c r="F136" s="16">
        <v>1.5629999999999999</v>
      </c>
      <c r="G136" s="16">
        <v>1.4910000000000001</v>
      </c>
      <c r="H136" s="16">
        <v>1.4390000000000001</v>
      </c>
      <c r="I136" s="16">
        <v>1.3879999999999999</v>
      </c>
    </row>
    <row r="137" spans="1:9" s="71" customFormat="1" x14ac:dyDescent="0.35">
      <c r="A137" s="80"/>
      <c r="D137" s="16"/>
      <c r="E137" s="16"/>
      <c r="F137" s="16"/>
      <c r="G137" s="16"/>
      <c r="H137" s="16"/>
      <c r="I137" s="16"/>
    </row>
    <row r="138" spans="1:9" s="71" customFormat="1" x14ac:dyDescent="0.35">
      <c r="A138" s="71" t="s">
        <v>296</v>
      </c>
      <c r="B138" s="71" t="s">
        <v>294</v>
      </c>
      <c r="C138" s="71">
        <v>1.1220000000000001</v>
      </c>
      <c r="D138" s="16">
        <v>1.073</v>
      </c>
      <c r="E138" s="72">
        <v>1.0229999999999999</v>
      </c>
      <c r="F138" s="72">
        <v>0.98799999999999999</v>
      </c>
      <c r="G138" s="72">
        <v>0.95299999999999996</v>
      </c>
      <c r="H138" s="72">
        <v>0.92900000000000005</v>
      </c>
      <c r="I138" s="72">
        <v>0.90500000000000003</v>
      </c>
    </row>
    <row r="139" spans="1:9" s="71" customFormat="1" x14ac:dyDescent="0.35">
      <c r="B139" s="72"/>
      <c r="C139" s="72"/>
      <c r="D139" s="72"/>
      <c r="E139" s="72"/>
      <c r="F139" s="72"/>
      <c r="G139" s="72"/>
      <c r="H139" s="72"/>
      <c r="I139" s="72"/>
    </row>
    <row r="140" spans="1:9" s="71" customFormat="1" x14ac:dyDescent="0.35">
      <c r="B140" s="72"/>
      <c r="C140" s="72"/>
      <c r="D140" s="72"/>
      <c r="E140" s="72"/>
      <c r="F140" s="72"/>
      <c r="G140" s="72"/>
      <c r="H140" s="72"/>
      <c r="I140" s="72"/>
    </row>
    <row r="143" spans="1:9" x14ac:dyDescent="0.35">
      <c r="A143" t="s">
        <v>230</v>
      </c>
      <c r="C143" s="72">
        <v>2020</v>
      </c>
      <c r="D143" s="72">
        <f>C143+5</f>
        <v>2025</v>
      </c>
      <c r="E143" s="72">
        <f t="shared" ref="E143" si="26">D143+5</f>
        <v>2030</v>
      </c>
      <c r="F143" s="72">
        <f t="shared" ref="F143" si="27">E143+5</f>
        <v>2035</v>
      </c>
      <c r="G143" s="72">
        <f t="shared" ref="G143" si="28">F143+5</f>
        <v>2040</v>
      </c>
      <c r="H143" s="72">
        <f t="shared" ref="H143" si="29">G143+5</f>
        <v>2045</v>
      </c>
      <c r="I143" s="72">
        <f t="shared" ref="I143" si="30">H143+5</f>
        <v>2050</v>
      </c>
    </row>
    <row r="144" spans="1:9" x14ac:dyDescent="0.35">
      <c r="B144" s="72" t="s">
        <v>290</v>
      </c>
      <c r="C144" s="81">
        <f>C130</f>
        <v>1.0208333333333333</v>
      </c>
      <c r="D144" s="81">
        <f>D130</f>
        <v>0.95908160050409563</v>
      </c>
      <c r="E144" s="81">
        <f t="shared" ref="D144:I144" si="31">E130</f>
        <v>0.89925960932577187</v>
      </c>
      <c r="F144" s="81">
        <f t="shared" si="31"/>
        <v>0.84329710144927539</v>
      </c>
      <c r="G144" s="81">
        <f t="shared" si="31"/>
        <v>0.79119407687460608</v>
      </c>
      <c r="H144" s="81">
        <f t="shared" si="31"/>
        <v>0.74295053560176427</v>
      </c>
      <c r="I144" s="81">
        <f t="shared" si="31"/>
        <v>0.69663673597983611</v>
      </c>
    </row>
    <row r="145" spans="2:9" x14ac:dyDescent="0.35">
      <c r="B145" s="72" t="s">
        <v>215</v>
      </c>
      <c r="C145" s="81">
        <f>C121</f>
        <v>3.4048211111111115</v>
      </c>
      <c r="D145" s="81">
        <f t="shared" ref="D145:I145" si="32">D121</f>
        <v>2.5230083059239581</v>
      </c>
      <c r="E145" s="81">
        <f t="shared" si="32"/>
        <v>1.9704634145697939</v>
      </c>
      <c r="F145" s="81">
        <f t="shared" si="32"/>
        <v>1.6156620629574885</v>
      </c>
      <c r="G145" s="81">
        <f t="shared" si="32"/>
        <v>1.333268711921624</v>
      </c>
      <c r="H145" s="81">
        <f t="shared" si="32"/>
        <v>1.1346810692320761</v>
      </c>
      <c r="I145" s="81">
        <f t="shared" si="32"/>
        <v>0.97944677118403711</v>
      </c>
    </row>
    <row r="146" spans="2:9" x14ac:dyDescent="0.35">
      <c r="B146" s="72" t="s">
        <v>216</v>
      </c>
      <c r="C146" s="81">
        <f>C125</f>
        <v>5.2083333333333339</v>
      </c>
      <c r="D146" s="81">
        <f t="shared" ref="D146:I146" si="33">D125</f>
        <v>3.9185316840277782</v>
      </c>
      <c r="E146" s="81">
        <f t="shared" si="33"/>
        <v>3.0502928023821347</v>
      </c>
      <c r="F146" s="81">
        <f t="shared" si="33"/>
        <v>2.4512134589989727</v>
      </c>
      <c r="G146" s="81">
        <f t="shared" si="33"/>
        <v>1.9798024544800374</v>
      </c>
      <c r="H146" s="81">
        <f t="shared" si="33"/>
        <v>1.634956554674309</v>
      </c>
      <c r="I146" s="81">
        <f t="shared" si="33"/>
        <v>1.3665504053177959</v>
      </c>
    </row>
    <row r="147" spans="2:9" x14ac:dyDescent="0.35">
      <c r="B147" s="72" t="s">
        <v>291</v>
      </c>
      <c r="C147" s="81">
        <f>C131</f>
        <v>0.60059523809523818</v>
      </c>
      <c r="D147" s="81">
        <f t="shared" ref="D147:I147" si="34">D131</f>
        <v>0.56426433522369257</v>
      </c>
      <c r="E147" s="81">
        <f t="shared" si="34"/>
        <v>0.52906877306688282</v>
      </c>
      <c r="F147" s="81">
        <f t="shared" si="34"/>
        <v>0.49614389233954459</v>
      </c>
      <c r="G147" s="81">
        <f t="shared" si="34"/>
        <v>0.46548969304167798</v>
      </c>
      <c r="H147" s="81">
        <f t="shared" si="34"/>
        <v>0.43710617517328293</v>
      </c>
      <c r="I147" s="81">
        <f t="shared" si="34"/>
        <v>0.40985799801962375</v>
      </c>
    </row>
    <row r="148" spans="2:9" x14ac:dyDescent="0.35">
      <c r="B148" s="72" t="s">
        <v>293</v>
      </c>
      <c r="C148" s="81">
        <f>C133+C134</f>
        <v>0.96290476190476193</v>
      </c>
      <c r="D148" s="81">
        <f t="shared" ref="D148:I148" si="35">D133+D134</f>
        <v>0.91203717706364207</v>
      </c>
      <c r="E148" s="81">
        <f t="shared" si="35"/>
        <v>0.86075920424880725</v>
      </c>
      <c r="F148" s="81">
        <f t="shared" si="35"/>
        <v>0.79566045548654252</v>
      </c>
      <c r="G148" s="81">
        <f t="shared" si="35"/>
        <v>0.74674093077684756</v>
      </c>
      <c r="H148" s="81">
        <f t="shared" si="35"/>
        <v>0.70100063011972269</v>
      </c>
      <c r="I148" s="81">
        <f t="shared" si="35"/>
        <v>0.65684994148888287</v>
      </c>
    </row>
    <row r="149" spans="2:9" x14ac:dyDescent="0.35">
      <c r="B149" s="72" t="s">
        <v>295</v>
      </c>
      <c r="C149">
        <f>C136</f>
        <v>1.835</v>
      </c>
      <c r="D149" s="71">
        <f t="shared" ref="D149:I149" si="36">D136</f>
        <v>1.7350000000000001</v>
      </c>
      <c r="E149" s="71">
        <f t="shared" si="36"/>
        <v>1.6339999999999999</v>
      </c>
      <c r="F149" s="71">
        <f t="shared" si="36"/>
        <v>1.5629999999999999</v>
      </c>
      <c r="G149" s="71">
        <f t="shared" si="36"/>
        <v>1.4910000000000001</v>
      </c>
      <c r="H149" s="71">
        <f t="shared" si="36"/>
        <v>1.4390000000000001</v>
      </c>
      <c r="I149" s="71">
        <f t="shared" si="36"/>
        <v>1.3879999999999999</v>
      </c>
    </row>
    <row r="150" spans="2:9" x14ac:dyDescent="0.35">
      <c r="B150" s="72" t="s">
        <v>296</v>
      </c>
      <c r="C150">
        <f>C138</f>
        <v>1.1220000000000001</v>
      </c>
      <c r="D150" s="71">
        <f t="shared" ref="D150:I150" si="37">D138</f>
        <v>1.073</v>
      </c>
      <c r="E150" s="71">
        <f t="shared" si="37"/>
        <v>1.0229999999999999</v>
      </c>
      <c r="F150" s="71">
        <f t="shared" si="37"/>
        <v>0.98799999999999999</v>
      </c>
      <c r="G150" s="71">
        <f t="shared" si="37"/>
        <v>0.95299999999999996</v>
      </c>
      <c r="H150" s="71">
        <f t="shared" si="37"/>
        <v>0.92900000000000005</v>
      </c>
      <c r="I150" s="71">
        <f t="shared" si="37"/>
        <v>0.90500000000000003</v>
      </c>
    </row>
    <row r="162" spans="14:14" x14ac:dyDescent="0.35">
      <c r="N162">
        <f>0.00013*1000</f>
        <v>0.12999999999999998</v>
      </c>
    </row>
  </sheetData>
  <hyperlinks>
    <hyperlink ref="E58" r:id="rId1" xr:uid="{66325FC6-82DC-4EAE-9482-66C2CA9EC596}"/>
    <hyperlink ref="O77" r:id="rId2" xr:uid="{3866854B-EC34-4819-8B2C-BF73148DAC32}"/>
    <hyperlink ref="O76" r:id="rId3" xr:uid="{4A75F12A-1F45-4269-B409-72FB9B1CBF63}"/>
    <hyperlink ref="O73" r:id="rId4" xr:uid="{47D74AB0-55EF-4BE4-BDEE-19C32F5B15CA}"/>
    <hyperlink ref="P72" r:id="rId5" xr:uid="{2D714AD3-E06B-40CC-8799-812571D9AB45}"/>
    <hyperlink ref="K115" r:id="rId6" xr:uid="{6DC3EC30-080D-491A-B4DE-FB42607CF1F5}"/>
    <hyperlink ref="K118" r:id="rId7" xr:uid="{80CF0DFD-5E83-4FE7-A66D-B75D5EAF9992}"/>
  </hyperlinks>
  <pageMargins left="0.7" right="0.7" top="0.75" bottom="0.75" header="0.3" footer="0.3"/>
  <pageSetup paperSize="9" orientation="portrait" horizontalDpi="4294967294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FBCA-160D-427E-8A09-6C86C403BCB9}">
  <dimension ref="A1:I10"/>
  <sheetViews>
    <sheetView tabSelected="1" zoomScale="87" workbookViewId="0">
      <selection activeCell="G12" sqref="G12"/>
    </sheetView>
  </sheetViews>
  <sheetFormatPr defaultRowHeight="14.5" x14ac:dyDescent="0.35"/>
  <cols>
    <col min="1" max="1" width="20.453125" customWidth="1"/>
  </cols>
  <sheetData>
    <row r="1" spans="1:9" s="71" customFormat="1" x14ac:dyDescent="0.35">
      <c r="A1" s="71" t="s">
        <v>222</v>
      </c>
    </row>
    <row r="2" spans="1:9" x14ac:dyDescent="0.35">
      <c r="A2" t="s">
        <v>245</v>
      </c>
      <c r="B2">
        <v>322</v>
      </c>
      <c r="C2" t="s">
        <v>247</v>
      </c>
      <c r="E2" s="71">
        <v>322</v>
      </c>
    </row>
    <row r="3" spans="1:9" x14ac:dyDescent="0.35">
      <c r="A3" t="s">
        <v>249</v>
      </c>
      <c r="B3">
        <f>4.4+83.7</f>
        <v>88.100000000000009</v>
      </c>
      <c r="C3" t="s">
        <v>246</v>
      </c>
      <c r="E3" s="71">
        <f>4.4+83.7</f>
        <v>88.100000000000009</v>
      </c>
    </row>
    <row r="4" spans="1:9" s="71" customFormat="1" x14ac:dyDescent="0.35">
      <c r="A4" s="71" t="s">
        <v>250</v>
      </c>
      <c r="B4" s="71">
        <v>0.9</v>
      </c>
      <c r="E4" s="71">
        <v>0.55000000000000004</v>
      </c>
      <c r="I4" s="4" t="s">
        <v>244</v>
      </c>
    </row>
    <row r="5" spans="1:9" x14ac:dyDescent="0.35">
      <c r="A5" t="s">
        <v>248</v>
      </c>
      <c r="B5">
        <f>B3*(1-B4)</f>
        <v>8.8099999999999987</v>
      </c>
      <c r="C5" t="s">
        <v>251</v>
      </c>
      <c r="E5" s="71">
        <f>B3*(1-E4)</f>
        <v>39.645000000000003</v>
      </c>
    </row>
    <row r="6" spans="1:9" x14ac:dyDescent="0.35">
      <c r="A6" t="s">
        <v>252</v>
      </c>
      <c r="B6">
        <f>B5/B2</f>
        <v>2.7360248447204964E-2</v>
      </c>
      <c r="C6" t="s">
        <v>292</v>
      </c>
      <c r="E6" s="71">
        <f>E5/E2</f>
        <v>0.12312111801242237</v>
      </c>
    </row>
    <row r="9" spans="1:9" ht="29" x14ac:dyDescent="0.35">
      <c r="A9" s="82" t="s">
        <v>253</v>
      </c>
      <c r="B9" s="4" t="s">
        <v>254</v>
      </c>
    </row>
    <row r="10" spans="1:9" x14ac:dyDescent="0.35">
      <c r="B10">
        <v>0.184</v>
      </c>
      <c r="C10" t="s">
        <v>255</v>
      </c>
    </row>
  </sheetData>
  <hyperlinks>
    <hyperlink ref="I4" r:id="rId1" xr:uid="{5E3D7C72-1E3F-4834-A917-2F070FEFB792}"/>
    <hyperlink ref="B9" r:id="rId2" xr:uid="{A0CA5297-B505-4991-97A5-C4C1AC106711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34A4-DE98-4BC0-B41A-2B3681E0F396}">
  <dimension ref="A1:XFD83"/>
  <sheetViews>
    <sheetView topLeftCell="B1" zoomScaleNormal="100" workbookViewId="0">
      <selection activeCell="B23" sqref="B23"/>
    </sheetView>
  </sheetViews>
  <sheetFormatPr defaultRowHeight="14.5" x14ac:dyDescent="0.35"/>
  <cols>
    <col min="1" max="1" width="19.08984375" bestFit="1" customWidth="1"/>
    <col min="2" max="2" width="35.08984375" bestFit="1" customWidth="1"/>
    <col min="3" max="3" width="10.1796875" customWidth="1"/>
    <col min="4" max="4" width="15.54296875" bestFit="1" customWidth="1"/>
    <col min="5" max="6" width="15.54296875" customWidth="1"/>
    <col min="7" max="7" width="13.36328125" customWidth="1"/>
    <col min="8" max="8" width="14.453125" customWidth="1"/>
    <col min="9" max="9" width="15.08984375" hidden="1" customWidth="1"/>
    <col min="10" max="10" width="13.54296875" customWidth="1"/>
    <col min="11" max="11" width="14.08984375" customWidth="1"/>
    <col min="12" max="12" width="15" hidden="1" customWidth="1"/>
    <col min="13" max="13" width="10.7265625" bestFit="1" customWidth="1"/>
  </cols>
  <sheetData>
    <row r="1" spans="1:16384" s="49" customFormat="1" ht="18.5" x14ac:dyDescent="0.45">
      <c r="A1" s="48" t="s">
        <v>0</v>
      </c>
    </row>
    <row r="2" spans="1:16384" s="3" customFormat="1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3" customFormat="1" x14ac:dyDescent="0.35">
      <c r="A3" s="3" t="s">
        <v>149</v>
      </c>
    </row>
    <row r="4" spans="1:16384" s="1" customFormat="1" ht="29" x14ac:dyDescent="0.35">
      <c r="A4" s="1" t="s">
        <v>72</v>
      </c>
      <c r="B4" s="54" t="s">
        <v>74</v>
      </c>
      <c r="C4" s="56" t="s">
        <v>150</v>
      </c>
      <c r="D4" s="56" t="s">
        <v>75</v>
      </c>
      <c r="E4" s="1" t="s">
        <v>68</v>
      </c>
    </row>
    <row r="5" spans="1:16384" x14ac:dyDescent="0.35">
      <c r="A5" t="s">
        <v>73</v>
      </c>
      <c r="B5" s="51">
        <v>36300</v>
      </c>
      <c r="C5" s="51">
        <v>1513</v>
      </c>
      <c r="D5" s="55">
        <v>1.5129999999999999</v>
      </c>
      <c r="E5">
        <v>20</v>
      </c>
      <c r="H5">
        <f>H6*J5/J6</f>
        <v>242</v>
      </c>
      <c r="J5">
        <v>3630</v>
      </c>
    </row>
    <row r="6" spans="1:16384" x14ac:dyDescent="0.35">
      <c r="A6" t="s">
        <v>76</v>
      </c>
      <c r="B6" s="51">
        <v>3630</v>
      </c>
      <c r="C6" s="55">
        <v>151</v>
      </c>
      <c r="D6" s="55">
        <v>151</v>
      </c>
      <c r="E6">
        <v>20</v>
      </c>
      <c r="H6">
        <f>10*'Conversion factors'!B3</f>
        <v>393.71428571428572</v>
      </c>
      <c r="J6">
        <f>150*'Conversion factors'!B3</f>
        <v>5905.7142857142862</v>
      </c>
    </row>
    <row r="7" spans="1:16384" x14ac:dyDescent="0.35">
      <c r="A7" t="s">
        <v>77</v>
      </c>
      <c r="B7" s="55">
        <v>363</v>
      </c>
      <c r="C7" s="55">
        <v>15</v>
      </c>
      <c r="D7" s="55">
        <v>15</v>
      </c>
      <c r="E7">
        <v>20</v>
      </c>
    </row>
    <row r="8" spans="1:16384" x14ac:dyDescent="0.35">
      <c r="I8" s="71"/>
      <c r="J8" s="71"/>
    </row>
    <row r="9" spans="1:16384" x14ac:dyDescent="0.35">
      <c r="A9" t="s">
        <v>44</v>
      </c>
      <c r="B9" s="30" t="s">
        <v>54</v>
      </c>
    </row>
    <row r="10" spans="1:16384" x14ac:dyDescent="0.35">
      <c r="B10" s="57"/>
    </row>
    <row r="11" spans="1:16384" s="3" customFormat="1" x14ac:dyDescent="0.35">
      <c r="A11" s="3" t="s">
        <v>3</v>
      </c>
      <c r="B11" s="69"/>
    </row>
    <row r="12" spans="1:16384" s="49" customFormat="1" x14ac:dyDescent="0.35">
      <c r="B12" s="70"/>
      <c r="C12" s="49" t="s">
        <v>202</v>
      </c>
      <c r="E12" s="49" t="s">
        <v>210</v>
      </c>
      <c r="G12" s="49" t="s">
        <v>288</v>
      </c>
    </row>
    <row r="13" spans="1:16384" s="71" customFormat="1" x14ac:dyDescent="0.35">
      <c r="A13" s="71">
        <v>1</v>
      </c>
      <c r="B13" s="71" t="s">
        <v>169</v>
      </c>
    </row>
    <row r="14" spans="1:16384" s="71" customFormat="1" x14ac:dyDescent="0.35">
      <c r="A14" s="71">
        <f>A13+1</f>
        <v>2</v>
      </c>
      <c r="B14" s="71" t="s">
        <v>170</v>
      </c>
      <c r="C14" s="5">
        <f>E30+E35+E36+E37</f>
        <v>2372.9444444444448</v>
      </c>
      <c r="E14" s="74">
        <f>C14*1000</f>
        <v>2372944.444444445</v>
      </c>
      <c r="G14" s="43">
        <f>251.075*1000/24</f>
        <v>10461.458333333334</v>
      </c>
    </row>
    <row r="15" spans="1:16384" s="71" customFormat="1" x14ac:dyDescent="0.35">
      <c r="A15" s="71">
        <f t="shared" ref="A15:A24" si="0">A14+1</f>
        <v>3</v>
      </c>
      <c r="B15" s="71" t="s">
        <v>171</v>
      </c>
      <c r="C15" s="5">
        <f>E29+E31+E32+E33</f>
        <v>14773.763888888891</v>
      </c>
      <c r="E15" s="74">
        <f>C15*1000</f>
        <v>14773763.88888889</v>
      </c>
      <c r="G15" s="71">
        <f>321.66*1000/24</f>
        <v>13402.5</v>
      </c>
    </row>
    <row r="16" spans="1:16384" s="71" customFormat="1" x14ac:dyDescent="0.35">
      <c r="A16" s="71">
        <f t="shared" si="0"/>
        <v>4</v>
      </c>
      <c r="B16" s="71" t="s">
        <v>172</v>
      </c>
    </row>
    <row r="17" spans="1:16384" s="71" customFormat="1" x14ac:dyDescent="0.35">
      <c r="A17" s="71">
        <f t="shared" si="0"/>
        <v>5</v>
      </c>
      <c r="B17" s="71" t="s">
        <v>173</v>
      </c>
    </row>
    <row r="18" spans="1:16384" s="71" customFormat="1" x14ac:dyDescent="0.35">
      <c r="A18" s="71">
        <f t="shared" si="0"/>
        <v>6</v>
      </c>
      <c r="B18" s="71" t="s">
        <v>174</v>
      </c>
    </row>
    <row r="19" spans="1:16384" s="71" customFormat="1" x14ac:dyDescent="0.35">
      <c r="A19" s="71">
        <f t="shared" si="0"/>
        <v>7</v>
      </c>
      <c r="B19" s="71" t="s">
        <v>96</v>
      </c>
    </row>
    <row r="20" spans="1:16384" s="71" customFormat="1" x14ac:dyDescent="0.35">
      <c r="A20" s="71">
        <f t="shared" si="0"/>
        <v>8</v>
      </c>
      <c r="B20" s="71" t="s">
        <v>97</v>
      </c>
    </row>
    <row r="21" spans="1:16384" s="71" customFormat="1" x14ac:dyDescent="0.35">
      <c r="A21" s="71">
        <f t="shared" si="0"/>
        <v>9</v>
      </c>
      <c r="B21" s="71" t="s">
        <v>175</v>
      </c>
      <c r="C21" s="5">
        <f>E34</f>
        <v>870.52777777777771</v>
      </c>
      <c r="E21" s="74">
        <f>C21*1000</f>
        <v>870527.77777777775</v>
      </c>
      <c r="G21" s="43">
        <f>24.74*1000/24</f>
        <v>1030.8333333333333</v>
      </c>
    </row>
    <row r="22" spans="1:16384" s="71" customFormat="1" x14ac:dyDescent="0.35">
      <c r="A22" s="71">
        <f t="shared" si="0"/>
        <v>10</v>
      </c>
      <c r="B22" s="71" t="s">
        <v>176</v>
      </c>
    </row>
    <row r="23" spans="1:16384" s="71" customFormat="1" x14ac:dyDescent="0.35">
      <c r="A23" s="71">
        <f t="shared" si="0"/>
        <v>11</v>
      </c>
      <c r="B23" s="71" t="s">
        <v>177</v>
      </c>
    </row>
    <row r="24" spans="1:16384" s="71" customFormat="1" x14ac:dyDescent="0.35">
      <c r="A24" s="71">
        <f t="shared" si="0"/>
        <v>12</v>
      </c>
      <c r="B24" s="71" t="s">
        <v>98</v>
      </c>
    </row>
    <row r="25" spans="1:16384" s="71" customFormat="1" x14ac:dyDescent="0.35">
      <c r="B25" s="57"/>
    </row>
    <row r="26" spans="1:16384" s="3" customForma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:16384" x14ac:dyDescent="0.35">
      <c r="G27" s="41" t="s">
        <v>23</v>
      </c>
      <c r="H27" s="42"/>
      <c r="J27" s="41" t="s">
        <v>24</v>
      </c>
      <c r="K27" s="42"/>
      <c r="L27" s="42"/>
    </row>
    <row r="28" spans="1:16384" ht="29" x14ac:dyDescent="0.35">
      <c r="A28" s="1" t="s">
        <v>1</v>
      </c>
      <c r="B28" s="1" t="s">
        <v>2</v>
      </c>
      <c r="C28" s="1" t="s">
        <v>5</v>
      </c>
      <c r="D28" s="1" t="s">
        <v>15</v>
      </c>
      <c r="E28" s="12" t="s">
        <v>137</v>
      </c>
      <c r="F28" s="12" t="s">
        <v>132</v>
      </c>
      <c r="G28" s="44" t="s">
        <v>22</v>
      </c>
      <c r="H28" s="45" t="s">
        <v>136</v>
      </c>
      <c r="I28" s="12" t="s">
        <v>134</v>
      </c>
      <c r="J28" s="44" t="s">
        <v>25</v>
      </c>
      <c r="K28" s="45" t="s">
        <v>138</v>
      </c>
      <c r="L28" s="12" t="s">
        <v>135</v>
      </c>
      <c r="M28" s="1" t="s">
        <v>4</v>
      </c>
      <c r="N28" s="1" t="s">
        <v>14</v>
      </c>
    </row>
    <row r="29" spans="1:16384" x14ac:dyDescent="0.35">
      <c r="A29" t="s">
        <v>10</v>
      </c>
      <c r="B29" t="s">
        <v>9</v>
      </c>
      <c r="C29">
        <v>3</v>
      </c>
      <c r="D29" s="5">
        <v>3716</v>
      </c>
      <c r="E29" s="51">
        <f>D29*1000000*'Conversion factors'!$B$4/1000</f>
        <v>12489.888888888891</v>
      </c>
      <c r="F29" s="5">
        <v>40256</v>
      </c>
      <c r="G29" s="19">
        <v>44.8</v>
      </c>
      <c r="H29" s="52">
        <f>G29*1000000*'Conversion factors'!$B$4/1000</f>
        <v>150.57777777777778</v>
      </c>
      <c r="I29">
        <v>485</v>
      </c>
      <c r="J29" s="19">
        <v>28.15</v>
      </c>
      <c r="K29" s="52">
        <f>J29*1000000*'Conversion factors'!$B$4/1000</f>
        <v>94.615277777777777</v>
      </c>
      <c r="L29">
        <v>305</v>
      </c>
      <c r="M29" t="s">
        <v>7</v>
      </c>
      <c r="N29" s="4" t="s">
        <v>133</v>
      </c>
    </row>
    <row r="30" spans="1:16384" x14ac:dyDescent="0.35">
      <c r="A30" t="s">
        <v>6</v>
      </c>
      <c r="B30" t="s">
        <v>28</v>
      </c>
      <c r="C30">
        <v>2</v>
      </c>
      <c r="D30">
        <v>400</v>
      </c>
      <c r="E30" s="51">
        <f>D30*1000000*'Conversion factors'!$B$4/1000</f>
        <v>1344.4444444444446</v>
      </c>
      <c r="F30" s="5">
        <v>4333</v>
      </c>
      <c r="G30" s="19">
        <v>30</v>
      </c>
      <c r="H30" s="52">
        <f>G30*1000000*'Conversion factors'!$B$4/1000</f>
        <v>100.83333333333333</v>
      </c>
      <c r="I30">
        <v>320</v>
      </c>
      <c r="J30" s="19">
        <v>30</v>
      </c>
      <c r="K30" s="52">
        <f>J30*1000000*'Conversion factors'!$B$4/1000</f>
        <v>100.83333333333333</v>
      </c>
      <c r="L30">
        <v>320</v>
      </c>
      <c r="M30" t="s">
        <v>7</v>
      </c>
    </row>
    <row r="31" spans="1:16384" x14ac:dyDescent="0.35">
      <c r="A31" t="s">
        <v>6</v>
      </c>
      <c r="B31" t="s">
        <v>11</v>
      </c>
      <c r="C31">
        <v>3</v>
      </c>
      <c r="D31">
        <f>179+89.5</f>
        <v>268.5</v>
      </c>
      <c r="E31" s="51">
        <f>D31*1000000*'Conversion factors'!$B$4/1000</f>
        <v>902.45833333333337</v>
      </c>
      <c r="F31">
        <f>2383+988</f>
        <v>3371</v>
      </c>
      <c r="G31" s="19">
        <f>20.6+10.3</f>
        <v>30.900000000000002</v>
      </c>
      <c r="H31" s="52">
        <f>G31*1000000*'Conversion factors'!$B$4/1000</f>
        <v>103.85833333333335</v>
      </c>
      <c r="I31">
        <f>228.2+114.1</f>
        <v>342.29999999999995</v>
      </c>
      <c r="J31" s="19">
        <f>13.2+6.6</f>
        <v>19.799999999999997</v>
      </c>
      <c r="K31" s="52">
        <f>J31*1000000*'Conversion factors'!$B$4/1000</f>
        <v>66.549999999999983</v>
      </c>
      <c r="L31">
        <f>141.6+70.8</f>
        <v>212.39999999999998</v>
      </c>
      <c r="M31" t="s">
        <v>7</v>
      </c>
      <c r="N31" s="4" t="s">
        <v>16</v>
      </c>
    </row>
    <row r="32" spans="1:16384" x14ac:dyDescent="0.35">
      <c r="A32" t="s">
        <v>6</v>
      </c>
      <c r="B32" t="s">
        <v>26</v>
      </c>
      <c r="C32">
        <v>3</v>
      </c>
      <c r="D32">
        <v>296</v>
      </c>
      <c r="E32" s="51">
        <f>D32*1000000*'Conversion factors'!$B$4/1000</f>
        <v>994.88888888888891</v>
      </c>
      <c r="F32" s="6">
        <f>F31/D31*D32</f>
        <v>3716.2607076350096</v>
      </c>
      <c r="G32" s="19">
        <v>18</v>
      </c>
      <c r="H32" s="52">
        <f>G32*1000000*'Conversion factors'!$B$4/1000</f>
        <v>60.5</v>
      </c>
      <c r="I32">
        <v>195</v>
      </c>
      <c r="J32" s="19">
        <v>1.9</v>
      </c>
      <c r="K32" s="52">
        <f>J32*1000000*'Conversion factors'!$B$4/1000</f>
        <v>6.3861111111111111</v>
      </c>
      <c r="L32">
        <v>21.6</v>
      </c>
      <c r="M32" t="s">
        <v>7</v>
      </c>
      <c r="N32" s="4" t="s">
        <v>16</v>
      </c>
    </row>
    <row r="33" spans="1:14" x14ac:dyDescent="0.35">
      <c r="A33" t="s">
        <v>10</v>
      </c>
      <c r="B33" t="s">
        <v>12</v>
      </c>
      <c r="C33">
        <v>3</v>
      </c>
      <c r="D33">
        <v>115</v>
      </c>
      <c r="E33" s="51">
        <f>D33*1000000*'Conversion factors'!$B$4/1000</f>
        <v>386.52777777777783</v>
      </c>
      <c r="F33" s="5">
        <v>1245</v>
      </c>
      <c r="G33" s="19">
        <v>2</v>
      </c>
      <c r="H33" s="52">
        <f>G33*1000000*'Conversion factors'!$B$4/1000</f>
        <v>6.7222222222222223</v>
      </c>
      <c r="I33">
        <v>21.6</v>
      </c>
      <c r="J33" s="19">
        <v>3</v>
      </c>
      <c r="K33" s="52">
        <f>J33*1000000*'Conversion factors'!$B$4/1000</f>
        <v>10.083333333333334</v>
      </c>
      <c r="L33">
        <v>32.5</v>
      </c>
      <c r="M33" t="s">
        <v>7</v>
      </c>
    </row>
    <row r="34" spans="1:14" x14ac:dyDescent="0.35">
      <c r="A34" t="s">
        <v>10</v>
      </c>
      <c r="B34" t="s">
        <v>13</v>
      </c>
      <c r="C34">
        <v>9</v>
      </c>
      <c r="D34">
        <v>259</v>
      </c>
      <c r="E34" s="51">
        <f>D34*1000000*'Conversion factors'!$B$4/1000</f>
        <v>870.52777777777771</v>
      </c>
      <c r="F34" s="5">
        <v>2810</v>
      </c>
      <c r="G34" s="19">
        <v>7.36</v>
      </c>
      <c r="H34" s="52">
        <f>G34*1000000*'Conversion factors'!$B$4/1000</f>
        <v>24.737777777777776</v>
      </c>
      <c r="I34">
        <v>79</v>
      </c>
      <c r="J34" s="19">
        <v>8.49</v>
      </c>
      <c r="K34" s="52">
        <f>J34*1000000*'Conversion factors'!$B$4/1000</f>
        <v>28.535833333333333</v>
      </c>
      <c r="L34">
        <v>91</v>
      </c>
      <c r="M34" t="s">
        <v>7</v>
      </c>
    </row>
    <row r="35" spans="1:14" x14ac:dyDescent="0.35">
      <c r="A35" t="s">
        <v>6</v>
      </c>
      <c r="B35" t="s">
        <v>27</v>
      </c>
      <c r="C35">
        <v>2</v>
      </c>
      <c r="D35">
        <v>98</v>
      </c>
      <c r="E35" s="51">
        <f>D35*1000000*'Conversion factors'!$B$4/1000</f>
        <v>329.38888888888886</v>
      </c>
      <c r="F35" s="5">
        <v>1070</v>
      </c>
      <c r="G35" s="19">
        <v>14.7</v>
      </c>
      <c r="H35" s="52">
        <f>G35*1000000*'Conversion factors'!$B$4/1000</f>
        <v>49.408333333333339</v>
      </c>
      <c r="I35">
        <v>160</v>
      </c>
      <c r="J35" s="19">
        <v>16</v>
      </c>
      <c r="K35" s="52">
        <f>J35*1000000*'Conversion factors'!$B$4/1000</f>
        <v>53.777777777777779</v>
      </c>
      <c r="L35">
        <v>175</v>
      </c>
      <c r="M35" t="s">
        <v>7</v>
      </c>
    </row>
    <row r="36" spans="1:14" x14ac:dyDescent="0.35">
      <c r="A36" t="s">
        <v>6</v>
      </c>
      <c r="B36" t="s">
        <v>17</v>
      </c>
      <c r="C36">
        <v>2</v>
      </c>
      <c r="D36">
        <v>160</v>
      </c>
      <c r="E36" s="51">
        <f>D36*1000000*'Conversion factors'!$B$4/1000</f>
        <v>537.77777777777771</v>
      </c>
      <c r="F36" s="5">
        <v>2383</v>
      </c>
      <c r="G36" s="19">
        <v>22</v>
      </c>
      <c r="H36" s="52">
        <f>G36*1000000*'Conversion factors'!$B$4/1000</f>
        <v>73.944444444444457</v>
      </c>
      <c r="I36">
        <v>240</v>
      </c>
      <c r="J36" s="19">
        <v>22</v>
      </c>
      <c r="K36" s="52">
        <f>J36*1000000*'Conversion factors'!$B$4/1000</f>
        <v>73.944444444444457</v>
      </c>
      <c r="L36">
        <v>240</v>
      </c>
      <c r="M36" t="s">
        <v>7</v>
      </c>
    </row>
    <row r="37" spans="1:14" x14ac:dyDescent="0.35">
      <c r="A37" t="s">
        <v>6</v>
      </c>
      <c r="B37" t="s">
        <v>18</v>
      </c>
      <c r="C37">
        <v>2</v>
      </c>
      <c r="D37">
        <v>48</v>
      </c>
      <c r="E37" s="51">
        <f>D37*1000000*'Conversion factors'!$B$4/1000</f>
        <v>161.33333333333334</v>
      </c>
      <c r="F37" s="5">
        <v>520</v>
      </c>
      <c r="G37" s="22">
        <v>8</v>
      </c>
      <c r="H37" s="53">
        <f>G37*1000000*'Conversion factors'!$B$4/1000</f>
        <v>26.888888888888889</v>
      </c>
      <c r="I37">
        <v>90</v>
      </c>
      <c r="J37" s="22">
        <v>11</v>
      </c>
      <c r="K37" s="53">
        <f>J37*1000000*'Conversion factors'!$B$4/1000</f>
        <v>36.972222222222229</v>
      </c>
      <c r="L37">
        <v>120</v>
      </c>
      <c r="M37" t="s">
        <v>7</v>
      </c>
      <c r="N37" s="4" t="s">
        <v>16</v>
      </c>
    </row>
    <row r="38" spans="1:14" x14ac:dyDescent="0.35">
      <c r="A38" t="s">
        <v>6</v>
      </c>
      <c r="B38" t="s">
        <v>19</v>
      </c>
      <c r="D38">
        <v>566</v>
      </c>
      <c r="M38" t="s">
        <v>21</v>
      </c>
    </row>
    <row r="39" spans="1:14" x14ac:dyDescent="0.35">
      <c r="A39" t="s">
        <v>6</v>
      </c>
      <c r="B39" t="s">
        <v>20</v>
      </c>
      <c r="D39">
        <v>160</v>
      </c>
      <c r="G39">
        <v>16</v>
      </c>
      <c r="M39" t="s">
        <v>21</v>
      </c>
    </row>
    <row r="40" spans="1:14" x14ac:dyDescent="0.35">
      <c r="A40" t="s">
        <v>6</v>
      </c>
      <c r="B40" t="s">
        <v>8</v>
      </c>
      <c r="M40" t="s">
        <v>21</v>
      </c>
    </row>
    <row r="41" spans="1:14" x14ac:dyDescent="0.35">
      <c r="A41" t="s">
        <v>6</v>
      </c>
      <c r="B41" t="s">
        <v>33</v>
      </c>
      <c r="M41" t="s">
        <v>21</v>
      </c>
    </row>
    <row r="42" spans="1:14" x14ac:dyDescent="0.35">
      <c r="A42" t="s">
        <v>10</v>
      </c>
      <c r="B42" t="s">
        <v>34</v>
      </c>
      <c r="M42" t="s">
        <v>21</v>
      </c>
    </row>
    <row r="43" spans="1:14" x14ac:dyDescent="0.35">
      <c r="A43" t="s">
        <v>10</v>
      </c>
      <c r="B43" t="s">
        <v>35</v>
      </c>
      <c r="M43" t="s">
        <v>21</v>
      </c>
    </row>
    <row r="44" spans="1:14" x14ac:dyDescent="0.35">
      <c r="A44" t="s">
        <v>10</v>
      </c>
      <c r="B44" t="s">
        <v>36</v>
      </c>
      <c r="M44" t="s">
        <v>21</v>
      </c>
    </row>
    <row r="45" spans="1:14" x14ac:dyDescent="0.35">
      <c r="A45" t="s">
        <v>10</v>
      </c>
      <c r="B45" t="s">
        <v>37</v>
      </c>
      <c r="M45" t="s">
        <v>21</v>
      </c>
    </row>
    <row r="46" spans="1:14" x14ac:dyDescent="0.35">
      <c r="A46" t="s">
        <v>10</v>
      </c>
      <c r="B46" t="s">
        <v>38</v>
      </c>
      <c r="M46" t="s">
        <v>21</v>
      </c>
    </row>
    <row r="47" spans="1:14" x14ac:dyDescent="0.35">
      <c r="A47" t="s">
        <v>10</v>
      </c>
      <c r="B47" t="s">
        <v>39</v>
      </c>
      <c r="M47" t="s">
        <v>21</v>
      </c>
    </row>
    <row r="63" spans="12:12" ht="15" thickBot="1" x14ac:dyDescent="0.4"/>
    <row r="64" spans="12:12" ht="15" thickTop="1" x14ac:dyDescent="0.35">
      <c r="L64" s="8" t="s">
        <v>29</v>
      </c>
    </row>
    <row r="65" spans="3:12" x14ac:dyDescent="0.35">
      <c r="L65" s="7"/>
    </row>
    <row r="66" spans="3:12" x14ac:dyDescent="0.35">
      <c r="L66" s="10" t="s">
        <v>30</v>
      </c>
    </row>
    <row r="67" spans="3:12" x14ac:dyDescent="0.35">
      <c r="L67" s="10"/>
    </row>
    <row r="68" spans="3:12" x14ac:dyDescent="0.35">
      <c r="L68" s="10" t="s">
        <v>31</v>
      </c>
    </row>
    <row r="69" spans="3:12" x14ac:dyDescent="0.35">
      <c r="L69" s="10"/>
    </row>
    <row r="70" spans="3:12" x14ac:dyDescent="0.35">
      <c r="C70">
        <f>(4.4/332)*8760*16*45*1000*(0.000001)</f>
        <v>83.589397590361457</v>
      </c>
      <c r="L70" s="10" t="s">
        <v>32</v>
      </c>
    </row>
    <row r="71" spans="3:12" x14ac:dyDescent="0.35">
      <c r="L71" s="10"/>
    </row>
    <row r="72" spans="3:12" x14ac:dyDescent="0.35">
      <c r="L72" s="10" t="s">
        <v>32</v>
      </c>
    </row>
    <row r="73" spans="3:12" x14ac:dyDescent="0.35">
      <c r="L73" s="10"/>
    </row>
    <row r="74" spans="3:12" x14ac:dyDescent="0.35">
      <c r="L74" s="11" t="s">
        <v>32</v>
      </c>
    </row>
    <row r="75" spans="3:12" x14ac:dyDescent="0.35">
      <c r="L75" s="11"/>
    </row>
    <row r="76" spans="3:12" x14ac:dyDescent="0.35">
      <c r="L76" s="10" t="s">
        <v>32</v>
      </c>
    </row>
    <row r="77" spans="3:12" x14ac:dyDescent="0.35">
      <c r="L77" s="10"/>
    </row>
    <row r="78" spans="3:12" x14ac:dyDescent="0.35">
      <c r="L78" s="10" t="s">
        <v>32</v>
      </c>
    </row>
    <row r="79" spans="3:12" x14ac:dyDescent="0.35">
      <c r="L79" s="10"/>
    </row>
    <row r="80" spans="3:12" x14ac:dyDescent="0.35">
      <c r="L80" s="10" t="s">
        <v>32</v>
      </c>
    </row>
    <row r="81" spans="12:12" x14ac:dyDescent="0.35">
      <c r="L81" s="10"/>
    </row>
    <row r="82" spans="12:12" x14ac:dyDescent="0.35">
      <c r="L82" s="10" t="s">
        <v>32</v>
      </c>
    </row>
    <row r="83" spans="12:12" x14ac:dyDescent="0.35">
      <c r="L83" s="9"/>
    </row>
  </sheetData>
  <autoFilter ref="A28:N47" xr:uid="{552C2AC9-CED2-4EB1-BECE-2F69B3C34F9A}"/>
  <hyperlinks>
    <hyperlink ref="N31" r:id="rId1" display="https://infrastructure.planninginspectorate.gov.uk/wp-content/ipc/uploads/projects/EN030002/EN030002-000783-KGSL - Beutal Black Salt Deposits and Gas Cavern Storage in the UK.pdf" xr:uid="{92E4BBFB-E778-4433-8C28-F84B3858F77C}"/>
    <hyperlink ref="N32" r:id="rId2" display="https://infrastructure.planninginspectorate.gov.uk/wp-content/ipc/uploads/projects/EN030002/EN030002-000783-KGSL - Beutal Black Salt Deposits and Gas Cavern Storage in the UK.pdf" xr:uid="{A4DACE4F-953E-4336-AA9D-02B7402D9CC7}"/>
    <hyperlink ref="N37" r:id="rId3" display="https://infrastructure.planninginspectorate.gov.uk/wp-content/ipc/uploads/projects/EN030002/EN030002-000783-KGSL - Beutal Black Salt Deposits and Gas Cavern Storage in the UK.pdf" xr:uid="{3609C2EB-89CB-4E89-B39B-5BB3538D9D42}"/>
    <hyperlink ref="N29" r:id="rId4" xr:uid="{D74A5843-8C23-4440-9DA5-D208077AE61A}"/>
    <hyperlink ref="B9" r:id="rId5" xr:uid="{6B909F36-971B-4159-89AF-1497F9F308F5}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1747-8DAD-4319-954D-8FF8DF1E5972}">
  <dimension ref="A1:N44"/>
  <sheetViews>
    <sheetView workbookViewId="0">
      <selection activeCell="B5" sqref="B5"/>
    </sheetView>
  </sheetViews>
  <sheetFormatPr defaultRowHeight="14.5" x14ac:dyDescent="0.35"/>
  <cols>
    <col min="1" max="1" width="18.26953125" bestFit="1" customWidth="1"/>
    <col min="2" max="2" width="23.36328125" bestFit="1" customWidth="1"/>
    <col min="3" max="3" width="8.7265625" style="1"/>
  </cols>
  <sheetData>
    <row r="1" spans="1:14" ht="18.5" x14ac:dyDescent="0.45">
      <c r="A1" s="48" t="s">
        <v>48</v>
      </c>
    </row>
    <row r="2" spans="1:14" s="3" customFormat="1" x14ac:dyDescent="0.35">
      <c r="A2" s="3" t="s">
        <v>151</v>
      </c>
      <c r="C2" s="50"/>
    </row>
    <row r="3" spans="1:14" x14ac:dyDescent="0.35">
      <c r="A3" s="72" t="s">
        <v>211</v>
      </c>
      <c r="B3" s="72" t="s">
        <v>212</v>
      </c>
    </row>
    <row r="4" spans="1:14" x14ac:dyDescent="0.35">
      <c r="A4" s="43">
        <v>10</v>
      </c>
      <c r="B4">
        <f>(A4/39.3701)^2*9814</f>
        <v>633.15934018772805</v>
      </c>
      <c r="C4" s="14" t="s">
        <v>213</v>
      </c>
    </row>
    <row r="9" spans="1:14" s="3" customFormat="1" x14ac:dyDescent="0.35">
      <c r="A9" s="3" t="s">
        <v>152</v>
      </c>
      <c r="C9" s="50"/>
    </row>
    <row r="10" spans="1:14" x14ac:dyDescent="0.35">
      <c r="A10" s="1" t="s">
        <v>72</v>
      </c>
      <c r="B10" s="1" t="s">
        <v>93</v>
      </c>
      <c r="C10" s="16" t="s">
        <v>51</v>
      </c>
      <c r="D10" s="1" t="s">
        <v>14</v>
      </c>
    </row>
    <row r="11" spans="1:14" x14ac:dyDescent="0.35">
      <c r="A11" t="s">
        <v>94</v>
      </c>
      <c r="B11" s="43">
        <f>670/1000*'Conversion factors'!B3</f>
        <v>26.378857142857147</v>
      </c>
      <c r="C11" s="16" t="s">
        <v>207</v>
      </c>
      <c r="D11" t="s">
        <v>92</v>
      </c>
    </row>
    <row r="13" spans="1:14" x14ac:dyDescent="0.35">
      <c r="E13" s="71"/>
      <c r="F13" s="71"/>
      <c r="G13" s="71"/>
      <c r="H13" s="71"/>
      <c r="I13" s="71"/>
      <c r="J13" s="71"/>
      <c r="K13" s="71"/>
      <c r="L13" s="71"/>
      <c r="M13" s="71"/>
      <c r="N13" s="71"/>
    </row>
    <row r="14" spans="1:14" x14ac:dyDescent="0.35">
      <c r="A14" t="s">
        <v>209</v>
      </c>
    </row>
    <row r="15" spans="1:14" x14ac:dyDescent="0.35">
      <c r="C15" s="71" t="s">
        <v>178</v>
      </c>
      <c r="D15" s="71" t="s">
        <v>179</v>
      </c>
      <c r="E15" s="71" t="s">
        <v>180</v>
      </c>
      <c r="F15" s="71" t="s">
        <v>181</v>
      </c>
      <c r="G15" s="71" t="s">
        <v>182</v>
      </c>
      <c r="H15" s="71" t="s">
        <v>183</v>
      </c>
      <c r="I15" s="71" t="s">
        <v>184</v>
      </c>
      <c r="J15" s="71" t="s">
        <v>185</v>
      </c>
      <c r="K15" s="71" t="s">
        <v>186</v>
      </c>
      <c r="L15" s="71" t="s">
        <v>187</v>
      </c>
      <c r="M15" s="71" t="s">
        <v>188</v>
      </c>
      <c r="N15" s="71" t="s">
        <v>189</v>
      </c>
    </row>
    <row r="16" spans="1:14" x14ac:dyDescent="0.35">
      <c r="A16" s="14" t="s">
        <v>208</v>
      </c>
      <c r="C16" s="71" t="s">
        <v>169</v>
      </c>
      <c r="D16" s="71" t="s">
        <v>170</v>
      </c>
      <c r="E16" s="71" t="s">
        <v>171</v>
      </c>
      <c r="F16" s="71" t="s">
        <v>172</v>
      </c>
      <c r="G16" s="71" t="s">
        <v>173</v>
      </c>
      <c r="H16" s="71" t="s">
        <v>174</v>
      </c>
      <c r="I16" s="71" t="s">
        <v>96</v>
      </c>
      <c r="J16" s="71" t="s">
        <v>97</v>
      </c>
      <c r="K16" s="71" t="s">
        <v>175</v>
      </c>
      <c r="L16" s="71" t="s">
        <v>176</v>
      </c>
      <c r="M16" s="71" t="s">
        <v>177</v>
      </c>
      <c r="N16" s="71" t="s">
        <v>98</v>
      </c>
    </row>
    <row r="17" spans="1:14" x14ac:dyDescent="0.35">
      <c r="A17" t="s">
        <v>178</v>
      </c>
      <c r="B17" s="71" t="s">
        <v>169</v>
      </c>
      <c r="C17" s="73">
        <v>0</v>
      </c>
      <c r="D17" s="73">
        <v>202.77683999999999</v>
      </c>
      <c r="E17" s="73">
        <v>173.80871999999999</v>
      </c>
      <c r="F17" s="73">
        <v>292.89988</v>
      </c>
      <c r="G17" s="73">
        <v>333.13337999999999</v>
      </c>
      <c r="H17" s="73">
        <v>466.70859999999999</v>
      </c>
      <c r="I17" s="73">
        <v>453.83388000000002</v>
      </c>
      <c r="J17" s="73">
        <v>518.20748000000003</v>
      </c>
      <c r="K17" s="73">
        <v>582.58108000000004</v>
      </c>
      <c r="L17" s="73">
        <v>690.40686000000005</v>
      </c>
      <c r="M17" s="73">
        <v>411.99104</v>
      </c>
      <c r="N17" s="73">
        <v>550.39427999999998</v>
      </c>
    </row>
    <row r="18" spans="1:14" x14ac:dyDescent="0.35">
      <c r="A18" t="s">
        <v>179</v>
      </c>
      <c r="B18" s="71" t="s">
        <v>170</v>
      </c>
      <c r="C18" s="73">
        <v>199.55815999999999</v>
      </c>
      <c r="D18" s="73">
        <v>0</v>
      </c>
      <c r="E18" s="73">
        <v>89.318370000000002</v>
      </c>
      <c r="F18" s="73">
        <v>125.20665199999999</v>
      </c>
      <c r="G18" s="73">
        <v>185.07409999999999</v>
      </c>
      <c r="H18" s="73">
        <v>305.77460000000002</v>
      </c>
      <c r="I18" s="73">
        <v>333.13337999999999</v>
      </c>
      <c r="J18" s="73">
        <v>379.80423999999999</v>
      </c>
      <c r="K18" s="73">
        <v>444.17784</v>
      </c>
      <c r="L18" s="73">
        <v>510.16077999999999</v>
      </c>
      <c r="M18" s="73">
        <v>601.89315999999997</v>
      </c>
      <c r="N18" s="73">
        <v>371.75754000000001</v>
      </c>
    </row>
    <row r="19" spans="1:14" x14ac:dyDescent="0.35">
      <c r="A19" t="s">
        <v>180</v>
      </c>
      <c r="B19" s="71" t="s">
        <v>171</v>
      </c>
      <c r="C19" s="73">
        <v>150.151422</v>
      </c>
      <c r="D19" s="73">
        <v>84.168481999999997</v>
      </c>
      <c r="E19" s="73">
        <v>0</v>
      </c>
      <c r="F19" s="73">
        <v>165.76202000000001</v>
      </c>
      <c r="G19" s="73">
        <v>209.21420000000001</v>
      </c>
      <c r="H19" s="73">
        <v>291.29054000000002</v>
      </c>
      <c r="I19" s="73">
        <v>329.91469999999998</v>
      </c>
      <c r="J19" s="73">
        <v>365.32017999999999</v>
      </c>
      <c r="K19" s="73">
        <v>458.6619</v>
      </c>
      <c r="L19" s="73">
        <v>532.69154000000003</v>
      </c>
      <c r="M19" s="73">
        <v>585.79975999999999</v>
      </c>
      <c r="N19" s="73">
        <v>397.50698</v>
      </c>
    </row>
    <row r="20" spans="1:14" x14ac:dyDescent="0.35">
      <c r="A20" t="s">
        <v>181</v>
      </c>
      <c r="B20" s="71" t="s">
        <v>172</v>
      </c>
      <c r="C20" s="73">
        <v>276.80648000000002</v>
      </c>
      <c r="D20" s="73">
        <v>125.20665199999999</v>
      </c>
      <c r="E20" s="73">
        <v>165.76202000000001</v>
      </c>
      <c r="F20" s="73">
        <v>0</v>
      </c>
      <c r="G20" s="73">
        <v>69.684421999999998</v>
      </c>
      <c r="H20" s="73">
        <v>254.27572000000001</v>
      </c>
      <c r="I20" s="73">
        <v>225.30760000000001</v>
      </c>
      <c r="J20" s="73">
        <v>252.66638</v>
      </c>
      <c r="K20" s="73">
        <v>341.18007999999998</v>
      </c>
      <c r="L20" s="73">
        <v>461.88058000000001</v>
      </c>
      <c r="M20" s="73">
        <v>682.36015999999995</v>
      </c>
      <c r="N20" s="73">
        <v>255.88506000000001</v>
      </c>
    </row>
    <row r="21" spans="1:14" x14ac:dyDescent="0.35">
      <c r="A21" t="s">
        <v>182</v>
      </c>
      <c r="B21" s="71" t="s">
        <v>173</v>
      </c>
      <c r="C21" s="73">
        <v>333.13337999999999</v>
      </c>
      <c r="D21" s="73">
        <v>185.07409999999999</v>
      </c>
      <c r="E21" s="73">
        <v>209.21420000000001</v>
      </c>
      <c r="F21" s="73">
        <v>66.143873999999997</v>
      </c>
      <c r="G21" s="73">
        <v>0</v>
      </c>
      <c r="H21" s="73">
        <v>281.6345</v>
      </c>
      <c r="I21" s="73">
        <v>205.99552</v>
      </c>
      <c r="J21" s="73">
        <v>255.88506000000001</v>
      </c>
      <c r="K21" s="73">
        <v>341.18007999999998</v>
      </c>
      <c r="L21" s="73">
        <v>323.47734000000003</v>
      </c>
      <c r="M21" s="73">
        <v>682.36015999999995</v>
      </c>
      <c r="N21" s="73">
        <v>185.07409999999999</v>
      </c>
    </row>
    <row r="22" spans="1:14" x14ac:dyDescent="0.35">
      <c r="A22" t="s">
        <v>183</v>
      </c>
      <c r="B22" s="71" t="s">
        <v>174</v>
      </c>
      <c r="C22" s="73">
        <v>468.31794000000002</v>
      </c>
      <c r="D22" s="73">
        <v>339.57074</v>
      </c>
      <c r="E22" s="73">
        <v>286.46251999999998</v>
      </c>
      <c r="F22" s="73">
        <v>230.13561999999999</v>
      </c>
      <c r="G22" s="73">
        <v>268.75977999999998</v>
      </c>
      <c r="H22" s="73">
        <v>0</v>
      </c>
      <c r="I22" s="73">
        <v>188.29277999999999</v>
      </c>
      <c r="J22" s="73">
        <v>214.04221999999999</v>
      </c>
      <c r="K22" s="73">
        <v>278.41582</v>
      </c>
      <c r="L22" s="73">
        <v>542.34757999999999</v>
      </c>
      <c r="M22" s="73">
        <v>827.20075999999995</v>
      </c>
      <c r="N22" s="73">
        <v>436.13114000000002</v>
      </c>
    </row>
    <row r="23" spans="1:14" x14ac:dyDescent="0.35">
      <c r="A23" t="s">
        <v>184</v>
      </c>
      <c r="B23" s="71" t="s">
        <v>96</v>
      </c>
      <c r="C23" s="73">
        <v>453.83388000000002</v>
      </c>
      <c r="D23" s="73">
        <v>333.13337999999999</v>
      </c>
      <c r="E23" s="73">
        <v>366.92952000000002</v>
      </c>
      <c r="F23" s="73">
        <v>225.30760000000001</v>
      </c>
      <c r="G23" s="73">
        <v>204.38618</v>
      </c>
      <c r="H23" s="73">
        <v>188.29277999999999</v>
      </c>
      <c r="I23" s="73">
        <v>0</v>
      </c>
      <c r="J23" s="73">
        <v>19.955816000000002</v>
      </c>
      <c r="K23" s="73">
        <v>123.27544399999999</v>
      </c>
      <c r="L23" s="73">
        <v>346.00810000000001</v>
      </c>
      <c r="M23" s="73">
        <v>870.65293999999994</v>
      </c>
      <c r="N23" s="73">
        <v>260.71307999999999</v>
      </c>
    </row>
    <row r="24" spans="1:14" x14ac:dyDescent="0.35">
      <c r="A24" t="s">
        <v>185</v>
      </c>
      <c r="B24" s="71" t="s">
        <v>97</v>
      </c>
      <c r="C24" s="73">
        <v>518.20748000000003</v>
      </c>
      <c r="D24" s="73">
        <v>370.14819999999997</v>
      </c>
      <c r="E24" s="73">
        <v>354.0548</v>
      </c>
      <c r="F24" s="73">
        <v>251.05704</v>
      </c>
      <c r="G24" s="73">
        <v>255.88506000000001</v>
      </c>
      <c r="H24" s="73">
        <v>202.77683999999999</v>
      </c>
      <c r="I24" s="73">
        <v>19.312080000000002</v>
      </c>
      <c r="J24" s="73">
        <v>0</v>
      </c>
      <c r="K24" s="73">
        <v>123.59731199999999</v>
      </c>
      <c r="L24" s="73">
        <v>371.75754000000001</v>
      </c>
      <c r="M24" s="73">
        <v>922.15182000000004</v>
      </c>
      <c r="N24" s="73">
        <v>284.85318000000001</v>
      </c>
    </row>
    <row r="25" spans="1:14" x14ac:dyDescent="0.35">
      <c r="A25" t="s">
        <v>186</v>
      </c>
      <c r="B25" s="71" t="s">
        <v>175</v>
      </c>
      <c r="C25" s="73">
        <v>589.01843999999994</v>
      </c>
      <c r="D25" s="73">
        <v>439.34982000000002</v>
      </c>
      <c r="E25" s="73">
        <v>463.48991999999998</v>
      </c>
      <c r="F25" s="73">
        <v>346.00810000000001</v>
      </c>
      <c r="G25" s="73">
        <v>339.57074</v>
      </c>
      <c r="H25" s="73">
        <v>288.07186000000002</v>
      </c>
      <c r="I25" s="73">
        <v>125.20665199999999</v>
      </c>
      <c r="J25" s="73">
        <v>112.01006399999999</v>
      </c>
      <c r="K25" s="73">
        <v>0</v>
      </c>
      <c r="L25" s="73">
        <v>453.83388000000002</v>
      </c>
      <c r="M25" s="73">
        <v>1012.27486</v>
      </c>
      <c r="N25" s="73">
        <v>374.97622000000001</v>
      </c>
    </row>
    <row r="26" spans="1:14" x14ac:dyDescent="0.35">
      <c r="A26" t="s">
        <v>187</v>
      </c>
      <c r="B26" s="71" t="s">
        <v>176</v>
      </c>
      <c r="C26" s="73">
        <v>661.43874000000005</v>
      </c>
      <c r="D26" s="73">
        <v>511.77012000000002</v>
      </c>
      <c r="E26" s="73">
        <v>535.91021999999998</v>
      </c>
      <c r="F26" s="73">
        <v>394.28829999999999</v>
      </c>
      <c r="G26" s="73">
        <v>326.69601999999998</v>
      </c>
      <c r="H26" s="73">
        <v>547.17560000000003</v>
      </c>
      <c r="I26" s="73">
        <v>341.18007999999998</v>
      </c>
      <c r="J26" s="73">
        <v>365.32017999999999</v>
      </c>
      <c r="K26" s="73">
        <v>455.44322</v>
      </c>
      <c r="L26" s="73">
        <v>0</v>
      </c>
      <c r="M26" s="73">
        <v>997.79079999999999</v>
      </c>
      <c r="N26" s="73">
        <v>247.83835999999999</v>
      </c>
    </row>
    <row r="27" spans="1:14" x14ac:dyDescent="0.35">
      <c r="A27" t="s">
        <v>188</v>
      </c>
      <c r="B27" s="71" t="s">
        <v>177</v>
      </c>
      <c r="C27" s="73">
        <v>408.77235999999999</v>
      </c>
      <c r="D27" s="73">
        <v>601.89315999999997</v>
      </c>
      <c r="E27" s="73">
        <v>580.97173999999995</v>
      </c>
      <c r="F27" s="73">
        <v>683.96950000000004</v>
      </c>
      <c r="G27" s="73">
        <v>740.29639999999995</v>
      </c>
      <c r="H27" s="73">
        <v>827.20075999999995</v>
      </c>
      <c r="I27" s="73">
        <v>870.65293999999994</v>
      </c>
      <c r="J27" s="73">
        <v>901.23040000000003</v>
      </c>
      <c r="K27" s="73">
        <v>965.60400000000004</v>
      </c>
      <c r="L27" s="73">
        <v>994.57212000000004</v>
      </c>
      <c r="M27" s="73">
        <v>0</v>
      </c>
      <c r="N27" s="73">
        <v>856.16887999999994</v>
      </c>
    </row>
    <row r="28" spans="1:14" x14ac:dyDescent="0.35">
      <c r="A28" t="s">
        <v>189</v>
      </c>
      <c r="B28" s="71" t="s">
        <v>98</v>
      </c>
      <c r="C28" s="73">
        <v>518.20748000000003</v>
      </c>
      <c r="D28" s="73">
        <v>368.53886</v>
      </c>
      <c r="E28" s="73">
        <v>394.28829999999999</v>
      </c>
      <c r="F28" s="73">
        <v>251.05704</v>
      </c>
      <c r="G28" s="73">
        <v>185.07409999999999</v>
      </c>
      <c r="H28" s="73">
        <v>439.34982000000002</v>
      </c>
      <c r="I28" s="73">
        <v>243.01033999999999</v>
      </c>
      <c r="J28" s="73">
        <v>284.85318000000001</v>
      </c>
      <c r="K28" s="73">
        <v>374.97622000000001</v>
      </c>
      <c r="L28" s="73">
        <v>244.61967999999999</v>
      </c>
      <c r="M28" s="73">
        <v>925.37049999999999</v>
      </c>
      <c r="N28" s="73">
        <v>0</v>
      </c>
    </row>
    <row r="29" spans="1:14" x14ac:dyDescent="0.35">
      <c r="C29"/>
    </row>
    <row r="32" spans="1:14" x14ac:dyDescent="0.35"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3:14" x14ac:dyDescent="0.35"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3:14" x14ac:dyDescent="0.35"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3:14" x14ac:dyDescent="0.35"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3:14" x14ac:dyDescent="0.35"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3:14" x14ac:dyDescent="0.35"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3:14" x14ac:dyDescent="0.35"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3:14" x14ac:dyDescent="0.35"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3:14" x14ac:dyDescent="0.35"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3:14" x14ac:dyDescent="0.35"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3:14" x14ac:dyDescent="0.35"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3:14" x14ac:dyDescent="0.35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3:14" x14ac:dyDescent="0.35">
      <c r="C44" s="16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2C32-AE96-4F66-BA07-52231A4C2BC2}">
  <dimension ref="A1:Y35"/>
  <sheetViews>
    <sheetView topLeftCell="B14" zoomScale="103" workbookViewId="0">
      <selection activeCell="I10" sqref="I10"/>
    </sheetView>
  </sheetViews>
  <sheetFormatPr defaultRowHeight="14.5" x14ac:dyDescent="0.35"/>
  <cols>
    <col min="9" max="9" width="22.90625" customWidth="1"/>
    <col min="13" max="13" width="11.453125" customWidth="1"/>
  </cols>
  <sheetData>
    <row r="1" spans="1:9" s="71" customFormat="1" x14ac:dyDescent="0.35">
      <c r="B1" s="71" t="s">
        <v>272</v>
      </c>
      <c r="C1" s="71" t="s">
        <v>273</v>
      </c>
      <c r="D1" s="71" t="s">
        <v>274</v>
      </c>
      <c r="E1" s="71" t="s">
        <v>148</v>
      </c>
      <c r="F1" s="71" t="s">
        <v>59</v>
      </c>
      <c r="G1" s="71" t="s">
        <v>60</v>
      </c>
      <c r="H1" s="71" t="s">
        <v>287</v>
      </c>
      <c r="I1" s="4" t="s">
        <v>285</v>
      </c>
    </row>
    <row r="2" spans="1:9" ht="15" thickBot="1" x14ac:dyDescent="0.4">
      <c r="A2" s="83" t="s">
        <v>256</v>
      </c>
      <c r="B2" t="s">
        <v>275</v>
      </c>
      <c r="C2" s="94" t="s">
        <v>280</v>
      </c>
      <c r="D2">
        <v>1</v>
      </c>
      <c r="E2">
        <v>0.9</v>
      </c>
      <c r="F2">
        <v>0.36</v>
      </c>
      <c r="G2">
        <f>F2+0.03</f>
        <v>0.39</v>
      </c>
      <c r="H2">
        <v>1</v>
      </c>
    </row>
    <row r="3" spans="1:9" ht="15" thickBot="1" x14ac:dyDescent="0.4">
      <c r="A3" s="83" t="s">
        <v>257</v>
      </c>
      <c r="B3" s="71" t="s">
        <v>275</v>
      </c>
      <c r="C3" s="95" t="s">
        <v>279</v>
      </c>
      <c r="D3">
        <v>2</v>
      </c>
      <c r="E3">
        <v>0.95</v>
      </c>
      <c r="F3">
        <v>0.42</v>
      </c>
      <c r="G3" s="71">
        <f t="shared" ref="G3:G17" si="0">F3+0.03</f>
        <v>0.44999999999999996</v>
      </c>
      <c r="H3">
        <v>1</v>
      </c>
    </row>
    <row r="4" spans="1:9" ht="15" thickBot="1" x14ac:dyDescent="0.4">
      <c r="A4" s="83" t="s">
        <v>258</v>
      </c>
      <c r="B4" s="71" t="s">
        <v>275</v>
      </c>
      <c r="C4" s="95" t="s">
        <v>281</v>
      </c>
      <c r="D4" s="71">
        <v>3</v>
      </c>
      <c r="E4">
        <v>0.95</v>
      </c>
      <c r="F4">
        <v>0.38</v>
      </c>
      <c r="G4" s="71">
        <f t="shared" si="0"/>
        <v>0.41000000000000003</v>
      </c>
      <c r="H4" s="71">
        <v>1</v>
      </c>
    </row>
    <row r="5" spans="1:9" ht="15" thickBot="1" x14ac:dyDescent="0.4">
      <c r="A5" s="83" t="s">
        <v>259</v>
      </c>
      <c r="B5" s="71" t="s">
        <v>275</v>
      </c>
      <c r="C5" s="96" t="s">
        <v>282</v>
      </c>
      <c r="D5" s="71">
        <v>4</v>
      </c>
      <c r="E5">
        <v>0.9</v>
      </c>
      <c r="F5">
        <v>0.37</v>
      </c>
      <c r="G5" s="71">
        <f t="shared" si="0"/>
        <v>0.4</v>
      </c>
      <c r="H5" s="71">
        <v>1</v>
      </c>
    </row>
    <row r="6" spans="1:9" ht="15" thickBot="1" x14ac:dyDescent="0.4">
      <c r="A6" s="83" t="s">
        <v>260</v>
      </c>
      <c r="B6" t="s">
        <v>276</v>
      </c>
      <c r="C6" s="94" t="s">
        <v>280</v>
      </c>
      <c r="D6" s="71">
        <v>5</v>
      </c>
      <c r="E6">
        <v>0.75</v>
      </c>
      <c r="F6">
        <v>0.23</v>
      </c>
      <c r="G6" s="71">
        <f t="shared" si="0"/>
        <v>0.26</v>
      </c>
      <c r="H6" s="71">
        <v>1</v>
      </c>
    </row>
    <row r="7" spans="1:9" ht="15" thickBot="1" x14ac:dyDescent="0.4">
      <c r="A7" s="83" t="s">
        <v>261</v>
      </c>
      <c r="B7" s="71" t="s">
        <v>276</v>
      </c>
      <c r="C7" s="95" t="s">
        <v>279</v>
      </c>
      <c r="D7" s="71">
        <v>6</v>
      </c>
      <c r="E7">
        <v>0.8</v>
      </c>
      <c r="F7">
        <v>0.38</v>
      </c>
      <c r="G7" s="71">
        <f t="shared" si="0"/>
        <v>0.41000000000000003</v>
      </c>
      <c r="H7" s="71">
        <v>1</v>
      </c>
    </row>
    <row r="8" spans="1:9" ht="15" thickBot="1" x14ac:dyDescent="0.4">
      <c r="A8" s="83" t="s">
        <v>262</v>
      </c>
      <c r="B8" s="71" t="s">
        <v>276</v>
      </c>
      <c r="C8" s="95" t="s">
        <v>281</v>
      </c>
      <c r="D8" s="71">
        <v>7</v>
      </c>
      <c r="E8">
        <v>0.85</v>
      </c>
      <c r="F8">
        <v>0.35</v>
      </c>
      <c r="G8" s="71">
        <f t="shared" si="0"/>
        <v>0.38</v>
      </c>
      <c r="H8" s="71">
        <v>1</v>
      </c>
    </row>
    <row r="9" spans="1:9" ht="15" thickBot="1" x14ac:dyDescent="0.4">
      <c r="A9" s="83" t="s">
        <v>263</v>
      </c>
      <c r="B9" s="71" t="s">
        <v>276</v>
      </c>
      <c r="C9" s="96" t="s">
        <v>282</v>
      </c>
      <c r="D9" s="71">
        <v>8</v>
      </c>
      <c r="E9">
        <v>0.8</v>
      </c>
      <c r="F9">
        <v>0.23</v>
      </c>
      <c r="G9" s="71">
        <f t="shared" si="0"/>
        <v>0.26</v>
      </c>
      <c r="H9" s="71">
        <v>1</v>
      </c>
    </row>
    <row r="10" spans="1:9" ht="15" thickBot="1" x14ac:dyDescent="0.4">
      <c r="A10" s="83" t="s">
        <v>264</v>
      </c>
      <c r="B10" t="s">
        <v>277</v>
      </c>
      <c r="C10" s="94" t="s">
        <v>280</v>
      </c>
      <c r="D10" s="71">
        <v>9</v>
      </c>
      <c r="E10">
        <v>0.7</v>
      </c>
      <c r="F10">
        <v>0.13</v>
      </c>
      <c r="G10" s="71">
        <f t="shared" si="0"/>
        <v>0.16</v>
      </c>
      <c r="H10" s="71">
        <v>1</v>
      </c>
    </row>
    <row r="11" spans="1:9" ht="15" thickBot="1" x14ac:dyDescent="0.4">
      <c r="A11" s="83" t="s">
        <v>265</v>
      </c>
      <c r="B11" s="71" t="s">
        <v>277</v>
      </c>
      <c r="C11" s="95" t="s">
        <v>279</v>
      </c>
      <c r="D11" s="71">
        <v>10</v>
      </c>
      <c r="E11">
        <v>0.75</v>
      </c>
      <c r="F11">
        <v>0.25</v>
      </c>
      <c r="G11" s="71">
        <f t="shared" si="0"/>
        <v>0.28000000000000003</v>
      </c>
      <c r="H11" s="71">
        <v>1</v>
      </c>
    </row>
    <row r="12" spans="1:9" ht="15" thickBot="1" x14ac:dyDescent="0.4">
      <c r="A12" s="83" t="s">
        <v>266</v>
      </c>
      <c r="B12" s="71" t="s">
        <v>277</v>
      </c>
      <c r="C12" s="95" t="s">
        <v>281</v>
      </c>
      <c r="D12" s="71">
        <v>11</v>
      </c>
      <c r="E12">
        <v>0.7</v>
      </c>
      <c r="F12">
        <v>0.28000000000000003</v>
      </c>
      <c r="G12" s="71">
        <f t="shared" si="0"/>
        <v>0.31000000000000005</v>
      </c>
      <c r="H12" s="71">
        <v>1</v>
      </c>
    </row>
    <row r="13" spans="1:9" ht="15" thickBot="1" x14ac:dyDescent="0.4">
      <c r="A13" s="83" t="s">
        <v>267</v>
      </c>
      <c r="B13" s="71" t="s">
        <v>277</v>
      </c>
      <c r="C13" s="96" t="s">
        <v>282</v>
      </c>
      <c r="D13" s="71">
        <v>12</v>
      </c>
      <c r="E13">
        <v>0.7</v>
      </c>
      <c r="F13">
        <v>0.23</v>
      </c>
      <c r="G13" s="71">
        <f t="shared" si="0"/>
        <v>0.26</v>
      </c>
      <c r="H13" s="71">
        <v>1</v>
      </c>
    </row>
    <row r="14" spans="1:9" ht="15" thickBot="1" x14ac:dyDescent="0.4">
      <c r="A14" s="83" t="s">
        <v>268</v>
      </c>
      <c r="B14" t="s">
        <v>278</v>
      </c>
      <c r="C14" s="94" t="s">
        <v>280</v>
      </c>
      <c r="D14" s="71">
        <v>13</v>
      </c>
      <c r="E14">
        <v>0.75</v>
      </c>
      <c r="F14">
        <v>0.26</v>
      </c>
      <c r="G14" s="71">
        <f t="shared" si="0"/>
        <v>0.29000000000000004</v>
      </c>
      <c r="H14" s="71">
        <v>1</v>
      </c>
    </row>
    <row r="15" spans="1:9" ht="15" thickBot="1" x14ac:dyDescent="0.4">
      <c r="A15" s="83" t="s">
        <v>269</v>
      </c>
      <c r="B15" s="71" t="s">
        <v>278</v>
      </c>
      <c r="C15" s="95" t="s">
        <v>279</v>
      </c>
      <c r="D15" s="71">
        <v>14</v>
      </c>
      <c r="E15">
        <v>0.78</v>
      </c>
      <c r="F15">
        <v>0.33</v>
      </c>
      <c r="G15" s="71">
        <f t="shared" si="0"/>
        <v>0.36</v>
      </c>
      <c r="H15" s="71">
        <v>1</v>
      </c>
    </row>
    <row r="16" spans="1:9" ht="15" thickBot="1" x14ac:dyDescent="0.4">
      <c r="A16" s="83" t="s">
        <v>270</v>
      </c>
      <c r="B16" s="71" t="s">
        <v>278</v>
      </c>
      <c r="C16" s="95" t="s">
        <v>281</v>
      </c>
      <c r="D16" s="71">
        <v>15</v>
      </c>
      <c r="E16">
        <v>0.77</v>
      </c>
      <c r="F16">
        <v>0.3</v>
      </c>
      <c r="G16" s="71">
        <f t="shared" si="0"/>
        <v>0.32999999999999996</v>
      </c>
      <c r="H16" s="71">
        <v>1</v>
      </c>
    </row>
    <row r="17" spans="1:25" ht="15" thickBot="1" x14ac:dyDescent="0.4">
      <c r="A17" s="84" t="s">
        <v>271</v>
      </c>
      <c r="B17" s="71" t="s">
        <v>278</v>
      </c>
      <c r="C17" s="96" t="s">
        <v>282</v>
      </c>
      <c r="D17" s="71">
        <v>16</v>
      </c>
      <c r="E17">
        <v>0.75</v>
      </c>
      <c r="F17">
        <v>0.26</v>
      </c>
      <c r="G17" s="71">
        <f t="shared" si="0"/>
        <v>0.29000000000000004</v>
      </c>
      <c r="H17" s="71">
        <v>1</v>
      </c>
    </row>
    <row r="22" spans="1:25" x14ac:dyDescent="0.35">
      <c r="C22" t="s">
        <v>286</v>
      </c>
    </row>
    <row r="26" spans="1:25" ht="15" thickBot="1" x14ac:dyDescent="0.4"/>
    <row r="27" spans="1:25" x14ac:dyDescent="0.35">
      <c r="C27" s="83" t="s">
        <v>256</v>
      </c>
      <c r="D27" s="83" t="s">
        <v>257</v>
      </c>
      <c r="E27" s="83" t="s">
        <v>258</v>
      </c>
      <c r="F27" s="83" t="s">
        <v>259</v>
      </c>
      <c r="J27" s="87" t="s">
        <v>256</v>
      </c>
      <c r="K27" s="88" t="s">
        <v>257</v>
      </c>
      <c r="L27" s="88" t="s">
        <v>258</v>
      </c>
      <c r="M27" s="89" t="s">
        <v>259</v>
      </c>
      <c r="N27" s="87" t="s">
        <v>260</v>
      </c>
      <c r="O27" s="88" t="s">
        <v>261</v>
      </c>
      <c r="P27" s="88" t="s">
        <v>262</v>
      </c>
      <c r="Q27" s="89" t="s">
        <v>263</v>
      </c>
      <c r="R27" s="87" t="s">
        <v>264</v>
      </c>
      <c r="S27" s="88" t="s">
        <v>265</v>
      </c>
      <c r="T27" s="88" t="s">
        <v>266</v>
      </c>
      <c r="U27" s="89" t="s">
        <v>267</v>
      </c>
      <c r="V27" s="87" t="s">
        <v>268</v>
      </c>
      <c r="W27" s="88" t="s">
        <v>269</v>
      </c>
      <c r="X27" s="88" t="s">
        <v>270</v>
      </c>
      <c r="Y27" s="89" t="s">
        <v>271</v>
      </c>
    </row>
    <row r="28" spans="1:25" x14ac:dyDescent="0.35">
      <c r="C28" s="85">
        <v>7.2916666666666671E-2</v>
      </c>
      <c r="D28" s="85">
        <v>0.10416666666666667</v>
      </c>
      <c r="E28" s="85">
        <v>3.125E-2</v>
      </c>
      <c r="F28" s="85">
        <v>4.1666666666666664E-2</v>
      </c>
      <c r="G28" s="86">
        <f>SUM(C28:F28)</f>
        <v>0.25</v>
      </c>
      <c r="I28" t="s">
        <v>283</v>
      </c>
      <c r="J28" s="90">
        <v>7.2916666666666671E-2</v>
      </c>
      <c r="K28" s="85">
        <v>0.10416666666666667</v>
      </c>
      <c r="L28" s="85">
        <v>3.125E-2</v>
      </c>
      <c r="M28" s="91">
        <v>4.1666666666666664E-2</v>
      </c>
      <c r="N28" s="90">
        <v>7.2916666666666671E-2</v>
      </c>
      <c r="O28" s="85">
        <v>0.10416666666666667</v>
      </c>
      <c r="P28" s="85">
        <v>3.125E-2</v>
      </c>
      <c r="Q28" s="91">
        <v>4.1666666666666664E-2</v>
      </c>
      <c r="R28" s="90">
        <v>7.2916666666666671E-2</v>
      </c>
      <c r="S28" s="85">
        <v>0.10416666666666667</v>
      </c>
      <c r="T28" s="85">
        <v>3.125E-2</v>
      </c>
      <c r="U28" s="91">
        <v>4.1666666666666664E-2</v>
      </c>
      <c r="V28" s="90">
        <v>7.2916666666666671E-2</v>
      </c>
      <c r="W28" s="85">
        <v>0.10416666666666667</v>
      </c>
      <c r="X28" s="85">
        <v>3.125E-2</v>
      </c>
      <c r="Y28" s="91">
        <v>4.1666666666666664E-2</v>
      </c>
    </row>
    <row r="29" spans="1:25" x14ac:dyDescent="0.35">
      <c r="I29" t="s">
        <v>284</v>
      </c>
      <c r="J29" s="92">
        <f>24*J28/0.25</f>
        <v>7</v>
      </c>
      <c r="K29" s="20">
        <f t="shared" ref="K29:Y29" si="1">24*K28/0.25</f>
        <v>10</v>
      </c>
      <c r="L29" s="20">
        <f t="shared" si="1"/>
        <v>3</v>
      </c>
      <c r="M29" s="93">
        <f t="shared" si="1"/>
        <v>4</v>
      </c>
      <c r="N29" s="92">
        <f t="shared" si="1"/>
        <v>7</v>
      </c>
      <c r="O29" s="20">
        <f t="shared" si="1"/>
        <v>10</v>
      </c>
      <c r="P29" s="20">
        <f t="shared" si="1"/>
        <v>3</v>
      </c>
      <c r="Q29" s="93">
        <f t="shared" si="1"/>
        <v>4</v>
      </c>
      <c r="R29" s="92">
        <f t="shared" si="1"/>
        <v>7</v>
      </c>
      <c r="S29" s="20">
        <f t="shared" si="1"/>
        <v>10</v>
      </c>
      <c r="T29" s="20">
        <f t="shared" si="1"/>
        <v>3</v>
      </c>
      <c r="U29" s="93">
        <f t="shared" si="1"/>
        <v>4</v>
      </c>
      <c r="V29" s="92">
        <f t="shared" si="1"/>
        <v>7</v>
      </c>
      <c r="W29" s="20">
        <f t="shared" si="1"/>
        <v>10</v>
      </c>
      <c r="X29" s="20">
        <f t="shared" si="1"/>
        <v>3</v>
      </c>
      <c r="Y29" s="93">
        <f t="shared" si="1"/>
        <v>4</v>
      </c>
    </row>
    <row r="30" spans="1:25" ht="15" thickBot="1" x14ac:dyDescent="0.4">
      <c r="C30">
        <f>C28/$G$28*24</f>
        <v>7</v>
      </c>
      <c r="D30" s="71">
        <f t="shared" ref="D30:F30" si="2">D28/$G$28*24</f>
        <v>10</v>
      </c>
      <c r="E30" s="71">
        <f t="shared" si="2"/>
        <v>3</v>
      </c>
      <c r="F30" s="71">
        <f t="shared" si="2"/>
        <v>4</v>
      </c>
      <c r="J30" s="94" t="s">
        <v>280</v>
      </c>
      <c r="K30" s="95" t="s">
        <v>279</v>
      </c>
      <c r="L30" s="95" t="s">
        <v>281</v>
      </c>
      <c r="M30" s="96" t="s">
        <v>282</v>
      </c>
      <c r="N30" s="94" t="s">
        <v>280</v>
      </c>
      <c r="O30" s="95" t="s">
        <v>279</v>
      </c>
      <c r="P30" s="95" t="s">
        <v>281</v>
      </c>
      <c r="Q30" s="96" t="s">
        <v>282</v>
      </c>
      <c r="R30" s="94" t="s">
        <v>280</v>
      </c>
      <c r="S30" s="95" t="s">
        <v>279</v>
      </c>
      <c r="T30" s="95" t="s">
        <v>281</v>
      </c>
      <c r="U30" s="96" t="s">
        <v>282</v>
      </c>
      <c r="V30" s="94" t="s">
        <v>280</v>
      </c>
      <c r="W30" s="95" t="s">
        <v>279</v>
      </c>
      <c r="X30" s="95" t="s">
        <v>281</v>
      </c>
      <c r="Y30" s="96" t="s">
        <v>282</v>
      </c>
    </row>
    <row r="31" spans="1:25" x14ac:dyDescent="0.35">
      <c r="C31" t="s">
        <v>280</v>
      </c>
      <c r="D31" t="s">
        <v>279</v>
      </c>
      <c r="E31" t="s">
        <v>281</v>
      </c>
      <c r="F31" t="s">
        <v>282</v>
      </c>
    </row>
    <row r="35" spans="3:6" x14ac:dyDescent="0.35">
      <c r="C35" s="83" t="s">
        <v>260</v>
      </c>
      <c r="D35" s="83" t="s">
        <v>261</v>
      </c>
      <c r="E35" s="83" t="s">
        <v>262</v>
      </c>
      <c r="F35" s="83" t="s">
        <v>263</v>
      </c>
    </row>
  </sheetData>
  <hyperlinks>
    <hyperlink ref="I1" r:id="rId1" xr:uid="{E5B6AB69-9CDF-4B9E-B189-27C84912F9F7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DA43-E386-458B-930D-506241B49159}">
  <dimension ref="A1:I34"/>
  <sheetViews>
    <sheetView workbookViewId="0">
      <selection activeCell="C21" sqref="C21"/>
    </sheetView>
  </sheetViews>
  <sheetFormatPr defaultRowHeight="14.5" x14ac:dyDescent="0.35"/>
  <cols>
    <col min="1" max="1" width="30.08984375" style="71" bestFit="1" customWidth="1"/>
    <col min="2" max="2" width="11.81640625" style="71" bestFit="1" customWidth="1"/>
    <col min="3" max="3" width="16" style="71" bestFit="1" customWidth="1"/>
    <col min="4" max="4" width="12.7265625" style="71" bestFit="1" customWidth="1"/>
    <col min="5" max="5" width="16.453125" style="71" bestFit="1" customWidth="1"/>
    <col min="6" max="6" width="22.54296875" style="71" bestFit="1" customWidth="1"/>
    <col min="7" max="16384" width="8.7265625" style="71"/>
  </cols>
  <sheetData>
    <row r="1" spans="1:7" x14ac:dyDescent="0.35">
      <c r="A1" s="72"/>
      <c r="B1" s="72" t="s">
        <v>163</v>
      </c>
      <c r="C1" s="71" t="s">
        <v>51</v>
      </c>
      <c r="D1" s="72" t="s">
        <v>302</v>
      </c>
      <c r="E1" s="71" t="s">
        <v>51</v>
      </c>
      <c r="F1" s="16" t="s">
        <v>47</v>
      </c>
    </row>
    <row r="2" spans="1:7" x14ac:dyDescent="0.35">
      <c r="A2" s="25" t="s">
        <v>49</v>
      </c>
      <c r="B2" s="26"/>
      <c r="C2" s="26"/>
      <c r="D2" s="26"/>
      <c r="E2" s="26"/>
      <c r="F2" s="27"/>
    </row>
    <row r="3" spans="1:7" hidden="1" x14ac:dyDescent="0.35">
      <c r="A3" s="19" t="s">
        <v>88</v>
      </c>
      <c r="B3" s="66">
        <f>2.9*'Conversion factors'!B9</f>
        <v>2.2428483999999997</v>
      </c>
      <c r="C3" s="28" t="s">
        <v>55</v>
      </c>
      <c r="D3" s="66">
        <f>3.36*'Conversion factors'!B9*1000/'Conversion factors'!B3</f>
        <v>66.002445283018872</v>
      </c>
      <c r="E3" s="28" t="s">
        <v>79</v>
      </c>
      <c r="F3" s="21" t="s">
        <v>90</v>
      </c>
    </row>
    <row r="4" spans="1:7" x14ac:dyDescent="0.35">
      <c r="A4" s="19" t="s">
        <v>303</v>
      </c>
      <c r="B4" s="66"/>
      <c r="C4" s="28" t="s">
        <v>55</v>
      </c>
      <c r="D4" s="71">
        <v>0.2994</v>
      </c>
      <c r="E4" s="28" t="s">
        <v>203</v>
      </c>
      <c r="F4" s="21" t="s">
        <v>90</v>
      </c>
    </row>
    <row r="5" spans="1:7" hidden="1" x14ac:dyDescent="0.35">
      <c r="A5" s="19" t="s">
        <v>89</v>
      </c>
      <c r="B5" s="66"/>
      <c r="C5" s="28" t="s">
        <v>55</v>
      </c>
      <c r="D5" s="66">
        <f>1.43*'Conversion factors'!B9*1000/'Conversion factors'!B3</f>
        <v>28.090326415094342</v>
      </c>
      <c r="E5" s="28" t="s">
        <v>79</v>
      </c>
      <c r="F5" s="21" t="s">
        <v>90</v>
      </c>
    </row>
    <row r="6" spans="1:7" x14ac:dyDescent="0.35">
      <c r="A6" s="19" t="s">
        <v>304</v>
      </c>
      <c r="B6" s="32"/>
      <c r="C6" s="28" t="s">
        <v>55</v>
      </c>
      <c r="D6" s="68">
        <v>0.22969999999999999</v>
      </c>
      <c r="E6" s="28" t="s">
        <v>204</v>
      </c>
      <c r="F6" s="30" t="s">
        <v>54</v>
      </c>
      <c r="G6" s="4" t="s">
        <v>95</v>
      </c>
    </row>
    <row r="7" spans="1:7" x14ac:dyDescent="0.35">
      <c r="A7" s="36"/>
      <c r="B7" s="17"/>
      <c r="C7" s="37"/>
      <c r="D7" s="17"/>
      <c r="E7" s="37"/>
      <c r="F7" s="18" t="s">
        <v>56</v>
      </c>
    </row>
    <row r="8" spans="1:7" x14ac:dyDescent="0.35">
      <c r="A8" s="19" t="s">
        <v>305</v>
      </c>
      <c r="B8" s="33"/>
      <c r="C8" s="28" t="s">
        <v>55</v>
      </c>
      <c r="D8" s="68">
        <v>0.27050000000000002</v>
      </c>
      <c r="E8" s="28" t="s">
        <v>204</v>
      </c>
      <c r="F8" s="21" t="s">
        <v>57</v>
      </c>
      <c r="G8" s="30" t="s">
        <v>54</v>
      </c>
    </row>
    <row r="9" spans="1:7" x14ac:dyDescent="0.35">
      <c r="A9" s="22"/>
      <c r="B9" s="38"/>
      <c r="C9" s="29"/>
      <c r="D9" s="38"/>
      <c r="E9" s="29"/>
      <c r="F9" s="24" t="s">
        <v>58</v>
      </c>
      <c r="G9" s="4" t="s">
        <v>95</v>
      </c>
    </row>
    <row r="10" spans="1:7" x14ac:dyDescent="0.35">
      <c r="A10" s="19"/>
      <c r="B10" s="66"/>
      <c r="C10" s="28"/>
      <c r="D10" s="65"/>
      <c r="E10" s="23"/>
      <c r="F10" s="21"/>
    </row>
    <row r="11" spans="1:7" x14ac:dyDescent="0.35">
      <c r="A11" s="25" t="s">
        <v>50</v>
      </c>
      <c r="B11" s="26"/>
      <c r="C11" s="26"/>
      <c r="D11" s="26"/>
      <c r="E11" s="26"/>
      <c r="F11" s="27"/>
    </row>
    <row r="12" spans="1:7" x14ac:dyDescent="0.35">
      <c r="A12" s="19" t="s">
        <v>161</v>
      </c>
      <c r="B12" s="75">
        <v>0</v>
      </c>
      <c r="C12" s="60" t="s">
        <v>301</v>
      </c>
      <c r="D12" s="32">
        <v>4.1899999999999998E-7</v>
      </c>
      <c r="E12" s="61" t="s">
        <v>206</v>
      </c>
      <c r="F12" s="71" t="s">
        <v>160</v>
      </c>
    </row>
    <row r="13" spans="1:7" x14ac:dyDescent="0.35">
      <c r="A13" s="19" t="s">
        <v>69</v>
      </c>
      <c r="B13" s="34">
        <v>3.7200000000000003E-5</v>
      </c>
      <c r="C13" s="60" t="s">
        <v>301</v>
      </c>
      <c r="D13" s="32">
        <v>1.523E-5</v>
      </c>
      <c r="E13" s="61" t="s">
        <v>206</v>
      </c>
      <c r="F13" s="21"/>
    </row>
    <row r="14" spans="1:7" x14ac:dyDescent="0.35">
      <c r="A14" s="19" t="s">
        <v>70</v>
      </c>
      <c r="B14" s="34">
        <v>6.4599999999999998E-4</v>
      </c>
      <c r="C14" s="60" t="s">
        <v>301</v>
      </c>
      <c r="D14" s="67">
        <f>(0.01*'Conversion factors'!B9*1000*24/39)/1000000</f>
        <v>4.7593600000000003E-6</v>
      </c>
      <c r="E14" s="61" t="s">
        <v>206</v>
      </c>
      <c r="F14" s="30" t="s">
        <v>54</v>
      </c>
    </row>
    <row r="15" spans="1:7" x14ac:dyDescent="0.35">
      <c r="A15" s="31" t="s">
        <v>71</v>
      </c>
      <c r="B15" s="35">
        <v>1.1199999999999999E-3</v>
      </c>
      <c r="C15" s="60" t="s">
        <v>301</v>
      </c>
      <c r="D15" s="35">
        <v>2.3800000000000001E-6</v>
      </c>
      <c r="E15" s="61" t="s">
        <v>206</v>
      </c>
      <c r="F15" s="21" t="s">
        <v>90</v>
      </c>
    </row>
    <row r="16" spans="1:7" x14ac:dyDescent="0.35">
      <c r="A16" s="25" t="s">
        <v>48</v>
      </c>
      <c r="B16" s="26"/>
      <c r="C16" s="26"/>
      <c r="D16" s="26"/>
      <c r="E16" s="26"/>
      <c r="F16" s="27"/>
    </row>
    <row r="17" spans="1:9" x14ac:dyDescent="0.35">
      <c r="A17" s="19" t="s">
        <v>162</v>
      </c>
      <c r="B17" s="78">
        <v>0.36</v>
      </c>
      <c r="C17" s="20" t="s">
        <v>78</v>
      </c>
      <c r="D17" s="62">
        <v>5.0000000000000004E-6</v>
      </c>
      <c r="E17" s="20" t="s">
        <v>164</v>
      </c>
      <c r="F17" s="4" t="s">
        <v>157</v>
      </c>
    </row>
    <row r="18" spans="1:9" x14ac:dyDescent="0.35">
      <c r="A18" s="22" t="s">
        <v>91</v>
      </c>
      <c r="B18" s="63">
        <f>(160000+550000)*'Conversion factors'!B10</f>
        <v>613110.19576349494</v>
      </c>
      <c r="C18" s="23" t="s">
        <v>165</v>
      </c>
      <c r="D18" s="79">
        <v>3.36</v>
      </c>
      <c r="E18" s="23" t="s">
        <v>214</v>
      </c>
      <c r="F18" s="24" t="s">
        <v>92</v>
      </c>
    </row>
    <row r="21" spans="1:9" x14ac:dyDescent="0.35">
      <c r="B21" s="76"/>
    </row>
    <row r="28" spans="1:9" x14ac:dyDescent="0.35">
      <c r="I28" s="4"/>
    </row>
    <row r="34" spans="9:9" x14ac:dyDescent="0.35">
      <c r="I34" s="4" t="s">
        <v>52</v>
      </c>
    </row>
  </sheetData>
  <hyperlinks>
    <hyperlink ref="I34" r:id="rId1" xr:uid="{56C61B4C-AE2C-4223-9EB4-5F379D3BFA40}"/>
    <hyperlink ref="F6" r:id="rId2" xr:uid="{CB0F6A65-C6C1-46EE-90BC-F9EAEAF5EDC3}"/>
    <hyperlink ref="F14" r:id="rId3" xr:uid="{8FA3D138-71C1-40F7-9354-57B7E11817D1}"/>
    <hyperlink ref="G8" r:id="rId4" xr:uid="{01655B43-6D97-4EBF-9591-57E17637A444}"/>
    <hyperlink ref="G6" r:id="rId5" xr:uid="{93A5DA95-D93A-42B6-8580-6C1429EC9955}"/>
    <hyperlink ref="G9" r:id="rId6" xr:uid="{AB7AEFBC-A3E2-43C1-8987-AFE45F96BDDD}"/>
    <hyperlink ref="F17" r:id="rId7" xr:uid="{C3E108B1-7B82-441D-8EB2-031C1215B242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Conversion factors</vt:lpstr>
      <vt:lpstr>Production</vt:lpstr>
      <vt:lpstr>CO2</vt:lpstr>
      <vt:lpstr>Storage </vt:lpstr>
      <vt:lpstr>Transmission</vt:lpstr>
      <vt:lpstr>Capacity factors</vt:lpstr>
      <vt:lpstr>Operation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klement.tam</dc:creator>
  <cp:lastModifiedBy>Hassan Al-sherbaz</cp:lastModifiedBy>
  <dcterms:created xsi:type="dcterms:W3CDTF">2019-10-29T14:58:01Z</dcterms:created>
  <dcterms:modified xsi:type="dcterms:W3CDTF">2020-02-06T11:28:02Z</dcterms:modified>
</cp:coreProperties>
</file>