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stevenli/Dropbox/Share/Shared Files With Ariel/IA/Fall 2017/MATH4511/"/>
    </mc:Choice>
  </mc:AlternateContent>
  <bookViews>
    <workbookView xWindow="240" yWindow="460" windowWidth="33940" windowHeight="14520" activeTab="1"/>
  </bookViews>
  <sheets>
    <sheet name="T1B" sheetId="1" r:id="rId1"/>
    <sheet name="T1A Q1" sheetId="3" r:id="rId2"/>
    <sheet name="T1A Q3" sheetId="2" r:id="rId3"/>
  </sheets>
  <definedNames>
    <definedName name="solver_adj" localSheetId="2" hidden="1">'T1A Q3'!$E$5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'T1A Q3'!$D$5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'T1A Q3'!$F$37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hs1" localSheetId="2" hidden="1">0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</definedName>
    <definedName name="solver_ver" localSheetId="2" hidden="1">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3" l="1"/>
  <c r="F8" i="3"/>
  <c r="F9" i="3"/>
  <c r="F10" i="3"/>
  <c r="F11" i="3"/>
  <c r="F6" i="3"/>
  <c r="W11" i="3"/>
  <c r="R7" i="3"/>
  <c r="R8" i="3"/>
  <c r="R9" i="3"/>
  <c r="R10" i="3"/>
  <c r="R11" i="3"/>
  <c r="R6" i="3"/>
  <c r="O2" i="3"/>
  <c r="Q2" i="3"/>
  <c r="O3" i="3"/>
  <c r="Q3" i="3"/>
  <c r="O4" i="3"/>
  <c r="Q4" i="3"/>
  <c r="O5" i="3"/>
  <c r="Q5" i="3"/>
  <c r="O6" i="3"/>
  <c r="Q6" i="3"/>
  <c r="O7" i="3"/>
  <c r="Q7" i="3"/>
  <c r="O8" i="3"/>
  <c r="Q8" i="3"/>
  <c r="O9" i="3"/>
  <c r="Q9" i="3"/>
  <c r="O10" i="3"/>
  <c r="Q10" i="3"/>
  <c r="O11" i="3"/>
  <c r="Q11" i="3"/>
  <c r="Q12" i="3"/>
  <c r="F2" i="3"/>
  <c r="G2" i="3"/>
  <c r="I2" i="3"/>
  <c r="F3" i="3"/>
  <c r="G3" i="3"/>
  <c r="I3" i="3"/>
  <c r="F4" i="3"/>
  <c r="G4" i="3"/>
  <c r="I4" i="3"/>
  <c r="F5" i="3"/>
  <c r="G5" i="3"/>
  <c r="I5" i="3"/>
  <c r="G6" i="3"/>
  <c r="I6" i="3"/>
  <c r="G7" i="3"/>
  <c r="I7" i="3"/>
  <c r="G8" i="3"/>
  <c r="I8" i="3"/>
  <c r="G9" i="3"/>
  <c r="I9" i="3"/>
  <c r="G10" i="3"/>
  <c r="I10" i="3"/>
  <c r="G11" i="3"/>
  <c r="I11" i="3"/>
  <c r="I12" i="3"/>
  <c r="C2" i="3"/>
  <c r="E2" i="3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E12" i="3"/>
  <c r="M3" i="3"/>
  <c r="M4" i="3"/>
  <c r="M5" i="3"/>
  <c r="S2" i="3"/>
  <c r="A3" i="3"/>
  <c r="A4" i="3"/>
  <c r="A5" i="3"/>
  <c r="K3" i="1"/>
  <c r="M3" i="1"/>
  <c r="K4" i="1"/>
  <c r="M4" i="1"/>
  <c r="K5" i="1"/>
  <c r="M5" i="1"/>
  <c r="K6" i="1"/>
  <c r="M6" i="1"/>
  <c r="M7" i="1"/>
  <c r="N3" i="1"/>
  <c r="O3" i="1"/>
  <c r="Q3" i="1"/>
  <c r="I4" i="1"/>
  <c r="I5" i="1"/>
  <c r="I6" i="1"/>
  <c r="N4" i="1"/>
  <c r="O4" i="1"/>
  <c r="Q4" i="1"/>
  <c r="N5" i="1"/>
  <c r="N6" i="1"/>
  <c r="S3" i="3"/>
  <c r="U3" i="3"/>
  <c r="U2" i="3"/>
  <c r="O5" i="1"/>
  <c r="F35" i="2"/>
  <c r="E35" i="2"/>
  <c r="D35" i="2"/>
  <c r="C11" i="2"/>
  <c r="S4" i="3"/>
  <c r="Q5" i="1"/>
  <c r="O6" i="1"/>
  <c r="Q6" i="1"/>
  <c r="D10" i="2"/>
  <c r="C17" i="2"/>
  <c r="D36" i="2"/>
  <c r="D37" i="2"/>
  <c r="D12" i="2"/>
  <c r="U4" i="3"/>
  <c r="S5" i="3"/>
  <c r="U5" i="3"/>
  <c r="S6" i="3"/>
  <c r="S7" i="3"/>
  <c r="J12" i="3"/>
  <c r="Q7" i="1"/>
  <c r="R7" i="1"/>
  <c r="D21" i="2"/>
  <c r="E9" i="2"/>
  <c r="E27" i="2"/>
  <c r="E44" i="2"/>
  <c r="E13" i="2"/>
  <c r="E31" i="2"/>
  <c r="E48" i="2"/>
  <c r="D23" i="2"/>
  <c r="E11" i="2"/>
  <c r="E29" i="2"/>
  <c r="E46" i="2"/>
  <c r="C16" i="1"/>
  <c r="D17" i="1"/>
  <c r="E18" i="1"/>
  <c r="E25" i="1"/>
  <c r="U6" i="3"/>
  <c r="U7" i="3"/>
  <c r="S8" i="3"/>
  <c r="U8" i="3"/>
  <c r="D15" i="1"/>
  <c r="E14" i="1"/>
  <c r="E21" i="1"/>
  <c r="C22" i="2"/>
  <c r="E36" i="2"/>
  <c r="E37" i="2"/>
  <c r="E16" i="1"/>
  <c r="E23" i="1"/>
  <c r="D24" i="1"/>
  <c r="D47" i="2"/>
  <c r="D45" i="2"/>
  <c r="D30" i="2"/>
  <c r="D28" i="2"/>
  <c r="S9" i="3"/>
  <c r="U9" i="3"/>
  <c r="D22" i="1"/>
  <c r="C23" i="1"/>
  <c r="D50" i="2"/>
  <c r="C46" i="2"/>
  <c r="C29" i="2"/>
  <c r="F36" i="2"/>
  <c r="F37" i="2"/>
  <c r="S10" i="3"/>
  <c r="U10" i="3"/>
  <c r="S11" i="3"/>
  <c r="U11" i="3"/>
  <c r="U12" i="3"/>
  <c r="V12" i="3"/>
</calcChain>
</file>

<file path=xl/sharedStrings.xml><?xml version="1.0" encoding="utf-8"?>
<sst xmlns="http://schemas.openxmlformats.org/spreadsheetml/2006/main" count="74" uniqueCount="41">
  <si>
    <t>Time</t>
  </si>
  <si>
    <t>Date</t>
  </si>
  <si>
    <t>Rate tree</t>
  </si>
  <si>
    <t>lambda</t>
  </si>
  <si>
    <t>r0</t>
  </si>
  <si>
    <t>dt</t>
  </si>
  <si>
    <t>ex-coupon tree</t>
  </si>
  <si>
    <t>Spot</t>
  </si>
  <si>
    <t>sigma</t>
  </si>
  <si>
    <t>0.5y zero</t>
  </si>
  <si>
    <t>1y zero</t>
  </si>
  <si>
    <t>1.5y zero</t>
  </si>
  <si>
    <t>maturity</t>
  </si>
  <si>
    <t>0.5y</t>
  </si>
  <si>
    <t>1y</t>
  </si>
  <si>
    <t>model price</t>
  </si>
  <si>
    <t>actual price</t>
  </si>
  <si>
    <t>1.5y</t>
  </si>
  <si>
    <t>rate tree</t>
  </si>
  <si>
    <t>error</t>
  </si>
  <si>
    <t>Call on 1.5-y zero</t>
  </si>
  <si>
    <t>Strike</t>
  </si>
  <si>
    <t>face value</t>
  </si>
  <si>
    <t>1-y call</t>
  </si>
  <si>
    <t>Hedge ratio</t>
  </si>
  <si>
    <t>Q3</t>
  </si>
  <si>
    <t>Q1</t>
  </si>
  <si>
    <t>Q2</t>
  </si>
  <si>
    <t>Year</t>
  </si>
  <si>
    <t>Old Yield</t>
  </si>
  <si>
    <t>Disc. Func.</t>
  </si>
  <si>
    <t>Cash flows</t>
  </si>
  <si>
    <t>PV</t>
  </si>
  <si>
    <t>New Yield</t>
  </si>
  <si>
    <t>2-yr KR01</t>
  </si>
  <si>
    <t>Total</t>
    <phoneticPr fontId="2" type="noConversion"/>
  </si>
  <si>
    <t>Definition on Lecuture note 11 P33</t>
  </si>
  <si>
    <t>F2=5316.89</t>
  </si>
  <si>
    <t>F5=9142.86</t>
  </si>
  <si>
    <t>F10=55198.97</t>
  </si>
  <si>
    <t>F30=43382.54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</si>
</sst>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%"/>
    <numFmt numFmtId="165" formatCode="0.000000"/>
    <numFmt numFmtId="166" formatCode="0.00000"/>
    <numFmt numFmtId="167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rgb="FFFF0000"/>
      <name val="新細明體"/>
      <family val="1"/>
      <charset val="136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0" applyBorder="1"/>
    <xf numFmtId="10" fontId="0" fillId="0" borderId="0" xfId="0" applyNumberFormat="1" applyBorder="1"/>
    <xf numFmtId="164" fontId="0" fillId="0" borderId="0" xfId="0" applyNumberFormat="1" applyBorder="1"/>
    <xf numFmtId="0" fontId="0" fillId="0" borderId="2" xfId="0" applyBorder="1"/>
    <xf numFmtId="9" fontId="0" fillId="0" borderId="2" xfId="0" applyNumberFormat="1" applyBorder="1"/>
    <xf numFmtId="0" fontId="0" fillId="0" borderId="3" xfId="0" applyFill="1" applyBorder="1"/>
    <xf numFmtId="0" fontId="0" fillId="0" borderId="3" xfId="0" applyBorder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3" borderId="4" xfId="0" applyFill="1" applyBorder="1"/>
    <xf numFmtId="0" fontId="1" fillId="3" borderId="0" xfId="0" applyFont="1" applyFill="1"/>
    <xf numFmtId="10" fontId="0" fillId="2" borderId="4" xfId="0" applyNumberFormat="1" applyFill="1" applyBorder="1"/>
    <xf numFmtId="9" fontId="0" fillId="2" borderId="4" xfId="0" applyNumberFormat="1" applyFill="1" applyBorder="1"/>
    <xf numFmtId="165" fontId="0" fillId="0" borderId="3" xfId="0" applyNumberFormat="1" applyBorder="1"/>
    <xf numFmtId="0" fontId="0" fillId="0" borderId="1" xfId="0" applyBorder="1"/>
    <xf numFmtId="165" fontId="0" fillId="3" borderId="0" xfId="0" applyNumberFormat="1" applyFill="1"/>
    <xf numFmtId="9" fontId="0" fillId="3" borderId="0" xfId="0" applyNumberFormat="1" applyFill="1"/>
    <xf numFmtId="10" fontId="0" fillId="2" borderId="0" xfId="0" applyNumberFormat="1" applyFill="1"/>
    <xf numFmtId="9" fontId="0" fillId="2" borderId="0" xfId="0" applyNumberFormat="1" applyFill="1"/>
    <xf numFmtId="0" fontId="0" fillId="0" borderId="5" xfId="0" applyBorder="1"/>
    <xf numFmtId="0" fontId="0" fillId="0" borderId="6" xfId="0" applyBorder="1"/>
    <xf numFmtId="0" fontId="0" fillId="4" borderId="2" xfId="0" applyFill="1" applyBorder="1"/>
    <xf numFmtId="0" fontId="2" fillId="0" borderId="0" xfId="0" applyFont="1" applyBorder="1"/>
    <xf numFmtId="166" fontId="0" fillId="3" borderId="0" xfId="0" applyNumberFormat="1" applyFill="1" applyAlignment="1">
      <alignment horizontal="left"/>
    </xf>
    <xf numFmtId="0" fontId="1" fillId="0" borderId="0" xfId="0" applyFont="1"/>
    <xf numFmtId="0" fontId="0" fillId="0" borderId="4" xfId="0" applyBorder="1"/>
    <xf numFmtId="167" fontId="0" fillId="0" borderId="3" xfId="0" applyNumberFormat="1" applyBorder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130" zoomScaleNormal="130" workbookViewId="0">
      <pane ySplit="7" topLeftCell="A8" activePane="bottomLeft" state="frozen"/>
      <selection pane="bottomLeft" activeCell="T11" sqref="T11"/>
    </sheetView>
  </sheetViews>
  <sheetFormatPr baseColWidth="10" defaultColWidth="8.83203125" defaultRowHeight="15" x14ac:dyDescent="0.2"/>
  <cols>
    <col min="5" max="5" width="8.6640625" customWidth="1"/>
  </cols>
  <sheetData>
    <row r="1" spans="1:20" x14ac:dyDescent="0.2">
      <c r="I1" t="s">
        <v>26</v>
      </c>
    </row>
    <row r="2" spans="1:20" x14ac:dyDescent="0.2">
      <c r="I2" s="31" t="s">
        <v>28</v>
      </c>
      <c r="J2" s="31" t="s">
        <v>29</v>
      </c>
      <c r="K2" s="31" t="s">
        <v>30</v>
      </c>
      <c r="L2" s="31" t="s">
        <v>31</v>
      </c>
      <c r="M2" s="31" t="s">
        <v>32</v>
      </c>
      <c r="N2" s="31" t="s">
        <v>33</v>
      </c>
      <c r="O2" s="31" t="s">
        <v>30</v>
      </c>
      <c r="P2" s="31" t="s">
        <v>31</v>
      </c>
      <c r="Q2" s="31" t="s">
        <v>32</v>
      </c>
      <c r="R2" s="31" t="s">
        <v>34</v>
      </c>
    </row>
    <row r="3" spans="1:20" x14ac:dyDescent="0.2">
      <c r="A3" t="s">
        <v>27</v>
      </c>
      <c r="B3" t="s">
        <v>36</v>
      </c>
      <c r="I3" s="32">
        <v>0.5</v>
      </c>
      <c r="J3" s="32">
        <v>0.05</v>
      </c>
      <c r="K3" s="32">
        <f>1/(1+J3/2)</f>
        <v>0.97560975609756106</v>
      </c>
      <c r="L3" s="32">
        <v>2.5</v>
      </c>
      <c r="M3" s="32">
        <f>K3*L3</f>
        <v>2.4390243902439028</v>
      </c>
      <c r="N3" s="33">
        <f>J3+0.0001</f>
        <v>5.0100000000000006E-2</v>
      </c>
      <c r="O3" s="32">
        <f>1/(1+N3/2)</f>
        <v>0.97556216769913662</v>
      </c>
      <c r="P3" s="32">
        <v>2.5</v>
      </c>
      <c r="Q3" s="32">
        <f>O3*P3</f>
        <v>2.4389054192478414</v>
      </c>
      <c r="R3" s="32"/>
      <c r="T3" t="s">
        <v>37</v>
      </c>
    </row>
    <row r="4" spans="1:20" x14ac:dyDescent="0.2">
      <c r="I4" s="32">
        <f>I3+0.5</f>
        <v>1</v>
      </c>
      <c r="J4" s="32">
        <v>0.05</v>
      </c>
      <c r="K4" s="32">
        <f>(1-J4/2*K3)/(1+J4/2)</f>
        <v>0.95181439619274244</v>
      </c>
      <c r="L4" s="32">
        <v>2.5</v>
      </c>
      <c r="M4" s="32">
        <f>K4*L4</f>
        <v>2.3795359904818563</v>
      </c>
      <c r="N4" s="33">
        <f>J4+0.0001</f>
        <v>5.0100000000000006E-2</v>
      </c>
      <c r="O4" s="32">
        <f>(1-N4/2*O3)/(1+N4/2)</f>
        <v>0.95172154304583834</v>
      </c>
      <c r="P4" s="32">
        <v>2.5</v>
      </c>
      <c r="Q4" s="32">
        <f>O4*P4</f>
        <v>2.379303857614596</v>
      </c>
      <c r="R4" s="32"/>
      <c r="T4" t="s">
        <v>38</v>
      </c>
    </row>
    <row r="5" spans="1:20" x14ac:dyDescent="0.2">
      <c r="A5" t="s">
        <v>25</v>
      </c>
      <c r="I5" s="32">
        <f>I4+0.5</f>
        <v>1.5</v>
      </c>
      <c r="J5" s="32">
        <v>0.05</v>
      </c>
      <c r="K5" s="32">
        <f>(1-J5/2*SUM(K$3:K4))/(1+J5/2)</f>
        <v>0.92859941091974885</v>
      </c>
      <c r="L5" s="32">
        <v>2.5</v>
      </c>
      <c r="M5" s="32">
        <f>K5*L5</f>
        <v>2.3214985272993722</v>
      </c>
      <c r="N5" s="33">
        <f>J5+0.0001</f>
        <v>5.0100000000000006E-2</v>
      </c>
      <c r="O5" s="32">
        <f>(1-N5/2*SUM(O$3:O4))/(1+N5/2)</f>
        <v>0.92846353157976524</v>
      </c>
      <c r="P5" s="32">
        <v>2.5</v>
      </c>
      <c r="Q5" s="32">
        <f>O5*P5</f>
        <v>2.3211588289494132</v>
      </c>
      <c r="R5" s="32"/>
      <c r="T5" t="s">
        <v>39</v>
      </c>
    </row>
    <row r="6" spans="1:20" x14ac:dyDescent="0.2">
      <c r="A6" t="s">
        <v>0</v>
      </c>
      <c r="C6">
        <v>0</v>
      </c>
      <c r="D6">
        <v>0.5</v>
      </c>
      <c r="E6">
        <v>1</v>
      </c>
      <c r="F6">
        <v>1.5</v>
      </c>
      <c r="I6" s="32">
        <f>I5+0.5</f>
        <v>2</v>
      </c>
      <c r="J6" s="32">
        <v>0.05</v>
      </c>
      <c r="K6" s="32">
        <f>(1-J6/2*SUM(K$3:K5))/(1+J6/2)</f>
        <v>0.90595064479975496</v>
      </c>
      <c r="L6" s="32">
        <v>102.5</v>
      </c>
      <c r="M6" s="32">
        <f>K6*L6</f>
        <v>92.859941091974889</v>
      </c>
      <c r="N6" s="33">
        <f>J6+0.0001</f>
        <v>5.0100000000000006E-2</v>
      </c>
      <c r="O6" s="32">
        <f>(1-N6/2*SUM(O$3:O5))/(1+N6/2)</f>
        <v>0.90577389549755161</v>
      </c>
      <c r="P6" s="32">
        <v>102.5</v>
      </c>
      <c r="Q6" s="32">
        <f>O6*P6</f>
        <v>92.841824288499041</v>
      </c>
      <c r="R6" s="32"/>
      <c r="T6" t="s">
        <v>40</v>
      </c>
    </row>
    <row r="7" spans="1:20" x14ac:dyDescent="0.2">
      <c r="A7" t="s">
        <v>1</v>
      </c>
      <c r="C7">
        <v>0</v>
      </c>
      <c r="D7">
        <v>1</v>
      </c>
      <c r="E7">
        <v>2</v>
      </c>
      <c r="F7">
        <v>3</v>
      </c>
      <c r="I7" s="32"/>
      <c r="J7" s="32"/>
      <c r="K7" s="32"/>
      <c r="L7" s="32" t="s">
        <v>35</v>
      </c>
      <c r="M7" s="32">
        <f>SUM(M3:M6)</f>
        <v>100.00000000000001</v>
      </c>
      <c r="N7" s="32"/>
      <c r="O7" s="32"/>
      <c r="P7" s="32" t="s">
        <v>35</v>
      </c>
      <c r="Q7" s="32">
        <f>SUM(Q3:Q6)</f>
        <v>99.981192394310895</v>
      </c>
      <c r="R7" s="34">
        <f>M7-Q7</f>
        <v>1.88076056891191E-2</v>
      </c>
    </row>
    <row r="9" spans="1:20" x14ac:dyDescent="0.2">
      <c r="A9" s="6" t="s">
        <v>4</v>
      </c>
      <c r="B9" s="7">
        <v>0.05</v>
      </c>
    </row>
    <row r="10" spans="1:20" x14ac:dyDescent="0.2">
      <c r="A10" s="3" t="s">
        <v>3</v>
      </c>
      <c r="B10" s="5">
        <v>2.2899999999999999E-3</v>
      </c>
    </row>
    <row r="11" spans="1:20" x14ac:dyDescent="0.2">
      <c r="A11" s="3" t="s">
        <v>8</v>
      </c>
      <c r="B11" s="4">
        <v>1.0999999999999999E-2</v>
      </c>
    </row>
    <row r="12" spans="1:20" x14ac:dyDescent="0.2">
      <c r="A12" s="8" t="s">
        <v>5</v>
      </c>
      <c r="B12" s="9">
        <v>0.5</v>
      </c>
    </row>
    <row r="14" spans="1:20" x14ac:dyDescent="0.2">
      <c r="A14" s="10"/>
      <c r="B14" s="10"/>
      <c r="C14" s="10"/>
      <c r="D14" s="10"/>
      <c r="E14" s="15">
        <f>D15+$B$10*$B$12+$B$11*SQRT($B$12)</f>
        <v>6.7846349186104049E-2</v>
      </c>
      <c r="L14" s="2"/>
      <c r="Q14" s="2"/>
    </row>
    <row r="15" spans="1:20" x14ac:dyDescent="0.2">
      <c r="A15" s="10"/>
      <c r="B15" s="10"/>
      <c r="C15" s="10"/>
      <c r="D15" s="15">
        <f>C16+$B$10*$B$12+$B$11*SQRT($B$12)</f>
        <v>5.8923174593052026E-2</v>
      </c>
      <c r="E15" s="10"/>
      <c r="K15" s="2"/>
      <c r="P15" s="2"/>
    </row>
    <row r="16" spans="1:20" x14ac:dyDescent="0.2">
      <c r="A16" s="11" t="s">
        <v>18</v>
      </c>
      <c r="B16" s="10"/>
      <c r="C16" s="16">
        <f>$B$9</f>
        <v>0.05</v>
      </c>
      <c r="D16" s="10"/>
      <c r="E16" s="15">
        <f>D17+$B$10*$B$12+$B$11*SQRT($B$12)</f>
        <v>5.2290000000000003E-2</v>
      </c>
      <c r="J16" s="1"/>
      <c r="L16" s="2"/>
      <c r="O16" s="1"/>
      <c r="Q16" s="2"/>
    </row>
    <row r="17" spans="1:6" x14ac:dyDescent="0.2">
      <c r="A17" s="10"/>
      <c r="B17" s="10"/>
      <c r="C17" s="10"/>
      <c r="D17" s="15">
        <f>C16+$B$10*$B$12-$B$11*SQRT($B$12)</f>
        <v>4.336682540694798E-2</v>
      </c>
      <c r="E17" s="10"/>
    </row>
    <row r="18" spans="1:6" x14ac:dyDescent="0.2">
      <c r="A18" s="10"/>
      <c r="B18" s="10"/>
      <c r="C18" s="10"/>
      <c r="D18" s="10"/>
      <c r="E18" s="15">
        <f>D17+$B$10*$B$12-$B$11*SQRT($B$12)</f>
        <v>3.6733650813895957E-2</v>
      </c>
    </row>
    <row r="20" spans="1:6" x14ac:dyDescent="0.2">
      <c r="A20" s="12"/>
      <c r="B20" s="12"/>
      <c r="C20" s="12"/>
      <c r="D20" s="12"/>
      <c r="E20" s="12"/>
      <c r="F20" s="13">
        <v>0</v>
      </c>
    </row>
    <row r="21" spans="1:6" x14ac:dyDescent="0.2">
      <c r="A21" s="12"/>
      <c r="B21" s="12"/>
      <c r="C21" s="12"/>
      <c r="D21" s="12"/>
      <c r="E21" s="13">
        <f>((F20+F22)/2+IF(E14&gt;=5%, (E14-5%)/2, 0.4*(E14-5%)/2)*100)/(1+E14/2)</f>
        <v>0.86304038949162243</v>
      </c>
      <c r="F21" s="12"/>
    </row>
    <row r="22" spans="1:6" x14ac:dyDescent="0.2">
      <c r="A22" s="12"/>
      <c r="B22" s="12"/>
      <c r="C22" s="12"/>
      <c r="D22" s="13">
        <f>((E21+E23)/2+IF(D15&gt;=5%, (D15-5%)/2, 0.4*(D15-5%)/2)*100)/(1+D15/2)</f>
        <v>0.90675579492218428</v>
      </c>
      <c r="E22" s="12"/>
      <c r="F22" s="13">
        <v>0</v>
      </c>
    </row>
    <row r="23" spans="1:6" x14ac:dyDescent="0.2">
      <c r="A23" s="14" t="s">
        <v>6</v>
      </c>
      <c r="B23" s="12"/>
      <c r="C23" s="13">
        <f>((D22+D24)/2+IF(C16&gt;=5%, (C16-5%)/2, 0.4*(C16-5%)/2)*100)/(1+C16/2)</f>
        <v>0.34341904862395628</v>
      </c>
      <c r="D23" s="12"/>
      <c r="E23" s="13">
        <f>((F22+F24)/2+IF(E16&gt;=5%, (E16-5%)/2, 0.4*(E16-5%)/2)*100)/(1+E16/2)</f>
        <v>0.11158267106500544</v>
      </c>
      <c r="F23" s="12"/>
    </row>
    <row r="24" spans="1:6" x14ac:dyDescent="0.2">
      <c r="A24" s="12"/>
      <c r="B24" s="12"/>
      <c r="C24" s="12"/>
      <c r="D24" s="13">
        <f>((E23+E25)/2+IF(D17&gt;=5%, (D17-5%)/2, 0.4*(D17-5%)/2)*100)/(1+D17/2)</f>
        <v>-0.20274674524307407</v>
      </c>
      <c r="E24" s="12"/>
      <c r="F24" s="13">
        <v>0</v>
      </c>
    </row>
    <row r="25" spans="1:6" x14ac:dyDescent="0.2">
      <c r="A25" s="12"/>
      <c r="B25" s="12"/>
      <c r="C25" s="12"/>
      <c r="D25" s="12"/>
      <c r="E25" s="13">
        <f>((F24+F26)/2+IF(E18&gt;=5%, (E18-5%)/2, 0.4*(E18-5%)/2)*100)/(1+E18/2)</f>
        <v>-0.26054166053185601</v>
      </c>
      <c r="F25" s="12"/>
    </row>
    <row r="26" spans="1:6" x14ac:dyDescent="0.2">
      <c r="A26" s="12"/>
      <c r="B26" s="12"/>
      <c r="C26" s="12"/>
      <c r="D26" s="12"/>
      <c r="E26" s="12"/>
      <c r="F26" s="1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J17" sqref="J17"/>
    </sheetView>
  </sheetViews>
  <sheetFormatPr baseColWidth="10" defaultColWidth="8.83203125" defaultRowHeight="15" x14ac:dyDescent="0.2"/>
  <sheetData>
    <row r="1" spans="1:23" x14ac:dyDescent="0.2">
      <c r="A1" s="31" t="s">
        <v>28</v>
      </c>
      <c r="B1" s="31" t="s">
        <v>29</v>
      </c>
      <c r="C1" s="31" t="s">
        <v>30</v>
      </c>
      <c r="D1" s="31" t="s">
        <v>31</v>
      </c>
      <c r="E1" s="31" t="s">
        <v>32</v>
      </c>
      <c r="F1" s="31" t="s">
        <v>33</v>
      </c>
      <c r="G1" s="31" t="s">
        <v>30</v>
      </c>
      <c r="H1" s="31" t="s">
        <v>31</v>
      </c>
      <c r="I1" s="31" t="s">
        <v>32</v>
      </c>
      <c r="J1" s="31" t="s">
        <v>34</v>
      </c>
      <c r="M1" s="31" t="s">
        <v>28</v>
      </c>
      <c r="N1" s="31" t="s">
        <v>29</v>
      </c>
      <c r="O1" s="31" t="s">
        <v>30</v>
      </c>
      <c r="P1" s="31" t="s">
        <v>31</v>
      </c>
      <c r="Q1" s="31" t="s">
        <v>32</v>
      </c>
      <c r="R1" s="31" t="s">
        <v>33</v>
      </c>
      <c r="S1" s="31" t="s">
        <v>30</v>
      </c>
      <c r="T1" s="31" t="s">
        <v>31</v>
      </c>
      <c r="U1" s="31" t="s">
        <v>32</v>
      </c>
      <c r="V1" s="31" t="s">
        <v>34</v>
      </c>
    </row>
    <row r="2" spans="1:23" x14ac:dyDescent="0.2">
      <c r="A2" s="32">
        <v>0.5</v>
      </c>
      <c r="B2" s="32">
        <v>0.06</v>
      </c>
      <c r="C2" s="32">
        <f>1/(1+B2/2)</f>
        <v>0.970873786407767</v>
      </c>
      <c r="D2" s="32">
        <v>3</v>
      </c>
      <c r="E2" s="32">
        <f>C2*D2</f>
        <v>2.912621359223301</v>
      </c>
      <c r="F2" s="33">
        <f>B2+0.0001</f>
        <v>6.0100000000000001E-2</v>
      </c>
      <c r="G2" s="32">
        <f>1/(1+F2/2)</f>
        <v>0.97082665890005349</v>
      </c>
      <c r="H2" s="32">
        <v>3</v>
      </c>
      <c r="I2" s="32">
        <f>G2*H2</f>
        <v>2.9124799767001606</v>
      </c>
      <c r="J2" s="32"/>
      <c r="M2" s="32">
        <v>0.5</v>
      </c>
      <c r="N2" s="32">
        <v>0.06</v>
      </c>
      <c r="O2" s="32">
        <f>1/(1+N2/2)</f>
        <v>0.970873786407767</v>
      </c>
      <c r="P2" s="32">
        <v>3</v>
      </c>
      <c r="Q2" s="32">
        <f>O2*P2</f>
        <v>2.912621359223301</v>
      </c>
      <c r="R2" s="35">
        <v>0.06</v>
      </c>
      <c r="S2" s="32">
        <f>1/(1+R2/2)</f>
        <v>0.970873786407767</v>
      </c>
      <c r="T2" s="32">
        <v>3</v>
      </c>
      <c r="U2" s="32">
        <f>S2*T2</f>
        <v>2.912621359223301</v>
      </c>
      <c r="V2" s="32"/>
    </row>
    <row r="3" spans="1:23" x14ac:dyDescent="0.2">
      <c r="A3" s="32">
        <f>A2+0.5</f>
        <v>1</v>
      </c>
      <c r="B3" s="32">
        <v>0.06</v>
      </c>
      <c r="C3" s="32">
        <f>(1-B3/2*C2)/(1+B3/2)</f>
        <v>0.94259590913375435</v>
      </c>
      <c r="D3" s="32">
        <v>3</v>
      </c>
      <c r="E3" s="32">
        <f>C3*D3</f>
        <v>2.8277877274012631</v>
      </c>
      <c r="F3" s="33">
        <f>B3+0.0001</f>
        <v>6.0100000000000001E-2</v>
      </c>
      <c r="G3" s="32">
        <f>(1-F3/2*G2)/(1+F3/2)</f>
        <v>0.94250440163104066</v>
      </c>
      <c r="H3" s="32">
        <v>3</v>
      </c>
      <c r="I3" s="32">
        <f t="shared" ref="I3:I11" si="0">G3*H3</f>
        <v>2.8275132048931217</v>
      </c>
      <c r="J3" s="32"/>
      <c r="M3" s="32">
        <f>M2+0.5</f>
        <v>1</v>
      </c>
      <c r="N3" s="32">
        <v>0.06</v>
      </c>
      <c r="O3" s="32">
        <f>(1-N3/2*O2)/(1+N3/2)</f>
        <v>0.94259590913375435</v>
      </c>
      <c r="P3" s="32">
        <v>3</v>
      </c>
      <c r="Q3" s="32">
        <f>O3*P3</f>
        <v>2.8277877274012631</v>
      </c>
      <c r="R3" s="35">
        <v>0.06</v>
      </c>
      <c r="S3" s="32">
        <f>(1-R3/2*S2)/(1+R3/2)</f>
        <v>0.94259590913375435</v>
      </c>
      <c r="T3" s="32">
        <v>3</v>
      </c>
      <c r="U3" s="32">
        <f t="shared" ref="U3:U11" si="1">S3*T3</f>
        <v>2.8277877274012631</v>
      </c>
      <c r="V3" s="32"/>
    </row>
    <row r="4" spans="1:23" x14ac:dyDescent="0.2">
      <c r="A4" s="32">
        <f>A3+0.5</f>
        <v>1.5</v>
      </c>
      <c r="B4" s="32">
        <v>0.06</v>
      </c>
      <c r="C4" s="32">
        <f>(1-B4/2*SUM(C$2:C3))/(1+B4/2)</f>
        <v>0.9151416593531595</v>
      </c>
      <c r="D4" s="32">
        <v>3</v>
      </c>
      <c r="E4" s="32">
        <f>C4*D4</f>
        <v>2.7454249780594786</v>
      </c>
      <c r="F4" s="33">
        <f>B4+0.0001</f>
        <v>6.0100000000000001E-2</v>
      </c>
      <c r="G4" s="32">
        <f>(1-F4/2*SUM(G$2:G3))/(1+F4/2)</f>
        <v>0.9150083992340573</v>
      </c>
      <c r="H4" s="32">
        <v>3</v>
      </c>
      <c r="I4" s="32">
        <f t="shared" si="0"/>
        <v>2.745025197702172</v>
      </c>
      <c r="J4" s="32"/>
      <c r="M4" s="32">
        <f>M3+0.5</f>
        <v>1.5</v>
      </c>
      <c r="N4" s="32">
        <v>0.06</v>
      </c>
      <c r="O4" s="32">
        <f>(1-N4/2*SUM(O$2:O3))/(1+N4/2)</f>
        <v>0.9151416593531595</v>
      </c>
      <c r="P4" s="32">
        <v>3</v>
      </c>
      <c r="Q4" s="32">
        <f>O4*P4</f>
        <v>2.7454249780594786</v>
      </c>
      <c r="R4" s="35">
        <v>0.06</v>
      </c>
      <c r="S4" s="32">
        <f>(1-R4/2*SUM(S$2:S3))/(1+R4/2)</f>
        <v>0.9151416593531595</v>
      </c>
      <c r="T4" s="32">
        <v>3</v>
      </c>
      <c r="U4" s="32">
        <f t="shared" si="1"/>
        <v>2.7454249780594786</v>
      </c>
      <c r="V4" s="32"/>
    </row>
    <row r="5" spans="1:23" x14ac:dyDescent="0.2">
      <c r="A5" s="32">
        <f>A4+0.5</f>
        <v>2</v>
      </c>
      <c r="B5" s="32">
        <v>0.06</v>
      </c>
      <c r="C5" s="32">
        <f>(1-B5/2*SUM(C$2:C4))/(1+B5/2)</f>
        <v>0.88848704791568889</v>
      </c>
      <c r="D5" s="32">
        <v>3</v>
      </c>
      <c r="E5" s="32">
        <f t="shared" ref="E5:E11" si="2">C5*D5</f>
        <v>2.6654611437470668</v>
      </c>
      <c r="F5" s="33">
        <f>B5+0.0001</f>
        <v>6.0100000000000001E-2</v>
      </c>
      <c r="G5" s="32">
        <f>(1-F5/2*SUM(G$2:G4))/(1+F5/2)</f>
        <v>0.88831454709388602</v>
      </c>
      <c r="H5" s="32">
        <v>3</v>
      </c>
      <c r="I5" s="32">
        <f t="shared" si="0"/>
        <v>2.6649436412816581</v>
      </c>
      <c r="J5" s="32"/>
      <c r="M5" s="32">
        <f>M4+0.5</f>
        <v>2</v>
      </c>
      <c r="N5" s="32">
        <v>0.06</v>
      </c>
      <c r="O5" s="32">
        <f>(1-N5/2*SUM(O$2:O4))/(1+N5/2)</f>
        <v>0.88848704791568889</v>
      </c>
      <c r="P5" s="32">
        <v>3</v>
      </c>
      <c r="Q5" s="32">
        <f t="shared" ref="Q5:Q11" si="3">O5*P5</f>
        <v>2.6654611437470668</v>
      </c>
      <c r="R5" s="35">
        <v>0.06</v>
      </c>
      <c r="S5" s="32">
        <f>(1-R5/2*SUM(S$2:S4))/(1+R5/2)</f>
        <v>0.88848704791568889</v>
      </c>
      <c r="T5" s="32">
        <v>3</v>
      </c>
      <c r="U5" s="32">
        <f t="shared" si="1"/>
        <v>2.6654611437470668</v>
      </c>
      <c r="V5" s="32"/>
    </row>
    <row r="6" spans="1:23" x14ac:dyDescent="0.2">
      <c r="A6" s="32">
        <v>2.5</v>
      </c>
      <c r="B6" s="32">
        <v>0.06</v>
      </c>
      <c r="C6" s="32">
        <f>(1-B6/2*SUM(C$2:C5))/(1+B6/2)</f>
        <v>0.862608784384164</v>
      </c>
      <c r="D6" s="32">
        <v>3</v>
      </c>
      <c r="E6" s="32">
        <f t="shared" si="2"/>
        <v>2.5878263531524919</v>
      </c>
      <c r="F6" s="35">
        <f>0.0601-0.0001*(A6-2)/((5-2))</f>
        <v>6.0083333333333336E-2</v>
      </c>
      <c r="G6" s="32">
        <f>(1-F6/2*SUM(G$2:G5))/(1+F6/2)</f>
        <v>0.86243648966686759</v>
      </c>
      <c r="H6" s="32">
        <v>3</v>
      </c>
      <c r="I6" s="32">
        <f t="shared" si="0"/>
        <v>2.5873094690006027</v>
      </c>
      <c r="J6" s="32"/>
      <c r="M6" s="32">
        <v>2.5</v>
      </c>
      <c r="N6" s="32">
        <v>0.06</v>
      </c>
      <c r="O6" s="32">
        <f>(1-N6/2*SUM(O$2:O5))/(1+N6/2)</f>
        <v>0.862608784384164</v>
      </c>
      <c r="P6" s="32">
        <v>3</v>
      </c>
      <c r="Q6" s="32">
        <f t="shared" si="3"/>
        <v>2.5878263531524919</v>
      </c>
      <c r="R6" s="33">
        <f>0.06+0.0001*(M6-2)/3</f>
        <v>6.0016666666666663E-2</v>
      </c>
      <c r="S6" s="32">
        <f>(1-R6/2*SUM(S$2:S5))/(1+R6/2)</f>
        <v>0.8625717320367946</v>
      </c>
      <c r="T6" s="32">
        <v>3</v>
      </c>
      <c r="U6" s="32">
        <f t="shared" si="1"/>
        <v>2.5877151961103837</v>
      </c>
      <c r="V6" s="32"/>
    </row>
    <row r="7" spans="1:23" x14ac:dyDescent="0.2">
      <c r="A7" s="32">
        <v>3</v>
      </c>
      <c r="B7" s="32">
        <v>0.06</v>
      </c>
      <c r="C7" s="32">
        <f>(1-B7/2*SUM(C$2:C6))/(1+B7/2)</f>
        <v>0.83748425668365434</v>
      </c>
      <c r="D7" s="32">
        <v>3</v>
      </c>
      <c r="E7" s="32">
        <f t="shared" si="2"/>
        <v>2.5124527700509631</v>
      </c>
      <c r="F7" s="35">
        <f t="shared" ref="F7:F11" si="4">0.0601-0.0001*(A7-2)/((5-2))</f>
        <v>6.0066666666666664E-2</v>
      </c>
      <c r="G7" s="32">
        <f>(1-F7/2*SUM(G$2:G6))/(1+F7/2)</f>
        <v>0.83732692995793534</v>
      </c>
      <c r="H7" s="32">
        <v>3</v>
      </c>
      <c r="I7" s="32">
        <f t="shared" si="0"/>
        <v>2.5119807898738058</v>
      </c>
      <c r="J7" s="32"/>
      <c r="M7" s="32">
        <v>3</v>
      </c>
      <c r="N7" s="32">
        <v>0.06</v>
      </c>
      <c r="O7" s="32">
        <f>(1-N7/2*SUM(O$2:O6))/(1+N7/2)</f>
        <v>0.83748425668365434</v>
      </c>
      <c r="P7" s="32">
        <v>3</v>
      </c>
      <c r="Q7" s="32">
        <f t="shared" si="3"/>
        <v>2.5124527700509631</v>
      </c>
      <c r="R7" s="33">
        <f t="shared" ref="R7:R11" si="5">0.06+0.0001*(M7-2)/3</f>
        <v>6.0033333333333334E-2</v>
      </c>
      <c r="S7" s="32">
        <f>(1-R7/2*SUM(S$2:S6))/(1+R7/2)</f>
        <v>0.83739768105921042</v>
      </c>
      <c r="T7" s="32">
        <v>3</v>
      </c>
      <c r="U7" s="32">
        <f t="shared" si="1"/>
        <v>2.5121930431776311</v>
      </c>
      <c r="V7" s="32"/>
    </row>
    <row r="8" spans="1:23" x14ac:dyDescent="0.2">
      <c r="A8" s="32">
        <v>3.5</v>
      </c>
      <c r="B8" s="32">
        <v>0.06</v>
      </c>
      <c r="C8" s="32">
        <f>(1-B8/2*SUM(C$2:C7))/(1+B8/2)</f>
        <v>0.81309151134335367</v>
      </c>
      <c r="D8" s="32">
        <v>3</v>
      </c>
      <c r="E8" s="32">
        <f t="shared" si="2"/>
        <v>2.4392745340300612</v>
      </c>
      <c r="F8" s="35">
        <f t="shared" si="4"/>
        <v>6.0049999999999999E-2</v>
      </c>
      <c r="G8" s="32">
        <f>(1-F8/2*SUM(G$2:G7))/(1+F8/2)</f>
        <v>0.81296285698873594</v>
      </c>
      <c r="H8" s="32">
        <v>3</v>
      </c>
      <c r="I8" s="32">
        <f t="shared" si="0"/>
        <v>2.438888570966208</v>
      </c>
      <c r="J8" s="32"/>
      <c r="M8" s="32">
        <v>3.5</v>
      </c>
      <c r="N8" s="32">
        <v>0.06</v>
      </c>
      <c r="O8" s="32">
        <f>(1-N8/2*SUM(O$2:O7))/(1+N8/2)</f>
        <v>0.81309151134335367</v>
      </c>
      <c r="P8" s="32">
        <v>3</v>
      </c>
      <c r="Q8" s="32">
        <f t="shared" si="3"/>
        <v>2.4392745340300612</v>
      </c>
      <c r="R8" s="33">
        <f t="shared" si="5"/>
        <v>6.0049999999999999E-2</v>
      </c>
      <c r="S8" s="32">
        <f>(1-R8/2*SUM(S$2:S7))/(1+R8/2)</f>
        <v>0.81294389828150881</v>
      </c>
      <c r="T8" s="32">
        <v>3</v>
      </c>
      <c r="U8" s="32">
        <f t="shared" si="1"/>
        <v>2.4388316948445263</v>
      </c>
      <c r="V8" s="32"/>
    </row>
    <row r="9" spans="1:23" x14ac:dyDescent="0.2">
      <c r="A9" s="32">
        <v>4</v>
      </c>
      <c r="B9" s="32">
        <v>0.06</v>
      </c>
      <c r="C9" s="32">
        <f>(1-B9/2*SUM(C$2:C8))/(1+B9/2)</f>
        <v>0.78940923431393573</v>
      </c>
      <c r="D9" s="32">
        <v>3</v>
      </c>
      <c r="E9" s="32">
        <f t="shared" si="2"/>
        <v>2.3682277029418071</v>
      </c>
      <c r="F9" s="35">
        <f t="shared" si="4"/>
        <v>6.0033333333333334E-2</v>
      </c>
      <c r="G9" s="32">
        <f>(1-F9/2*SUM(G$2:G8))/(1+F9/2)</f>
        <v>0.78932195449047582</v>
      </c>
      <c r="H9" s="32">
        <v>3</v>
      </c>
      <c r="I9" s="32">
        <f t="shared" si="0"/>
        <v>2.3679658634714276</v>
      </c>
      <c r="J9" s="32"/>
      <c r="M9" s="32">
        <v>4</v>
      </c>
      <c r="N9" s="32">
        <v>0.06</v>
      </c>
      <c r="O9" s="32">
        <f>(1-N9/2*SUM(O$2:O8))/(1+N9/2)</f>
        <v>0.78940923431393573</v>
      </c>
      <c r="P9" s="32">
        <v>3</v>
      </c>
      <c r="Q9" s="32">
        <f t="shared" si="3"/>
        <v>2.3682277029418071</v>
      </c>
      <c r="R9" s="33">
        <f t="shared" si="5"/>
        <v>6.0066666666666664E-2</v>
      </c>
      <c r="S9" s="32">
        <f>(1-R9/2*SUM(S$2:S8))/(1+R9/2)</f>
        <v>0.78918997590746964</v>
      </c>
      <c r="T9" s="32">
        <v>3</v>
      </c>
      <c r="U9" s="32">
        <f t="shared" si="1"/>
        <v>2.3675699277224087</v>
      </c>
      <c r="V9" s="32"/>
    </row>
    <row r="10" spans="1:23" x14ac:dyDescent="0.2">
      <c r="A10" s="32">
        <v>4.5</v>
      </c>
      <c r="B10" s="32">
        <v>0.06</v>
      </c>
      <c r="C10" s="32">
        <f>(1-B10/2*SUM(C$2:C9))/(1+B10/2)</f>
        <v>0.76641673234362695</v>
      </c>
      <c r="D10" s="32">
        <v>3</v>
      </c>
      <c r="E10" s="32">
        <f t="shared" si="2"/>
        <v>2.2992501970308807</v>
      </c>
      <c r="F10" s="35">
        <f t="shared" si="4"/>
        <v>6.001666666666667E-2</v>
      </c>
      <c r="G10" s="32">
        <f>(1-F10/2*SUM(G$2:G9))/(1+F10/2)</f>
        <v>0.76638257976145052</v>
      </c>
      <c r="H10" s="32">
        <v>3</v>
      </c>
      <c r="I10" s="32">
        <f t="shared" si="0"/>
        <v>2.2991477392843516</v>
      </c>
      <c r="J10" s="32"/>
      <c r="M10" s="32">
        <v>4.5</v>
      </c>
      <c r="N10" s="32">
        <v>0.06</v>
      </c>
      <c r="O10" s="32">
        <f>(1-N10/2*SUM(O$2:O9))/(1+N10/2)</f>
        <v>0.76641673234362695</v>
      </c>
      <c r="P10" s="32">
        <v>3</v>
      </c>
      <c r="Q10" s="32">
        <f t="shared" si="3"/>
        <v>2.2992501970308807</v>
      </c>
      <c r="R10" s="33">
        <f t="shared" si="5"/>
        <v>6.0083333333333329E-2</v>
      </c>
      <c r="S10" s="32">
        <f>(1-R10/2*SUM(S$2:S9))/(1+R10/2)</f>
        <v>0.76611607869589626</v>
      </c>
      <c r="T10" s="32">
        <v>3</v>
      </c>
      <c r="U10" s="32">
        <f t="shared" si="1"/>
        <v>2.2983482360876888</v>
      </c>
      <c r="V10" s="32"/>
    </row>
    <row r="11" spans="1:23" x14ac:dyDescent="0.2">
      <c r="A11" s="32">
        <v>5</v>
      </c>
      <c r="B11" s="32">
        <v>0.06</v>
      </c>
      <c r="C11" s="32">
        <f>(1-B11/2*SUM(C$2:C10))/(1+B11/2)</f>
        <v>0.74409391489672505</v>
      </c>
      <c r="D11" s="32">
        <v>103</v>
      </c>
      <c r="E11" s="32">
        <f t="shared" si="2"/>
        <v>76.641673234362685</v>
      </c>
      <c r="F11" s="35">
        <f t="shared" si="4"/>
        <v>0.06</v>
      </c>
      <c r="G11" s="32">
        <f>(1-F11/2*SUM(G$2:G10))/(1+F11/2)</f>
        <v>0.74412374317307273</v>
      </c>
      <c r="H11" s="32">
        <v>103</v>
      </c>
      <c r="I11" s="32">
        <f t="shared" si="0"/>
        <v>76.644745546826485</v>
      </c>
      <c r="J11" s="32"/>
      <c r="M11" s="32">
        <v>5</v>
      </c>
      <c r="N11" s="32">
        <v>0.06</v>
      </c>
      <c r="O11" s="32">
        <f>(1-N11/2*SUM(O$2:O10))/(1+N11/2)</f>
        <v>0.74409391489672505</v>
      </c>
      <c r="P11" s="32">
        <v>103</v>
      </c>
      <c r="Q11" s="32">
        <f t="shared" si="3"/>
        <v>76.641673234362685</v>
      </c>
      <c r="R11" s="33">
        <f t="shared" si="5"/>
        <v>6.0100000000000001E-2</v>
      </c>
      <c r="S11" s="32">
        <f>(1-R11/2*SUM(S$2:S10))/(1+R11/2)</f>
        <v>0.74370292805963112</v>
      </c>
      <c r="T11" s="32">
        <v>103</v>
      </c>
      <c r="U11" s="32">
        <f t="shared" si="1"/>
        <v>76.601401590142004</v>
      </c>
      <c r="V11" s="32"/>
      <c r="W11" s="32">
        <f>1/0.06*(1-1/(1.03)^10)*0.01</f>
        <v>4.2651014183879142E-2</v>
      </c>
    </row>
    <row r="12" spans="1:23" x14ac:dyDescent="0.2">
      <c r="A12" s="32"/>
      <c r="B12" s="32"/>
      <c r="C12" s="32"/>
      <c r="D12" s="32" t="s">
        <v>35</v>
      </c>
      <c r="E12" s="32">
        <f>SUM(E2:E11)</f>
        <v>100</v>
      </c>
      <c r="F12" s="32"/>
      <c r="G12" s="32"/>
      <c r="H12" s="32" t="s">
        <v>35</v>
      </c>
      <c r="I12" s="32">
        <f>SUM(I2:I11)</f>
        <v>100</v>
      </c>
      <c r="J12" s="34">
        <f>E12-I12</f>
        <v>0</v>
      </c>
      <c r="M12" s="32"/>
      <c r="N12" s="32"/>
      <c r="O12" s="32"/>
      <c r="P12" s="32" t="s">
        <v>35</v>
      </c>
      <c r="Q12" s="32">
        <f>SUM(Q2:Q11)</f>
        <v>100</v>
      </c>
      <c r="R12" s="32"/>
      <c r="S12" s="32"/>
      <c r="T12" s="32" t="s">
        <v>35</v>
      </c>
      <c r="U12" s="32">
        <f>SUM(U2:U11)</f>
        <v>99.957354896515753</v>
      </c>
      <c r="V12" s="34">
        <f>Q12-U12</f>
        <v>4.2645103484247215E-2</v>
      </c>
    </row>
    <row r="13" spans="1:23" x14ac:dyDescent="0.2">
      <c r="A13" s="32"/>
      <c r="B13" s="32"/>
      <c r="C13" s="32"/>
      <c r="D13" s="32"/>
      <c r="E13" s="32"/>
      <c r="F13" s="32"/>
      <c r="G13" s="32"/>
      <c r="H13" s="32"/>
      <c r="I13" s="32"/>
      <c r="J13" s="32"/>
    </row>
    <row r="14" spans="1:23" x14ac:dyDescent="0.2">
      <c r="A14" s="32"/>
      <c r="B14" s="32"/>
      <c r="C14" s="32"/>
      <c r="D14" s="32"/>
      <c r="E14" s="32"/>
      <c r="F14" s="35"/>
      <c r="G14" s="32"/>
      <c r="H14" s="32"/>
      <c r="I14" s="32"/>
      <c r="J14" s="32"/>
    </row>
    <row r="15" spans="1:23" x14ac:dyDescent="0.2">
      <c r="A15" s="32"/>
      <c r="B15" s="32"/>
      <c r="C15" s="32"/>
      <c r="D15" s="32"/>
      <c r="E15" s="32"/>
      <c r="F15" s="35"/>
      <c r="G15" s="32"/>
      <c r="H15" s="32"/>
      <c r="I15" s="32"/>
      <c r="J15" s="32"/>
    </row>
    <row r="16" spans="1:23" x14ac:dyDescent="0.2">
      <c r="B16" s="32"/>
      <c r="C16" s="32"/>
      <c r="D16" s="32"/>
      <c r="E16" s="32"/>
      <c r="F16" s="35"/>
      <c r="G16" s="32"/>
      <c r="H16" s="32"/>
      <c r="I16" s="32"/>
      <c r="J16" s="32"/>
    </row>
    <row r="17" spans="1:10" x14ac:dyDescent="0.2">
      <c r="A17" s="32"/>
      <c r="B17" s="32"/>
      <c r="C17" s="32"/>
      <c r="D17" s="32"/>
      <c r="E17" s="32"/>
      <c r="F17" s="35"/>
      <c r="G17" s="32"/>
      <c r="H17" s="32"/>
      <c r="I17" s="32"/>
      <c r="J17" s="32"/>
    </row>
    <row r="18" spans="1:10" x14ac:dyDescent="0.2">
      <c r="A18" s="32"/>
      <c r="B18" s="32"/>
      <c r="C18" s="32"/>
      <c r="D18" s="32"/>
      <c r="E18" s="32"/>
      <c r="F18" s="35"/>
      <c r="G18" s="32"/>
      <c r="H18" s="32"/>
      <c r="I18" s="32"/>
      <c r="J18" s="32"/>
    </row>
    <row r="19" spans="1:10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workbookViewId="0">
      <pane ySplit="14" topLeftCell="A15" activePane="bottomLeft" state="frozen"/>
      <selection pane="bottomLeft" activeCell="C41" sqref="C41"/>
    </sheetView>
  </sheetViews>
  <sheetFormatPr baseColWidth="10" defaultColWidth="8.83203125" defaultRowHeight="15" x14ac:dyDescent="0.2"/>
  <cols>
    <col min="3" max="4" width="9.83203125" customWidth="1"/>
  </cols>
  <sheetData>
    <row r="1" spans="1:6" x14ac:dyDescent="0.2">
      <c r="A1" t="s">
        <v>25</v>
      </c>
    </row>
    <row r="2" spans="1:6" x14ac:dyDescent="0.2">
      <c r="A2" t="s">
        <v>0</v>
      </c>
      <c r="C2">
        <v>0</v>
      </c>
      <c r="D2">
        <v>0.5</v>
      </c>
      <c r="E2">
        <v>1</v>
      </c>
      <c r="F2">
        <v>1.5</v>
      </c>
    </row>
    <row r="3" spans="1:6" s="9" customFormat="1" x14ac:dyDescent="0.2">
      <c r="A3" s="9" t="s">
        <v>7</v>
      </c>
      <c r="D3" s="30">
        <v>0.05</v>
      </c>
      <c r="E3" s="30">
        <v>5.5E-2</v>
      </c>
      <c r="F3" s="30">
        <v>0.06</v>
      </c>
    </row>
    <row r="4" spans="1:6" ht="16" thickBot="1" x14ac:dyDescent="0.25">
      <c r="C4" s="1"/>
      <c r="D4" s="2"/>
      <c r="E4" s="1"/>
      <c r="F4" s="2"/>
    </row>
    <row r="5" spans="1:6" ht="16" thickBot="1" x14ac:dyDescent="0.25">
      <c r="A5" s="6" t="s">
        <v>3</v>
      </c>
      <c r="B5" s="6"/>
      <c r="C5" s="6"/>
      <c r="D5" s="23">
        <v>2.0080000000000001E-2</v>
      </c>
      <c r="E5" s="24">
        <v>2.017E-2</v>
      </c>
    </row>
    <row r="6" spans="1:6" x14ac:dyDescent="0.2">
      <c r="A6" s="3" t="s">
        <v>8</v>
      </c>
      <c r="B6" s="3"/>
      <c r="C6" s="4">
        <v>0.02</v>
      </c>
      <c r="D6" s="3"/>
      <c r="E6" s="3"/>
    </row>
    <row r="7" spans="1:6" x14ac:dyDescent="0.2">
      <c r="A7" s="9" t="s">
        <v>5</v>
      </c>
      <c r="B7" s="9"/>
      <c r="C7" s="9">
        <v>0.5</v>
      </c>
      <c r="D7" s="9"/>
      <c r="E7" s="9"/>
    </row>
    <row r="9" spans="1:6" x14ac:dyDescent="0.2">
      <c r="A9" s="10"/>
      <c r="B9" s="10"/>
      <c r="C9" s="10"/>
      <c r="D9" s="10"/>
      <c r="E9" s="21">
        <f>D10+$E$5*$C$7+$C$6*SQRT($C$7)</f>
        <v>9.8409271247461905E-2</v>
      </c>
    </row>
    <row r="10" spans="1:6" x14ac:dyDescent="0.2">
      <c r="A10" s="10"/>
      <c r="B10" s="10"/>
      <c r="C10" s="10"/>
      <c r="D10" s="21">
        <f>C11+$D$5*$C$7+$C$6*SQRT($C$7)</f>
        <v>7.4182135623730952E-2</v>
      </c>
      <c r="E10" s="10"/>
    </row>
    <row r="11" spans="1:6" x14ac:dyDescent="0.2">
      <c r="A11" s="10" t="s">
        <v>2</v>
      </c>
      <c r="B11" s="10"/>
      <c r="C11" s="21">
        <f>D3</f>
        <v>0.05</v>
      </c>
      <c r="D11" s="21"/>
      <c r="E11" s="21">
        <f>D12+($E$5)*$C$7+$C$6*SQRT($C$7)</f>
        <v>7.0125000000000007E-2</v>
      </c>
    </row>
    <row r="12" spans="1:6" x14ac:dyDescent="0.2">
      <c r="A12" s="10"/>
      <c r="B12" s="10"/>
      <c r="C12" s="22"/>
      <c r="D12" s="21">
        <f>C11+$D$5*$C$7-$C$6*SQRT($C$7)</f>
        <v>4.5897864376269054E-2</v>
      </c>
      <c r="E12" s="10"/>
    </row>
    <row r="13" spans="1:6" x14ac:dyDescent="0.2">
      <c r="A13" s="10"/>
      <c r="B13" s="10"/>
      <c r="C13" s="10"/>
      <c r="D13" s="10"/>
      <c r="E13" s="21">
        <f>D12+($E$5)*$C$7-$C$6*SQRT($C$7)</f>
        <v>4.1840728752538095E-2</v>
      </c>
    </row>
    <row r="15" spans="1:6" x14ac:dyDescent="0.2">
      <c r="E15" s="2"/>
    </row>
    <row r="16" spans="1:6" x14ac:dyDescent="0.2">
      <c r="A16" s="12"/>
      <c r="B16" s="12"/>
      <c r="C16" s="12"/>
      <c r="D16" s="12">
        <v>1</v>
      </c>
      <c r="E16" s="2"/>
    </row>
    <row r="17" spans="1:6" x14ac:dyDescent="0.2">
      <c r="A17" s="12" t="s">
        <v>9</v>
      </c>
      <c r="B17" s="12"/>
      <c r="C17" s="19">
        <f>(D16+D18)/2/(1+C11/2)</f>
        <v>0.97560975609756106</v>
      </c>
      <c r="D17" s="12"/>
      <c r="E17" s="2"/>
    </row>
    <row r="18" spans="1:6" x14ac:dyDescent="0.2">
      <c r="A18" s="12"/>
      <c r="B18" s="12"/>
      <c r="C18" s="12"/>
      <c r="D18" s="12">
        <v>1</v>
      </c>
    </row>
    <row r="20" spans="1:6" x14ac:dyDescent="0.2">
      <c r="A20" s="12"/>
      <c r="B20" s="12"/>
      <c r="C20" s="12"/>
      <c r="D20" s="12"/>
      <c r="E20" s="12">
        <v>1</v>
      </c>
    </row>
    <row r="21" spans="1:6" x14ac:dyDescent="0.2">
      <c r="A21" s="12"/>
      <c r="B21" s="12"/>
      <c r="C21" s="12"/>
      <c r="D21" s="19">
        <f>(E20+E22)/2/(1+D10/2)</f>
        <v>0.96423547655258179</v>
      </c>
      <c r="E21" s="12"/>
    </row>
    <row r="22" spans="1:6" x14ac:dyDescent="0.2">
      <c r="A22" s="12" t="s">
        <v>10</v>
      </c>
      <c r="B22" s="12"/>
      <c r="C22" s="19">
        <f>(D21+D23)/2/(1+C11/2)</f>
        <v>0.94722018676064224</v>
      </c>
      <c r="D22" s="12"/>
      <c r="E22" s="12">
        <v>1</v>
      </c>
    </row>
    <row r="23" spans="1:6" x14ac:dyDescent="0.2">
      <c r="A23" s="12"/>
      <c r="B23" s="12"/>
      <c r="C23" s="20"/>
      <c r="D23" s="19">
        <f>(E22+E24)/2/(1+D12/2)</f>
        <v>0.97756590630673457</v>
      </c>
      <c r="E23" s="12"/>
    </row>
    <row r="24" spans="1:6" x14ac:dyDescent="0.2">
      <c r="A24" s="12"/>
      <c r="B24" s="12"/>
      <c r="C24" s="12"/>
      <c r="D24" s="12"/>
      <c r="E24" s="12">
        <v>1</v>
      </c>
    </row>
    <row r="25" spans="1:6" x14ac:dyDescent="0.2">
      <c r="D25" s="2"/>
    </row>
    <row r="26" spans="1:6" x14ac:dyDescent="0.2">
      <c r="A26" s="12"/>
      <c r="B26" s="12"/>
      <c r="C26" s="12"/>
      <c r="D26" s="12"/>
      <c r="E26" s="12"/>
      <c r="F26" s="12">
        <v>1</v>
      </c>
    </row>
    <row r="27" spans="1:6" x14ac:dyDescent="0.2">
      <c r="A27" s="12"/>
      <c r="B27" s="12"/>
      <c r="C27" s="12"/>
      <c r="D27" s="12"/>
      <c r="E27" s="19">
        <f>(F26+F28)/2/(1+E9/2)</f>
        <v>0.95310291819814552</v>
      </c>
      <c r="F27" s="12"/>
    </row>
    <row r="28" spans="1:6" x14ac:dyDescent="0.2">
      <c r="A28" s="12"/>
      <c r="B28" s="12"/>
      <c r="C28" s="12"/>
      <c r="D28" s="19">
        <f>(E27+E29)/2/(1+D10/2)</f>
        <v>0.92529393596597831</v>
      </c>
      <c r="E28" s="12"/>
      <c r="F28" s="12">
        <v>1</v>
      </c>
    </row>
    <row r="29" spans="1:6" x14ac:dyDescent="0.2">
      <c r="A29" s="12" t="s">
        <v>11</v>
      </c>
      <c r="B29" s="12"/>
      <c r="C29" s="19">
        <f>(D28+D30)/2/(1+C11/2)</f>
        <v>0.91526168515240858</v>
      </c>
      <c r="D29" s="12"/>
      <c r="E29" s="19">
        <f>(F28+F30)/2/(1+E11/2)</f>
        <v>0.96612523398345507</v>
      </c>
      <c r="F29" s="12"/>
    </row>
    <row r="30" spans="1:6" x14ac:dyDescent="0.2">
      <c r="A30" s="12"/>
      <c r="B30" s="12"/>
      <c r="C30" s="12"/>
      <c r="D30" s="19">
        <f>(E29+E31)/2/(1+D12/2)</f>
        <v>0.95099251859645917</v>
      </c>
      <c r="E30" s="12"/>
      <c r="F30" s="12">
        <v>1</v>
      </c>
    </row>
    <row r="31" spans="1:6" x14ac:dyDescent="0.2">
      <c r="A31" s="12"/>
      <c r="B31" s="12"/>
      <c r="C31" s="12"/>
      <c r="D31" s="12"/>
      <c r="E31" s="19">
        <f>(F30+F32)/2/(1+E13/2)</f>
        <v>0.97950832885084993</v>
      </c>
      <c r="F31" s="12"/>
    </row>
    <row r="32" spans="1:6" x14ac:dyDescent="0.2">
      <c r="A32" s="12"/>
      <c r="B32" s="12"/>
      <c r="C32" s="20"/>
      <c r="D32" s="12"/>
      <c r="E32" s="12"/>
      <c r="F32" s="12">
        <v>1</v>
      </c>
    </row>
    <row r="34" spans="1:6" x14ac:dyDescent="0.2">
      <c r="A34" s="25" t="s">
        <v>12</v>
      </c>
      <c r="B34" s="25"/>
      <c r="C34" s="25"/>
      <c r="D34" s="25" t="s">
        <v>13</v>
      </c>
      <c r="E34" s="25" t="s">
        <v>14</v>
      </c>
      <c r="F34" s="25" t="s">
        <v>17</v>
      </c>
    </row>
    <row r="35" spans="1:6" x14ac:dyDescent="0.2">
      <c r="A35" s="3" t="s">
        <v>16</v>
      </c>
      <c r="B35" s="3"/>
      <c r="C35" s="3"/>
      <c r="D35" s="3">
        <f>1/(1+D3/2)</f>
        <v>0.97560975609756106</v>
      </c>
      <c r="E35" s="3">
        <f>1/(1+E3/2)^2</f>
        <v>0.94718833063976637</v>
      </c>
      <c r="F35" s="3">
        <f>1/(1+F3/2)^3</f>
        <v>0.91514165935315961</v>
      </c>
    </row>
    <row r="36" spans="1:6" x14ac:dyDescent="0.2">
      <c r="A36" s="9" t="s">
        <v>15</v>
      </c>
      <c r="B36" s="9"/>
      <c r="C36" s="9"/>
      <c r="D36" s="9">
        <f>C17</f>
        <v>0.97560975609756106</v>
      </c>
      <c r="E36" s="17">
        <f>C22</f>
        <v>0.94722018676064224</v>
      </c>
      <c r="F36" s="17">
        <f>C29</f>
        <v>0.91526168515240858</v>
      </c>
    </row>
    <row r="37" spans="1:6" x14ac:dyDescent="0.2">
      <c r="A37" s="18" t="s">
        <v>19</v>
      </c>
      <c r="B37" s="18"/>
      <c r="C37" s="18"/>
      <c r="D37" s="18">
        <f>D36-D35</f>
        <v>0</v>
      </c>
      <c r="E37" s="18">
        <f t="shared" ref="E37:F37" si="0">E36-E35</f>
        <v>3.1856120875861649E-5</v>
      </c>
      <c r="F37" s="18">
        <f t="shared" si="0"/>
        <v>1.2002579924896839E-4</v>
      </c>
    </row>
    <row r="38" spans="1:6" x14ac:dyDescent="0.2">
      <c r="D38" s="2"/>
    </row>
    <row r="39" spans="1:6" x14ac:dyDescent="0.2">
      <c r="A39" s="26" t="s">
        <v>20</v>
      </c>
    </row>
    <row r="40" spans="1:6" x14ac:dyDescent="0.2">
      <c r="C40" s="1"/>
    </row>
    <row r="41" spans="1:6" x14ac:dyDescent="0.2">
      <c r="A41" s="6" t="s">
        <v>21</v>
      </c>
      <c r="B41" s="6">
        <v>960</v>
      </c>
    </row>
    <row r="42" spans="1:6" x14ac:dyDescent="0.2">
      <c r="A42" s="9" t="s">
        <v>22</v>
      </c>
      <c r="B42" s="9">
        <v>1000</v>
      </c>
      <c r="D42" s="2"/>
    </row>
    <row r="44" spans="1:6" x14ac:dyDescent="0.2">
      <c r="A44" s="12"/>
      <c r="B44" s="12"/>
      <c r="C44" s="12"/>
      <c r="D44" s="12"/>
      <c r="E44" s="12">
        <f>MAX($B$42*E27-$B$41,0)</f>
        <v>0</v>
      </c>
    </row>
    <row r="45" spans="1:6" x14ac:dyDescent="0.2">
      <c r="A45" s="12"/>
      <c r="B45" s="12"/>
      <c r="C45" s="12"/>
      <c r="D45" s="19">
        <f>(E44+E46)/2/(1+D10/2)</f>
        <v>2.9530839545164094</v>
      </c>
      <c r="E45" s="12"/>
    </row>
    <row r="46" spans="1:6" x14ac:dyDescent="0.2">
      <c r="A46" s="12" t="s">
        <v>23</v>
      </c>
      <c r="B46" s="12"/>
      <c r="C46" s="27">
        <f>(D45+D47)/2/(1+C11/2)</f>
        <v>7.5523573153709167</v>
      </c>
      <c r="D46" s="12"/>
      <c r="E46" s="12">
        <f>MAX($B$42*E29-$B$41,0)</f>
        <v>6.1252339834550185</v>
      </c>
    </row>
    <row r="47" spans="1:6" x14ac:dyDescent="0.2">
      <c r="A47" s="12"/>
      <c r="B47" s="12"/>
      <c r="C47" s="12"/>
      <c r="D47" s="19">
        <f>(E46+E48)/2/(1+D12/2)</f>
        <v>12.529248541993969</v>
      </c>
      <c r="E47" s="12"/>
    </row>
    <row r="48" spans="1:6" x14ac:dyDescent="0.2">
      <c r="A48" s="12"/>
      <c r="B48" s="12"/>
      <c r="C48" s="12"/>
      <c r="D48" s="12"/>
      <c r="E48" s="12">
        <f>MAX($B$42*E31-$B$41,0)</f>
        <v>19.508328850849921</v>
      </c>
    </row>
    <row r="50" spans="1:4" x14ac:dyDescent="0.2">
      <c r="A50" s="28" t="s">
        <v>24</v>
      </c>
      <c r="D50" s="29">
        <f>(D45-D47)/(D28-D30)/1000</f>
        <v>0.37263395904641672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T1B</vt:lpstr>
      <vt:lpstr>T1A Q1</vt:lpstr>
      <vt:lpstr>T1A Q3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2017-11-12T04:55:19Z</dcterms:modified>
</cp:coreProperties>
</file>