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120" yWindow="1050" windowWidth="9480" windowHeight="2175"/>
  </bookViews>
  <sheets>
    <sheet name="survey" sheetId="1" r:id="rId1"/>
    <sheet name="choices" sheetId="2" r:id="rId2"/>
    <sheet name="settings" sheetId="3" r:id="rId3"/>
    <sheet name="props" sheetId="6" r:id="rId4"/>
  </sheets>
  <definedNames>
    <definedName name="_xlnm._FilterDatabase" localSheetId="0" hidden="1">survey!$C$1:$Y$23</definedName>
  </definedNames>
  <calcPr calcId="145621"/>
</workbook>
</file>

<file path=xl/calcChain.xml><?xml version="1.0" encoding="utf-8"?>
<calcChain xmlns="http://schemas.openxmlformats.org/spreadsheetml/2006/main">
  <c r="R25" i="1" l="1"/>
  <c r="R26" i="1" l="1"/>
  <c r="J26" i="1"/>
  <c r="K26" i="1"/>
  <c r="L26" i="1"/>
  <c r="L25" i="1"/>
  <c r="K25" i="1"/>
  <c r="J25" i="1"/>
  <c r="L24" i="1"/>
  <c r="K24" i="1"/>
  <c r="J24" i="1"/>
  <c r="R12" i="1" l="1"/>
  <c r="R333" i="1"/>
  <c r="J12" i="1"/>
  <c r="K12" i="1"/>
  <c r="L12" i="1"/>
  <c r="T12" i="1"/>
  <c r="Y183" i="1" l="1"/>
  <c r="R147" i="1"/>
  <c r="R145" i="1"/>
  <c r="R143" i="1"/>
  <c r="M184" i="1"/>
  <c r="M185" i="1"/>
  <c r="R183" i="1"/>
  <c r="L182" i="1"/>
  <c r="K182" i="1"/>
  <c r="R168" i="1"/>
  <c r="R112" i="1"/>
  <c r="R189" i="1"/>
  <c r="S147" i="1"/>
  <c r="R228" i="1"/>
  <c r="E360" i="1"/>
  <c r="E361" i="1"/>
  <c r="E362" i="1"/>
  <c r="E363" i="1"/>
  <c r="E364" i="1"/>
  <c r="E365" i="1"/>
  <c r="E366" i="1"/>
  <c r="E367" i="1"/>
  <c r="E368" i="1"/>
  <c r="E369" i="1"/>
  <c r="E370" i="1"/>
  <c r="L370" i="1" s="1"/>
  <c r="E371" i="1"/>
  <c r="J370" i="1"/>
  <c r="J366" i="1"/>
  <c r="L366" i="1"/>
  <c r="J362" i="1"/>
  <c r="K362" i="1"/>
  <c r="J342" i="1"/>
  <c r="L333" i="1"/>
  <c r="K333" i="1"/>
  <c r="J333" i="1"/>
  <c r="R309" i="1"/>
  <c r="J309" i="1"/>
  <c r="F309" i="1"/>
  <c r="E309" i="1"/>
  <c r="L309" i="1" s="1"/>
  <c r="I188" i="1"/>
  <c r="L188" i="1" s="1"/>
  <c r="H188" i="1"/>
  <c r="K188" i="1" s="1"/>
  <c r="T147" i="1"/>
  <c r="L147" i="1"/>
  <c r="K147" i="1"/>
  <c r="J147" i="1"/>
  <c r="F147" i="1"/>
  <c r="T145" i="1"/>
  <c r="L145" i="1"/>
  <c r="K145" i="1"/>
  <c r="J145" i="1"/>
  <c r="F145" i="1"/>
  <c r="T143" i="1"/>
  <c r="L143" i="1"/>
  <c r="K143" i="1"/>
  <c r="J143" i="1"/>
  <c r="F143" i="1"/>
  <c r="T189" i="1"/>
  <c r="T159" i="1"/>
  <c r="J182" i="1" l="1"/>
  <c r="K370" i="1"/>
  <c r="K366" i="1"/>
  <c r="L362" i="1"/>
  <c r="K309" i="1"/>
  <c r="G188" i="1"/>
  <c r="J188" i="1" s="1"/>
  <c r="R180" i="1"/>
  <c r="B3" i="1" l="1"/>
  <c r="B4" i="1" s="1"/>
  <c r="B5" i="1" s="1"/>
  <c r="B6" i="1" s="1"/>
  <c r="B7" i="1" s="1"/>
  <c r="B8" i="1" s="1"/>
  <c r="B9" i="1" s="1"/>
  <c r="B10" i="1" s="1"/>
  <c r="B11" i="1" s="1"/>
  <c r="B13" i="1" s="1"/>
  <c r="B14" i="1" s="1"/>
  <c r="B15" i="1" s="1"/>
  <c r="B16" i="1" s="1"/>
  <c r="B17" i="1" s="1"/>
  <c r="B18" i="1" s="1"/>
  <c r="B19" i="1" s="1"/>
  <c r="B20" i="1" s="1"/>
  <c r="B21" i="1" s="1"/>
  <c r="B22" i="1" s="1"/>
  <c r="B23"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L14" i="1"/>
  <c r="K14" i="1"/>
  <c r="J14" i="1"/>
  <c r="R13" i="1"/>
  <c r="L13" i="1"/>
  <c r="K13" i="1"/>
  <c r="J13" i="1"/>
  <c r="R11" i="1"/>
  <c r="L11" i="1"/>
  <c r="K11" i="1"/>
  <c r="J11" i="1"/>
  <c r="L9" i="1"/>
  <c r="K9" i="1"/>
  <c r="J9" i="1"/>
  <c r="L8" i="1"/>
  <c r="K8" i="1"/>
  <c r="J8" i="1"/>
  <c r="L7" i="1"/>
  <c r="K7" i="1"/>
  <c r="J7" i="1"/>
  <c r="L6" i="1"/>
  <c r="K6" i="1"/>
  <c r="J6" i="1"/>
  <c r="L5" i="1"/>
  <c r="K5" i="1"/>
  <c r="J5" i="1"/>
  <c r="L4" i="1"/>
  <c r="J4" i="1"/>
  <c r="L3" i="1"/>
  <c r="J3" i="1"/>
  <c r="A3" i="1"/>
  <c r="A4" i="1" s="1"/>
  <c r="A5" i="1" s="1"/>
  <c r="A6" i="1" s="1"/>
  <c r="A7" i="1" s="1"/>
  <c r="A8" i="1" s="1"/>
  <c r="A9" i="1" s="1"/>
  <c r="A10" i="1" s="1"/>
  <c r="A11" i="1" s="1"/>
  <c r="A13" i="1" s="1"/>
  <c r="A14" i="1" s="1"/>
  <c r="A15" i="1" s="1"/>
  <c r="A16" i="1" s="1"/>
  <c r="A17" i="1" s="1"/>
  <c r="A18" i="1" s="1"/>
  <c r="A19" i="1" s="1"/>
  <c r="A20" i="1" s="1"/>
  <c r="A21" i="1" s="1"/>
  <c r="A22" i="1" s="1"/>
  <c r="A23"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L2" i="1"/>
  <c r="A144" i="1" l="1"/>
  <c r="A143" i="1"/>
  <c r="B144" i="1"/>
  <c r="B143" i="1"/>
  <c r="J293" i="1"/>
  <c r="F298" i="1"/>
  <c r="L298" i="1"/>
  <c r="K298" i="1"/>
  <c r="F297" i="1"/>
  <c r="M295" i="1"/>
  <c r="F295" i="1"/>
  <c r="F296" i="1" s="1"/>
  <c r="Y294" i="1"/>
  <c r="R294" i="1"/>
  <c r="L294" i="1"/>
  <c r="K294" i="1"/>
  <c r="J294" i="1"/>
  <c r="F294" i="1"/>
  <c r="E293" i="1"/>
  <c r="L293" i="1" s="1"/>
  <c r="J179" i="1"/>
  <c r="K179" i="1"/>
  <c r="L179" i="1"/>
  <c r="J180" i="1"/>
  <c r="K180" i="1"/>
  <c r="L180" i="1"/>
  <c r="L177" i="1"/>
  <c r="K177" i="1"/>
  <c r="A146" i="1" l="1"/>
  <c r="A145" i="1"/>
  <c r="B146" i="1"/>
  <c r="B145" i="1"/>
  <c r="I299" i="1"/>
  <c r="L299" i="1" s="1"/>
  <c r="G299" i="1"/>
  <c r="J299" i="1" s="1"/>
  <c r="H299" i="1"/>
  <c r="K299" i="1" s="1"/>
  <c r="R298" i="1"/>
  <c r="K293" i="1"/>
  <c r="G297" i="1"/>
  <c r="J297" i="1" s="1"/>
  <c r="I297" i="1"/>
  <c r="L297" i="1" s="1"/>
  <c r="H297" i="1"/>
  <c r="K297" i="1" s="1"/>
  <c r="M296" i="1"/>
  <c r="F176" i="1"/>
  <c r="M174" i="1"/>
  <c r="F174" i="1"/>
  <c r="Y173" i="1"/>
  <c r="R173" i="1"/>
  <c r="L173" i="1"/>
  <c r="K173" i="1"/>
  <c r="J173" i="1"/>
  <c r="F173" i="1"/>
  <c r="J172" i="1"/>
  <c r="J183" i="1"/>
  <c r="K183" i="1"/>
  <c r="L183" i="1"/>
  <c r="A148" i="1" l="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47" i="1"/>
  <c r="B148" i="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47" i="1"/>
  <c r="M175" i="1"/>
  <c r="R177" i="1"/>
  <c r="K172" i="1"/>
  <c r="L172" i="1"/>
  <c r="F175" i="1"/>
  <c r="G176" i="1" s="1"/>
  <c r="J176" i="1" s="1"/>
  <c r="J178" i="1"/>
  <c r="K178" i="1"/>
  <c r="L616" i="1"/>
  <c r="K616" i="1"/>
  <c r="J616" i="1"/>
  <c r="F616" i="1"/>
  <c r="L615" i="1"/>
  <c r="K615" i="1"/>
  <c r="J615" i="1"/>
  <c r="F615" i="1"/>
  <c r="L614" i="1"/>
  <c r="K614" i="1"/>
  <c r="J614" i="1"/>
  <c r="F614" i="1"/>
  <c r="L613" i="1"/>
  <c r="K613" i="1"/>
  <c r="J613" i="1"/>
  <c r="F613" i="1"/>
  <c r="L612" i="1"/>
  <c r="K612" i="1"/>
  <c r="J612" i="1"/>
  <c r="F612" i="1"/>
  <c r="L611" i="1"/>
  <c r="K611" i="1"/>
  <c r="J611" i="1"/>
  <c r="F611" i="1"/>
  <c r="L610" i="1"/>
  <c r="K610" i="1"/>
  <c r="J610" i="1"/>
  <c r="F610" i="1"/>
  <c r="L609" i="1"/>
  <c r="K609" i="1"/>
  <c r="J609" i="1"/>
  <c r="F609" i="1"/>
  <c r="F608" i="1"/>
  <c r="F607" i="1"/>
  <c r="L606" i="1"/>
  <c r="K606" i="1"/>
  <c r="J606" i="1"/>
  <c r="F554" i="1"/>
  <c r="F553" i="1"/>
  <c r="F552" i="1"/>
  <c r="F551" i="1"/>
  <c r="F550" i="1"/>
  <c r="F549" i="1"/>
  <c r="F548" i="1"/>
  <c r="F547" i="1"/>
  <c r="F546" i="1"/>
  <c r="F545" i="1"/>
  <c r="B183" i="1" l="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182" i="1"/>
  <c r="A183" i="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182" i="1"/>
  <c r="R553" i="1"/>
  <c r="H546" i="1"/>
  <c r="G546" i="1"/>
  <c r="I546" i="1"/>
  <c r="R615" i="1"/>
  <c r="I608" i="1"/>
  <c r="L608" i="1" s="1"/>
  <c r="H608" i="1"/>
  <c r="K608" i="1" s="1"/>
  <c r="G608" i="1"/>
  <c r="J608" i="1" s="1"/>
  <c r="I178" i="1"/>
  <c r="L178" i="1" s="1"/>
  <c r="H176" i="1"/>
  <c r="K176" i="1" s="1"/>
  <c r="I176" i="1"/>
  <c r="L176" i="1" s="1"/>
  <c r="T554" i="1"/>
  <c r="T616" i="1"/>
  <c r="R224" i="1"/>
  <c r="R225" i="1"/>
  <c r="L224" i="1"/>
  <c r="K224" i="1"/>
  <c r="R223" i="1"/>
  <c r="Y198" i="1"/>
  <c r="R217" i="1"/>
  <c r="J202" i="1"/>
  <c r="J217" i="1"/>
  <c r="K645" i="1"/>
  <c r="K644" i="1"/>
  <c r="K643" i="1"/>
  <c r="R226" i="1" l="1"/>
  <c r="R558" i="1" l="1"/>
  <c r="R264" i="1" l="1"/>
  <c r="E264" i="1"/>
  <c r="K264" i="1" s="1"/>
  <c r="R263" i="1"/>
  <c r="E263" i="1"/>
  <c r="K263" i="1" s="1"/>
  <c r="R262" i="1"/>
  <c r="E262" i="1"/>
  <c r="K262" i="1" s="1"/>
  <c r="R261" i="1"/>
  <c r="E261" i="1"/>
  <c r="L261" i="1" s="1"/>
  <c r="R260" i="1"/>
  <c r="E260" i="1"/>
  <c r="K260" i="1" s="1"/>
  <c r="T232" i="1"/>
  <c r="L228" i="1"/>
  <c r="K228" i="1"/>
  <c r="R259" i="1"/>
  <c r="R254" i="1"/>
  <c r="R253" i="1"/>
  <c r="R202" i="1"/>
  <c r="L290" i="1"/>
  <c r="L217" i="1"/>
  <c r="K217" i="1"/>
  <c r="L208" i="1"/>
  <c r="R207" i="1"/>
  <c r="E207" i="1"/>
  <c r="K207" i="1" s="1"/>
  <c r="R206" i="1"/>
  <c r="E206" i="1"/>
  <c r="L206" i="1" s="1"/>
  <c r="R205" i="1"/>
  <c r="E205" i="1"/>
  <c r="L205" i="1" s="1"/>
  <c r="R204" i="1"/>
  <c r="E204" i="1"/>
  <c r="K204" i="1" s="1"/>
  <c r="E203" i="1"/>
  <c r="L203" i="1" s="1"/>
  <c r="L202" i="1"/>
  <c r="K202" i="1"/>
  <c r="L200" i="1"/>
  <c r="K200" i="1"/>
  <c r="J200" i="1"/>
  <c r="H115" i="1"/>
  <c r="R128" i="1"/>
  <c r="R131" i="1"/>
  <c r="I131" i="1"/>
  <c r="L131" i="1" s="1"/>
  <c r="H131" i="1"/>
  <c r="K131" i="1" s="1"/>
  <c r="G131" i="1"/>
  <c r="J131" i="1" s="1"/>
  <c r="I128" i="1"/>
  <c r="L128" i="1" s="1"/>
  <c r="H128" i="1"/>
  <c r="K128" i="1" s="1"/>
  <c r="G128" i="1"/>
  <c r="J128" i="1" s="1"/>
  <c r="M152" i="1"/>
  <c r="M151" i="1"/>
  <c r="M135" i="1"/>
  <c r="M134" i="1"/>
  <c r="T131" i="1"/>
  <c r="M130" i="1"/>
  <c r="T128" i="1"/>
  <c r="M127" i="1"/>
  <c r="M100" i="1"/>
  <c r="M96" i="1"/>
  <c r="K492" i="1"/>
  <c r="K491" i="1"/>
  <c r="F490" i="1"/>
  <c r="K489" i="1"/>
  <c r="F489" i="1"/>
  <c r="K488" i="1"/>
  <c r="F488" i="1"/>
  <c r="K487" i="1"/>
  <c r="F487" i="1"/>
  <c r="M489" i="1" s="1"/>
  <c r="K486" i="1"/>
  <c r="F486" i="1"/>
  <c r="M488" i="1" s="1"/>
  <c r="L485" i="1"/>
  <c r="K485" i="1"/>
  <c r="J485" i="1"/>
  <c r="F485" i="1"/>
  <c r="L484" i="1"/>
  <c r="J484" i="1"/>
  <c r="F484" i="1"/>
  <c r="K483" i="1"/>
  <c r="F483" i="1"/>
  <c r="K482" i="1"/>
  <c r="F482" i="1"/>
  <c r="K481" i="1"/>
  <c r="F481" i="1"/>
  <c r="P485" i="1" s="1"/>
  <c r="L480" i="1"/>
  <c r="K480" i="1"/>
  <c r="D480" i="1"/>
  <c r="J480" i="1" s="1"/>
  <c r="K479" i="1"/>
  <c r="K478" i="1"/>
  <c r="K477" i="1"/>
  <c r="K476" i="1"/>
  <c r="L475" i="1"/>
  <c r="K475" i="1"/>
  <c r="J475" i="1"/>
  <c r="I474" i="1"/>
  <c r="L474" i="1" s="1"/>
  <c r="H474" i="1"/>
  <c r="K474" i="1" s="1"/>
  <c r="G474" i="1"/>
  <c r="J474" i="1" s="1"/>
  <c r="F474" i="1"/>
  <c r="F477" i="1" s="1"/>
  <c r="K473" i="1"/>
  <c r="K472" i="1"/>
  <c r="K471" i="1"/>
  <c r="K470" i="1"/>
  <c r="K469" i="1"/>
  <c r="K468" i="1"/>
  <c r="K467" i="1"/>
  <c r="K466" i="1"/>
  <c r="K465" i="1"/>
  <c r="K464" i="1"/>
  <c r="K463" i="1"/>
  <c r="K462" i="1"/>
  <c r="K461" i="1"/>
  <c r="K460" i="1"/>
  <c r="K459" i="1"/>
  <c r="K458" i="1"/>
  <c r="K457" i="1"/>
  <c r="L456" i="1"/>
  <c r="K456" i="1"/>
  <c r="J456" i="1"/>
  <c r="L455" i="1"/>
  <c r="K455" i="1"/>
  <c r="J455" i="1"/>
  <c r="K454" i="1"/>
  <c r="K453" i="1"/>
  <c r="K452" i="1"/>
  <c r="L451" i="1"/>
  <c r="K451" i="1"/>
  <c r="J451" i="1"/>
  <c r="I450" i="1"/>
  <c r="L450" i="1" s="1"/>
  <c r="H450" i="1"/>
  <c r="K450" i="1" s="1"/>
  <c r="G450" i="1"/>
  <c r="J450" i="1" s="1"/>
  <c r="F450" i="1"/>
  <c r="F471" i="1" s="1"/>
  <c r="K449" i="1"/>
  <c r="L448" i="1"/>
  <c r="K448" i="1"/>
  <c r="J448" i="1"/>
  <c r="L447" i="1"/>
  <c r="J447" i="1"/>
  <c r="H447" i="1"/>
  <c r="K447" i="1" s="1"/>
  <c r="L446" i="1"/>
  <c r="K446" i="1"/>
  <c r="J446" i="1"/>
  <c r="K445" i="1"/>
  <c r="K444" i="1"/>
  <c r="K443" i="1"/>
  <c r="L442" i="1"/>
  <c r="K442" i="1"/>
  <c r="J442" i="1"/>
  <c r="I441" i="1"/>
  <c r="L441" i="1" s="1"/>
  <c r="H441" i="1"/>
  <c r="K441" i="1" s="1"/>
  <c r="G441" i="1"/>
  <c r="J441" i="1" s="1"/>
  <c r="F441" i="1"/>
  <c r="F445" i="1" s="1"/>
  <c r="K440" i="1"/>
  <c r="H439" i="1"/>
  <c r="K439" i="1" s="1"/>
  <c r="K438" i="1"/>
  <c r="L437" i="1"/>
  <c r="K437" i="1"/>
  <c r="J437" i="1"/>
  <c r="L436" i="1"/>
  <c r="K436" i="1"/>
  <c r="J436" i="1"/>
  <c r="L435" i="1"/>
  <c r="J435" i="1"/>
  <c r="H435" i="1"/>
  <c r="K435" i="1" s="1"/>
  <c r="L434" i="1"/>
  <c r="J434" i="1"/>
  <c r="H434" i="1"/>
  <c r="K434" i="1" s="1"/>
  <c r="L433" i="1"/>
  <c r="K433" i="1"/>
  <c r="J433" i="1"/>
  <c r="K432" i="1"/>
  <c r="K431" i="1"/>
  <c r="K430" i="1"/>
  <c r="L429" i="1"/>
  <c r="K429" i="1"/>
  <c r="J429" i="1"/>
  <c r="I428" i="1"/>
  <c r="L428" i="1" s="1"/>
  <c r="H428" i="1"/>
  <c r="K428" i="1" s="1"/>
  <c r="G428" i="1"/>
  <c r="J428" i="1" s="1"/>
  <c r="F428" i="1"/>
  <c r="F439" i="1" s="1"/>
  <c r="K425" i="1"/>
  <c r="F424" i="1"/>
  <c r="K423" i="1"/>
  <c r="F423" i="1"/>
  <c r="K422" i="1"/>
  <c r="F422" i="1"/>
  <c r="M427" i="1" s="1"/>
  <c r="L421" i="1"/>
  <c r="K421" i="1"/>
  <c r="J421" i="1"/>
  <c r="F421" i="1"/>
  <c r="M426" i="1" s="1"/>
  <c r="L420" i="1"/>
  <c r="J420" i="1"/>
  <c r="F420" i="1"/>
  <c r="M419" i="1"/>
  <c r="K419" i="1"/>
  <c r="F419" i="1"/>
  <c r="T421" i="1" s="1"/>
  <c r="K418" i="1"/>
  <c r="L417" i="1"/>
  <c r="K417" i="1"/>
  <c r="D417" i="1"/>
  <c r="J417" i="1" s="1"/>
  <c r="K416" i="1"/>
  <c r="L415" i="1"/>
  <c r="K415" i="1"/>
  <c r="J415" i="1"/>
  <c r="L414" i="1"/>
  <c r="K414" i="1"/>
  <c r="J414" i="1"/>
  <c r="K413" i="1"/>
  <c r="K412" i="1"/>
  <c r="K411" i="1"/>
  <c r="L410" i="1"/>
  <c r="K410" i="1"/>
  <c r="J410" i="1"/>
  <c r="I409" i="1"/>
  <c r="L409" i="1" s="1"/>
  <c r="H409" i="1"/>
  <c r="K409" i="1" s="1"/>
  <c r="G409" i="1"/>
  <c r="J409" i="1" s="1"/>
  <c r="F409" i="1"/>
  <c r="F415" i="1" s="1"/>
  <c r="M408" i="1"/>
  <c r="M407" i="1"/>
  <c r="M406" i="1"/>
  <c r="M405" i="1"/>
  <c r="L404" i="1"/>
  <c r="K404" i="1"/>
  <c r="J404" i="1"/>
  <c r="K403" i="1"/>
  <c r="L402" i="1"/>
  <c r="K402" i="1"/>
  <c r="J402" i="1"/>
  <c r="L401" i="1"/>
  <c r="K401" i="1"/>
  <c r="J401" i="1"/>
  <c r="L400" i="1"/>
  <c r="K400" i="1"/>
  <c r="J400" i="1"/>
  <c r="L399" i="1"/>
  <c r="K399" i="1"/>
  <c r="J399" i="1"/>
  <c r="L398" i="1"/>
  <c r="K398" i="1"/>
  <c r="J398" i="1"/>
  <c r="L397" i="1"/>
  <c r="K397" i="1"/>
  <c r="J397" i="1"/>
  <c r="L396" i="1"/>
  <c r="K396" i="1"/>
  <c r="J396" i="1"/>
  <c r="L395" i="1"/>
  <c r="K395" i="1"/>
  <c r="J395" i="1"/>
  <c r="I394" i="1"/>
  <c r="H394" i="1"/>
  <c r="K394" i="1" s="1"/>
  <c r="G394" i="1"/>
  <c r="F394" i="1"/>
  <c r="F402" i="1" s="1"/>
  <c r="K393" i="1"/>
  <c r="L392" i="1"/>
  <c r="K392" i="1"/>
  <c r="J392" i="1"/>
  <c r="L391" i="1"/>
  <c r="K391" i="1"/>
  <c r="J391" i="1"/>
  <c r="L390" i="1"/>
  <c r="K390" i="1"/>
  <c r="J390" i="1"/>
  <c r="I389" i="1"/>
  <c r="H389" i="1"/>
  <c r="K389" i="1" s="1"/>
  <c r="G389" i="1"/>
  <c r="F389" i="1"/>
  <c r="F392" i="1" s="1"/>
  <c r="K388" i="1"/>
  <c r="L260" i="1" l="1"/>
  <c r="L264" i="1"/>
  <c r="M483" i="1"/>
  <c r="T485" i="1"/>
  <c r="L263" i="1"/>
  <c r="K261" i="1"/>
  <c r="L262" i="1"/>
  <c r="K205" i="1"/>
  <c r="L204" i="1"/>
  <c r="K203" i="1"/>
  <c r="L207" i="1"/>
  <c r="K206" i="1"/>
  <c r="M422" i="1"/>
  <c r="H424" i="1"/>
  <c r="K424" i="1" s="1"/>
  <c r="F460" i="1"/>
  <c r="F454" i="1"/>
  <c r="F468" i="1"/>
  <c r="F410" i="1"/>
  <c r="F413" i="1"/>
  <c r="F446" i="1"/>
  <c r="F448" i="1"/>
  <c r="F429" i="1"/>
  <c r="F432" i="1"/>
  <c r="F444" i="1"/>
  <c r="F458" i="1"/>
  <c r="F431" i="1"/>
  <c r="F433" i="1"/>
  <c r="F434" i="1"/>
  <c r="F435" i="1"/>
  <c r="F436" i="1"/>
  <c r="F437" i="1"/>
  <c r="F438" i="1"/>
  <c r="F462" i="1"/>
  <c r="F470" i="1"/>
  <c r="F411" i="1"/>
  <c r="F447" i="1"/>
  <c r="F430" i="1"/>
  <c r="F451" i="1"/>
  <c r="F452" i="1"/>
  <c r="F466" i="1"/>
  <c r="F390" i="1"/>
  <c r="F391" i="1"/>
  <c r="F412" i="1"/>
  <c r="F414" i="1"/>
  <c r="F464" i="1"/>
  <c r="H490" i="1"/>
  <c r="K490" i="1" s="1"/>
  <c r="M482" i="1"/>
  <c r="M487" i="1"/>
  <c r="F395" i="1"/>
  <c r="F396" i="1"/>
  <c r="F397" i="1"/>
  <c r="F398" i="1"/>
  <c r="F399" i="1"/>
  <c r="F400" i="1"/>
  <c r="F401" i="1"/>
  <c r="F442" i="1"/>
  <c r="F443" i="1"/>
  <c r="F475" i="1"/>
  <c r="F476" i="1"/>
  <c r="F478" i="1"/>
  <c r="H484" i="1"/>
  <c r="K484" i="1" s="1"/>
  <c r="M486" i="1"/>
  <c r="H420" i="1"/>
  <c r="K420" i="1" s="1"/>
  <c r="M423" i="1"/>
  <c r="F453" i="1"/>
  <c r="F455" i="1"/>
  <c r="F456" i="1"/>
  <c r="F457" i="1"/>
  <c r="F459" i="1"/>
  <c r="F461" i="1"/>
  <c r="F463" i="1"/>
  <c r="F465" i="1"/>
  <c r="F467" i="1"/>
  <c r="F469" i="1"/>
  <c r="I583" i="1" l="1"/>
  <c r="L583" i="1" s="1"/>
  <c r="H583" i="1"/>
  <c r="K583" i="1" s="1"/>
  <c r="G583" i="1"/>
  <c r="J583" i="1" s="1"/>
  <c r="I582" i="1"/>
  <c r="L582" i="1" s="1"/>
  <c r="H582" i="1"/>
  <c r="K582" i="1" s="1"/>
  <c r="G582" i="1"/>
  <c r="J582" i="1" s="1"/>
  <c r="T558" i="1"/>
  <c r="L558" i="1"/>
  <c r="K558" i="1"/>
  <c r="J558" i="1"/>
  <c r="R544" i="1"/>
  <c r="T494" i="1"/>
  <c r="L493" i="1"/>
  <c r="K493" i="1"/>
  <c r="J493" i="1"/>
  <c r="K639" i="1"/>
  <c r="K638" i="1"/>
  <c r="K637" i="1"/>
  <c r="K636" i="1"/>
  <c r="K635" i="1"/>
  <c r="K634" i="1"/>
  <c r="L633" i="1"/>
  <c r="K633" i="1"/>
  <c r="J633" i="1"/>
  <c r="L632" i="1"/>
  <c r="K632" i="1"/>
  <c r="J632" i="1"/>
  <c r="L631" i="1"/>
  <c r="K631" i="1"/>
  <c r="J631" i="1"/>
  <c r="I630" i="1"/>
  <c r="L630" i="1" s="1"/>
  <c r="H630" i="1"/>
  <c r="K630" i="1" s="1"/>
  <c r="G630" i="1"/>
  <c r="J630" i="1" s="1"/>
  <c r="F630" i="1"/>
  <c r="F635" i="1" s="1"/>
  <c r="K629" i="1"/>
  <c r="K628" i="1"/>
  <c r="K627" i="1"/>
  <c r="K626" i="1"/>
  <c r="K625" i="1"/>
  <c r="L624" i="1"/>
  <c r="K624" i="1"/>
  <c r="J624" i="1"/>
  <c r="L623" i="1"/>
  <c r="K623" i="1"/>
  <c r="J623" i="1"/>
  <c r="L622" i="1"/>
  <c r="K622" i="1"/>
  <c r="J622" i="1"/>
  <c r="I621" i="1"/>
  <c r="L621" i="1" s="1"/>
  <c r="H621" i="1"/>
  <c r="K621" i="1" s="1"/>
  <c r="G621" i="1"/>
  <c r="J621" i="1" s="1"/>
  <c r="F621" i="1"/>
  <c r="K620" i="1"/>
  <c r="R619" i="1"/>
  <c r="L619" i="1"/>
  <c r="K619" i="1"/>
  <c r="J619" i="1"/>
  <c r="F619" i="1"/>
  <c r="L604" i="1"/>
  <c r="K604" i="1"/>
  <c r="J604" i="1"/>
  <c r="L599" i="1"/>
  <c r="K599" i="1"/>
  <c r="J599" i="1"/>
  <c r="L594" i="1"/>
  <c r="K594" i="1"/>
  <c r="J594" i="1"/>
  <c r="L589" i="1"/>
  <c r="K589" i="1"/>
  <c r="J589" i="1"/>
  <c r="D586" i="1"/>
  <c r="I587" i="1" s="1"/>
  <c r="L587" i="1" s="1"/>
  <c r="D585" i="1"/>
  <c r="L584" i="1"/>
  <c r="K584" i="1"/>
  <c r="J584" i="1"/>
  <c r="I581" i="1"/>
  <c r="L581" i="1" s="1"/>
  <c r="H581" i="1"/>
  <c r="K581" i="1" s="1"/>
  <c r="G581" i="1"/>
  <c r="J581" i="1" s="1"/>
  <c r="L580" i="1"/>
  <c r="K580" i="1"/>
  <c r="J580" i="1"/>
  <c r="K579" i="1"/>
  <c r="K578" i="1"/>
  <c r="K577" i="1"/>
  <c r="K576" i="1"/>
  <c r="K575" i="1"/>
  <c r="K574" i="1"/>
  <c r="L573" i="1"/>
  <c r="K573" i="1"/>
  <c r="J573" i="1"/>
  <c r="L572" i="1"/>
  <c r="K572" i="1"/>
  <c r="J572" i="1"/>
  <c r="L571" i="1"/>
  <c r="K571" i="1"/>
  <c r="J571" i="1"/>
  <c r="I570" i="1"/>
  <c r="L570" i="1" s="1"/>
  <c r="H570" i="1"/>
  <c r="K570" i="1" s="1"/>
  <c r="G570" i="1"/>
  <c r="J570" i="1" s="1"/>
  <c r="F570" i="1"/>
  <c r="F577" i="1" s="1"/>
  <c r="K569" i="1"/>
  <c r="K568" i="1"/>
  <c r="K567" i="1"/>
  <c r="K566" i="1"/>
  <c r="K565" i="1"/>
  <c r="L564" i="1"/>
  <c r="K564" i="1"/>
  <c r="J564" i="1"/>
  <c r="L563" i="1"/>
  <c r="K563" i="1"/>
  <c r="J563" i="1"/>
  <c r="L562" i="1"/>
  <c r="K562" i="1"/>
  <c r="J562" i="1"/>
  <c r="I561" i="1"/>
  <c r="L561" i="1" s="1"/>
  <c r="H561" i="1"/>
  <c r="K561" i="1" s="1"/>
  <c r="G561" i="1"/>
  <c r="J561" i="1" s="1"/>
  <c r="F561" i="1"/>
  <c r="F568" i="1" s="1"/>
  <c r="K560" i="1"/>
  <c r="R559" i="1"/>
  <c r="L559" i="1"/>
  <c r="K559" i="1"/>
  <c r="J559" i="1"/>
  <c r="F559" i="1"/>
  <c r="F580" i="1" s="1"/>
  <c r="R557" i="1"/>
  <c r="L557" i="1"/>
  <c r="K557" i="1"/>
  <c r="J557" i="1"/>
  <c r="L554" i="1"/>
  <c r="K554" i="1"/>
  <c r="J554" i="1"/>
  <c r="L553" i="1"/>
  <c r="K553" i="1"/>
  <c r="J553" i="1"/>
  <c r="L552" i="1"/>
  <c r="K552" i="1"/>
  <c r="J552" i="1"/>
  <c r="L551" i="1"/>
  <c r="K551" i="1"/>
  <c r="J551" i="1"/>
  <c r="L550" i="1"/>
  <c r="K550" i="1"/>
  <c r="J550" i="1"/>
  <c r="L549" i="1"/>
  <c r="K549" i="1"/>
  <c r="J549" i="1"/>
  <c r="L548" i="1"/>
  <c r="K548" i="1"/>
  <c r="J548" i="1"/>
  <c r="L547" i="1"/>
  <c r="K547" i="1"/>
  <c r="J547" i="1"/>
  <c r="L546" i="1"/>
  <c r="K546" i="1"/>
  <c r="J546" i="1"/>
  <c r="L544" i="1"/>
  <c r="K544" i="1"/>
  <c r="J544" i="1"/>
  <c r="L542" i="1"/>
  <c r="K542" i="1"/>
  <c r="J542" i="1"/>
  <c r="L537" i="1"/>
  <c r="K537" i="1"/>
  <c r="J537" i="1"/>
  <c r="L532" i="1"/>
  <c r="K532" i="1"/>
  <c r="J532" i="1"/>
  <c r="L527" i="1"/>
  <c r="K527" i="1"/>
  <c r="J527" i="1"/>
  <c r="L522" i="1"/>
  <c r="K522" i="1"/>
  <c r="J522" i="1"/>
  <c r="D519" i="1"/>
  <c r="H519" i="1" s="1"/>
  <c r="K519" i="1" s="1"/>
  <c r="L518" i="1"/>
  <c r="K518" i="1"/>
  <c r="J518" i="1"/>
  <c r="K517" i="1"/>
  <c r="K516" i="1"/>
  <c r="K515" i="1"/>
  <c r="K514" i="1"/>
  <c r="K513" i="1"/>
  <c r="K512" i="1"/>
  <c r="L511" i="1"/>
  <c r="K511" i="1"/>
  <c r="J511" i="1"/>
  <c r="L510" i="1"/>
  <c r="K510" i="1"/>
  <c r="J510" i="1"/>
  <c r="L509" i="1"/>
  <c r="K509" i="1"/>
  <c r="J509" i="1"/>
  <c r="I508" i="1"/>
  <c r="L508" i="1" s="1"/>
  <c r="H508" i="1"/>
  <c r="K508" i="1" s="1"/>
  <c r="G508" i="1"/>
  <c r="J508" i="1" s="1"/>
  <c r="F508" i="1"/>
  <c r="F512" i="1" s="1"/>
  <c r="K507" i="1"/>
  <c r="K506" i="1"/>
  <c r="K505" i="1"/>
  <c r="K504" i="1"/>
  <c r="K503" i="1"/>
  <c r="L502" i="1"/>
  <c r="K502" i="1"/>
  <c r="J502" i="1"/>
  <c r="L501" i="1"/>
  <c r="K501" i="1"/>
  <c r="J501" i="1"/>
  <c r="L500" i="1"/>
  <c r="K500" i="1"/>
  <c r="J500" i="1"/>
  <c r="I499" i="1"/>
  <c r="L499" i="1" s="1"/>
  <c r="H499" i="1"/>
  <c r="K499" i="1" s="1"/>
  <c r="G499" i="1"/>
  <c r="J499" i="1" s="1"/>
  <c r="F499" i="1"/>
  <c r="F506" i="1" s="1"/>
  <c r="K498" i="1"/>
  <c r="R497" i="1"/>
  <c r="L497" i="1"/>
  <c r="K497" i="1"/>
  <c r="J497" i="1"/>
  <c r="F497" i="1"/>
  <c r="L496" i="1"/>
  <c r="K496" i="1"/>
  <c r="J496" i="1"/>
  <c r="R495" i="1"/>
  <c r="L495" i="1"/>
  <c r="K495" i="1"/>
  <c r="J495" i="1"/>
  <c r="L494" i="1"/>
  <c r="K494" i="1"/>
  <c r="J494" i="1"/>
  <c r="F575" i="1" l="1"/>
  <c r="F636" i="1"/>
  <c r="H520" i="1"/>
  <c r="K520" i="1" s="1"/>
  <c r="D523" i="1"/>
  <c r="I521" i="1"/>
  <c r="L521" i="1" s="1"/>
  <c r="G519" i="1"/>
  <c r="J519" i="1" s="1"/>
  <c r="H521" i="1"/>
  <c r="K521" i="1" s="1"/>
  <c r="G520" i="1"/>
  <c r="J520" i="1" s="1"/>
  <c r="G587" i="1"/>
  <c r="J587" i="1" s="1"/>
  <c r="D590" i="1"/>
  <c r="F503" i="1"/>
  <c r="F572" i="1"/>
  <c r="F573" i="1"/>
  <c r="F574" i="1"/>
  <c r="F576" i="1"/>
  <c r="F632" i="1"/>
  <c r="G521" i="1"/>
  <c r="J521" i="1" s="1"/>
  <c r="G588" i="1"/>
  <c r="J588" i="1" s="1"/>
  <c r="H588" i="1"/>
  <c r="K588" i="1" s="1"/>
  <c r="F511" i="1"/>
  <c r="I586" i="1"/>
  <c r="L586" i="1" s="1"/>
  <c r="H587" i="1"/>
  <c r="K587" i="1" s="1"/>
  <c r="I588" i="1"/>
  <c r="L588" i="1" s="1"/>
  <c r="F513" i="1"/>
  <c r="F634" i="1"/>
  <c r="I520" i="1"/>
  <c r="L520" i="1" s="1"/>
  <c r="F501" i="1"/>
  <c r="F505" i="1"/>
  <c r="F509" i="1"/>
  <c r="F515" i="1"/>
  <c r="I519" i="1"/>
  <c r="L519" i="1" s="1"/>
  <c r="D524" i="1"/>
  <c r="F526" i="1" s="1"/>
  <c r="F566" i="1"/>
  <c r="H586" i="1"/>
  <c r="K586" i="1" s="1"/>
  <c r="F625" i="1"/>
  <c r="F627" i="1"/>
  <c r="F623" i="1"/>
  <c r="F626" i="1"/>
  <c r="F628" i="1"/>
  <c r="F502" i="1"/>
  <c r="F504" i="1"/>
  <c r="F510" i="1"/>
  <c r="F514" i="1"/>
  <c r="F519" i="1"/>
  <c r="F520" i="1"/>
  <c r="F521" i="1"/>
  <c r="F522" i="1"/>
  <c r="F562" i="1"/>
  <c r="F564" i="1"/>
  <c r="G586" i="1"/>
  <c r="J586" i="1" s="1"/>
  <c r="F567" i="1"/>
  <c r="F563" i="1"/>
  <c r="F565" i="1"/>
  <c r="F622" i="1"/>
  <c r="F624" i="1"/>
  <c r="F500" i="1"/>
  <c r="F518" i="1"/>
  <c r="F589" i="1"/>
  <c r="F588" i="1"/>
  <c r="F587" i="1"/>
  <c r="F586" i="1"/>
  <c r="F584" i="1"/>
  <c r="F583" i="1"/>
  <c r="F582" i="1"/>
  <c r="F581" i="1"/>
  <c r="D591" i="1"/>
  <c r="F592" i="1" s="1"/>
  <c r="F571" i="1"/>
  <c r="F631" i="1"/>
  <c r="F637" i="1"/>
  <c r="F633" i="1"/>
  <c r="F527" i="1" l="1"/>
  <c r="H526" i="1"/>
  <c r="K526" i="1" s="1"/>
  <c r="G525" i="1"/>
  <c r="J525" i="1" s="1"/>
  <c r="I526" i="1"/>
  <c r="L526" i="1" s="1"/>
  <c r="H525" i="1"/>
  <c r="K525" i="1" s="1"/>
  <c r="G526" i="1"/>
  <c r="J526" i="1" s="1"/>
  <c r="I525" i="1"/>
  <c r="L525" i="1" s="1"/>
  <c r="F525" i="1"/>
  <c r="F524" i="1"/>
  <c r="F593" i="1"/>
  <c r="H593" i="1"/>
  <c r="K593" i="1" s="1"/>
  <c r="G592" i="1"/>
  <c r="J592" i="1" s="1"/>
  <c r="G593" i="1"/>
  <c r="J593" i="1" s="1"/>
  <c r="I592" i="1"/>
  <c r="L592" i="1" s="1"/>
  <c r="I593" i="1"/>
  <c r="L593" i="1" s="1"/>
  <c r="H592" i="1"/>
  <c r="K592" i="1" s="1"/>
  <c r="H524" i="1"/>
  <c r="K524" i="1" s="1"/>
  <c r="D529" i="1"/>
  <c r="I524" i="1"/>
  <c r="L524" i="1" s="1"/>
  <c r="D528" i="1"/>
  <c r="G524" i="1"/>
  <c r="J524" i="1" s="1"/>
  <c r="H591" i="1"/>
  <c r="K591" i="1" s="1"/>
  <c r="D596" i="1"/>
  <c r="D595" i="1"/>
  <c r="I591" i="1"/>
  <c r="L591" i="1" s="1"/>
  <c r="G591" i="1"/>
  <c r="J591" i="1" s="1"/>
  <c r="F594" i="1"/>
  <c r="F591" i="1"/>
  <c r="I530" i="1" l="1"/>
  <c r="L530" i="1" s="1"/>
  <c r="I531" i="1"/>
  <c r="L531" i="1" s="1"/>
  <c r="G531" i="1"/>
  <c r="J531" i="1" s="1"/>
  <c r="H530" i="1"/>
  <c r="K530" i="1" s="1"/>
  <c r="H531" i="1"/>
  <c r="K531" i="1" s="1"/>
  <c r="G530" i="1"/>
  <c r="J530" i="1" s="1"/>
  <c r="I597" i="1"/>
  <c r="L597" i="1" s="1"/>
  <c r="I598" i="1"/>
  <c r="L598" i="1" s="1"/>
  <c r="H597" i="1"/>
  <c r="K597" i="1" s="1"/>
  <c r="H598" i="1"/>
  <c r="K598" i="1" s="1"/>
  <c r="G598" i="1"/>
  <c r="J598" i="1" s="1"/>
  <c r="G597" i="1"/>
  <c r="J597" i="1" s="1"/>
  <c r="D533" i="1"/>
  <c r="H529" i="1"/>
  <c r="K529" i="1" s="1"/>
  <c r="D534" i="1"/>
  <c r="I529" i="1"/>
  <c r="L529" i="1" s="1"/>
  <c r="G529" i="1"/>
  <c r="J529" i="1" s="1"/>
  <c r="F530" i="1"/>
  <c r="F529" i="1"/>
  <c r="F531" i="1"/>
  <c r="F532" i="1"/>
  <c r="H596" i="1"/>
  <c r="K596" i="1" s="1"/>
  <c r="G596" i="1"/>
  <c r="J596" i="1" s="1"/>
  <c r="D601" i="1"/>
  <c r="D600" i="1"/>
  <c r="I596" i="1"/>
  <c r="L596" i="1" s="1"/>
  <c r="F596" i="1"/>
  <c r="F599" i="1"/>
  <c r="F598" i="1"/>
  <c r="F597" i="1"/>
  <c r="H603" i="1" l="1"/>
  <c r="K603" i="1" s="1"/>
  <c r="G602" i="1"/>
  <c r="J602" i="1" s="1"/>
  <c r="G603" i="1"/>
  <c r="J603" i="1" s="1"/>
  <c r="I602" i="1"/>
  <c r="L602" i="1" s="1"/>
  <c r="I603" i="1"/>
  <c r="L603" i="1" s="1"/>
  <c r="H602" i="1"/>
  <c r="K602" i="1" s="1"/>
  <c r="H536" i="1"/>
  <c r="K536" i="1" s="1"/>
  <c r="G535" i="1"/>
  <c r="J535" i="1" s="1"/>
  <c r="G536" i="1"/>
  <c r="J536" i="1" s="1"/>
  <c r="I536" i="1"/>
  <c r="L536" i="1" s="1"/>
  <c r="H535" i="1"/>
  <c r="K535" i="1" s="1"/>
  <c r="I535" i="1"/>
  <c r="L535" i="1" s="1"/>
  <c r="D538" i="1"/>
  <c r="G534" i="1"/>
  <c r="J534" i="1" s="1"/>
  <c r="H534" i="1"/>
  <c r="K534" i="1" s="1"/>
  <c r="D539" i="1"/>
  <c r="I534" i="1"/>
  <c r="L534" i="1" s="1"/>
  <c r="F535" i="1"/>
  <c r="F536" i="1"/>
  <c r="F534" i="1"/>
  <c r="F537" i="1"/>
  <c r="H601" i="1"/>
  <c r="K601" i="1" s="1"/>
  <c r="D605" i="1"/>
  <c r="I601" i="1"/>
  <c r="L601" i="1" s="1"/>
  <c r="G601" i="1"/>
  <c r="J601" i="1" s="1"/>
  <c r="F601" i="1"/>
  <c r="F602" i="1"/>
  <c r="F604" i="1"/>
  <c r="F603" i="1"/>
  <c r="H540" i="1" l="1"/>
  <c r="K540" i="1" s="1"/>
  <c r="I541" i="1"/>
  <c r="L541" i="1" s="1"/>
  <c r="G540" i="1"/>
  <c r="J540" i="1" s="1"/>
  <c r="I540" i="1"/>
  <c r="L540" i="1" s="1"/>
  <c r="G541" i="1"/>
  <c r="J541" i="1" s="1"/>
  <c r="H541" i="1"/>
  <c r="K541" i="1" s="1"/>
  <c r="D543" i="1"/>
  <c r="G539" i="1"/>
  <c r="J539" i="1" s="1"/>
  <c r="I539" i="1"/>
  <c r="L539" i="1" s="1"/>
  <c r="H539" i="1"/>
  <c r="K539" i="1" s="1"/>
  <c r="F540" i="1"/>
  <c r="F539" i="1"/>
  <c r="F542" i="1"/>
  <c r="F541" i="1"/>
  <c r="R235" i="1" l="1"/>
  <c r="R234" i="1"/>
  <c r="R233" i="1"/>
  <c r="R232" i="1"/>
  <c r="R215" i="1" l="1"/>
  <c r="R214" i="1"/>
  <c r="R213" i="1"/>
  <c r="R115" i="1"/>
  <c r="M38" i="1" l="1"/>
  <c r="M39" i="1"/>
  <c r="M40" i="1"/>
  <c r="M41" i="1"/>
  <c r="M42" i="1"/>
  <c r="M43" i="1"/>
  <c r="M44" i="1"/>
  <c r="M45" i="1"/>
  <c r="M46" i="1"/>
  <c r="M47" i="1"/>
  <c r="M48" i="1"/>
  <c r="M49" i="1"/>
  <c r="M50" i="1"/>
  <c r="M51" i="1"/>
  <c r="M52" i="1"/>
  <c r="M53" i="1"/>
  <c r="M54" i="1"/>
  <c r="M55" i="1"/>
  <c r="M56" i="1"/>
  <c r="M37" i="1"/>
  <c r="R61" i="1"/>
  <c r="R62" i="1"/>
  <c r="R63" i="1"/>
  <c r="R64" i="1"/>
  <c r="R65" i="1"/>
  <c r="R66" i="1"/>
  <c r="R67" i="1"/>
  <c r="R68" i="1"/>
  <c r="R69" i="1"/>
  <c r="R70" i="1"/>
  <c r="R71" i="1"/>
  <c r="R72" i="1"/>
  <c r="R73" i="1"/>
  <c r="R74" i="1"/>
  <c r="R75" i="1"/>
  <c r="R76" i="1"/>
  <c r="R77" i="1"/>
  <c r="R78" i="1"/>
  <c r="R79" i="1"/>
  <c r="R60" i="1"/>
  <c r="L358" i="1"/>
  <c r="K358" i="1"/>
  <c r="J358" i="1"/>
  <c r="L292" i="1"/>
  <c r="I146" i="1" l="1"/>
  <c r="H146" i="1"/>
  <c r="G146" i="1"/>
  <c r="I144" i="1"/>
  <c r="H144" i="1"/>
  <c r="G144" i="1"/>
  <c r="I142" i="1"/>
  <c r="H142" i="1"/>
  <c r="G142" i="1"/>
  <c r="I141" i="1"/>
  <c r="H141" i="1"/>
  <c r="G141" i="1"/>
  <c r="I140" i="1"/>
  <c r="H140" i="1"/>
  <c r="G140" i="1"/>
  <c r="I137" i="1"/>
  <c r="H137" i="1"/>
  <c r="G137" i="1"/>
  <c r="I129" i="1"/>
  <c r="H129" i="1"/>
  <c r="G129" i="1"/>
  <c r="I126" i="1"/>
  <c r="H126" i="1"/>
  <c r="G126" i="1"/>
  <c r="I123" i="1"/>
  <c r="H123" i="1"/>
  <c r="G123" i="1"/>
  <c r="I118" i="1"/>
  <c r="H118" i="1"/>
  <c r="G118" i="1"/>
  <c r="I117" i="1"/>
  <c r="H117" i="1"/>
  <c r="G117" i="1"/>
  <c r="I115" i="1"/>
  <c r="G115" i="1"/>
  <c r="I113" i="1"/>
  <c r="H113" i="1"/>
  <c r="G113" i="1"/>
  <c r="I112" i="1"/>
  <c r="H112" i="1"/>
  <c r="G112" i="1"/>
  <c r="G111" i="1"/>
  <c r="I92" i="1"/>
  <c r="H92" i="1"/>
  <c r="G92" i="1"/>
  <c r="I91" i="1"/>
  <c r="H91" i="1"/>
  <c r="G91" i="1"/>
  <c r="H90" i="1"/>
  <c r="G90" i="1"/>
  <c r="I88" i="1"/>
  <c r="H88" i="1"/>
  <c r="I87" i="1"/>
  <c r="H87" i="1"/>
  <c r="G87" i="1"/>
  <c r="E379" i="1" l="1"/>
  <c r="K379" i="1" s="1"/>
  <c r="I379" i="1" s="1"/>
  <c r="L379" i="1" s="1"/>
  <c r="E380" i="1"/>
  <c r="K380" i="1" s="1"/>
  <c r="I380" i="1" s="1"/>
  <c r="L380" i="1" s="1"/>
  <c r="E381" i="1"/>
  <c r="K381" i="1" s="1"/>
  <c r="I381" i="1" s="1"/>
  <c r="L381" i="1" s="1"/>
  <c r="E382" i="1"/>
  <c r="K382" i="1" s="1"/>
  <c r="I382" i="1" s="1"/>
  <c r="L382" i="1" s="1"/>
  <c r="E383" i="1"/>
  <c r="K383" i="1" s="1"/>
  <c r="I383" i="1" s="1"/>
  <c r="L383" i="1" s="1"/>
  <c r="E384" i="1"/>
  <c r="K384" i="1" s="1"/>
  <c r="I384" i="1" s="1"/>
  <c r="L384" i="1" s="1"/>
  <c r="E385" i="1"/>
  <c r="K385" i="1" s="1"/>
  <c r="I385" i="1" s="1"/>
  <c r="L385" i="1" s="1"/>
  <c r="E386" i="1"/>
  <c r="K386" i="1" s="1"/>
  <c r="I386" i="1" s="1"/>
  <c r="L386" i="1" s="1"/>
  <c r="E378" i="1"/>
  <c r="K378" i="1" s="1"/>
  <c r="I378" i="1" s="1"/>
  <c r="L378" i="1" s="1"/>
  <c r="E375" i="1"/>
  <c r="K371" i="1"/>
  <c r="L360" i="1"/>
  <c r="L361" i="1"/>
  <c r="K363" i="1"/>
  <c r="L364" i="1"/>
  <c r="K365" i="1"/>
  <c r="K367" i="1"/>
  <c r="L368" i="1"/>
  <c r="L369" i="1"/>
  <c r="E359" i="1"/>
  <c r="L359" i="1" s="1"/>
  <c r="E346" i="1"/>
  <c r="E351" i="1" s="1"/>
  <c r="E343" i="1"/>
  <c r="K343" i="1" s="1"/>
  <c r="E344" i="1"/>
  <c r="K344" i="1" s="1"/>
  <c r="E345" i="1"/>
  <c r="K345" i="1" s="1"/>
  <c r="E342" i="1"/>
  <c r="E319" i="1"/>
  <c r="L319" i="1" s="1"/>
  <c r="E320" i="1"/>
  <c r="K320" i="1" s="1"/>
  <c r="E321" i="1"/>
  <c r="L321" i="1" s="1"/>
  <c r="E322" i="1"/>
  <c r="L322" i="1" s="1"/>
  <c r="E323" i="1"/>
  <c r="K323" i="1" s="1"/>
  <c r="E324" i="1"/>
  <c r="L324" i="1" s="1"/>
  <c r="E326" i="1"/>
  <c r="E332" i="1" s="1"/>
  <c r="E318" i="1"/>
  <c r="K318" i="1" s="1"/>
  <c r="J318" i="1"/>
  <c r="J386" i="1"/>
  <c r="J385" i="1"/>
  <c r="J384" i="1"/>
  <c r="J383" i="1"/>
  <c r="J382" i="1"/>
  <c r="J381" i="1"/>
  <c r="J380" i="1"/>
  <c r="J379" i="1"/>
  <c r="J378" i="1"/>
  <c r="L377" i="1"/>
  <c r="K377" i="1"/>
  <c r="J377" i="1"/>
  <c r="F375" i="1"/>
  <c r="M373" i="1"/>
  <c r="F373" i="1"/>
  <c r="M374" i="1" s="1"/>
  <c r="Y372" i="1"/>
  <c r="R372" i="1"/>
  <c r="L372" i="1"/>
  <c r="K372" i="1"/>
  <c r="J372" i="1"/>
  <c r="F372" i="1"/>
  <c r="R369" i="1"/>
  <c r="J369" i="1"/>
  <c r="F369" i="1"/>
  <c r="R368" i="1"/>
  <c r="J368" i="1"/>
  <c r="F368" i="1"/>
  <c r="J367" i="1"/>
  <c r="R365" i="1"/>
  <c r="J365" i="1"/>
  <c r="F365" i="1"/>
  <c r="R364" i="1"/>
  <c r="J364" i="1"/>
  <c r="F364" i="1"/>
  <c r="J363" i="1"/>
  <c r="R361" i="1"/>
  <c r="J361" i="1"/>
  <c r="F361" i="1"/>
  <c r="R360" i="1"/>
  <c r="J360" i="1"/>
  <c r="F360" i="1"/>
  <c r="J359" i="1"/>
  <c r="L357" i="1"/>
  <c r="K357" i="1"/>
  <c r="J357" i="1"/>
  <c r="J354" i="1"/>
  <c r="J353" i="1"/>
  <c r="F353" i="1"/>
  <c r="R354" i="1" s="1"/>
  <c r="J352" i="1"/>
  <c r="F352" i="1"/>
  <c r="R353" i="1" s="1"/>
  <c r="J351" i="1"/>
  <c r="F351" i="1"/>
  <c r="R352" i="1" s="1"/>
  <c r="F350" i="1"/>
  <c r="M348" i="1"/>
  <c r="F348" i="1"/>
  <c r="M349" i="1" s="1"/>
  <c r="Y347" i="1"/>
  <c r="R347" i="1"/>
  <c r="L347" i="1"/>
  <c r="K347" i="1"/>
  <c r="J347" i="1"/>
  <c r="F347" i="1"/>
  <c r="J345" i="1"/>
  <c r="J344" i="1"/>
  <c r="J343" i="1"/>
  <c r="L341" i="1"/>
  <c r="K341" i="1"/>
  <c r="J341" i="1"/>
  <c r="J339" i="1"/>
  <c r="F339" i="1"/>
  <c r="J338" i="1"/>
  <c r="F338" i="1"/>
  <c r="J337" i="1"/>
  <c r="F337" i="1"/>
  <c r="R339" i="1" s="1"/>
  <c r="J336" i="1"/>
  <c r="F336" i="1"/>
  <c r="J335" i="1"/>
  <c r="F335" i="1"/>
  <c r="J334" i="1"/>
  <c r="F334" i="1"/>
  <c r="R335" i="1" s="1"/>
  <c r="J332" i="1"/>
  <c r="F332" i="1"/>
  <c r="F331" i="1"/>
  <c r="R332" i="1" s="1"/>
  <c r="F330" i="1"/>
  <c r="M328" i="1"/>
  <c r="F328" i="1"/>
  <c r="M329" i="1" s="1"/>
  <c r="Y327" i="1"/>
  <c r="R327" i="1"/>
  <c r="L327" i="1"/>
  <c r="K327" i="1"/>
  <c r="J327" i="1"/>
  <c r="F327" i="1"/>
  <c r="J324" i="1"/>
  <c r="J323" i="1"/>
  <c r="J322" i="1"/>
  <c r="J321" i="1"/>
  <c r="J320" i="1"/>
  <c r="J319" i="1"/>
  <c r="L317" i="1"/>
  <c r="K317" i="1"/>
  <c r="R362" i="1" l="1"/>
  <c r="F362" i="1"/>
  <c r="T333" i="1"/>
  <c r="F333" i="1"/>
  <c r="R370" i="1"/>
  <c r="F370" i="1"/>
  <c r="R366" i="1"/>
  <c r="F366" i="1"/>
  <c r="K342" i="1"/>
  <c r="L342" i="1"/>
  <c r="J371" i="1"/>
  <c r="L371" i="1"/>
  <c r="L323" i="1"/>
  <c r="L365" i="1"/>
  <c r="L345" i="1"/>
  <c r="K359" i="1"/>
  <c r="K360" i="1"/>
  <c r="K361" i="1"/>
  <c r="L367" i="1"/>
  <c r="L343" i="1"/>
  <c r="E354" i="1"/>
  <c r="L354" i="1" s="1"/>
  <c r="K346" i="1"/>
  <c r="L363" i="1"/>
  <c r="E353" i="1"/>
  <c r="J346" i="1"/>
  <c r="K322" i="1"/>
  <c r="K326" i="1"/>
  <c r="L346" i="1"/>
  <c r="L351" i="1"/>
  <c r="K351" i="1"/>
  <c r="L344" i="1"/>
  <c r="K368" i="1"/>
  <c r="E352" i="1"/>
  <c r="K364" i="1"/>
  <c r="K369" i="1"/>
  <c r="K324" i="1"/>
  <c r="L320" i="1"/>
  <c r="E339" i="1"/>
  <c r="K339" i="1" s="1"/>
  <c r="L326" i="1"/>
  <c r="E336" i="1"/>
  <c r="K336" i="1" s="1"/>
  <c r="E335" i="1"/>
  <c r="J326" i="1"/>
  <c r="E331" i="1"/>
  <c r="L332" i="1"/>
  <c r="K332" i="1"/>
  <c r="K319" i="1"/>
  <c r="E338" i="1"/>
  <c r="E334" i="1"/>
  <c r="L334" i="1" s="1"/>
  <c r="R336" i="1"/>
  <c r="E337" i="1"/>
  <c r="L318" i="1"/>
  <c r="K321" i="1"/>
  <c r="T337" i="1"/>
  <c r="F349" i="1"/>
  <c r="I350" i="1" s="1"/>
  <c r="L350" i="1" s="1"/>
  <c r="F374" i="1"/>
  <c r="H375" i="1" s="1"/>
  <c r="K375" i="1" s="1"/>
  <c r="F329" i="1"/>
  <c r="G330" i="1" s="1"/>
  <c r="J330" i="1" s="1"/>
  <c r="R338" i="1"/>
  <c r="F354" i="1"/>
  <c r="I331" i="1" l="1"/>
  <c r="L331" i="1" s="1"/>
  <c r="L339" i="1"/>
  <c r="L336" i="1"/>
  <c r="K354" i="1"/>
  <c r="K353" i="1"/>
  <c r="L353" i="1"/>
  <c r="G331" i="1"/>
  <c r="J331" i="1" s="1"/>
  <c r="L352" i="1"/>
  <c r="K352" i="1"/>
  <c r="K335" i="1"/>
  <c r="L335" i="1"/>
  <c r="G375" i="1"/>
  <c r="J375" i="1" s="1"/>
  <c r="I375" i="1"/>
  <c r="L375" i="1" s="1"/>
  <c r="K334" i="1"/>
  <c r="L337" i="1"/>
  <c r="K337" i="1"/>
  <c r="H330" i="1"/>
  <c r="K330" i="1" s="1"/>
  <c r="L338" i="1"/>
  <c r="K338" i="1"/>
  <c r="I330" i="1"/>
  <c r="L330" i="1" s="1"/>
  <c r="H350" i="1"/>
  <c r="K350" i="1" s="1"/>
  <c r="G350" i="1"/>
  <c r="J350" i="1" s="1"/>
  <c r="H331" i="1"/>
  <c r="K331" i="1" s="1"/>
  <c r="E304" i="1" l="1"/>
  <c r="L304" i="1" s="1"/>
  <c r="E305" i="1"/>
  <c r="K305" i="1" s="1"/>
  <c r="E306" i="1"/>
  <c r="K306" i="1" s="1"/>
  <c r="E307" i="1"/>
  <c r="L307" i="1" s="1"/>
  <c r="E308" i="1"/>
  <c r="L308" i="1" s="1"/>
  <c r="E310" i="1"/>
  <c r="L310" i="1" s="1"/>
  <c r="E311" i="1"/>
  <c r="K311" i="1" s="1"/>
  <c r="E312" i="1"/>
  <c r="L312" i="1" s="1"/>
  <c r="E313" i="1"/>
  <c r="L313" i="1" s="1"/>
  <c r="E314" i="1"/>
  <c r="K314" i="1" s="1"/>
  <c r="E315" i="1"/>
  <c r="L315" i="1" s="1"/>
  <c r="E303" i="1"/>
  <c r="L303" i="1" s="1"/>
  <c r="E280" i="1"/>
  <c r="L280" i="1" s="1"/>
  <c r="E266" i="1"/>
  <c r="K266" i="1" s="1"/>
  <c r="E251" i="1"/>
  <c r="L251" i="1" s="1"/>
  <c r="E253" i="1"/>
  <c r="L253" i="1" s="1"/>
  <c r="E254" i="1"/>
  <c r="K254" i="1" s="1"/>
  <c r="E255" i="1"/>
  <c r="K255" i="1" s="1"/>
  <c r="E256" i="1"/>
  <c r="K256" i="1" s="1"/>
  <c r="E257" i="1"/>
  <c r="L257" i="1" s="1"/>
  <c r="E258" i="1"/>
  <c r="K258" i="1" s="1"/>
  <c r="E259" i="1"/>
  <c r="L259" i="1" s="1"/>
  <c r="E252" i="1"/>
  <c r="L252" i="1" s="1"/>
  <c r="E246" i="1"/>
  <c r="K246" i="1" s="1"/>
  <c r="E247" i="1"/>
  <c r="L247" i="1" s="1"/>
  <c r="E248" i="1"/>
  <c r="K248" i="1" s="1"/>
  <c r="E249" i="1"/>
  <c r="L249" i="1" s="1"/>
  <c r="E245" i="1"/>
  <c r="K245" i="1" s="1"/>
  <c r="E242" i="1"/>
  <c r="K242" i="1" s="1"/>
  <c r="E211" i="1"/>
  <c r="L211" i="1" s="1"/>
  <c r="E212" i="1"/>
  <c r="L212" i="1" s="1"/>
  <c r="E213" i="1"/>
  <c r="K213" i="1" s="1"/>
  <c r="E214" i="1"/>
  <c r="L214" i="1" s="1"/>
  <c r="E215" i="1"/>
  <c r="K215" i="1" s="1"/>
  <c r="E210" i="1"/>
  <c r="L210" i="1" s="1"/>
  <c r="E218" i="1"/>
  <c r="J218" i="1" s="1"/>
  <c r="E194" i="1"/>
  <c r="K194" i="1" s="1"/>
  <c r="L192" i="1"/>
  <c r="K192" i="1"/>
  <c r="J192" i="1"/>
  <c r="L191" i="1"/>
  <c r="K191" i="1"/>
  <c r="J191" i="1"/>
  <c r="F191" i="1"/>
  <c r="E167" i="1"/>
  <c r="K167" i="1" s="1"/>
  <c r="E156" i="1"/>
  <c r="L156" i="1" s="1"/>
  <c r="E157" i="1"/>
  <c r="K157" i="1" s="1"/>
  <c r="E158" i="1"/>
  <c r="K158" i="1" s="1"/>
  <c r="E159" i="1"/>
  <c r="L159" i="1" s="1"/>
  <c r="E160" i="1"/>
  <c r="J160" i="1" s="1"/>
  <c r="E161" i="1"/>
  <c r="K161" i="1" s="1"/>
  <c r="E162" i="1"/>
  <c r="K162" i="1" s="1"/>
  <c r="E163" i="1"/>
  <c r="K163" i="1" s="1"/>
  <c r="E164" i="1"/>
  <c r="J164" i="1" s="1"/>
  <c r="E165" i="1"/>
  <c r="K165" i="1" s="1"/>
  <c r="E166" i="1"/>
  <c r="L166" i="1" s="1"/>
  <c r="E168" i="1"/>
  <c r="J168" i="1" s="1"/>
  <c r="E169" i="1"/>
  <c r="K169" i="1" s="1"/>
  <c r="E155" i="1"/>
  <c r="K155" i="1" s="1"/>
  <c r="R315" i="1"/>
  <c r="J315" i="1"/>
  <c r="F315" i="1"/>
  <c r="R314" i="1"/>
  <c r="J314" i="1"/>
  <c r="J313" i="1"/>
  <c r="R312" i="1"/>
  <c r="J312" i="1"/>
  <c r="F312" i="1"/>
  <c r="R311" i="1"/>
  <c r="J311" i="1"/>
  <c r="J310" i="1"/>
  <c r="R308" i="1"/>
  <c r="J308" i="1"/>
  <c r="R307" i="1"/>
  <c r="J307" i="1"/>
  <c r="F307" i="1"/>
  <c r="R306" i="1"/>
  <c r="J306" i="1"/>
  <c r="R305" i="1"/>
  <c r="J305" i="1"/>
  <c r="F305" i="1"/>
  <c r="R304" i="1"/>
  <c r="J304" i="1"/>
  <c r="J303" i="1"/>
  <c r="L302" i="1"/>
  <c r="K302" i="1"/>
  <c r="J302" i="1"/>
  <c r="L301" i="1"/>
  <c r="K301" i="1"/>
  <c r="J301" i="1"/>
  <c r="L291" i="1"/>
  <c r="R288" i="1"/>
  <c r="R286" i="1"/>
  <c r="F284" i="1"/>
  <c r="M282" i="1"/>
  <c r="F282" i="1"/>
  <c r="M283" i="1" s="1"/>
  <c r="Y281" i="1"/>
  <c r="R281" i="1"/>
  <c r="L281" i="1"/>
  <c r="K281" i="1"/>
  <c r="J281" i="1"/>
  <c r="F281" i="1"/>
  <c r="R278" i="1"/>
  <c r="R277" i="1"/>
  <c r="R275" i="1"/>
  <c r="R274" i="1"/>
  <c r="F270" i="1"/>
  <c r="M268" i="1"/>
  <c r="F268" i="1"/>
  <c r="F269" i="1" s="1"/>
  <c r="Y267" i="1"/>
  <c r="R267" i="1"/>
  <c r="L267" i="1"/>
  <c r="K267" i="1"/>
  <c r="J267" i="1"/>
  <c r="F267" i="1"/>
  <c r="L265" i="1"/>
  <c r="R258" i="1"/>
  <c r="R257" i="1"/>
  <c r="R256" i="1"/>
  <c r="R255" i="1"/>
  <c r="L250" i="1"/>
  <c r="R249" i="1"/>
  <c r="R248" i="1"/>
  <c r="R247" i="1"/>
  <c r="R246" i="1"/>
  <c r="L244" i="1"/>
  <c r="K244" i="1"/>
  <c r="L243" i="1"/>
  <c r="L241" i="1"/>
  <c r="K241" i="1"/>
  <c r="L216" i="1"/>
  <c r="R212" i="1"/>
  <c r="L209" i="1"/>
  <c r="K209" i="1"/>
  <c r="L240" i="1"/>
  <c r="K240" i="1"/>
  <c r="R238" i="1"/>
  <c r="R237" i="1"/>
  <c r="R236" i="1"/>
  <c r="L223" i="1"/>
  <c r="K223" i="1"/>
  <c r="I222" i="1"/>
  <c r="L222" i="1" s="1"/>
  <c r="H222" i="1"/>
  <c r="K222" i="1" s="1"/>
  <c r="G222" i="1"/>
  <c r="J222" i="1" s="1"/>
  <c r="M221" i="1"/>
  <c r="M220" i="1"/>
  <c r="Y219" i="1"/>
  <c r="R219" i="1"/>
  <c r="L219" i="1"/>
  <c r="K219" i="1"/>
  <c r="J219" i="1"/>
  <c r="F219" i="1"/>
  <c r="L199" i="1"/>
  <c r="K199" i="1"/>
  <c r="J199" i="1"/>
  <c r="R198" i="1"/>
  <c r="L198" i="1"/>
  <c r="R197" i="1"/>
  <c r="L197" i="1"/>
  <c r="K197" i="1"/>
  <c r="J197" i="1"/>
  <c r="R196" i="1"/>
  <c r="L196" i="1"/>
  <c r="K196" i="1"/>
  <c r="J196" i="1"/>
  <c r="M195" i="1"/>
  <c r="L193" i="1"/>
  <c r="K193" i="1"/>
  <c r="J193" i="1"/>
  <c r="L189" i="1"/>
  <c r="K189" i="1"/>
  <c r="J189" i="1"/>
  <c r="F189" i="1"/>
  <c r="I187" i="1"/>
  <c r="L187" i="1" s="1"/>
  <c r="H187" i="1"/>
  <c r="K187" i="1" s="1"/>
  <c r="G187" i="1"/>
  <c r="J187" i="1" s="1"/>
  <c r="I186" i="1"/>
  <c r="L186" i="1" s="1"/>
  <c r="H186" i="1"/>
  <c r="K186" i="1" s="1"/>
  <c r="G186" i="1"/>
  <c r="J186" i="1" s="1"/>
  <c r="G171" i="1"/>
  <c r="R170" i="1"/>
  <c r="F170" i="1"/>
  <c r="E170" i="1"/>
  <c r="K170" i="1" s="1"/>
  <c r="R167" i="1"/>
  <c r="F167" i="1"/>
  <c r="R165" i="1"/>
  <c r="F165" i="1"/>
  <c r="R163" i="1"/>
  <c r="F163" i="1"/>
  <c r="R161" i="1"/>
  <c r="F161" i="1"/>
  <c r="R159" i="1"/>
  <c r="R158" i="1"/>
  <c r="R156" i="1"/>
  <c r="L154" i="1"/>
  <c r="K154" i="1"/>
  <c r="L153" i="1"/>
  <c r="K153" i="1"/>
  <c r="J153" i="1"/>
  <c r="F153" i="1"/>
  <c r="K251" i="1" l="1"/>
  <c r="E232" i="1"/>
  <c r="K232" i="1" s="1"/>
  <c r="E278" i="1"/>
  <c r="L278" i="1" s="1"/>
  <c r="E227" i="1"/>
  <c r="L227" i="1" s="1"/>
  <c r="E274" i="1"/>
  <c r="L274" i="1" s="1"/>
  <c r="J266" i="1"/>
  <c r="E236" i="1"/>
  <c r="L236" i="1" s="1"/>
  <c r="E271" i="1"/>
  <c r="J166" i="1"/>
  <c r="E288" i="1"/>
  <c r="L288" i="1" s="1"/>
  <c r="E273" i="1"/>
  <c r="E285" i="1"/>
  <c r="E226" i="1"/>
  <c r="L226" i="1" s="1"/>
  <c r="E277" i="1"/>
  <c r="E275" i="1"/>
  <c r="L275" i="1" s="1"/>
  <c r="E225" i="1"/>
  <c r="E235" i="1"/>
  <c r="K235" i="1" s="1"/>
  <c r="E231" i="1"/>
  <c r="K231" i="1" s="1"/>
  <c r="K218" i="1"/>
  <c r="E238" i="1"/>
  <c r="E234" i="1"/>
  <c r="E230" i="1"/>
  <c r="L230" i="1" s="1"/>
  <c r="E276" i="1"/>
  <c r="E272" i="1"/>
  <c r="E287" i="1"/>
  <c r="L218" i="1"/>
  <c r="E237" i="1"/>
  <c r="L237" i="1" s="1"/>
  <c r="E233" i="1"/>
  <c r="E229" i="1"/>
  <c r="L229" i="1" s="1"/>
  <c r="E286" i="1"/>
  <c r="J280" i="1"/>
  <c r="K280" i="1"/>
  <c r="L266" i="1"/>
  <c r="L255" i="1"/>
  <c r="L163" i="1"/>
  <c r="K252" i="1"/>
  <c r="L165" i="1"/>
  <c r="L161" i="1"/>
  <c r="L311" i="1"/>
  <c r="J161" i="1"/>
  <c r="L314" i="1"/>
  <c r="L256" i="1"/>
  <c r="K259" i="1"/>
  <c r="J157" i="1"/>
  <c r="L167" i="1"/>
  <c r="K247" i="1"/>
  <c r="L157" i="1"/>
  <c r="J165" i="1"/>
  <c r="J169" i="1"/>
  <c r="L246" i="1"/>
  <c r="K249" i="1"/>
  <c r="K253" i="1"/>
  <c r="K257" i="1"/>
  <c r="L258" i="1"/>
  <c r="K312" i="1"/>
  <c r="K313" i="1"/>
  <c r="K315" i="1"/>
  <c r="K211" i="1"/>
  <c r="J167" i="1"/>
  <c r="L169" i="1"/>
  <c r="M269" i="1"/>
  <c r="F283" i="1"/>
  <c r="G285" i="1" s="1"/>
  <c r="K159" i="1"/>
  <c r="J163" i="1"/>
  <c r="K210" i="1"/>
  <c r="K212" i="1"/>
  <c r="L215" i="1"/>
  <c r="L158" i="1"/>
  <c r="L162" i="1"/>
  <c r="K214" i="1"/>
  <c r="L242" i="1"/>
  <c r="L306" i="1"/>
  <c r="K303" i="1"/>
  <c r="K307" i="1"/>
  <c r="J158" i="1"/>
  <c r="K166" i="1"/>
  <c r="J162" i="1"/>
  <c r="L155" i="1"/>
  <c r="K160" i="1"/>
  <c r="K168" i="1"/>
  <c r="L213" i="1"/>
  <c r="L245" i="1"/>
  <c r="L254" i="1"/>
  <c r="G273" i="1"/>
  <c r="I270" i="1"/>
  <c r="L270" i="1" s="1"/>
  <c r="H276" i="1"/>
  <c r="I273" i="1"/>
  <c r="H271" i="1"/>
  <c r="G270" i="1"/>
  <c r="J270" i="1" s="1"/>
  <c r="G271" i="1"/>
  <c r="H273" i="1"/>
  <c r="G276" i="1"/>
  <c r="J155" i="1"/>
  <c r="K156" i="1"/>
  <c r="J159" i="1"/>
  <c r="L160" i="1"/>
  <c r="L164" i="1"/>
  <c r="L168" i="1"/>
  <c r="J170" i="1"/>
  <c r="L194" i="1"/>
  <c r="J194" i="1"/>
  <c r="L248" i="1"/>
  <c r="H270" i="1"/>
  <c r="K270" i="1" s="1"/>
  <c r="I271" i="1"/>
  <c r="I276" i="1"/>
  <c r="K304" i="1"/>
  <c r="K308" i="1"/>
  <c r="K310" i="1"/>
  <c r="J156" i="1"/>
  <c r="K164" i="1"/>
  <c r="L170" i="1"/>
  <c r="L305" i="1"/>
  <c r="K276" i="1" l="1"/>
  <c r="J273" i="1"/>
  <c r="L232" i="1"/>
  <c r="L276" i="1"/>
  <c r="L271" i="1"/>
  <c r="J271" i="1"/>
  <c r="K271" i="1"/>
  <c r="J285" i="1"/>
  <c r="L231" i="1"/>
  <c r="K237" i="1"/>
  <c r="K236" i="1"/>
  <c r="K227" i="1"/>
  <c r="K274" i="1"/>
  <c r="J274" i="1"/>
  <c r="K288" i="1"/>
  <c r="J288" i="1"/>
  <c r="K278" i="1"/>
  <c r="J278" i="1"/>
  <c r="K275" i="1"/>
  <c r="K273" i="1"/>
  <c r="L273" i="1"/>
  <c r="J275" i="1"/>
  <c r="K226" i="1"/>
  <c r="L277" i="1"/>
  <c r="K277" i="1"/>
  <c r="J277" i="1"/>
  <c r="K230" i="1"/>
  <c r="L235" i="1"/>
  <c r="H284" i="1"/>
  <c r="K284" i="1" s="1"/>
  <c r="J276" i="1"/>
  <c r="K229" i="1"/>
  <c r="K286" i="1"/>
  <c r="L286" i="1"/>
  <c r="J286" i="1"/>
  <c r="K272" i="1"/>
  <c r="J272" i="1"/>
  <c r="L272" i="1"/>
  <c r="K234" i="1"/>
  <c r="L234" i="1"/>
  <c r="L225" i="1"/>
  <c r="K225" i="1"/>
  <c r="L233" i="1"/>
  <c r="K233" i="1"/>
  <c r="L238" i="1"/>
  <c r="K238" i="1"/>
  <c r="G287" i="1"/>
  <c r="J287" i="1" s="1"/>
  <c r="I287" i="1"/>
  <c r="L287" i="1" s="1"/>
  <c r="I285" i="1"/>
  <c r="L285" i="1" s="1"/>
  <c r="I284" i="1"/>
  <c r="L284" i="1" s="1"/>
  <c r="H287" i="1"/>
  <c r="K287" i="1" s="1"/>
  <c r="H285" i="1"/>
  <c r="K285" i="1" s="1"/>
  <c r="G284" i="1"/>
  <c r="J284" i="1" s="1"/>
  <c r="E303" i="2" l="1"/>
  <c r="D303" i="2"/>
  <c r="C303" i="2"/>
  <c r="E302" i="2"/>
  <c r="D302" i="2"/>
  <c r="C302" i="2"/>
  <c r="E301" i="2"/>
  <c r="D301" i="2"/>
  <c r="C301" i="2"/>
  <c r="E300" i="2"/>
  <c r="D300" i="2"/>
  <c r="C300" i="2"/>
  <c r="E299" i="2"/>
  <c r="D299" i="2"/>
  <c r="C299" i="2"/>
  <c r="E298" i="2"/>
  <c r="D298" i="2"/>
  <c r="C298" i="2"/>
  <c r="E297" i="2"/>
  <c r="D297" i="2"/>
  <c r="C297" i="2"/>
  <c r="E296" i="2"/>
  <c r="D296" i="2"/>
  <c r="C296" i="2"/>
  <c r="E295" i="2"/>
  <c r="D295" i="2"/>
  <c r="C295" i="2"/>
  <c r="E294" i="2"/>
  <c r="D294" i="2"/>
  <c r="C294" i="2"/>
  <c r="E293" i="2"/>
  <c r="D293" i="2"/>
  <c r="C293" i="2"/>
  <c r="E292" i="2"/>
  <c r="D292" i="2"/>
  <c r="C292" i="2"/>
  <c r="E291" i="2"/>
  <c r="D291" i="2"/>
  <c r="C291" i="2"/>
  <c r="E290" i="2"/>
  <c r="D290" i="2"/>
  <c r="C290" i="2"/>
  <c r="E289" i="2"/>
  <c r="D289" i="2"/>
  <c r="C289" i="2"/>
  <c r="E288" i="2"/>
  <c r="D288" i="2"/>
  <c r="C288" i="2"/>
  <c r="E287" i="2"/>
  <c r="D287" i="2"/>
  <c r="C287" i="2"/>
  <c r="E286" i="2"/>
  <c r="D286" i="2"/>
  <c r="C286" i="2"/>
  <c r="E285" i="2"/>
  <c r="D285" i="2"/>
  <c r="C285" i="2"/>
  <c r="E284" i="2"/>
  <c r="D284" i="2"/>
  <c r="C284" i="2"/>
  <c r="E111" i="2"/>
  <c r="D111" i="2"/>
  <c r="C111" i="2"/>
  <c r="E110" i="2"/>
  <c r="D110" i="2"/>
  <c r="C110" i="2"/>
  <c r="E109" i="2"/>
  <c r="D109" i="2"/>
  <c r="C109" i="2"/>
  <c r="E108" i="2"/>
  <c r="D108" i="2"/>
  <c r="C108" i="2"/>
  <c r="E107" i="2"/>
  <c r="D107" i="2"/>
  <c r="C107" i="2"/>
  <c r="E106" i="2"/>
  <c r="D106" i="2"/>
  <c r="C106" i="2"/>
  <c r="E105" i="2"/>
  <c r="D105" i="2"/>
  <c r="C105" i="2"/>
  <c r="E104" i="2"/>
  <c r="D104" i="2"/>
  <c r="C104" i="2"/>
  <c r="E103" i="2"/>
  <c r="D103" i="2"/>
  <c r="C103" i="2"/>
  <c r="E102" i="2"/>
  <c r="D102" i="2"/>
  <c r="C102" i="2"/>
  <c r="E101" i="2"/>
  <c r="D101" i="2"/>
  <c r="C101" i="2"/>
  <c r="E100" i="2"/>
  <c r="D100" i="2"/>
  <c r="C100" i="2"/>
  <c r="E99" i="2"/>
  <c r="D99" i="2"/>
  <c r="C99" i="2"/>
  <c r="E98" i="2"/>
  <c r="D98" i="2"/>
  <c r="C98" i="2"/>
  <c r="E97" i="2"/>
  <c r="D97" i="2"/>
  <c r="C97" i="2"/>
  <c r="E96" i="2"/>
  <c r="D96" i="2"/>
  <c r="C96" i="2"/>
  <c r="E95" i="2"/>
  <c r="D95" i="2"/>
  <c r="C95" i="2"/>
  <c r="E94" i="2"/>
  <c r="D94" i="2"/>
  <c r="C94" i="2"/>
  <c r="E93" i="2"/>
  <c r="D93" i="2"/>
  <c r="C93" i="2"/>
  <c r="E92" i="2"/>
  <c r="D92" i="2"/>
  <c r="C92" i="2"/>
  <c r="G148" i="1"/>
  <c r="R146" i="1"/>
  <c r="R144" i="1"/>
  <c r="R142" i="1"/>
  <c r="R141" i="1"/>
  <c r="R140" i="1"/>
  <c r="R139" i="1"/>
  <c r="L139" i="1"/>
  <c r="K139" i="1"/>
  <c r="J139" i="1"/>
  <c r="R138" i="1"/>
  <c r="L138" i="1"/>
  <c r="K138" i="1"/>
  <c r="J138" i="1"/>
  <c r="R136" i="1"/>
  <c r="L136" i="1"/>
  <c r="K136" i="1"/>
  <c r="J136" i="1"/>
  <c r="M133" i="1"/>
  <c r="T125" i="1"/>
  <c r="R125" i="1"/>
  <c r="I125" i="1"/>
  <c r="L125" i="1" s="1"/>
  <c r="H125" i="1"/>
  <c r="K125" i="1" s="1"/>
  <c r="G125" i="1"/>
  <c r="J125" i="1" s="1"/>
  <c r="M124" i="1"/>
  <c r="I122" i="1"/>
  <c r="L122" i="1" s="1"/>
  <c r="H122" i="1"/>
  <c r="K122" i="1" s="1"/>
  <c r="G122" i="1"/>
  <c r="J122" i="1" s="1"/>
  <c r="F122" i="1"/>
  <c r="M121" i="1"/>
  <c r="M120" i="1"/>
  <c r="Y119" i="1"/>
  <c r="R119" i="1"/>
  <c r="L119" i="1"/>
  <c r="K119" i="1"/>
  <c r="J119" i="1"/>
  <c r="R118" i="1"/>
  <c r="E118" i="1"/>
  <c r="R117" i="1"/>
  <c r="R116" i="1"/>
  <c r="E116" i="1"/>
  <c r="J116" i="1" s="1"/>
  <c r="E115" i="1"/>
  <c r="R114" i="1"/>
  <c r="E114" i="1"/>
  <c r="J114" i="1" s="1"/>
  <c r="E113" i="1"/>
  <c r="E112" i="1"/>
  <c r="H111" i="1"/>
  <c r="E111" i="1"/>
  <c r="L111" i="1" s="1"/>
  <c r="R109" i="1"/>
  <c r="L109" i="1"/>
  <c r="K109" i="1"/>
  <c r="J109" i="1"/>
  <c r="R108" i="1"/>
  <c r="L108" i="1"/>
  <c r="K108" i="1"/>
  <c r="J108" i="1"/>
  <c r="I107" i="1"/>
  <c r="L107" i="1" s="1"/>
  <c r="H107" i="1"/>
  <c r="K107" i="1" s="1"/>
  <c r="G107" i="1"/>
  <c r="J107" i="1" s="1"/>
  <c r="R106" i="1"/>
  <c r="L106" i="1"/>
  <c r="K106" i="1"/>
  <c r="J106" i="1"/>
  <c r="R105" i="1"/>
  <c r="L105" i="1"/>
  <c r="K105" i="1"/>
  <c r="J105" i="1"/>
  <c r="L103" i="1"/>
  <c r="K103" i="1"/>
  <c r="J103" i="1"/>
  <c r="T102" i="1"/>
  <c r="M101" i="1"/>
  <c r="L101" i="1"/>
  <c r="K101" i="1"/>
  <c r="J101" i="1"/>
  <c r="L100" i="1"/>
  <c r="K100" i="1"/>
  <c r="J100" i="1"/>
  <c r="M99" i="1"/>
  <c r="L99" i="1"/>
  <c r="K99" i="1"/>
  <c r="J99" i="1"/>
  <c r="L98" i="1"/>
  <c r="K98" i="1"/>
  <c r="J98" i="1"/>
  <c r="L97" i="1"/>
  <c r="K97" i="1"/>
  <c r="J97" i="1"/>
  <c r="R95" i="1"/>
  <c r="L95" i="1"/>
  <c r="K95" i="1"/>
  <c r="J95" i="1"/>
  <c r="R94" i="1"/>
  <c r="L94" i="1"/>
  <c r="K94" i="1"/>
  <c r="J94" i="1"/>
  <c r="R93" i="1"/>
  <c r="L93" i="1"/>
  <c r="K93" i="1"/>
  <c r="J93" i="1"/>
  <c r="R92" i="1"/>
  <c r="R91" i="1"/>
  <c r="R90" i="1"/>
  <c r="E90" i="1"/>
  <c r="L90" i="1" s="1"/>
  <c r="E89" i="1"/>
  <c r="T88" i="1"/>
  <c r="G88" i="1"/>
  <c r="E88" i="1"/>
  <c r="E87" i="1"/>
  <c r="M84" i="1"/>
  <c r="L84" i="1"/>
  <c r="K84" i="1"/>
  <c r="J84" i="1"/>
  <c r="I86" i="1"/>
  <c r="L86" i="1" s="1"/>
  <c r="H86" i="1"/>
  <c r="K86" i="1" s="1"/>
  <c r="G86" i="1"/>
  <c r="J86" i="1" s="1"/>
  <c r="R85" i="1"/>
  <c r="I85" i="1"/>
  <c r="L85" i="1" s="1"/>
  <c r="H85" i="1"/>
  <c r="K85" i="1" s="1"/>
  <c r="G85" i="1"/>
  <c r="J85" i="1" s="1"/>
  <c r="F85" i="1"/>
  <c r="Y82" i="1"/>
  <c r="L82" i="1"/>
  <c r="K82" i="1"/>
  <c r="J82" i="1"/>
  <c r="L80" i="1"/>
  <c r="K80" i="1"/>
  <c r="J80" i="1"/>
  <c r="F79" i="1"/>
  <c r="F78" i="1"/>
  <c r="F77" i="1"/>
  <c r="F76" i="1"/>
  <c r="F75" i="1"/>
  <c r="F74" i="1"/>
  <c r="F73" i="1"/>
  <c r="F72" i="1"/>
  <c r="F71" i="1"/>
  <c r="F70" i="1"/>
  <c r="F69" i="1"/>
  <c r="F68" i="1"/>
  <c r="F67" i="1"/>
  <c r="F66" i="1"/>
  <c r="F65" i="1"/>
  <c r="F64" i="1"/>
  <c r="F63" i="1"/>
  <c r="F62" i="1"/>
  <c r="F61" i="1"/>
  <c r="F60" i="1"/>
  <c r="I59" i="1"/>
  <c r="L59" i="1" s="1"/>
  <c r="H59" i="1"/>
  <c r="K59" i="1" s="1"/>
  <c r="G59" i="1"/>
  <c r="J59" i="1" s="1"/>
  <c r="L58" i="1"/>
  <c r="K58" i="1"/>
  <c r="J58" i="1"/>
  <c r="F56" i="1"/>
  <c r="I79" i="1" s="1"/>
  <c r="L79" i="1" s="1"/>
  <c r="F55" i="1"/>
  <c r="F54" i="1"/>
  <c r="F53" i="1"/>
  <c r="G76" i="1" s="1"/>
  <c r="J76" i="1" s="1"/>
  <c r="F52" i="1"/>
  <c r="I75" i="1" s="1"/>
  <c r="L75" i="1" s="1"/>
  <c r="F51" i="1"/>
  <c r="F50" i="1"/>
  <c r="G73" i="1" s="1"/>
  <c r="J73" i="1" s="1"/>
  <c r="F49" i="1"/>
  <c r="G72" i="1" s="1"/>
  <c r="J72" i="1" s="1"/>
  <c r="F48" i="1"/>
  <c r="H71" i="1" s="1"/>
  <c r="K71" i="1" s="1"/>
  <c r="F47" i="1"/>
  <c r="F46" i="1"/>
  <c r="G69" i="1" s="1"/>
  <c r="J69" i="1" s="1"/>
  <c r="F45" i="1"/>
  <c r="G68" i="1" s="1"/>
  <c r="J68" i="1" s="1"/>
  <c r="F44" i="1"/>
  <c r="H67" i="1" s="1"/>
  <c r="K67" i="1" s="1"/>
  <c r="F43" i="1"/>
  <c r="G66" i="1" s="1"/>
  <c r="J66" i="1" s="1"/>
  <c r="F42" i="1"/>
  <c r="I65" i="1" s="1"/>
  <c r="L65" i="1" s="1"/>
  <c r="F41" i="1"/>
  <c r="G64" i="1" s="1"/>
  <c r="J64" i="1" s="1"/>
  <c r="F40" i="1"/>
  <c r="H63" i="1" s="1"/>
  <c r="K63" i="1" s="1"/>
  <c r="F39" i="1"/>
  <c r="G62" i="1" s="1"/>
  <c r="J62" i="1" s="1"/>
  <c r="F38" i="1"/>
  <c r="I61" i="1" s="1"/>
  <c r="L61" i="1" s="1"/>
  <c r="F37" i="1"/>
  <c r="L34" i="1"/>
  <c r="K34" i="1"/>
  <c r="J34" i="1"/>
  <c r="R33" i="1"/>
  <c r="L33" i="1"/>
  <c r="K33" i="1"/>
  <c r="J33" i="1"/>
  <c r="R32" i="1"/>
  <c r="L32" i="1"/>
  <c r="K32" i="1"/>
  <c r="J32" i="1"/>
  <c r="L31" i="1"/>
  <c r="K31" i="1"/>
  <c r="J31" i="1"/>
  <c r="L29" i="1"/>
  <c r="K29" i="1"/>
  <c r="J29" i="1"/>
  <c r="L28" i="1"/>
  <c r="K28" i="1"/>
  <c r="J28" i="1"/>
  <c r="L27" i="1"/>
  <c r="K27" i="1"/>
  <c r="J27" i="1"/>
  <c r="I104" i="1" l="1"/>
  <c r="L104" i="1" s="1"/>
  <c r="H104" i="1"/>
  <c r="K104" i="1" s="1"/>
  <c r="I102" i="1"/>
  <c r="L102" i="1" s="1"/>
  <c r="H102" i="1"/>
  <c r="K102" i="1" s="1"/>
  <c r="I60" i="1"/>
  <c r="L60" i="1" s="1"/>
  <c r="G102" i="1"/>
  <c r="J102" i="1" s="1"/>
  <c r="G104" i="1"/>
  <c r="J104" i="1" s="1"/>
  <c r="I64" i="1"/>
  <c r="L64" i="1" s="1"/>
  <c r="H64" i="1"/>
  <c r="K64" i="1" s="1"/>
  <c r="H72" i="1"/>
  <c r="K72" i="1" s="1"/>
  <c r="H65" i="1"/>
  <c r="K65" i="1" s="1"/>
  <c r="H60" i="1"/>
  <c r="K60" i="1" s="1"/>
  <c r="H61" i="1"/>
  <c r="K61" i="1" s="1"/>
  <c r="I63" i="1"/>
  <c r="L63" i="1" s="1"/>
  <c r="H68" i="1"/>
  <c r="K68" i="1" s="1"/>
  <c r="I69" i="1"/>
  <c r="L69" i="1" s="1"/>
  <c r="I72" i="1"/>
  <c r="L72" i="1" s="1"/>
  <c r="H76" i="1"/>
  <c r="K76" i="1" s="1"/>
  <c r="J88" i="1"/>
  <c r="K111" i="1"/>
  <c r="K116" i="1"/>
  <c r="I67" i="1"/>
  <c r="L67" i="1" s="1"/>
  <c r="G71" i="1"/>
  <c r="J71" i="1" s="1"/>
  <c r="I73" i="1"/>
  <c r="L73" i="1" s="1"/>
  <c r="I68" i="1"/>
  <c r="L68" i="1" s="1"/>
  <c r="L116" i="1"/>
  <c r="J137" i="1"/>
  <c r="L126" i="1"/>
  <c r="J123" i="1"/>
  <c r="L118" i="1"/>
  <c r="J115" i="1"/>
  <c r="L113" i="1"/>
  <c r="K92" i="1"/>
  <c r="K91" i="1"/>
  <c r="J90" i="1"/>
  <c r="L87" i="1"/>
  <c r="L146" i="1"/>
  <c r="L144" i="1"/>
  <c r="L142" i="1"/>
  <c r="L141" i="1"/>
  <c r="L140" i="1"/>
  <c r="L129" i="1"/>
  <c r="K126" i="1"/>
  <c r="K118" i="1"/>
  <c r="L117" i="1"/>
  <c r="K113" i="1"/>
  <c r="K112" i="1"/>
  <c r="J111" i="1"/>
  <c r="J92" i="1"/>
  <c r="J91" i="1"/>
  <c r="K88" i="1"/>
  <c r="K87" i="1"/>
  <c r="K146" i="1"/>
  <c r="J141" i="1"/>
  <c r="K140" i="1"/>
  <c r="L137" i="1"/>
  <c r="J117" i="1"/>
  <c r="K115" i="1"/>
  <c r="J113" i="1"/>
  <c r="J112" i="1"/>
  <c r="K129" i="1"/>
  <c r="L123" i="1"/>
  <c r="K90" i="1"/>
  <c r="J146" i="1"/>
  <c r="K144" i="1"/>
  <c r="J140" i="1"/>
  <c r="K137" i="1"/>
  <c r="J144" i="1"/>
  <c r="K142" i="1"/>
  <c r="J126" i="1"/>
  <c r="J118" i="1"/>
  <c r="L92" i="1"/>
  <c r="L91" i="1"/>
  <c r="K117" i="1"/>
  <c r="K89" i="1"/>
  <c r="J89" i="1"/>
  <c r="L89" i="1"/>
  <c r="J87" i="1"/>
  <c r="J142" i="1"/>
  <c r="K141" i="1"/>
  <c r="I66" i="1"/>
  <c r="L66" i="1" s="1"/>
  <c r="H66" i="1"/>
  <c r="K66" i="1" s="1"/>
  <c r="I74" i="1"/>
  <c r="L74" i="1" s="1"/>
  <c r="H74" i="1"/>
  <c r="K74" i="1" s="1"/>
  <c r="G74" i="1"/>
  <c r="J74" i="1" s="1"/>
  <c r="I77" i="1"/>
  <c r="L77" i="1" s="1"/>
  <c r="H77" i="1"/>
  <c r="K77" i="1" s="1"/>
  <c r="G77" i="1"/>
  <c r="J77" i="1" s="1"/>
  <c r="K123" i="1"/>
  <c r="I62" i="1"/>
  <c r="L62" i="1" s="1"/>
  <c r="H62" i="1"/>
  <c r="K62" i="1" s="1"/>
  <c r="I70" i="1"/>
  <c r="L70" i="1" s="1"/>
  <c r="H70" i="1"/>
  <c r="K70" i="1" s="1"/>
  <c r="G70" i="1"/>
  <c r="J70" i="1" s="1"/>
  <c r="I78" i="1"/>
  <c r="L78" i="1" s="1"/>
  <c r="H78" i="1"/>
  <c r="K78" i="1" s="1"/>
  <c r="G78" i="1"/>
  <c r="J78" i="1" s="1"/>
  <c r="G61" i="1"/>
  <c r="J61" i="1" s="1"/>
  <c r="G65" i="1"/>
  <c r="J65" i="1" s="1"/>
  <c r="H69" i="1"/>
  <c r="K69" i="1" s="1"/>
  <c r="H73" i="1"/>
  <c r="K73" i="1" s="1"/>
  <c r="L115" i="1"/>
  <c r="J129" i="1"/>
  <c r="G63" i="1"/>
  <c r="J63" i="1" s="1"/>
  <c r="G67" i="1"/>
  <c r="J67" i="1" s="1"/>
  <c r="I71" i="1"/>
  <c r="L71" i="1" s="1"/>
  <c r="I76" i="1"/>
  <c r="L76" i="1" s="1"/>
  <c r="L112" i="1"/>
  <c r="L114" i="1"/>
  <c r="K114" i="1"/>
  <c r="H75" i="1"/>
  <c r="K75" i="1" s="1"/>
  <c r="G75" i="1"/>
  <c r="J75" i="1" s="1"/>
  <c r="H79" i="1"/>
  <c r="K79" i="1" s="1"/>
  <c r="G79" i="1"/>
  <c r="J79" i="1" s="1"/>
  <c r="G60" i="1"/>
  <c r="J60" i="1" s="1"/>
  <c r="L88" i="1"/>
</calcChain>
</file>

<file path=xl/sharedStrings.xml><?xml version="1.0" encoding="utf-8"?>
<sst xmlns="http://schemas.openxmlformats.org/spreadsheetml/2006/main" count="5013" uniqueCount="2082">
  <si>
    <t>status_list</t>
  </si>
  <si>
    <t>Village chief</t>
  </si>
  <si>
    <t xml:space="preserve">Elder </t>
  </si>
  <si>
    <t>Youth leader</t>
  </si>
  <si>
    <t>Women's leader</t>
  </si>
  <si>
    <t xml:space="preserve">Religious leader </t>
  </si>
  <si>
    <t>Tribal leader</t>
  </si>
  <si>
    <t>relation_cdm</t>
  </si>
  <si>
    <t>Child</t>
  </si>
  <si>
    <t>Grandchild</t>
  </si>
  <si>
    <t>Parent</t>
  </si>
  <si>
    <t>Sibling</t>
  </si>
  <si>
    <t>Cousin</t>
  </si>
  <si>
    <t>Other relative</t>
  </si>
  <si>
    <t>Other non-relative</t>
  </si>
  <si>
    <t>Name</t>
  </si>
  <si>
    <t>select_one relation_cdm</t>
  </si>
  <si>
    <t>default</t>
  </si>
  <si>
    <t>Less than half</t>
  </si>
  <si>
    <t>Half</t>
  </si>
  <si>
    <t>All</t>
  </si>
  <si>
    <t>None</t>
  </si>
  <si>
    <t>type</t>
  </si>
  <si>
    <t>name</t>
  </si>
  <si>
    <t>calculation</t>
  </si>
  <si>
    <t>appearance</t>
  </si>
  <si>
    <t>relevant</t>
  </si>
  <si>
    <t>constraint</t>
  </si>
  <si>
    <t>required</t>
  </si>
  <si>
    <t>label::English</t>
  </si>
  <si>
    <t>hint::English</t>
  </si>
  <si>
    <t>label::Swahili</t>
  </si>
  <si>
    <t>begin group</t>
  </si>
  <si>
    <t>note</t>
  </si>
  <si>
    <t>text</t>
  </si>
  <si>
    <t>integer</t>
  </si>
  <si>
    <t>yes</t>
  </si>
  <si>
    <t>list name</t>
  </si>
  <si>
    <t>Spouse</t>
  </si>
  <si>
    <t>Other</t>
  </si>
  <si>
    <t>end group</t>
  </si>
  <si>
    <t>select_one gender_list</t>
  </si>
  <si>
    <t>select_one exact_list</t>
  </si>
  <si>
    <t>select_one schooling_list</t>
  </si>
  <si>
    <t>calculate</t>
  </si>
  <si>
    <t>gender_list</t>
  </si>
  <si>
    <t>Male</t>
  </si>
  <si>
    <t>Female</t>
  </si>
  <si>
    <t>Yes</t>
  </si>
  <si>
    <t>No</t>
  </si>
  <si>
    <t>exact_list</t>
  </si>
  <si>
    <t>Exact</t>
  </si>
  <si>
    <t>Approximate</t>
  </si>
  <si>
    <t>schooling_list</t>
  </si>
  <si>
    <t>religion_list</t>
  </si>
  <si>
    <t>Muslim</t>
  </si>
  <si>
    <t>tribe_list</t>
  </si>
  <si>
    <t>repeat_count</t>
  </si>
  <si>
    <t>Notez le niveau le plus élevé.</t>
  </si>
  <si>
    <t>Quelques années primaires</t>
  </si>
  <si>
    <t>Primaire complété</t>
  </si>
  <si>
    <t>Quelques années secondaires</t>
  </si>
  <si>
    <t>Secondaire complété</t>
  </si>
  <si>
    <t>Etudes supérieures</t>
  </si>
  <si>
    <t>Formation Professionnel</t>
  </si>
  <si>
    <t>Ne sait pas</t>
  </si>
  <si>
    <t>Aucune</t>
  </si>
  <si>
    <t>Some primary</t>
  </si>
  <si>
    <t>Primary Complete</t>
  </si>
  <si>
    <t>Some secondary</t>
  </si>
  <si>
    <t>Secondary complete</t>
  </si>
  <si>
    <t>Higher education</t>
  </si>
  <si>
    <t>Professional education</t>
  </si>
  <si>
    <t>Don't know</t>
  </si>
  <si>
    <t>No answer</t>
  </si>
  <si>
    <t>Refut</t>
  </si>
  <si>
    <t>occupation_list</t>
  </si>
  <si>
    <t>Student</t>
  </si>
  <si>
    <t>Petty trading</t>
  </si>
  <si>
    <t>Mining</t>
  </si>
  <si>
    <t>Exploitation minière</t>
  </si>
  <si>
    <t>Autre</t>
  </si>
  <si>
    <t>Specify</t>
  </si>
  <si>
    <t>select_one share5_list</t>
  </si>
  <si>
    <t>share5_list</t>
  </si>
  <si>
    <t>Little</t>
  </si>
  <si>
    <t>More than Half</t>
  </si>
  <si>
    <t>Presque rien</t>
  </si>
  <si>
    <t>Moins que la motié</t>
  </si>
  <si>
    <t>La motié</t>
  </si>
  <si>
    <t>Plus que la motié</t>
  </si>
  <si>
    <t>Tout</t>
  </si>
  <si>
    <t>label::Français</t>
  </si>
  <si>
    <t>hint::Français</t>
  </si>
  <si>
    <t>select_one household_list</t>
  </si>
  <si>
    <t>Exacte</t>
  </si>
  <si>
    <t>Approximative</t>
  </si>
  <si>
    <t>Le ménage inclut tous les personnes qui sont absent pendant moins qu'un année, ou visiteurs de plus que 3 mois.</t>
  </si>
  <si>
    <t>select_one housingstatus_list</t>
  </si>
  <si>
    <t>housingstatus_list</t>
  </si>
  <si>
    <t>Permanent resident</t>
  </si>
  <si>
    <t>Visitor</t>
  </si>
  <si>
    <t>Absent</t>
  </si>
  <si>
    <t>Refuse</t>
  </si>
  <si>
    <t>Sait pas</t>
  </si>
  <si>
    <t>Visiteur</t>
  </si>
  <si>
    <t>Resident permanent</t>
  </si>
  <si>
    <t>select_one religion_list</t>
  </si>
  <si>
    <t>select_one tribe_list</t>
  </si>
  <si>
    <t>Other religion</t>
  </si>
  <si>
    <t>Catholique</t>
  </si>
  <si>
    <t>Protestant</t>
  </si>
  <si>
    <t>Musulman</t>
  </si>
  <si>
    <t>Kimbanguist</t>
  </si>
  <si>
    <t xml:space="preserve">Autre, specifiez :  </t>
  </si>
  <si>
    <t>Catholic</t>
  </si>
  <si>
    <t>Shi</t>
  </si>
  <si>
    <t>Kenyamulenge</t>
  </si>
  <si>
    <t>Bembe</t>
  </si>
  <si>
    <t>Swahili</t>
  </si>
  <si>
    <t>Havu</t>
  </si>
  <si>
    <t>Kinande</t>
  </si>
  <si>
    <t>Fuleru</t>
  </si>
  <si>
    <t>Tembo</t>
  </si>
  <si>
    <t>Vira</t>
  </si>
  <si>
    <t>Kinyarwanda</t>
  </si>
  <si>
    <t>Kinyabwishi</t>
  </si>
  <si>
    <t>Lingala</t>
  </si>
  <si>
    <t>Nyindu</t>
  </si>
  <si>
    <t>Kikusu</t>
  </si>
  <si>
    <t>Kihunde</t>
  </si>
  <si>
    <t>Autre, specifiez</t>
  </si>
  <si>
    <t>household_list</t>
  </si>
  <si>
    <t>Oui</t>
  </si>
  <si>
    <t>Non</t>
  </si>
  <si>
    <t>Feminin</t>
  </si>
  <si>
    <t>Masculin</t>
  </si>
  <si>
    <t>Enfant</t>
  </si>
  <si>
    <t>Petit enfant</t>
  </si>
  <si>
    <t>Soeur/frère</t>
  </si>
  <si>
    <t>Nièce/neveu</t>
  </si>
  <si>
    <t>Autre apparenté</t>
  </si>
  <si>
    <t>Autre non-apparenté</t>
  </si>
  <si>
    <t>start</t>
  </si>
  <si>
    <t>end</t>
  </si>
  <si>
    <t>deviceid</t>
  </si>
  <si>
    <t>interviewer</t>
  </si>
  <si>
    <t>yes_no</t>
  </si>
  <si>
    <t>select_one yes_no</t>
  </si>
  <si>
    <t>Chef de ménage</t>
  </si>
  <si>
    <t>select_one live_list</t>
  </si>
  <si>
    <t>select_one rent_list</t>
  </si>
  <si>
    <t>select_one wall_list</t>
  </si>
  <si>
    <t>select_one roof_list</t>
  </si>
  <si>
    <t>select_one floor_list</t>
  </si>
  <si>
    <t>select_one water_list</t>
  </si>
  <si>
    <t>Minutes à pied (distance de la maison, allez seulement)</t>
  </si>
  <si>
    <t>select_one toilet_list</t>
  </si>
  <si>
    <t>What type of toilet do you use?</t>
  </si>
  <si>
    <t>select_multiple asset_list</t>
  </si>
  <si>
    <t>live_list</t>
  </si>
  <si>
    <t>Less than 1 year</t>
  </si>
  <si>
    <t>Moins qu'un année</t>
  </si>
  <si>
    <t>1-5 years</t>
  </si>
  <si>
    <t>1-5 Années</t>
  </si>
  <si>
    <t>5-20 years</t>
  </si>
  <si>
    <t>5-20 Années</t>
  </si>
  <si>
    <t>More than 20 years</t>
  </si>
  <si>
    <t>Plus que 20 années</t>
  </si>
  <si>
    <t>rent_list</t>
  </si>
  <si>
    <t>Own</t>
  </si>
  <si>
    <t>Possède</t>
  </si>
  <si>
    <t>Rent</t>
  </si>
  <si>
    <t>Loue</t>
  </si>
  <si>
    <t>wall_list</t>
  </si>
  <si>
    <t>Sticks</t>
  </si>
  <si>
    <t>Végétaux/ nattes</t>
  </si>
  <si>
    <t>Mud</t>
  </si>
  <si>
    <t>Terre battu</t>
  </si>
  <si>
    <t>Boards</t>
  </si>
  <si>
    <t>Planches</t>
  </si>
  <si>
    <t>Cement blocks</t>
  </si>
  <si>
    <t>Bloques cement</t>
  </si>
  <si>
    <t>Briques en terre non-cuit</t>
  </si>
  <si>
    <t>Briques en terre cuit</t>
  </si>
  <si>
    <t>Concrete</t>
  </si>
  <si>
    <t>Béton</t>
  </si>
  <si>
    <t>Autre...</t>
  </si>
  <si>
    <t>roof_list</t>
  </si>
  <si>
    <t>CI Sheet</t>
  </si>
  <si>
    <t>Tôle</t>
  </si>
  <si>
    <t>Dalle en béton</t>
  </si>
  <si>
    <t>Tiles</t>
  </si>
  <si>
    <t>Tuiles</t>
  </si>
  <si>
    <t>Slate</t>
  </si>
  <si>
    <t>Ardoise</t>
  </si>
  <si>
    <t>Thatch</t>
  </si>
  <si>
    <t>Paille</t>
  </si>
  <si>
    <t>floor_list</t>
  </si>
  <si>
    <t>Cement</t>
  </si>
  <si>
    <t>water_list</t>
  </si>
  <si>
    <t>Private tap</t>
  </si>
  <si>
    <t>Robinet dans la parcelle</t>
  </si>
  <si>
    <t>Public tap</t>
  </si>
  <si>
    <t>Robinet publique extérieur</t>
  </si>
  <si>
    <t>Protected well</t>
  </si>
  <si>
    <t>Puit protégé (construit)</t>
  </si>
  <si>
    <t>Unprotected well</t>
  </si>
  <si>
    <t>Puit non protégé</t>
  </si>
  <si>
    <t>Water course</t>
  </si>
  <si>
    <t>Cours d’eau  (rivière/lac)</t>
  </si>
  <si>
    <t>Rain water</t>
  </si>
  <si>
    <t>Eau de pluie</t>
  </si>
  <si>
    <t>Vendor/tank truck</t>
  </si>
  <si>
    <t>Vendeur/ camion citerne</t>
  </si>
  <si>
    <t>Autre : ___</t>
  </si>
  <si>
    <t>toilet_list</t>
  </si>
  <si>
    <t>Indoors, private</t>
  </si>
  <si>
    <t>Interieur privé</t>
  </si>
  <si>
    <t>Outdoors, private</t>
  </si>
  <si>
    <t>Extérieur privé</t>
  </si>
  <si>
    <t>Shared with multiple houses</t>
  </si>
  <si>
    <t>Commun a plusieurs ménages</t>
  </si>
  <si>
    <t>Other...</t>
  </si>
  <si>
    <t>asset_list</t>
  </si>
  <si>
    <t>Machette</t>
  </si>
  <si>
    <t>Hoe</t>
  </si>
  <si>
    <t>Houe</t>
  </si>
  <si>
    <t>Bicycle</t>
  </si>
  <si>
    <t>Vélo</t>
  </si>
  <si>
    <t>Radio</t>
  </si>
  <si>
    <t>Téléphone portable</t>
  </si>
  <si>
    <t>Casserole</t>
  </si>
  <si>
    <t>Bed</t>
  </si>
  <si>
    <t>Lit</t>
  </si>
  <si>
    <t>Mattres</t>
  </si>
  <si>
    <t>Matelas</t>
  </si>
  <si>
    <t>SECTIONB</t>
  </si>
  <si>
    <t>General</t>
  </si>
  <si>
    <t xml:space="preserve"> select_one yes_no</t>
  </si>
  <si>
    <t>instr_plots</t>
  </si>
  <si>
    <t>Please, put these markers on the ground to make a map of all the land your household owns, or has access to for farming</t>
  </si>
  <si>
    <t>How many plots do you have?</t>
  </si>
  <si>
    <t>.&lt;10</t>
  </si>
  <si>
    <t>begin repeat</t>
  </si>
  <si>
    <t>Plots</t>
  </si>
  <si>
    <t>Champs</t>
  </si>
  <si>
    <t>instr_plots_2</t>
  </si>
  <si>
    <t>Pick up a marker, and answer all questions for the field the marker belongs to.</t>
  </si>
  <si>
    <t>How far is the plot from your house?</t>
  </si>
  <si>
    <t>Enter the minutes walking</t>
  </si>
  <si>
    <t>Notez la distance en minutes, en pied, aller seulement</t>
  </si>
  <si>
    <t>.&lt;1000</t>
  </si>
  <si>
    <t>decimal</t>
  </si>
  <si>
    <t>How long is the plot?</t>
  </si>
  <si>
    <t>Enter length in metres</t>
  </si>
  <si>
    <t>Notez la longeur en metres</t>
  </si>
  <si>
    <t>How wide is the plot?</t>
  </si>
  <si>
    <t>Enter width in metres</t>
  </si>
  <si>
    <t>Notez la largeur en metres</t>
  </si>
  <si>
    <t>select_one landuse_list</t>
  </si>
  <si>
    <t>Specify other</t>
  </si>
  <si>
    <t>Units</t>
  </si>
  <si>
    <t>select_multiple household_list</t>
  </si>
  <si>
    <t>How many days</t>
  </si>
  <si>
    <t>select_one currency_list</t>
  </si>
  <si>
    <t>Unit</t>
  </si>
  <si>
    <t>How many persons?</t>
  </si>
  <si>
    <t>specify other</t>
  </si>
  <si>
    <t>How much did you sow</t>
  </si>
  <si>
    <t>select_one units_volume</t>
  </si>
  <si>
    <t>Please indicate the unit.</t>
  </si>
  <si>
    <t>How much did you harvest?</t>
  </si>
  <si>
    <t>How much did you sell?</t>
  </si>
  <si>
    <t>What is the price?</t>
  </si>
  <si>
    <t>Enter the unit and currency below</t>
  </si>
  <si>
    <t>What currency?</t>
  </si>
  <si>
    <t>What unit?</t>
  </si>
  <si>
    <t>select_one markettiming_list</t>
  </si>
  <si>
    <t>When did you sell?</t>
  </si>
  <si>
    <t>select_one marketing_list</t>
  </si>
  <si>
    <t>Where did you sell?</t>
  </si>
  <si>
    <t>inorganic fertilizer</t>
  </si>
  <si>
    <t>Enter "98" if respondent does not know</t>
  </si>
  <si>
    <t>Currcency</t>
  </si>
  <si>
    <t>organic fertilizer</t>
  </si>
  <si>
    <t>engrais organique</t>
  </si>
  <si>
    <t>end repeat</t>
  </si>
  <si>
    <t>crop_list</t>
  </si>
  <si>
    <t>Cassava</t>
  </si>
  <si>
    <t>Sweet Potato</t>
  </si>
  <si>
    <t>Patate Douce</t>
  </si>
  <si>
    <t>Rice</t>
  </si>
  <si>
    <t>Riz</t>
  </si>
  <si>
    <t>Maize</t>
  </si>
  <si>
    <t>Mais</t>
  </si>
  <si>
    <t>Sorghum</t>
  </si>
  <si>
    <t>Sorgho</t>
  </si>
  <si>
    <t>Potato</t>
  </si>
  <si>
    <t>Pommes de terre</t>
  </si>
  <si>
    <t>Beans</t>
  </si>
  <si>
    <t>Haricots</t>
  </si>
  <si>
    <t>Groundnuts</t>
  </si>
  <si>
    <t>Arachides</t>
  </si>
  <si>
    <t>Sugarcane</t>
  </si>
  <si>
    <t>Canne à sucre</t>
  </si>
  <si>
    <t>Colcaze</t>
  </si>
  <si>
    <t>Banana</t>
  </si>
  <si>
    <t>Bananière</t>
  </si>
  <si>
    <t>Coffee</t>
  </si>
  <si>
    <t>Café</t>
  </si>
  <si>
    <t>Oil Palm</t>
  </si>
  <si>
    <t>Huile de palme</t>
  </si>
  <si>
    <t>Aucun</t>
  </si>
  <si>
    <t>currency_list</t>
  </si>
  <si>
    <t>USD</t>
  </si>
  <si>
    <t>FC</t>
  </si>
  <si>
    <t>Manioc</t>
  </si>
  <si>
    <t>units_volume</t>
  </si>
  <si>
    <t>Piece</t>
  </si>
  <si>
    <t>Kilo</t>
  </si>
  <si>
    <t>Litre</t>
  </si>
  <si>
    <t>Coroboyi</t>
  </si>
  <si>
    <t>Guigoz</t>
  </si>
  <si>
    <t>Verre</t>
  </si>
  <si>
    <t>Boîte</t>
  </si>
  <si>
    <t>Namaha</t>
  </si>
  <si>
    <t>Kidwere / basin</t>
  </si>
  <si>
    <t>Regime (banane)</t>
  </si>
  <si>
    <t>Fagot</t>
  </si>
  <si>
    <t>Panier</t>
  </si>
  <si>
    <t>Sac de 25 kg</t>
  </si>
  <si>
    <t>Sac de 50kg</t>
  </si>
  <si>
    <t>Sac de 100 kg</t>
  </si>
  <si>
    <t>Bidon</t>
  </si>
  <si>
    <t>Stère</t>
  </si>
  <si>
    <t>Bumba</t>
  </si>
  <si>
    <t>Caisse (bouteilles)</t>
  </si>
  <si>
    <t>landuse_list</t>
  </si>
  <si>
    <t>Cultivated by household</t>
  </si>
  <si>
    <t>Cultivé par ménage</t>
  </si>
  <si>
    <t>Barren</t>
  </si>
  <si>
    <t>Pas de production</t>
  </si>
  <si>
    <t>Leased out</t>
  </si>
  <si>
    <t>Loué a des autres</t>
  </si>
  <si>
    <t>soilqual_list</t>
  </si>
  <si>
    <t>Very fertile</t>
  </si>
  <si>
    <t>Très fertile</t>
  </si>
  <si>
    <t>Fertile</t>
  </si>
  <si>
    <t>Normal</t>
  </si>
  <si>
    <t>Infertile</t>
  </si>
  <si>
    <t>Pas fertile</t>
  </si>
  <si>
    <t>Very infertile</t>
  </si>
  <si>
    <t>Pas du tout fertile</t>
  </si>
  <si>
    <t>Don't Know</t>
  </si>
  <si>
    <t>landaccess_list</t>
  </si>
  <si>
    <t>Property of household</t>
  </si>
  <si>
    <t>Proprieté du ménage</t>
  </si>
  <si>
    <t>Communal</t>
  </si>
  <si>
    <t>Rented, long-term</t>
  </si>
  <si>
    <t>Loué longue durée</t>
  </si>
  <si>
    <t>Rented, short-term</t>
  </si>
  <si>
    <t>Loué, brève durée</t>
  </si>
  <si>
    <t>acquired_list</t>
  </si>
  <si>
    <t>Bought</t>
  </si>
  <si>
    <t>Acheté</t>
  </si>
  <si>
    <t>Inherited</t>
  </si>
  <si>
    <t>Herité</t>
  </si>
  <si>
    <t>Family land</t>
  </si>
  <si>
    <t>Terre du famille</t>
  </si>
  <si>
    <t>Gifted</t>
  </si>
  <si>
    <t>Donne</t>
  </si>
  <si>
    <t>ownership_list</t>
  </si>
  <si>
    <t>Mwami</t>
  </si>
  <si>
    <t>Village Chief</t>
  </si>
  <si>
    <t>Chef de vullage</t>
  </si>
  <si>
    <t>Someone else in the village</t>
  </si>
  <si>
    <t>Quelqu'un d'autre de la village</t>
  </si>
  <si>
    <t>units_payment_land</t>
  </si>
  <si>
    <t xml:space="preserve">USD </t>
  </si>
  <si>
    <t>Goat</t>
  </si>
  <si>
    <t>Chèvre</t>
  </si>
  <si>
    <t>markettiming_list</t>
  </si>
  <si>
    <t>Before harvest</t>
  </si>
  <si>
    <t>Avant la récolte</t>
  </si>
  <si>
    <t>Less than two weeks after harvest</t>
  </si>
  <si>
    <t>Moins que 2 semains après la récolte</t>
  </si>
  <si>
    <t>More than two weeks after harvest</t>
  </si>
  <si>
    <t>Plus que 2 semains après la récolte</t>
  </si>
  <si>
    <t>marketing_list</t>
  </si>
  <si>
    <t>Side of the road</t>
  </si>
  <si>
    <t>À coté de la route</t>
  </si>
  <si>
    <t>Market</t>
  </si>
  <si>
    <t>Au marché</t>
  </si>
  <si>
    <t>Trader</t>
  </si>
  <si>
    <t>Commerçant</t>
  </si>
  <si>
    <t>Cooperative</t>
  </si>
  <si>
    <t>tech_access</t>
  </si>
  <si>
    <t>Bought from savings</t>
  </si>
  <si>
    <t>Acheté avec épargnes</t>
  </si>
  <si>
    <t>Bought on credit</t>
  </si>
  <si>
    <t>Acheté de crédit</t>
  </si>
  <si>
    <t>Gift from NGO</t>
  </si>
  <si>
    <t>Donne d'ONG</t>
  </si>
  <si>
    <t>fert_list</t>
  </si>
  <si>
    <t>Did your household take a loan or credit in the last 12 months?</t>
  </si>
  <si>
    <t>select_multiple credit_restr_list</t>
  </si>
  <si>
    <t>Why not?</t>
  </si>
  <si>
    <t>select_multiple credit_who_list</t>
  </si>
  <si>
    <t>Who did you borrow from?</t>
  </si>
  <si>
    <t>select_multiple credit_why_list</t>
  </si>
  <si>
    <t>What have you taken a loan for?</t>
  </si>
  <si>
    <t>select_multiple borrow_who_list</t>
  </si>
  <si>
    <t>To whom?</t>
  </si>
  <si>
    <t>Does your household have a savings account or another form of savings?</t>
  </si>
  <si>
    <t>select_multiple saving_type_list</t>
  </si>
  <si>
    <t>What type?</t>
  </si>
  <si>
    <t>credit_restr_list</t>
  </si>
  <si>
    <t>Interest rate too high</t>
  </si>
  <si>
    <t>Interêt trop haut</t>
  </si>
  <si>
    <t>No collateral</t>
  </si>
  <si>
    <t>Pas de garantie</t>
  </si>
  <si>
    <t>Too risky</t>
  </si>
  <si>
    <t>Trop de risque</t>
  </si>
  <si>
    <t>No credit institutions</t>
  </si>
  <si>
    <t>Pas d'institutions de crédit</t>
  </si>
  <si>
    <t>Don't need it</t>
  </si>
  <si>
    <t>Pas de besoin</t>
  </si>
  <si>
    <t>credit_who_list</t>
  </si>
  <si>
    <t>Family</t>
  </si>
  <si>
    <t>Famille</t>
  </si>
  <si>
    <t>Friend</t>
  </si>
  <si>
    <t>Amis</t>
  </si>
  <si>
    <t>Bank</t>
  </si>
  <si>
    <t>Banque</t>
  </si>
  <si>
    <t>Money lender</t>
  </si>
  <si>
    <t>credit_why_list</t>
  </si>
  <si>
    <t>Food</t>
  </si>
  <si>
    <t>Nourriture</t>
  </si>
  <si>
    <t>Marriage</t>
  </si>
  <si>
    <t>Mariage</t>
  </si>
  <si>
    <t>Other social case</t>
  </si>
  <si>
    <t>Autre cas sociaux</t>
  </si>
  <si>
    <t>Education</t>
  </si>
  <si>
    <t>Minerval/prime/fournitures scolaires</t>
  </si>
  <si>
    <t>Agricultural inputs</t>
  </si>
  <si>
    <t>Entrants agricol</t>
  </si>
  <si>
    <t>Tools</t>
  </si>
  <si>
    <t>Outils/équipement</t>
  </si>
  <si>
    <t>Construction</t>
  </si>
  <si>
    <t>Construction de batiments</t>
  </si>
  <si>
    <t>Purchase of livestock</t>
  </si>
  <si>
    <t>Achat de bétail</t>
  </si>
  <si>
    <t>Purchase of land</t>
  </si>
  <si>
    <t>Achat de champs</t>
  </si>
  <si>
    <t>borrow_who_list</t>
  </si>
  <si>
    <t>Friends</t>
  </si>
  <si>
    <t>Business partner</t>
  </si>
  <si>
    <t>Partenaire de commerce</t>
  </si>
  <si>
    <t>saving_type_list</t>
  </si>
  <si>
    <t>CREDIT</t>
  </si>
  <si>
    <t>Télévision</t>
  </si>
  <si>
    <t>freq_list</t>
  </si>
  <si>
    <t>Never</t>
  </si>
  <si>
    <t>Jamais</t>
  </si>
  <si>
    <t>Several times a year</t>
  </si>
  <si>
    <t>Quelques fois par année</t>
  </si>
  <si>
    <t>Several times a month</t>
  </si>
  <si>
    <t>Quelques fois par mois</t>
  </si>
  <si>
    <t>Several times a week</t>
  </si>
  <si>
    <t>Quelque fois par semaine</t>
  </si>
  <si>
    <t>Daily</t>
  </si>
  <si>
    <t>Chaque jour</t>
  </si>
  <si>
    <t>constraint_message::Français</t>
  </si>
  <si>
    <t>form_title</t>
  </si>
  <si>
    <t>form_id</t>
  </si>
  <si>
    <t>public_key</t>
  </si>
  <si>
    <t>submission_url</t>
  </si>
  <si>
    <t>default_language</t>
  </si>
  <si>
    <t>Français</t>
  </si>
  <si>
    <t>Moto</t>
  </si>
  <si>
    <t>Communutaire</t>
  </si>
  <si>
    <t>plottype_list</t>
  </si>
  <si>
    <t>Marais</t>
  </si>
  <si>
    <t>Plateau</t>
  </si>
  <si>
    <t>Swamp</t>
  </si>
  <si>
    <t>Upland</t>
  </si>
  <si>
    <t>work</t>
  </si>
  <si>
    <t>Labour</t>
  </si>
  <si>
    <t>Travail</t>
  </si>
  <si>
    <t>ses_note</t>
  </si>
  <si>
    <t>plots</t>
  </si>
  <si>
    <t>You will be asked the names of all household members. These names will be used in the rest of the interview, so make sure to include everyone.</t>
  </si>
  <si>
    <t>A</t>
  </si>
  <si>
    <t>B</t>
  </si>
  <si>
    <t>headborn</t>
  </si>
  <si>
    <t>familylong</t>
  </si>
  <si>
    <t>houseown</t>
  </si>
  <si>
    <t>rentprice</t>
  </si>
  <si>
    <t>wallmat</t>
  </si>
  <si>
    <t>roofmat</t>
  </si>
  <si>
    <t>floormat</t>
  </si>
  <si>
    <t>waterdist</t>
  </si>
  <si>
    <t>watertype</t>
  </si>
  <si>
    <t>sanitation</t>
  </si>
  <si>
    <t>Dimensions</t>
  </si>
  <si>
    <t>C</t>
  </si>
  <si>
    <t>numberplots</t>
  </si>
  <si>
    <t>dim</t>
  </si>
  <si>
    <t>distance</t>
  </si>
  <si>
    <t>long</t>
  </si>
  <si>
    <t>wide</t>
  </si>
  <si>
    <t>use</t>
  </si>
  <si>
    <t>Land use and Access</t>
  </si>
  <si>
    <t>Utilisation et access de champ</t>
  </si>
  <si>
    <t>pay</t>
  </si>
  <si>
    <t>plotpay</t>
  </si>
  <si>
    <t>Payments for acces</t>
  </si>
  <si>
    <t>Paiements pour l'access</t>
  </si>
  <si>
    <t>parjourdays</t>
  </si>
  <si>
    <t>Unités dans le prochain page</t>
  </si>
  <si>
    <t xml:space="preserve">If no sale, enter 0. </t>
  </si>
  <si>
    <t>Notez l'unité de mesure.</t>
  </si>
  <si>
    <t>credit_note</t>
  </si>
  <si>
    <t>credityn</t>
  </si>
  <si>
    <t>creditrestr</t>
  </si>
  <si>
    <t>creditwho</t>
  </si>
  <si>
    <t>creditwhy</t>
  </si>
  <si>
    <t>borrowyn</t>
  </si>
  <si>
    <t>borrowwho</t>
  </si>
  <si>
    <t>savingyn</t>
  </si>
  <si>
    <t>savingtype</t>
  </si>
  <si>
    <t>E</t>
  </si>
  <si>
    <t xml:space="preserve">Si pas de vente, notez 0. 
</t>
  </si>
  <si>
    <t>Notez l'unité de monnaie
Par exemple, si le prix est 10 dollar par kilo, notez dollar ici et les unités de mesure (kg) dans le page prochaine</t>
  </si>
  <si>
    <t>Notez le mesure d'unités utilisé par l'enqueté
Par exemple, si le prix est 10 dollar par kilo, notez KG ici.</t>
  </si>
  <si>
    <t>Notez le quantité.
Par exemple, si le prix est 10 dollar par kilo, notez 10 ici et les unités de monnaie ($) et mesure (KG) dans les page prochaines</t>
  </si>
  <si>
    <t>Preteur d'argent</t>
  </si>
  <si>
    <t>.&lt;=5</t>
  </si>
  <si>
    <t>Il faut rester avec les 5 champs les plus importants</t>
  </si>
  <si>
    <t>select_one surface_list</t>
  </si>
  <si>
    <t>Notez si le réponse est dans le format longeur/largeur ou superficie</t>
  </si>
  <si>
    <t>Enter if the response is in the format length/with or in surface</t>
  </si>
  <si>
    <t>surface</t>
  </si>
  <si>
    <t>Notez l'unité de mesure dans le prochaine page</t>
  </si>
  <si>
    <t>select_one surfaceunits_list</t>
  </si>
  <si>
    <t>surfaceunits</t>
  </si>
  <si>
    <t>What is the area</t>
  </si>
  <si>
    <t>How large is the plot?</t>
  </si>
  <si>
    <t>What is the unit of measurement?</t>
  </si>
  <si>
    <t>Agriculture</t>
  </si>
  <si>
    <t>surface_list</t>
  </si>
  <si>
    <t>Meter x meter</t>
  </si>
  <si>
    <t>Surface</t>
  </si>
  <si>
    <t>Metre x metre (deux chiffres)</t>
  </si>
  <si>
    <t>Surface (1 chiffre, une unité)</t>
  </si>
  <si>
    <t>surfaceunits_list</t>
  </si>
  <si>
    <t>Metre carré</t>
  </si>
  <si>
    <t>Square meter</t>
  </si>
  <si>
    <t>Carré</t>
  </si>
  <si>
    <t>Are</t>
  </si>
  <si>
    <t>Hectare</t>
  </si>
  <si>
    <t>surfaceformat</t>
  </si>
  <si>
    <t>select_one seedsupply_list</t>
  </si>
  <si>
    <t>seedsupply_list</t>
  </si>
  <si>
    <t>Own production</t>
  </si>
  <si>
    <t>Gift of NGO</t>
  </si>
  <si>
    <t>Exchanged with another farmer</t>
  </si>
  <si>
    <t>Gift from another farmer</t>
  </si>
  <si>
    <t>Bought from trader</t>
  </si>
  <si>
    <t>Bought from another farmer</t>
  </si>
  <si>
    <t>Propre production</t>
  </si>
  <si>
    <t>Acheté d'un commerçant</t>
  </si>
  <si>
    <t>Acheté d'un autre agriculteur</t>
  </si>
  <si>
    <t>Exchangé avec un autre agriculteur</t>
  </si>
  <si>
    <t>Donne d'un autre agriculteur</t>
  </si>
  <si>
    <t>Donne d'un ONG</t>
  </si>
  <si>
    <t>Soja</t>
  </si>
  <si>
    <t>Soy beans</t>
  </si>
  <si>
    <t>Chef de village</t>
  </si>
  <si>
    <t>Notable</t>
  </si>
  <si>
    <t>Leader de jeunes</t>
  </si>
  <si>
    <t>Leader des femmes</t>
  </si>
  <si>
    <t>Leader religieux</t>
  </si>
  <si>
    <t>Leader tribal</t>
  </si>
  <si>
    <t>Je vais vous demander les noms de tous les membres du ménage. Ces soms seront utilisé dans le reste du questionnaire, donc assurez vous d'inclure tous.</t>
  </si>
  <si>
    <t>Nom</t>
  </si>
  <si>
    <t/>
  </si>
  <si>
    <t>Est-ce que l'age est exacte ou approximatif?</t>
  </si>
  <si>
    <t>Autre religion</t>
  </si>
  <si>
    <t>Autre langue</t>
  </si>
  <si>
    <t>Specifiez</t>
  </si>
  <si>
    <t>Maintenant, je vais poser quelques questions sur votre histoire, et votre maison.</t>
  </si>
  <si>
    <t>Est-ce que le chef de ménage est née dans le village</t>
  </si>
  <si>
    <t>Est-ce que le ménage posède ou loue la maison?</t>
  </si>
  <si>
    <t>Combien est-ce que vous payez par moi pour louer?</t>
  </si>
  <si>
    <t>Unités</t>
  </si>
  <si>
    <t>Quel est le material des murs?</t>
  </si>
  <si>
    <t>Quel est la nature de toiture?</t>
  </si>
  <si>
    <t>Quel est la source d’approvisionnement en eau potable principal ?</t>
  </si>
  <si>
    <t>Distance d’eau</t>
  </si>
  <si>
    <t>Quel est le type de toilet?</t>
  </si>
  <si>
    <t>Combien des champs avez-vous?</t>
  </si>
  <si>
    <t>Quelle est la distance du champ de votre maison?</t>
  </si>
  <si>
    <t>Quelle est la taille du champ?</t>
  </si>
  <si>
    <t>Quelle est la longeur du champs?</t>
  </si>
  <si>
    <t>Quelle est la largeur du champs?</t>
  </si>
  <si>
    <t>Quelle est la superficie du champ?</t>
  </si>
  <si>
    <t>Quelle est l'unité de mesure?</t>
  </si>
  <si>
    <t>Which member worked on the plot?</t>
  </si>
  <si>
    <t>Quels membres ont travaillé sur le champ?</t>
  </si>
  <si>
    <t>Unité de monnaie</t>
  </si>
  <si>
    <t>Unité</t>
  </si>
  <si>
    <t>Pour quel prix avez-vous vendu la récolte?</t>
  </si>
  <si>
    <t>Monnaie</t>
  </si>
  <si>
    <t>Quand est-ce que vous avez vendu la récolte?</t>
  </si>
  <si>
    <t>Ou est-ce que vous avez vendu la récolte?</t>
  </si>
  <si>
    <t>Unité de mesure</t>
  </si>
  <si>
    <t>Je vais poser quelques question sur le credit et epargne de votre ménage</t>
  </si>
  <si>
    <t>Est- ce que votre ménage a emprunté l’argent oú pris un credit pendant les 12 mois passé ?</t>
  </si>
  <si>
    <t>Pourquoi pas</t>
  </si>
  <si>
    <t>De qui vous avez emprunté?</t>
  </si>
  <si>
    <t>Pour quel objective(s)?</t>
  </si>
  <si>
    <t>À qui?</t>
  </si>
  <si>
    <t>Est-ce que votre ménage a un compte bancaire ou un autre forme d'epargne?</t>
  </si>
  <si>
    <t>Quel type(s)?</t>
  </si>
  <si>
    <t>Cow peas</t>
  </si>
  <si>
    <t>parentstatus_list</t>
  </si>
  <si>
    <t>Wife had more</t>
  </si>
  <si>
    <t>Famille de la femme avait plus</t>
  </si>
  <si>
    <t>The same</t>
  </si>
  <si>
    <t>Les deux familles avaient le même</t>
  </si>
  <si>
    <t>Husband had more</t>
  </si>
  <si>
    <t>Famille d'homme avait plus</t>
  </si>
  <si>
    <t>marriage_list</t>
  </si>
  <si>
    <t>Union Libre</t>
  </si>
  <si>
    <t>Union Civil</t>
  </si>
  <si>
    <t>Union Religeuse</t>
  </si>
  <si>
    <t>marriageprov_list</t>
  </si>
  <si>
    <t>Food and Gifts</t>
  </si>
  <si>
    <t>Nourriture et autres dons</t>
  </si>
  <si>
    <t>husbandwife_list</t>
  </si>
  <si>
    <t>Husband</t>
  </si>
  <si>
    <t>Homme</t>
  </si>
  <si>
    <t>Wife</t>
  </si>
  <si>
    <t>Femme</t>
  </si>
  <si>
    <t>Both</t>
  </si>
  <si>
    <t>Les deux</t>
  </si>
  <si>
    <t>plotdecide</t>
  </si>
  <si>
    <t>Which household member has the most say in the decisions regarding this plot?</t>
  </si>
  <si>
    <t>Quel membre de ménage a le pouvoir des decisions plus grande concernant ce champ?</t>
  </si>
  <si>
    <t>For every marker I will ask questions</t>
  </si>
  <si>
    <t>Si on avait pas encore recolté, il faut estimer la prouction.
Notez la quantité. Untiés dans le page prochain.</t>
  </si>
  <si>
    <t>harvestyn_list</t>
  </si>
  <si>
    <t>Not at all</t>
  </si>
  <si>
    <t>I have started, but have not finished</t>
  </si>
  <si>
    <t>Fini la récolte</t>
  </si>
  <si>
    <t>Yes, finished harvesting</t>
  </si>
  <si>
    <t>select_one harvestyn_list</t>
  </si>
  <si>
    <t>Commencé la récolte, mais pas fini (information sur récolte et vente seront estimations)</t>
  </si>
  <si>
    <t>Have you finished harvesting this crop?</t>
  </si>
  <si>
    <t>Est que vous avez déja fini la récolte de cette culture?</t>
  </si>
  <si>
    <t>What is the name of the person?</t>
  </si>
  <si>
    <t>What is the name of the NGO?</t>
  </si>
  <si>
    <t>Quel est le nom d'ONG?</t>
  </si>
  <si>
    <t>Quel est le nom de personne?</t>
  </si>
  <si>
    <t>note_agr_otherquestions</t>
  </si>
  <si>
    <t>I will now ask questions on the dimensions of the plot, the access to the plot, who worked on the plot, and on which inputs have been used on the plot.</t>
  </si>
  <si>
    <t>D'abord, je vais vous poser questions sur les dimensions du champ, sur l'access au champ, sur qui a travaille sur ce champ, et quelle intrants sont utilisé sur ce champ.</t>
  </si>
  <si>
    <t>instr_plot_1</t>
  </si>
  <si>
    <t>Dini ingine?</t>
  </si>
  <si>
    <t>Luga ingine?</t>
  </si>
  <si>
    <t>Pana mwangaza</t>
  </si>
  <si>
    <t>Je! mkubwa wa jamaa alizaliwa ndani ya kijiji hiki?</t>
  </si>
  <si>
    <t>Je! wewe au jamaa lako munanyumba au munapanga?</t>
  </si>
  <si>
    <t>Munalipa ngapi kwa mwezi?</t>
  </si>
  <si>
    <t>munalipaka nini?</t>
  </si>
  <si>
    <t>Vibambazi vya nyumba vimejengwa na nini?</t>
  </si>
  <si>
    <t>Nyumba yenu inafunikiwa na nini?</t>
  </si>
  <si>
    <t>Sakafu inajengwa na nini?</t>
  </si>
  <si>
    <t>Pana mwangaza (Fafanuwa)</t>
  </si>
  <si>
    <t>Munafanya saa ngapi kwa kuenda kushota mayi?</t>
  </si>
  <si>
    <t>Munatumikisha aina gani ya choo?</t>
  </si>
  <si>
    <t>Una shamba ngapi?</t>
  </si>
  <si>
    <t>Kutoka ku nyumba yako mpaka ku shamba ku na umbali gani?</t>
  </si>
  <si>
    <t xml:space="preserve">Hii shamba ina ukabwa gani? </t>
  </si>
  <si>
    <t>Hii shamba ina urefu gani?</t>
  </si>
  <si>
    <t>munatumikisha kipimo gani?</t>
  </si>
  <si>
    <t>Matumizi ya  udongo na namna ya kuupata</t>
  </si>
  <si>
    <t>Malipo juu ya kutumikisha udongo</t>
  </si>
  <si>
    <t>Wanamembe gani wa jamaa ambao walitumika ndani ya shamba</t>
  </si>
  <si>
    <t>Ulitumikisha mfanyakazi kwa siku ngapi?</t>
  </si>
  <si>
    <t>Kipimo</t>
  </si>
  <si>
    <t>Ulipata mavuno kiasi gani?</t>
  </si>
  <si>
    <t>kipimo</t>
  </si>
  <si>
    <t>Uliuzisha mavuno kiasi gani?</t>
  </si>
  <si>
    <t>Uliuzisha mavuno kwa bei gani?</t>
  </si>
  <si>
    <t>Pesa gani</t>
  </si>
  <si>
    <t>Uliuzisha kwa kipimo gani?</t>
  </si>
  <si>
    <t>Uliuzisha hii mavuno wakati gani?</t>
  </si>
  <si>
    <t>Uliuzisha hii mavuno wapi?</t>
  </si>
  <si>
    <t>Kipimo ya pesa (franga)</t>
  </si>
  <si>
    <t>Mbolea kutoka majivu na mavi ya wanyama</t>
  </si>
  <si>
    <t>Ninataka kuuliza maswali machache kuhusu mikopo na akiba ya jamaa yako?</t>
  </si>
  <si>
    <t>Je! jamaa yako ilikopa franga (pesa) ama ilikamata mkopo mu myezi kumi na mbili iliyo pita?</t>
  </si>
  <si>
    <t>Juu ya nini apana?</t>
  </si>
  <si>
    <t>Ulikopa kwa nani?</t>
  </si>
  <si>
    <t>Juu ya nini unatumia mkopo?</t>
  </si>
  <si>
    <t>Je! jamaa yako ilikopesha franga (pesa) kwa mtu mwengine?</t>
  </si>
  <si>
    <t>Nani?</t>
  </si>
  <si>
    <t>Je, jamaa yako ina akaunti kwenye benki (Banque)  au aina nyingine ya kuekesha (kuchunga) pesa?</t>
  </si>
  <si>
    <t>Aina gani?</t>
  </si>
  <si>
    <t>French_lab</t>
  </si>
  <si>
    <t>Swahililab</t>
  </si>
  <si>
    <t>ndiyo</t>
  </si>
  <si>
    <t>hapana</t>
  </si>
  <si>
    <t>hakuna</t>
  </si>
  <si>
    <t>kidogo</t>
  </si>
  <si>
    <t>Chini ya nusu</t>
  </si>
  <si>
    <t>nusu</t>
  </si>
  <si>
    <t>zaidi ya nusu</t>
  </si>
  <si>
    <t>vyote</t>
  </si>
  <si>
    <t>kamwe</t>
  </si>
  <si>
    <t>Mara mingi kwa mwaka</t>
  </si>
  <si>
    <t>Mara mingi kwa mwezi</t>
  </si>
  <si>
    <t>Mara mingi kwa juma</t>
  </si>
  <si>
    <t>kila siku</t>
  </si>
  <si>
    <t>muhogo</t>
  </si>
  <si>
    <t>viazi</t>
  </si>
  <si>
    <t>mupunga</t>
  </si>
  <si>
    <t>mihindi</t>
  </si>
  <si>
    <t>mtama</t>
  </si>
  <si>
    <t>viazi ulaya (Pommes de terre)</t>
  </si>
  <si>
    <t>maharagi</t>
  </si>
  <si>
    <t>soja</t>
  </si>
  <si>
    <t>kalanga</t>
  </si>
  <si>
    <t>miwa</t>
  </si>
  <si>
    <t>ndizi</t>
  </si>
  <si>
    <t>kawa</t>
  </si>
  <si>
    <t>mawese/ mafuta ya ngazi</t>
  </si>
  <si>
    <t>vitu</t>
  </si>
  <si>
    <t>kilo</t>
  </si>
  <si>
    <t>litre</t>
  </si>
  <si>
    <t>coroboyi</t>
  </si>
  <si>
    <t>kigozi</t>
  </si>
  <si>
    <t>kijani</t>
  </si>
  <si>
    <t>Boite/ carton</t>
  </si>
  <si>
    <t>bassin</t>
  </si>
  <si>
    <t>mugungu wa ndizi</t>
  </si>
  <si>
    <t>kuni</t>
  </si>
  <si>
    <t>Kitunga</t>
  </si>
  <si>
    <t>mfuko/ saki ya 25kg</t>
  </si>
  <si>
    <t>mfuko/ saki ya 50kg</t>
  </si>
  <si>
    <t>mfuko/ saki ya 100kg</t>
  </si>
  <si>
    <t>bidon</t>
  </si>
  <si>
    <t>stere</t>
  </si>
  <si>
    <t>Casier/ caisse (chupa)</t>
  </si>
  <si>
    <t>vitu vingine, taja</t>
  </si>
  <si>
    <t>hajuwi</t>
  </si>
  <si>
    <t>Mukahaji wa miako yote</t>
  </si>
  <si>
    <t>Mugeni</t>
  </si>
  <si>
    <t>Hayupo</t>
  </si>
  <si>
    <t>Mwengine</t>
  </si>
  <si>
    <t>Sijuwe</t>
  </si>
  <si>
    <t>Nakataa</t>
  </si>
  <si>
    <t>hint::Swahili</t>
  </si>
  <si>
    <t>constraint_message::Swahili</t>
  </si>
  <si>
    <t>soccapnote</t>
  </si>
  <si>
    <t>Please indicate the extent to which you agree with the following statements</t>
  </si>
  <si>
    <t>select_one agree_list</t>
  </si>
  <si>
    <t>res_chef</t>
  </si>
  <si>
    <t>I have a lot of respect for our village chief</t>
  </si>
  <si>
    <t>help_chef</t>
  </si>
  <si>
    <t>I can turn to our village chief if I need help</t>
  </si>
  <si>
    <t>int_chef</t>
  </si>
  <si>
    <t>Our village chief can act in my interest</t>
  </si>
  <si>
    <t>res_mwa</t>
  </si>
  <si>
    <t>I have a lot of respect for our mwami</t>
  </si>
  <si>
    <t>help_mwa</t>
  </si>
  <si>
    <t>I can turn to our mwami if I need help</t>
  </si>
  <si>
    <t>int_mwa</t>
  </si>
  <si>
    <t>Our mwami can act in my interest</t>
  </si>
  <si>
    <t>res_pol</t>
  </si>
  <si>
    <t>I have a lot of respect for our national politicians</t>
  </si>
  <si>
    <t>help_pol</t>
  </si>
  <si>
    <t>I can turn to oue national politicians if I need help</t>
  </si>
  <si>
    <t>int_pol</t>
  </si>
  <si>
    <t xml:space="preserve"> Our national politicians can act in my interest</t>
  </si>
  <si>
    <t>I</t>
  </si>
  <si>
    <t>GOVERNANCE</t>
  </si>
  <si>
    <t>decision_list</t>
  </si>
  <si>
    <t>More than other</t>
  </si>
  <si>
    <t>Plus que les autres</t>
  </si>
  <si>
    <t>Same as others</t>
  </si>
  <si>
    <t>Le même comme les autres</t>
  </si>
  <si>
    <t>less than others</t>
  </si>
  <si>
    <t>Moins  que les autres</t>
  </si>
  <si>
    <t>Pas du tout</t>
  </si>
  <si>
    <t>agree_list</t>
  </si>
  <si>
    <t>Strongly agree</t>
  </si>
  <si>
    <t>Tout à fait d'accord</t>
  </si>
  <si>
    <t>Agree</t>
  </si>
  <si>
    <t>Neutral</t>
  </si>
  <si>
    <t>Neutre</t>
  </si>
  <si>
    <t>Disagree</t>
  </si>
  <si>
    <t>Strongly disagree</t>
  </si>
  <si>
    <t xml:space="preserve">Tout à fait pas d'accord </t>
  </si>
  <si>
    <t>Même si l'enquêté n'a pas acheté, il peut savoir le prix.
Notez 98 si l'enquêté ne sait pas.
Unités de monnaie et mesure dans les pages prochaines</t>
  </si>
  <si>
    <t>Sympal (poudre gris)</t>
  </si>
  <si>
    <t>TSP (granules gris)</t>
  </si>
  <si>
    <t>NPK (granules gris)</t>
  </si>
  <si>
    <t>Urea (granues blanches)</t>
  </si>
  <si>
    <t>KCl (granules orange)</t>
  </si>
  <si>
    <t>DAP (granules noir)</t>
  </si>
  <si>
    <t>Amaranth</t>
  </si>
  <si>
    <t>Yam</t>
  </si>
  <si>
    <t>Lenga Lenga</t>
  </si>
  <si>
    <t>Household roster</t>
  </si>
  <si>
    <t>Union Coutumier</t>
  </si>
  <si>
    <t>nothh_list</t>
  </si>
  <si>
    <t>Died</t>
  </si>
  <si>
    <t>Décedé</t>
  </si>
  <si>
    <t>Lives elsewhere</t>
  </si>
  <si>
    <t>Ne plus marié</t>
  </si>
  <si>
    <t>Pas d'accord</t>
  </si>
  <si>
    <t>D'accord</t>
  </si>
  <si>
    <t>Hakuna</t>
  </si>
  <si>
    <t>Nilisoma shule ya msimgi kidogo</t>
  </si>
  <si>
    <t>Nilimaliza shule ya msimgi</t>
  </si>
  <si>
    <t>Nilisoma shule ya sekondari kidogo</t>
  </si>
  <si>
    <t>Nilimaliza shule ya sekondari</t>
  </si>
  <si>
    <t>Nilisoma chuo kikuu</t>
  </si>
  <si>
    <t>Masomo ya ufundi</t>
  </si>
  <si>
    <t>Sijuwi</t>
  </si>
  <si>
    <t>Kukataa</t>
  </si>
  <si>
    <t>Katoliki</t>
  </si>
  <si>
    <t>Muporo</t>
  </si>
  <si>
    <t>Muislamu</t>
  </si>
  <si>
    <t>Mukimbangu</t>
  </si>
  <si>
    <t>Ingine dini</t>
  </si>
  <si>
    <t>Kabila ingine</t>
  </si>
  <si>
    <t>Mkubwa wa kijiji</t>
  </si>
  <si>
    <t>Mushamuka</t>
  </si>
  <si>
    <t>Mkubwa wa vijana</t>
  </si>
  <si>
    <t>Mkubwa wa wamama</t>
  </si>
  <si>
    <t>Mkubwa wa dini</t>
  </si>
  <si>
    <t>Mkubwa wa kabila</t>
  </si>
  <si>
    <t>Muke</t>
  </si>
  <si>
    <t>Mtoto</t>
  </si>
  <si>
    <t>Mujukuu</t>
  </si>
  <si>
    <t>Muzazi</t>
  </si>
  <si>
    <t>Dada/ kaka</t>
  </si>
  <si>
    <t>Mwipwa</t>
  </si>
  <si>
    <t>Ndugu mwengine</t>
  </si>
  <si>
    <t>Asiye kuwa ndugu</t>
  </si>
  <si>
    <t>Jamaa la muke lilikuwa na zaidi</t>
  </si>
  <si>
    <t>Jamaa zote zilikuwa sawasawa</t>
  </si>
  <si>
    <t>Jamaa la mume lilikuwa na zaidi</t>
  </si>
  <si>
    <t>Cohabiting</t>
  </si>
  <si>
    <t>Civil Marriage</t>
  </si>
  <si>
    <t>Religious marriage</t>
  </si>
  <si>
    <t>Traditional marriage</t>
  </si>
  <si>
    <t>Mwanamke na mwanaume kuishi pamoja bila kuunga ndoa</t>
  </si>
  <si>
    <t>Ndoa ilio ungwa kiserkali</t>
  </si>
  <si>
    <t>Ndoa ilio ungwa kidini</t>
  </si>
  <si>
    <t>Ndoa ya asili</t>
  </si>
  <si>
    <t>Alikufa</t>
  </si>
  <si>
    <t>Divorced</t>
  </si>
  <si>
    <t>Aliachana na muke au mume</t>
  </si>
  <si>
    <t>Hayuko</t>
  </si>
  <si>
    <t>Mali</t>
  </si>
  <si>
    <t>Dot</t>
  </si>
  <si>
    <t>Dowry</t>
  </si>
  <si>
    <t>Chakula na zawadi (cadeaux)</t>
  </si>
  <si>
    <t>Mume</t>
  </si>
  <si>
    <t>Wote wawili</t>
  </si>
  <si>
    <t>Chini ya mwaka moja</t>
  </si>
  <si>
    <t>Kutoka mwaka 1 - 5</t>
  </si>
  <si>
    <t>Miaka 5 - 20</t>
  </si>
  <si>
    <t>Zaidi ya miaka 20</t>
  </si>
  <si>
    <t>Yangu</t>
  </si>
  <si>
    <t>Ninalipia</t>
  </si>
  <si>
    <t>Udongo</t>
  </si>
  <si>
    <t>Mbao</t>
  </si>
  <si>
    <t>Unburnt mud bricks</t>
  </si>
  <si>
    <t>Burnt mud bricks</t>
  </si>
  <si>
    <t>Matafali ya baridi</t>
  </si>
  <si>
    <t>Matafali ya kuchomwa</t>
  </si>
  <si>
    <t>Mchango wa ciment, changalawe na mchanga</t>
  </si>
  <si>
    <t>Vingine..</t>
  </si>
  <si>
    <t>Miti</t>
  </si>
  <si>
    <t>Manjanja</t>
  </si>
  <si>
    <t>Matigura (Tuiles)</t>
  </si>
  <si>
    <t>Nyasi</t>
  </si>
  <si>
    <t>Compacted earth</t>
  </si>
  <si>
    <t>Sebuleni ya udongo</t>
  </si>
  <si>
    <t>Ciment</t>
  </si>
  <si>
    <t>Jina ya Muhulizaji</t>
  </si>
  <si>
    <t>Ningipenda kukuhuliza majina ya watu wote wanyumbani. Majina haya yatatumikishwa ku mwisho wa mazungumzo, kwahiyo hakikisha kwamba watu wote wameandikwa</t>
  </si>
  <si>
    <t>Je! ${mem_nm_1} anabaki hapa kwa muda (miaka) yote?</t>
  </si>
  <si>
    <t>Unapata maji safi wapi?</t>
  </si>
  <si>
    <t xml:space="preserve">Umekwisha maliza kuvuna mbegu hiyi? </t>
  </si>
  <si>
    <t>Hii shamba ina upanda gani?</t>
  </si>
  <si>
    <t xml:space="preserve">Ukichanga urefu na upanda, shamba lako ni la ukubwa gani? </t>
  </si>
  <si>
    <t>Has your householdlent money to any one else?</t>
  </si>
  <si>
    <t>Jina la mtu ni nani?</t>
  </si>
  <si>
    <t>Jina ya shirika (ONG) ni gani?</t>
  </si>
  <si>
    <t>No religion</t>
  </si>
  <si>
    <t>Sans religion</t>
  </si>
  <si>
    <t>COOPEC</t>
  </si>
  <si>
    <t>Savings and loands cooperative</t>
  </si>
  <si>
    <t>Cash in the house</t>
  </si>
  <si>
    <t>Argent dans la maison</t>
  </si>
  <si>
    <t>Argent dans la masion</t>
  </si>
  <si>
    <t>Likirimba</t>
  </si>
  <si>
    <t>Epargne de rotation</t>
  </si>
  <si>
    <t>Rotational savings</t>
  </si>
  <si>
    <t>MUSO</t>
  </si>
  <si>
    <t>Unités dans le page prochain</t>
  </si>
  <si>
    <t>Pois</t>
  </si>
  <si>
    <t>Pas encore commencé (information sur récolte et vente seront estimations)</t>
  </si>
  <si>
    <t>Slope</t>
  </si>
  <si>
    <t>Versant</t>
  </si>
  <si>
    <t>(Small) business</t>
  </si>
  <si>
    <t>(Petit) commerce</t>
  </si>
  <si>
    <t>enq_list</t>
  </si>
  <si>
    <t>Nicaise KATINDI MISSINDO</t>
  </si>
  <si>
    <t>Fabrice SUDI BUSHIRI</t>
  </si>
  <si>
    <t>Est-ce que vous paiez pour l'access a votre champs dans quelqu'un de ces manieres?</t>
  </si>
  <si>
    <t>plotpayment_list</t>
  </si>
  <si>
    <t>Payment in cash ($)</t>
  </si>
  <si>
    <t>Payment in cash (FC)</t>
  </si>
  <si>
    <t>Part of the harvest</t>
  </si>
  <si>
    <t>Paiement en argent ($)</t>
  </si>
  <si>
    <t>Paiement en argent (FC)</t>
  </si>
  <si>
    <t>Partie de la recolte</t>
  </si>
  <si>
    <t>select_multiple plotpayment_list</t>
  </si>
  <si>
    <t>plotpay_dollar</t>
  </si>
  <si>
    <t>plotpay_franc</t>
  </si>
  <si>
    <t>plotpay_share</t>
  </si>
  <si>
    <t>Combien de dollar est-que vous paiez par année pour l'access?</t>
  </si>
  <si>
    <t>Combien de Franc Congolais est-que vous paiez par année pour l'access?</t>
  </si>
  <si>
    <t>Quel partie de récolte contribuez vous pour l'access?</t>
  </si>
  <si>
    <t>Notez le pourcentage</t>
  </si>
  <si>
    <t>.&lt;=100</t>
  </si>
  <si>
    <t>Décrivez l'autre manière dans laquelle vous payez</t>
  </si>
  <si>
    <t>plotpay_other</t>
  </si>
  <si>
    <t>Comment vous paiez c'est travailleur?</t>
  </si>
  <si>
    <t>workpay_dollar</t>
  </si>
  <si>
    <t>workpay_franc</t>
  </si>
  <si>
    <t>workpay_share</t>
  </si>
  <si>
    <t>workpay_other</t>
  </si>
  <si>
    <t>workpay</t>
  </si>
  <si>
    <t>Combien de dollar est-que vous paiez par jour pour le travailleur?</t>
  </si>
  <si>
    <t>Quel partie de récolte contribuez vous pour le travailleur?</t>
  </si>
  <si>
    <t>Décrivez l'autre manière dans laquelle vous payez le travailleur</t>
  </si>
  <si>
    <t>How do you pay</t>
  </si>
  <si>
    <t>How many dollars</t>
  </si>
  <si>
    <t>How many francs</t>
  </si>
  <si>
    <t>What share</t>
  </si>
  <si>
    <t>Describe other</t>
  </si>
  <si>
    <t>select_one enq_list</t>
  </si>
  <si>
    <t>Plain</t>
  </si>
  <si>
    <t>Plaine</t>
  </si>
  <si>
    <t>Combien de Franc Congolais est-que vous paiez par jour pour le travailleur?</t>
  </si>
  <si>
    <t>champsrepeat</t>
  </si>
  <si>
    <t>instr_plot_many</t>
  </si>
  <si>
    <t>Je vais demander des questions sur les trois champs principaux; c'est à dire, les champs le plus grands. D'abord, questions sur les récoltes qui vous cultivez dans le champ. Tous les questions sont sur la saison actuel. Apres j'ai des questions sur l'access au champ, qui y travaillent et quels intrants vous utilisez sur le champ. Après on prende le prochaine boule, pour répeter les questions pour un autre champ.</t>
  </si>
  <si>
    <t>Contez les boules: le nombre total, donc ça peut etre plus grand que 3!</t>
  </si>
  <si>
    <t>Eng_lab</t>
  </si>
  <si>
    <t>Household Member</t>
  </si>
  <si>
    <t>mem_nm</t>
  </si>
  <si>
    <t>There are just to create labels that can be used in select_one or select_multiple questions</t>
  </si>
  <si>
    <t>Just copy paste these to the number required</t>
  </si>
  <si>
    <t>Make sure to do the same on the choices sheet</t>
  </si>
  <si>
    <t>hh_size</t>
  </si>
  <si>
    <t>count(${mem_nm})</t>
  </si>
  <si>
    <t>curr_name</t>
  </si>
  <si>
    <t>age</t>
  </si>
  <si>
    <t>gender</t>
  </si>
  <si>
    <t>hhroster</t>
  </si>
  <si>
    <t>hhnames</t>
  </si>
  <si>
    <t>age_exact</t>
  </si>
  <si>
    <t>Is the age of the household member exact of approximate?</t>
  </si>
  <si>
    <t>relhead</t>
  </si>
  <si>
    <t>resstat</t>
  </si>
  <si>
    <t>school</t>
  </si>
  <si>
    <t>religion</t>
  </si>
  <si>
    <t>religion_oth</t>
  </si>
  <si>
    <t>etn</t>
  </si>
  <si>
    <t>etn_oth</t>
  </si>
  <si>
    <t>occupation</t>
  </si>
  <si>
    <t>Was the household head born in this village?</t>
  </si>
  <si>
    <t>Do you or your household own or rent this dwelling/building?</t>
  </si>
  <si>
    <t>How much do you pay per month for rent?</t>
  </si>
  <si>
    <t>Membre du ménage</t>
  </si>
  <si>
    <t>Other language</t>
  </si>
  <si>
    <t>What is the major construction material of the outside walls?</t>
  </si>
  <si>
    <t>What is the major material of the roof?</t>
  </si>
  <si>
    <t xml:space="preserve">What is the major material of the floor? </t>
  </si>
  <si>
    <t>What is your choice of water?</t>
  </si>
  <si>
    <t>What is the distance to the used source of water?</t>
  </si>
  <si>
    <t>instance_name</t>
  </si>
  <si>
    <t>hh_</t>
  </si>
  <si>
    <t>Household Questionnaire</t>
  </si>
  <si>
    <t>Questionnaire de ménage</t>
  </si>
  <si>
    <t>Interviewer name</t>
  </si>
  <si>
    <t>project_list</t>
  </si>
  <si>
    <t>status</t>
  </si>
  <si>
    <t>When did he/she arrive in the village?</t>
  </si>
  <si>
    <t>Quand est-ce qu'il/elle a arrivé dans le village?</t>
  </si>
  <si>
    <t>rentprice_u</t>
  </si>
  <si>
    <t>leave_list</t>
  </si>
  <si>
    <t>Insécurité a cause de conflit</t>
  </si>
  <si>
    <t>Sorcellerie</t>
  </si>
  <si>
    <t>Le champ ne produit plus</t>
  </si>
  <si>
    <t>L'emploi</t>
  </si>
  <si>
    <t>Insecurité caused by conflict</t>
  </si>
  <si>
    <t>Witchcraft</t>
  </si>
  <si>
    <t>Land does not produce</t>
  </si>
  <si>
    <t>Employment</t>
  </si>
  <si>
    <t>Crops</t>
  </si>
  <si>
    <t>sow</t>
  </si>
  <si>
    <t>sowunit</t>
  </si>
  <si>
    <t>harvestyn</t>
  </si>
  <si>
    <t>harvest</t>
  </si>
  <si>
    <t>harvestunit</t>
  </si>
  <si>
    <t>cropsell</t>
  </si>
  <si>
    <t>cropsellunit</t>
  </si>
  <si>
    <t>sellprice</t>
  </si>
  <si>
    <t>sellpricecurr</t>
  </si>
  <si>
    <t>sellpriceunit</t>
  </si>
  <si>
    <t>saletime</t>
  </si>
  <si>
    <t>cropmarket</t>
  </si>
  <si>
    <t>cropmarketother</t>
  </si>
  <si>
    <t>crop_other</t>
  </si>
  <si>
    <t>Membre du ménage: Nom</t>
  </si>
  <si>
    <t>Artisanat</t>
  </si>
  <si>
    <t>Petit Commerce</t>
  </si>
  <si>
    <t>Pêche</t>
  </si>
  <si>
    <t>Chasse</t>
  </si>
  <si>
    <t>select_multiple occupation_list</t>
  </si>
  <si>
    <t>Exploitation forestier</t>
  </si>
  <si>
    <t>Agriculture de subsistance (propre champs)</t>
  </si>
  <si>
    <t>Agriculture de marché (propre champs)</t>
  </si>
  <si>
    <t>Agriculture Salaire</t>
  </si>
  <si>
    <t>Autre travail salaire</t>
  </si>
  <si>
    <t>Élève/étudiant</t>
  </si>
  <si>
    <t>Subsistence Agriculture</t>
  </si>
  <si>
    <t>Commerical Agriculture</t>
  </si>
  <si>
    <t>Other wage labour</t>
  </si>
  <si>
    <t>Artisanal</t>
  </si>
  <si>
    <t>Wage agriculture</t>
  </si>
  <si>
    <t>Forestry</t>
  </si>
  <si>
    <t>Fishing</t>
  </si>
  <si>
    <t>Hunting</t>
  </si>
  <si>
    <t>Occupations</t>
  </si>
  <si>
    <t>Housing etc.</t>
  </si>
  <si>
    <t>Domicile</t>
  </si>
  <si>
    <t>edu_</t>
  </si>
  <si>
    <t>Pourqoui pas ?</t>
  </si>
  <si>
    <t>Why not ?</t>
  </si>
  <si>
    <t>Enter 98 for don't know</t>
  </si>
  <si>
    <t>98 = NSP</t>
  </si>
  <si>
    <t>schoolatt</t>
  </si>
  <si>
    <t>select_one noschool_list</t>
  </si>
  <si>
    <t>noschool_list</t>
  </si>
  <si>
    <t>Minerval</t>
  </si>
  <si>
    <t>Maladie</t>
  </si>
  <si>
    <t>Cost</t>
  </si>
  <si>
    <t>Disease</t>
  </si>
  <si>
    <t>noschool</t>
  </si>
  <si>
    <t>noschool_oth</t>
  </si>
  <si>
    <t>absent</t>
  </si>
  <si>
    <t>absentteach</t>
  </si>
  <si>
    <t>prime</t>
  </si>
  <si>
    <t>material</t>
  </si>
  <si>
    <t>othercost</t>
  </si>
  <si>
    <t>social_list</t>
  </si>
  <si>
    <t>Nouvelle naissance</t>
  </si>
  <si>
    <t>Baptême</t>
  </si>
  <si>
    <t>Deuil</t>
  </si>
  <si>
    <t>Bereavement</t>
  </si>
  <si>
    <t>Birth</t>
  </si>
  <si>
    <t>Baptism</t>
  </si>
  <si>
    <t>Soin des malades</t>
  </si>
  <si>
    <t>Care of the sick</t>
  </si>
  <si>
    <t>contribute_list</t>
  </si>
  <si>
    <t>Goods</t>
  </si>
  <si>
    <t>Money</t>
  </si>
  <si>
    <t>Biens</t>
  </si>
  <si>
    <t>Argent</t>
  </si>
  <si>
    <t>Respondent is the ... Of the head of the household</t>
  </si>
  <si>
    <t>Enqueté est le ... Du chef de ménage</t>
  </si>
  <si>
    <t>constraint_message::English</t>
  </si>
  <si>
    <t>Age of spouse</t>
  </si>
  <si>
    <t>marry_list</t>
  </si>
  <si>
    <t>Hors de ménage</t>
  </si>
  <si>
    <t>Out of HH</t>
  </si>
  <si>
    <t>marr</t>
  </si>
  <si>
    <t>Marrage</t>
  </si>
  <si>
    <t>Pesticides/Herbicides</t>
  </si>
  <si>
    <t>Irrigation</t>
  </si>
  <si>
    <t>Tractor</t>
  </si>
  <si>
    <t>Tracteur</t>
  </si>
  <si>
    <t>Aire de sechage</t>
  </si>
  <si>
    <t>soilcons</t>
  </si>
  <si>
    <t>La boure</t>
  </si>
  <si>
    <t>Rotation ensolement</t>
  </si>
  <si>
    <t>Culture en couloir</t>
  </si>
  <si>
    <t>Champ en jachêre</t>
  </si>
  <si>
    <t>Planter des arbres de agroforesterie</t>
  </si>
  <si>
    <t>???</t>
  </si>
  <si>
    <t>??</t>
  </si>
  <si>
    <t>credit</t>
  </si>
  <si>
    <t>Foyer Amélioré</t>
  </si>
  <si>
    <t>Voiture</t>
  </si>
  <si>
    <t>Improved Stove</t>
  </si>
  <si>
    <t>Motor</t>
  </si>
  <si>
    <t>Car</t>
  </si>
  <si>
    <t>TV</t>
  </si>
  <si>
    <t>Mobile</t>
  </si>
  <si>
    <t>Pot</t>
  </si>
  <si>
    <t>Biens Durables</t>
  </si>
  <si>
    <t>livestock</t>
  </si>
  <si>
    <t>Livestock</t>
  </si>
  <si>
    <t>Manioc (mohogo)</t>
  </si>
  <si>
    <t>Farine de Manioc (bunga)</t>
  </si>
  <si>
    <t>Patate douce</t>
  </si>
  <si>
    <t>Banane Plantaine</t>
  </si>
  <si>
    <t>Maïs</t>
  </si>
  <si>
    <t>Farine de Maïs</t>
  </si>
  <si>
    <t>Pain</t>
  </si>
  <si>
    <t>Feuilles de Manioc</t>
  </si>
  <si>
    <t>Banane</t>
  </si>
  <si>
    <t>Poulet</t>
  </si>
  <si>
    <t>Viande</t>
  </si>
  <si>
    <t>Poisson</t>
  </si>
  <si>
    <t>Oeufs</t>
  </si>
  <si>
    <t>Sel</t>
  </si>
  <si>
    <t>Cubes de maggi</t>
  </si>
  <si>
    <t>Sucre</t>
  </si>
  <si>
    <t>Huile</t>
  </si>
  <si>
    <t>Boissons sucré</t>
  </si>
  <si>
    <t>Boisson  alcoolisé</t>
  </si>
  <si>
    <t>Lait</t>
  </si>
  <si>
    <t>Thé, café</t>
  </si>
  <si>
    <t>Bois chauffage</t>
  </si>
  <si>
    <t>Savon, poudre lessive etc.</t>
  </si>
  <si>
    <t>Batteries, piles kérosène</t>
  </si>
  <si>
    <t>Cassava Flour</t>
  </si>
  <si>
    <t>Potatoes</t>
  </si>
  <si>
    <t>Sweet potatoes</t>
  </si>
  <si>
    <t>Plantain</t>
  </si>
  <si>
    <t>Maize flour</t>
  </si>
  <si>
    <t>Bread</t>
  </si>
  <si>
    <t>Cassava leaves</t>
  </si>
  <si>
    <t>Chicken</t>
  </si>
  <si>
    <t>Meat</t>
  </si>
  <si>
    <t>Fish</t>
  </si>
  <si>
    <t>Eggs</t>
  </si>
  <si>
    <t>Salt</t>
  </si>
  <si>
    <t>Maggi Cubes</t>
  </si>
  <si>
    <t>Sugar</t>
  </si>
  <si>
    <t>Oil</t>
  </si>
  <si>
    <t>Soda</t>
  </si>
  <si>
    <t>Alcholic beverages</t>
  </si>
  <si>
    <t>Milk</t>
  </si>
  <si>
    <t>Tea/coffee</t>
  </si>
  <si>
    <t>Firewood</t>
  </si>
  <si>
    <t>Soap</t>
  </si>
  <si>
    <t>Batteries/fuel</t>
  </si>
  <si>
    <t>consume_list</t>
  </si>
  <si>
    <t>consume</t>
  </si>
  <si>
    <t>Consumption</t>
  </si>
  <si>
    <t>Consommation</t>
  </si>
  <si>
    <t>Which of the following items did you consume in the past 14 days?</t>
  </si>
  <si>
    <t>Combien avez-vous dépensé pour ceci ?</t>
  </si>
  <si>
    <t xml:space="preserve">Avez-vous utilisé votre propre production ou votre stock pour la consommation de ceci ? </t>
  </si>
  <si>
    <t xml:space="preserve">Avez-vous reçu une certaine quantité gratuitement? </t>
  </si>
  <si>
    <t>Units next page</t>
  </si>
  <si>
    <t>Unités dans le page suivant</t>
  </si>
  <si>
    <t>cas</t>
  </si>
  <si>
    <t>swpt</t>
  </si>
  <si>
    <t>plan</t>
  </si>
  <si>
    <t>rice</t>
  </si>
  <si>
    <t>mai</t>
  </si>
  <si>
    <t>maifl</t>
  </si>
  <si>
    <t>casfl</t>
  </si>
  <si>
    <t>bre</t>
  </si>
  <si>
    <t>casslv</t>
  </si>
  <si>
    <t>bean</t>
  </si>
  <si>
    <t>ban</t>
  </si>
  <si>
    <t>chi</t>
  </si>
  <si>
    <t>meat</t>
  </si>
  <si>
    <t>fish</t>
  </si>
  <si>
    <t>egg</t>
  </si>
  <si>
    <t>sel</t>
  </si>
  <si>
    <t>mag</t>
  </si>
  <si>
    <t>sug</t>
  </si>
  <si>
    <t>oil</t>
  </si>
  <si>
    <t>sod</t>
  </si>
  <si>
    <t>alc</t>
  </si>
  <si>
    <t>mlk</t>
  </si>
  <si>
    <t>tea</t>
  </si>
  <si>
    <t>wood</t>
  </si>
  <si>
    <t>soap</t>
  </si>
  <si>
    <t>bat</t>
  </si>
  <si>
    <t>How much have you spent?</t>
  </si>
  <si>
    <t>Did you use own production or stock?</t>
  </si>
  <si>
    <t>How muh did you use from own stock?</t>
  </si>
  <si>
    <t>Have you received any for free?</t>
  </si>
  <si>
    <t>How much did you receive for free?</t>
  </si>
  <si>
    <t>select_multiple consume_list</t>
  </si>
  <si>
    <t>potat</t>
  </si>
  <si>
    <t>nourriture</t>
  </si>
  <si>
    <t>Some questions on credit</t>
  </si>
  <si>
    <t>Ne sais pas</t>
  </si>
  <si>
    <t>Juste 1 où 2 fois</t>
  </si>
  <si>
    <t>Plusieurs fois</t>
  </si>
  <si>
    <t>Souvent</t>
  </si>
  <si>
    <t>Toujours</t>
  </si>
  <si>
    <t>Just 1 or 2 times</t>
  </si>
  <si>
    <t>Several times</t>
  </si>
  <si>
    <t>Often</t>
  </si>
  <si>
    <t>Always</t>
  </si>
  <si>
    <t>Refuse to answer</t>
  </si>
  <si>
    <t>Refuse a repondre</t>
  </si>
  <si>
    <t>freq2_list</t>
  </si>
  <si>
    <t>Pendant les dernier 14 jours, combien de personnes (en moyen) ont mangé dans ce ménage chaque jour?</t>
  </si>
  <si>
    <t>Au cours des 12 derniers mois, combien de fois est-ce que vous (où un membre de votre famille) avez dû faire face  a nourriture insuffisante pour manger à sa faim ?</t>
  </si>
  <si>
    <t>Au cours des 12 derniers mois, combien de fois est-ce que vous (où un membre de votre famille) avez dû faire face à un manque d’eau potable pour les besoins domestiques?</t>
  </si>
  <si>
    <t>Au cours des 12 derniers mois, combien de fois est-ce que vous (où un membre de votre famille) avez dû faire face  un manque de médicaments ou de soins médicaux ?</t>
  </si>
  <si>
    <t>Au cours des 12 derniers mois, combien de fois est-ce que vous (où un membre de votre famille) avez dû faire face  un manque de combustible pour la cuisson des repas ?</t>
  </si>
  <si>
    <t>Au cours des 12 derniers mois, combien de fois est-ce que vous (où un membre de votre famille) avez dû faire face manque d’argent?</t>
  </si>
  <si>
    <t>select_one freq2_list</t>
  </si>
  <si>
    <t>short_food</t>
  </si>
  <si>
    <t>short_water</t>
  </si>
  <si>
    <t>short_med</t>
  </si>
  <si>
    <t>short_fuel</t>
  </si>
  <si>
    <t>short_money</t>
  </si>
  <si>
    <t>eat_people</t>
  </si>
  <si>
    <t>In the course of the past 12 months, how often have you (or someone in your household) faced a situation in which you could not eat enough?</t>
  </si>
  <si>
    <t>In the course of the past 12 months, how often have you (or someone in your household) faced a shortage of drinking water?</t>
  </si>
  <si>
    <t>In the course of the past 12 months, how often have you (or someone in your household) faced a shortage of medical care?</t>
  </si>
  <si>
    <t>In the course of the past 12 months, how often have you (or someone in your household) faced a shortage of firewood or other fuel?</t>
  </si>
  <si>
    <t>In the course of the past 12 months, how often have you (or someone in your household) faced a shortage of money?</t>
  </si>
  <si>
    <t>How many people eat in your household?</t>
  </si>
  <si>
    <t>b</t>
  </si>
  <si>
    <t>Credit</t>
  </si>
  <si>
    <t>Credit et épargne</t>
  </si>
  <si>
    <t>Au cours des trois mois passées, etes-vous sorti seul le soir ou la nuit dans votre village?</t>
  </si>
  <si>
    <t>Au cours des trois mois passées, etes-vous sorti seul le soir ou la nuit en dehors de votre village?</t>
  </si>
  <si>
    <t>Au cours des trois mois passées, est-ce que vos enfants sont sortis le soir ou la nuit?</t>
  </si>
  <si>
    <t>If not applicable, enter don't know</t>
  </si>
  <si>
    <t>Si pas applicable, saissisez sait pas</t>
  </si>
  <si>
    <t>In the course of the past three month, have you gone out at night in your village?</t>
  </si>
  <si>
    <t>In the course of the past three month, have you gone out at night outside your village?</t>
  </si>
  <si>
    <t>In the course of the past three month, have your children gone out at night in your village?</t>
  </si>
  <si>
    <t>incident</t>
  </si>
  <si>
    <t>security</t>
  </si>
  <si>
    <t>Security</t>
  </si>
  <si>
    <t>Sécurité</t>
  </si>
  <si>
    <t>gooutvill</t>
  </si>
  <si>
    <t>gooutoutvill</t>
  </si>
  <si>
    <t>goutchildren</t>
  </si>
  <si>
    <t>How many of these are resolved?</t>
  </si>
  <si>
    <t>select_one resolve_list</t>
  </si>
  <si>
    <t>resolve_list</t>
  </si>
  <si>
    <t>Chef de village intervient</t>
  </si>
  <si>
    <t>Sages intervient</t>
  </si>
  <si>
    <t xml:space="preserve">Réglé entre les personnes impliquées (arrengement à l’amiable) </t>
  </si>
  <si>
    <t>Proces au tribunal (affaire civil/penal)</t>
  </si>
  <si>
    <t>Autre, specifiez...</t>
  </si>
  <si>
    <t>By the chef</t>
  </si>
  <si>
    <t>By the elders</t>
  </si>
  <si>
    <t>Between the involveld</t>
  </si>
  <si>
    <t>Tribunal</t>
  </si>
  <si>
    <t>How are these conflicts generally resolved?</t>
  </si>
  <si>
    <t>Combien des ces cas ont été resolu?</t>
  </si>
  <si>
    <t>Specifiez autre</t>
  </si>
  <si>
    <r>
      <t xml:space="preserve">Au cours des 12 mois passés, est-ce que vous vous êtes mis ensemble avec d’autres </t>
    </r>
    <r>
      <rPr>
        <u/>
        <sz val="8"/>
        <color indexed="8"/>
        <rFont val="Arial"/>
        <family val="2"/>
      </rPr>
      <t>membres de la communauté</t>
    </r>
    <r>
      <rPr>
        <sz val="8"/>
        <color indexed="8"/>
        <rFont val="Arial"/>
        <family val="2"/>
      </rPr>
      <t xml:space="preserve"> pour adresser un problème quelconque ?</t>
    </r>
  </si>
  <si>
    <r>
      <t xml:space="preserve">Au cours des 12 mois passés, est-ce que vous avez parlé avec </t>
    </r>
    <r>
      <rPr>
        <u/>
        <sz val="8"/>
        <color indexed="8"/>
        <rFont val="Arial"/>
        <family val="2"/>
      </rPr>
      <t>une ONG ou avec une autre organisation</t>
    </r>
    <r>
      <rPr>
        <sz val="8"/>
        <color indexed="8"/>
        <rFont val="Arial"/>
        <family val="2"/>
      </rPr>
      <t xml:space="preserve"> sur les problèmes dans la communauté ?</t>
    </r>
  </si>
  <si>
    <r>
      <t xml:space="preserve">Au cours des 12 mois passes, est-ce que vous avez parlé avec une </t>
    </r>
    <r>
      <rPr>
        <u/>
        <sz val="8"/>
        <color indexed="8"/>
        <rFont val="Arial"/>
        <family val="2"/>
      </rPr>
      <t>autorité locale ou une agence gouvernementale</t>
    </r>
    <r>
      <rPr>
        <sz val="8"/>
        <color indexed="8"/>
        <rFont val="Arial"/>
        <family val="2"/>
      </rPr>
      <t xml:space="preserve"> sur les problèmes dans la communauté?</t>
    </r>
  </si>
  <si>
    <t>talk_comm</t>
  </si>
  <si>
    <t>talk_ngo</t>
  </si>
  <si>
    <t>talk_auth</t>
  </si>
  <si>
    <t>Combien de fois</t>
  </si>
  <si>
    <t>Sur quel(s) sujet(s) ?</t>
  </si>
  <si>
    <t>subject_list</t>
  </si>
  <si>
    <t>Gérer les disputes foncières</t>
  </si>
  <si>
    <t>Gerer les disputes minières</t>
  </si>
  <si>
    <t>Gérer les autres conflits dans le village</t>
  </si>
  <si>
    <t>Discuter la sécurité de village</t>
  </si>
  <si>
    <t>Ceremonies sociales</t>
  </si>
  <si>
    <t>Discuter/gérer les projets de développement</t>
  </si>
  <si>
    <t>Selectionner des responsables</t>
  </si>
  <si>
    <t>Manage land conflicts</t>
  </si>
  <si>
    <t>Manage mining conflicts</t>
  </si>
  <si>
    <t>Manage other conflicts</t>
  </si>
  <si>
    <t>Discuss security in the village</t>
  </si>
  <si>
    <t>Social ceremonies</t>
  </si>
  <si>
    <t>Discuss/manage development projects</t>
  </si>
  <si>
    <t>Elect reprerentatives</t>
  </si>
  <si>
    <t>Other....</t>
  </si>
  <si>
    <t>How often?</t>
  </si>
  <si>
    <t>Over the course of the past 12 month, have you met with members of your community to discuss the problems that you face?</t>
  </si>
  <si>
    <t>Over the course of the past 12 month, have you met with NGOs to discuss the problems that you face?</t>
  </si>
  <si>
    <t>Over the course of the past 12 month, have you met with the authories to discuss the problems that you face?</t>
  </si>
  <si>
    <t>Which topics did you discuss?</t>
  </si>
  <si>
    <t>select_multiple subject_list</t>
  </si>
  <si>
    <t>grpcnt</t>
  </si>
  <si>
    <t>field-list</t>
  </si>
  <si>
    <t>advantage_list</t>
  </si>
  <si>
    <t>Pas du tout des avantages</t>
  </si>
  <si>
    <t>More than others</t>
  </si>
  <si>
    <t>Less than others</t>
  </si>
  <si>
    <t>No advantages</t>
  </si>
  <si>
    <t>Don't knoiw</t>
  </si>
  <si>
    <t>http://192.168.0.100/submission</t>
  </si>
  <si>
    <t>Adalbert Lumbo</t>
  </si>
  <si>
    <t xml:space="preserve">AKONKWA MUDERHWA Charles                                               </t>
  </si>
  <si>
    <t>André Cishugi</t>
  </si>
  <si>
    <t>André Murhula</t>
  </si>
  <si>
    <t>BAHIZIRE CIZA Marielle</t>
  </si>
  <si>
    <t>BASHIZI Anuarite</t>
  </si>
  <si>
    <t>Christian Bazuzi Polepole</t>
  </si>
  <si>
    <t>Christian MASTAKI MUGARUKA</t>
  </si>
  <si>
    <t>Claude Lunyelunye</t>
  </si>
  <si>
    <t>Désiré CIZUNGU BAZIBUHE</t>
  </si>
  <si>
    <t>Dieudonné Bahati</t>
  </si>
  <si>
    <t>Eustache Kuliumbwa</t>
  </si>
  <si>
    <t>Evelyn Baliahamwabo</t>
  </si>
  <si>
    <t xml:space="preserve">Florentin Bashige Mushambarwa </t>
  </si>
  <si>
    <t>Freddy Amani Buraye</t>
  </si>
  <si>
    <t>Freddy Koleramungu Zabandora</t>
  </si>
  <si>
    <t>Gabriel MUGISHO Dunia</t>
  </si>
  <si>
    <t>Germain Bizimana Miderho</t>
  </si>
  <si>
    <t>Godelive Batano</t>
  </si>
  <si>
    <t>Isidore BARHANYWERHA BADERHAKUGUMA</t>
  </si>
  <si>
    <t>Jean Ruhimbasa Basimage</t>
  </si>
  <si>
    <t>Jean-Marie RHUHUNEMUNGU CIKWANINE</t>
  </si>
  <si>
    <t>John Kadjunga</t>
  </si>
  <si>
    <t>Jules Nyunda Nkuru</t>
  </si>
  <si>
    <t>Kishoge Vaillance</t>
  </si>
  <si>
    <t xml:space="preserve">Lazare KANGELA MUKAMBA                                               </t>
  </si>
  <si>
    <t>Lucette Bashige Bikibanya</t>
  </si>
  <si>
    <t>Michel Kulemba</t>
  </si>
  <si>
    <t>Mireille Mihigo Aganze</t>
  </si>
  <si>
    <t xml:space="preserve">MUSIWA KASHIBONDO Sophie </t>
  </si>
  <si>
    <t>Nidodeme Bugoma Byemba</t>
  </si>
  <si>
    <t xml:space="preserve">NYEMBO CHARLES Serge                                                                           </t>
  </si>
  <si>
    <t>Pascal Chakirwa</t>
  </si>
  <si>
    <t>Patient Musiwa</t>
  </si>
  <si>
    <t>Patrick KAKA NGENDO</t>
  </si>
  <si>
    <t>Raymond Luundo Bin Mubulwa</t>
  </si>
  <si>
    <t>Yeshi Mulume</t>
  </si>
  <si>
    <t>Yvette Nafette Merimeri</t>
  </si>
  <si>
    <t>instruct_names_1</t>
  </si>
  <si>
    <t>nameline</t>
  </si>
  <si>
    <t>position(..)</t>
  </si>
  <si>
    <t>names</t>
  </si>
  <si>
    <t>instruct_names_2</t>
  </si>
  <si>
    <t>Household head</t>
  </si>
  <si>
    <t>instruct_names_3</t>
  </si>
  <si>
    <t>Other household members: wive, children, visitors</t>
  </si>
  <si>
    <t>Autres membres: conjoints de chef, les enfants, etc</t>
  </si>
  <si>
    <t>grp_name_check</t>
  </si>
  <si>
    <t>Name check</t>
  </si>
  <si>
    <t>Verification des noms</t>
  </si>
  <si>
    <t>note_check_names</t>
  </si>
  <si>
    <t>namecheck</t>
  </si>
  <si>
    <t>Is this correct?</t>
  </si>
  <si>
    <t>Est-ce que c'est correct?</t>
  </si>
  <si>
    <t>.='1'</t>
  </si>
  <si>
    <t>linenum</t>
  </si>
  <si>
    <t>If less then one year, enter 0</t>
  </si>
  <si>
    <t>Si moins qu'un an, saisisez 0</t>
  </si>
  <si>
    <t>not(.='2' and indexed-repeat(${gender},${hhroster},1)='1' and ${gender}='1') and not(.='2' and indexed-repeat(${gender},${hhroster},1)='2' and ${gender}='2') and not(.='3' and indexed-repeat(${age},${hhroster},1)-${age}&lt;12) and not(.='4' and indexed-repeat(${age},${hhroster},1)-${age}&lt;24) and not(.='5' and ${age} - indexed-repeat(${age},${hhroster},1)&lt;12)</t>
  </si>
  <si>
    <t>Verify age and sex, also of CdM</t>
  </si>
  <si>
    <t>Verifiez l'age et genre, aussi de Chef de Ménage</t>
  </si>
  <si>
    <t>select_one maritalstatus</t>
  </si>
  <si>
    <t>marstat</t>
  </si>
  <si>
    <t>head_hhmar</t>
  </si>
  <si>
    <t>If yes, the questions about the marriage will be asked in the groupe of the wive.</t>
  </si>
  <si>
    <t>nonhh_name</t>
  </si>
  <si>
    <t>Name of spouse</t>
  </si>
  <si>
    <t>Nom d'epouse</t>
  </si>
  <si>
    <t>nonhh_age</t>
  </si>
  <si>
    <t>Age d'epouse</t>
  </si>
  <si>
    <t>.&gt;=0 and .&lt;=120</t>
  </si>
  <si>
    <t>spousename</t>
  </si>
  <si>
    <t>select_multiple marriage_list</t>
  </si>
  <si>
    <t>marr_type</t>
  </si>
  <si>
    <t>What type of marriage?</t>
  </si>
  <si>
    <t>Quel type de mariage?</t>
  </si>
  <si>
    <t>hh_marryear</t>
  </si>
  <si>
    <t>In which year did the marriage take place</t>
  </si>
  <si>
    <t>Le mariage etait dans quel an?</t>
  </si>
  <si>
    <t>.&gt;1900 and .&lt;=2014</t>
  </si>
  <si>
    <t>headagemarr</t>
  </si>
  <si>
    <t>spousegagemarr</t>
  </si>
  <si>
    <t>marrage_error</t>
  </si>
  <si>
    <t>marrage_check</t>
  </si>
  <si>
    <t>Invalid age</t>
  </si>
  <si>
    <t>Age invalide</t>
  </si>
  <si>
    <t>select_one parentstatus_list</t>
  </si>
  <si>
    <t>nonhh_statpar</t>
  </si>
  <si>
    <t>At the time of marriage, whose parents had more land?</t>
  </si>
  <si>
    <t>Au moment de mariage, les parents de qui avaient plus de terre?</t>
  </si>
  <si>
    <t>select_multiple marriageprov_list</t>
  </si>
  <si>
    <t>headprov</t>
  </si>
  <si>
    <t>if(selected(.,'0') and count-selected(.)&gt;1,0,1)</t>
  </si>
  <si>
    <t>headdot</t>
  </si>
  <si>
    <t>What is the monetary value of the dot, in $?</t>
  </si>
  <si>
    <t>Quel était le valuer de dot en $</t>
  </si>
  <si>
    <t>Valeur en $ actuel</t>
  </si>
  <si>
    <t>.&gt;1 and .&lt;10000</t>
  </si>
  <si>
    <t>headgifts</t>
  </si>
  <si>
    <t>What is the monetary value of gifts and food if you had to buy it today in $?</t>
  </si>
  <si>
    <t>Quel était le valeur de cadeaux en $?</t>
  </si>
  <si>
    <t>spouseprov</t>
  </si>
  <si>
    <t>spousedot</t>
  </si>
  <si>
    <t>Quel était le valeur de dot en $</t>
  </si>
  <si>
    <t>spousegifts</t>
  </si>
  <si>
    <t>not(.='1' and ${age}&lt;2) and not(.='2' and ${age}&lt;8) and not(.='3' and ${age}&lt;8) and not(.='4' and ${age}&lt;12) and not(.='5' and ${age}&lt;12) and not(.='6' and ${age}&lt;16) and not(.='7' and ${age}&lt;12)</t>
  </si>
  <si>
    <t>select_multiple status_list</t>
  </si>
  <si>
    <t>Lire les options en haut voix</t>
  </si>
  <si>
    <t>not(selected(.,'0') and count-selected(.)&gt;1)</t>
  </si>
  <si>
    <t>occs</t>
  </si>
  <si>
    <t>this_occupation</t>
  </si>
  <si>
    <t>this_occupation_label</t>
  </si>
  <si>
    <t>select_one share5e_list</t>
  </si>
  <si>
    <t>occ_time</t>
  </si>
  <si>
    <t>Active time includes farm work, salary work and house work etc.</t>
  </si>
  <si>
    <t>Temps active inclut travail au champ, travail salaire et travaille menagère etc.</t>
  </si>
  <si>
    <t>timenum</t>
  </si>
  <si>
    <t>time_error</t>
  </si>
  <si>
    <t>occ_cash</t>
  </si>
  <si>
    <t>occ_inkind</t>
  </si>
  <si>
    <t>timecheck</t>
  </si>
  <si>
    <t>version</t>
  </si>
  <si>
    <t>share5e_list</t>
  </si>
  <si>
    <t>Little (1-10%)</t>
  </si>
  <si>
    <t>Presque rien (1%-10%)</t>
  </si>
  <si>
    <t>kidogo (1%-10%)</t>
  </si>
  <si>
    <t>Less than half (10%-45%)</t>
  </si>
  <si>
    <t>Moins que la motié (10%-45%)</t>
  </si>
  <si>
    <t>Chini ya nusu (10%-45%)</t>
  </si>
  <si>
    <t>Half (45%-55%)</t>
  </si>
  <si>
    <t>La motié (45%-55%)</t>
  </si>
  <si>
    <t>nusu (45%-55%)</t>
  </si>
  <si>
    <t>More than Half (55%-90%)</t>
  </si>
  <si>
    <t>Plus que la motié (55%-90%)</t>
  </si>
  <si>
    <t>zaidi ya nusu (55%-90%)</t>
  </si>
  <si>
    <t>All (90%-100%)</t>
  </si>
  <si>
    <t>Tout (90%-100%)</t>
  </si>
  <si>
    <t>vyote (90%-100%)</t>
  </si>
  <si>
    <t>NSP</t>
  </si>
  <si>
    <t>Some years higher</t>
  </si>
  <si>
    <t>Quelques années supérieurs</t>
  </si>
  <si>
    <t>Nothing</t>
  </si>
  <si>
    <t>Rien</t>
  </si>
  <si>
    <t>maritalstatus</t>
  </si>
  <si>
    <t>Single</t>
  </si>
  <si>
    <t>Celibataire</t>
  </si>
  <si>
    <t>Married</t>
  </si>
  <si>
    <t>Marié</t>
  </si>
  <si>
    <t>Divorcé</t>
  </si>
  <si>
    <t>Widowed</t>
  </si>
  <si>
    <t>Veuf/Veufe</t>
  </si>
  <si>
    <t>not(selected(.,'0') and count-selected(.)&gt;1) and not(selected(.,'97') and count-selected(.)&gt;1) and not(selected(.,'98') and count-selected(.)&gt;1)</t>
  </si>
  <si>
    <t>Principal Material</t>
  </si>
  <si>
    <t>Material Principal</t>
  </si>
  <si>
    <t>Quel est le nature de pavement?</t>
  </si>
  <si>
    <t>Read the option out loud</t>
  </si>
  <si>
    <t>Lire les assertions en haut voix</t>
  </si>
  <si>
    <t>Read the options out loud</t>
  </si>
  <si>
    <t>rpt_assets_owned</t>
  </si>
  <si>
    <t>Durable Goods</t>
  </si>
  <si>
    <t>this_asset</t>
  </si>
  <si>
    <t>this_asset_label</t>
  </si>
  <si>
    <t>asset_note</t>
  </si>
  <si>
    <t>asset_qty</t>
  </si>
  <si>
    <t>.&gt;0 and .&lt;100</t>
  </si>
  <si>
    <t>asset_value</t>
  </si>
  <si>
    <t>.&lt;1000000</t>
  </si>
  <si>
    <t>I will ask questions about the three biggest plots</t>
  </si>
  <si>
    <t>select_multiple crop_list</t>
  </si>
  <si>
    <t>crops_grown</t>
  </si>
  <si>
    <t>Which crops do you grow on this plot?</t>
  </si>
  <si>
    <t>Cultures</t>
  </si>
  <si>
    <t>this_crop</t>
  </si>
  <si>
    <t>this_crop_label</t>
  </si>
  <si>
    <t>.&gt;0</t>
  </si>
  <si>
    <t>Quelle quantité est-ce que vous avez récolté?</t>
  </si>
  <si>
    <t>Quelle quantité est-ce que vous avez vendu?</t>
  </si>
  <si>
    <t>.&gt; 0 and .&lt;2000</t>
  </si>
  <si>
    <t>Lisez les assertions en haut voix.</t>
  </si>
  <si>
    <t>.&gt; 0 and .&lt;100000</t>
  </si>
  <si>
    <t>.&gt;100 and .&lt;100000</t>
  </si>
  <si>
    <t>.&gt;0 and .&lt;=100</t>
  </si>
  <si>
    <t>select_multiple input_list</t>
  </si>
  <si>
    <t>input_use</t>
  </si>
  <si>
    <t>Which inputs do you use on this plot?</t>
  </si>
  <si>
    <t>Quels des entrants suivants utilisez vous pour ce champ?</t>
  </si>
  <si>
    <t>Input Use</t>
  </si>
  <si>
    <t>Entrant</t>
  </si>
  <si>
    <t>Entrants</t>
  </si>
  <si>
    <t>input_qt</t>
  </si>
  <si>
    <t>Units on the next screen</t>
  </si>
  <si>
    <t>Unités sur l'ecran suivant</t>
  </si>
  <si>
    <t>input_qt_unit</t>
  </si>
  <si>
    <t>input_access</t>
  </si>
  <si>
    <t>input_access_ngo</t>
  </si>
  <si>
    <t>input_access_pers</t>
  </si>
  <si>
    <t>input_price</t>
  </si>
  <si>
    <t>input_price_curr</t>
  </si>
  <si>
    <t>input_price_unit</t>
  </si>
  <si>
    <t>select_multiple facility_list</t>
  </si>
  <si>
    <t>facility_use</t>
  </si>
  <si>
    <t>Quels des facilités suivants utilisez vous pour ce champ?</t>
  </si>
  <si>
    <t>Facilities</t>
  </si>
  <si>
    <t>select_one facility_access</t>
  </si>
  <si>
    <t>fac_access</t>
  </si>
  <si>
    <t>fac_access_autre</t>
  </si>
  <si>
    <t>Spécifiez</t>
  </si>
  <si>
    <t>fac_price</t>
  </si>
  <si>
    <t>Notez 98 si l'enquêté ne sait pas.
Unités de monnaie dans le page prochaine</t>
  </si>
  <si>
    <t>fac_price_curr</t>
  </si>
  <si>
    <t>Currency</t>
  </si>
  <si>
    <t>Betail</t>
  </si>
  <si>
    <t>Now I will ask some questions about the agricultural production of your Household</t>
  </si>
  <si>
    <t>Maintenant, je vais poser quelques questions sur la production agricole dans votre ménage.</t>
  </si>
  <si>
    <t>agr_intro</t>
  </si>
  <si>
    <t>G</t>
  </si>
  <si>
    <t>.&gt;0 and .&lt;30</t>
  </si>
  <si>
    <t>Quels des produits suivants avez-vous et votre ménage consommé les 14 jours passée?</t>
  </si>
  <si>
    <t>Combien avez-vous utilisé de votre production/stock?</t>
  </si>
  <si>
    <t>All questions are "no" for this product</t>
  </si>
  <si>
    <t>Tous les questions "non" pour ce produit</t>
  </si>
  <si>
    <t>Combien avez-vous reçu gratuitment?</t>
  </si>
  <si>
    <t>select_multiple incident_list</t>
  </si>
  <si>
    <t>I will read a list of incidents,  I want to know whether someone in your community has faced these incidents.</t>
  </si>
  <si>
    <t>Je vais lire un liste des incidents. Je voulais savoir si quelqu'un de votre communauté a fait face avec ces incidents. Pendant les derniers 12 mois, est-ce que quelqu'un dans votre village a ete...</t>
  </si>
  <si>
    <t>Je vais lire un liste des incidents. Je voulais savoir si quelqu'un de votre communauté a fait face avec ces incidents?</t>
  </si>
  <si>
    <t>Incidents</t>
  </si>
  <si>
    <t>select_one freq3_list</t>
  </si>
  <si>
    <t>Over the course of the past 12 months how often did this happen to someone in your community?</t>
  </si>
  <si>
    <t>Pendant les 12 mois passés, combien de fois quelqu'un dans la communauté a fait face avec cá?</t>
  </si>
  <si>
    <t>Generalement, qui intervient pour résoudre ce type de conflits?</t>
  </si>
  <si>
    <t>Enter the highest insntance</t>
  </si>
  <si>
    <t>Notez l'instance le plus elevé</t>
  </si>
  <si>
    <t>select_multiple member_list</t>
  </si>
  <si>
    <t>member</t>
  </si>
  <si>
    <t>Is someone in your household member of one of the following organisaitons?</t>
  </si>
  <si>
    <t>Est-ce que quelqu'un de votre ménage membre d'un des organisations suivants?</t>
  </si>
  <si>
    <t>Organisations</t>
  </si>
  <si>
    <t>Est-ce que vous etes d'accord avec les propositions suivantes?</t>
  </si>
  <si>
    <t>J'ai beaucoup de respect envers notre chef de village</t>
  </si>
  <si>
    <t>En cas de problèmes, je peux m’adresser  au chef de village</t>
  </si>
  <si>
    <t>Le chef de village peut agir dans mon interet</t>
  </si>
  <si>
    <t>J'ai beaucoup de respect envers notre mwami</t>
  </si>
  <si>
    <t>En cas de problèmes, je peux m’adresser  au mwami</t>
  </si>
  <si>
    <t>Le mwami peut agir dans mon interet</t>
  </si>
  <si>
    <t>J'ai beaucoup de respect envers nos politiciens nationals</t>
  </si>
  <si>
    <t>En cas de problèmes, je peux m’adresser  a nos politiciens nationals</t>
  </si>
  <si>
    <t>Les politiciens nationals peuvent agir dans mon interet</t>
  </si>
  <si>
    <t>gender_available</t>
  </si>
  <si>
    <t xml:space="preserve"> </t>
  </si>
  <si>
    <t>Maintenant, j'ai des questions sur la nourriture dans votre ménage</t>
  </si>
  <si>
    <t>Now I will have some questions about food in your household.</t>
  </si>
  <si>
    <t>food_intro</t>
  </si>
  <si>
    <t>H</t>
  </si>
  <si>
    <t>Maintenant, je veux vous poser des questions sur la securtié dans votre village.</t>
  </si>
  <si>
    <t>Now, I would like to ask some quesitons about the security in your community.</t>
  </si>
  <si>
    <t>security_intro</t>
  </si>
  <si>
    <t>Governance</t>
  </si>
  <si>
    <t>Gouvernance</t>
  </si>
  <si>
    <t>J</t>
  </si>
  <si>
    <t>gov</t>
  </si>
  <si>
    <t>intro_gov</t>
  </si>
  <si>
    <t>Now I will ask some questions about the governance in your village</t>
  </si>
  <si>
    <t>Maintenant, j'ai des questions sur la gouvernance dans votre village</t>
  </si>
  <si>
    <t>genre</t>
  </si>
  <si>
    <t>a</t>
  </si>
  <si>
    <t xml:space="preserve">Selon nos mœurs et coutumes, les femmes ont toujours été soumises et devraient rester comme telles. </t>
  </si>
  <si>
    <t xml:space="preserve">Dans notre pays les femmes devraient avoir des mêmes droits et obligations que les hommes. </t>
  </si>
  <si>
    <t xml:space="preserve">Si un homme maltraite sa femme elle a droit de se plaîndre. </t>
  </si>
  <si>
    <t xml:space="preserve">Selon nos mœurs et coutumes les femmes ne devraient pas se plaîndre de leurs hommes même si elles se sentent maltraités. </t>
  </si>
  <si>
    <t>Selon nos mœurs et coutumes, un homme dont la femme a été violée a le droit d’abandonner sa femme.</t>
  </si>
  <si>
    <t>Une femme qui est victime d’un viol ne devrait pas être rejetée par son marie et la communauté.</t>
  </si>
  <si>
    <t xml:space="preserve">Les femmes devraient avoir la même chance que les hommes d’occupé des positions socio-administratives dans le village. </t>
  </si>
  <si>
    <t xml:space="preserve">Les hommes sont les meilleurs dirigents et ce sont eux seuls qui devraient occuper les positions socio-administratives dans le village. </t>
  </si>
  <si>
    <t>Seulement les hommes devraient etre les presidents de comités de gestion qui existent dans le village.</t>
  </si>
  <si>
    <t xml:space="preserve">Les femmes ont des connaisances à apporter. Elle devraient donc être eligibles au poste de président des comités de gestion qui existent dans le village. </t>
  </si>
  <si>
    <t>Je! miaka ya ${curr_name} ni kamili au inataka henea?</t>
  </si>
  <si>
    <t>${curr_name}  ana undugu gani na mkubwa wa nyumba?</t>
  </si>
  <si>
    <t>No payment</t>
  </si>
  <si>
    <t>Pas de paiement</t>
  </si>
  <si>
    <t>input_list</t>
  </si>
  <si>
    <t>Engrais Chemique</t>
  </si>
  <si>
    <t>facility_list</t>
  </si>
  <si>
    <t>Drying Floor</t>
  </si>
  <si>
    <t>facility_access</t>
  </si>
  <si>
    <t>Propre facilité</t>
  </si>
  <si>
    <t>Rented (trader etc.)</t>
  </si>
  <si>
    <t>Loué</t>
  </si>
  <si>
    <t>Association</t>
  </si>
  <si>
    <t>Communautaire</t>
  </si>
  <si>
    <t>incident_list</t>
  </si>
  <si>
    <t>Insulted</t>
  </si>
  <si>
    <t>...insulté en public?</t>
  </si>
  <si>
    <t>Theft</t>
  </si>
  <si>
    <t>...victime d’un vol </t>
  </si>
  <si>
    <t>Physical abuse</t>
  </si>
  <si>
    <t>...victime d’une violation physique (par ex. battu)</t>
  </si>
  <si>
    <t>Sexual abuse</t>
  </si>
  <si>
    <t>...victime d’une violation sexuelle ?</t>
  </si>
  <si>
    <t>...impliqué dans la sorcellerie</t>
  </si>
  <si>
    <t>Land conflict</t>
  </si>
  <si>
    <t xml:space="preserve"> ...impliqué dans un conflit foncier avec quelqu’un de la communauté?</t>
  </si>
  <si>
    <t>mining conflict</t>
  </si>
  <si>
    <t>...impliqué conflit d’exploitation minière avec quelqu’un de la communauté</t>
  </si>
  <si>
    <t>Religious leader</t>
  </si>
  <si>
    <t>By the chef and the elders</t>
  </si>
  <si>
    <t>Chef de village intervient avec les sages</t>
  </si>
  <si>
    <t>member_list</t>
  </si>
  <si>
    <t>Agricultural Coopertative</t>
  </si>
  <si>
    <t>Cooperative Agricole</t>
  </si>
  <si>
    <t>Commercial Cooperative</t>
  </si>
  <si>
    <t>Cooperative Commercial</t>
  </si>
  <si>
    <t>Mining Cooperative</t>
  </si>
  <si>
    <t>Cooperative Minière</t>
  </si>
  <si>
    <t>Local Development Committee</t>
  </si>
  <si>
    <t>Comité de Developpement Local</t>
  </si>
  <si>
    <t>Commité de Developpement Local</t>
  </si>
  <si>
    <t>Women's Group</t>
  </si>
  <si>
    <t>Groupe des femmes</t>
  </si>
  <si>
    <t>Youth Group</t>
  </si>
  <si>
    <t>Groupe Jeunesse</t>
  </si>
  <si>
    <t>Religious Group</t>
  </si>
  <si>
    <t>Groupe Religieux</t>
  </si>
  <si>
    <t>Political Organisation</t>
  </si>
  <si>
    <t>Organisation Politique</t>
  </si>
  <si>
    <t>gender_agree_list</t>
  </si>
  <si>
    <t>Completely agree with A</t>
  </si>
  <si>
    <t>Tout a fait d’accord avec A</t>
  </si>
  <si>
    <t>Agree with A</t>
  </si>
  <si>
    <t>D’accord avec A</t>
  </si>
  <si>
    <t>Agree with B</t>
  </si>
  <si>
    <t>D’accord avec B</t>
  </si>
  <si>
    <t>Completely agree with B</t>
  </si>
  <si>
    <t>Tout a fait d’accord avec B</t>
  </si>
  <si>
    <t>Épouse</t>
  </si>
  <si>
    <t>freq3_list</t>
  </si>
  <si>
    <t>.&lt;=27 or .=98</t>
  </si>
  <si>
    <t>98 = NSP
Exceptez les dimances</t>
  </si>
  <si>
    <t>NSP = 98
Units next screen</t>
  </si>
  <si>
    <t>select_multiple gender_available</t>
  </si>
  <si>
    <t>...</t>
  </si>
  <si>
    <t>Chef de ménage n'est pas marié avec quelqu'un dans le ménage</t>
  </si>
  <si>
    <t>gender_intro</t>
  </si>
  <si>
    <t>I now have some questions for the Household Head and the Spouse separately, is this okay?</t>
  </si>
  <si>
    <t>Maintenant j'ai des questions pour le Chef de Ménage et l'épouse separement. Est-ce que vous etes d'accord de répondre ces questions separement?</t>
  </si>
  <si>
    <t>gender_accept_cdm</t>
  </si>
  <si>
    <t>Does the Chef de Ménage accept to answer questions separately?</t>
  </si>
  <si>
    <t>Le chef de ménage a accepté à répondre des questions?</t>
  </si>
  <si>
    <t>cdm</t>
  </si>
  <si>
    <t>Genre: Chef de ménage</t>
  </si>
  <si>
    <t>hhhead_intro</t>
  </si>
  <si>
    <t>Mainenant, je vais parler avec le chef de ménage seuelement</t>
  </si>
  <si>
    <t>Maintenant, on vous demandera de participer à une autre exercice avec lequel vous pouvez gagner de l’argent  effectivement.</t>
  </si>
  <si>
    <t xml:space="preserve">Dans cet exercice, nous allons vous présenter six loteries. </t>
  </si>
  <si>
    <t>De ces loteries vous allez sélectionner une que vous préférez</t>
  </si>
  <si>
    <t>Cet exercice sera suivi par d’autres et à l’issue de tous ces exercices vous recevrez un peu d’argent pour un seul exercice correspondant au numéro du jeton que vous sélectionnerez au hasard lors de la réunion de paiement.</t>
  </si>
  <si>
    <t>MONTRER LE JETON DE L’EXERCICE 3</t>
  </si>
  <si>
    <t>On va seulement faire à loterie sélectionné si vous tirez ce jeton lors de la réunion</t>
  </si>
  <si>
    <t>Donc si vous tirez le JETON 3 le paiement pour votre participation sera basé sur le résultat de la loterie que vous choisissez maintenant.</t>
  </si>
  <si>
    <t>Est-ce que ça c’est claire ? </t>
  </si>
  <si>
    <t>Ici j’ai un schéma avec 6 loteries</t>
  </si>
  <si>
    <t>Chaque loterie consiste de deux options : un montant haut, et un montant bas. </t>
  </si>
  <si>
    <t>Rappelez-vous que vous ne savez pas quelle boule vous allez tirer, donc vous avez le même chance d’avoir le paiement haut, que le paiement bas</t>
  </si>
  <si>
    <t>Comme vous avez bien compris je vais vous demander de faire votre choix.</t>
  </si>
  <si>
    <t>Je l’enregistre dans ce papier-ci</t>
  </si>
  <si>
    <t>risk_cdm</t>
  </si>
  <si>
    <t>Quelle option a votre préférence ?</t>
  </si>
  <si>
    <t>.&gt;0 and .&lt;7</t>
  </si>
  <si>
    <t>I will read couples of statements about the relationship between men and women.
Please indicate with which statement you agree most. 
I will not share your answers with anyone in your household</t>
  </si>
  <si>
    <t>Je vais lire chaque fois deux opinions : A et B. Je vais vous demander d’indiquer quelles de ces opinions suivants sont proche de votre opinion : A ou B.
Je ne vais pas partager vos réponses avec quelqu'un dans votre ménage.</t>
  </si>
  <si>
    <t>select_one gender_agree_list</t>
  </si>
  <si>
    <t>Which is closer to your opinion, A or B</t>
  </si>
  <si>
    <t>Quel est plus proche de votre opinion: A ou B?</t>
  </si>
  <si>
    <t>list_cdm</t>
  </si>
  <si>
    <t>List Experiment</t>
  </si>
  <si>
    <t>Experimentation de liste</t>
  </si>
  <si>
    <t xml:space="preserve"> Je ne vais pas regarder quand les boules tombent, donc  je ne vais pas savoir quels problèmes sont exactement applicables à vous. Je vais seulement compter les boules que vous avez jeté par terre à la fin de l’exercice, pour savoir combien de problèmes sont applicable a vous. Je garderai ce nombre dans tout l’anonymat.</t>
  </si>
  <si>
    <t>C'est clair? Je vais mentionner les problèmes</t>
  </si>
  <si>
    <t>Manque de nourriture</t>
  </si>
  <si>
    <t>Wait a few seconds to give the chance to the respondent to drop a stone</t>
  </si>
  <si>
    <t>Attendez quelques secondes pour donner le chance a l'enqueté de laisser tomber une boule</t>
  </si>
  <si>
    <t>Manque d'argent</t>
  </si>
  <si>
    <t>Vol</t>
  </si>
  <si>
    <t>Sterilité</t>
  </si>
  <si>
    <t>Violence sexuelle</t>
  </si>
  <si>
    <t>Combien de boules il y a par terre ?</t>
  </si>
  <si>
    <t>gender_accept_ep</t>
  </si>
  <si>
    <t>Does the Spouse of the Chef de Ménage accept to answer questions separately?</t>
  </si>
  <si>
    <t>L'épouse de chef de ménage a accepté à répondre des questions?</t>
  </si>
  <si>
    <t>ep</t>
  </si>
  <si>
    <t>Genre: Épouse de Chef de ménage</t>
  </si>
  <si>
    <t>Genre: Epouse de Chef de ménage</t>
  </si>
  <si>
    <t>spouse_intro</t>
  </si>
  <si>
    <t>Mainenant, je vais parler avec le conjoint seuelement</t>
  </si>
  <si>
    <t>risk_f</t>
  </si>
  <si>
    <t>list_con</t>
  </si>
  <si>
    <t>c</t>
  </si>
  <si>
    <t>Genre: Couple</t>
  </si>
  <si>
    <t>couple_intro</t>
  </si>
  <si>
    <t>Mainenant, je vais parler avec le couple ensemeble. Je vais vous laisser pour faire le choix</t>
  </si>
  <si>
    <t>MONTRER LE JETON DE L’EXERCICE 5</t>
  </si>
  <si>
    <t>Donc si vous tirez le JETON 5 le paiement pour votre participation sera basé sur le résultat de la loterie que vous choisissez maintenant.</t>
  </si>
  <si>
    <t>risk_c</t>
  </si>
  <si>
    <t>grp_gender</t>
  </si>
  <si>
    <t>Genre</t>
  </si>
  <si>
    <t>Who are available for questions privé?</t>
  </si>
  <si>
    <t>Qui sont disponible pour répondre les questions privées?</t>
  </si>
  <si>
    <t>gender_ep_who</t>
  </si>
  <si>
    <t>Which spouse responds?</t>
  </si>
  <si>
    <t>Qui est le conjoint qui répond?</t>
  </si>
  <si>
    <t>That's not a wive</t>
  </si>
  <si>
    <t>Ce n'est pas un conjoint</t>
  </si>
  <si>
    <t>investissement</t>
  </si>
  <si>
    <t>Investment Game</t>
  </si>
  <si>
    <t>Excercice d'Investissement</t>
  </si>
  <si>
    <t>Maintenant, vous allez faire un exercice, avec lequel vous pouvez obtenir réellement de l’argent et vous allez jouer avec une autre personne de votre village (l’identité de cette personne ne sera pas connue). </t>
  </si>
  <si>
    <t>L’exercice est plus ou moins compliqué, donc pour nous assurer que vous allez bien comprendre, nous allons faire un exercice d’échauffement d’abord</t>
  </si>
  <si>
    <t>Avec cet exercice vous ne pouvez pas gagner de l’argent, c’est seulement pour la bonne compréhension</t>
  </si>
  <si>
    <t>Imaginez que vous avez 6 sacs de maïs </t>
  </si>
  <si>
    <t>Quelqu’un d’autre dans votre village (n’importe qui, dont vous ne connaissez pas l’identité) a besoin de maïs. </t>
  </si>
  <si>
    <t>Si vous lui donnez une partie de votre maïs, il recevra le triple</t>
  </si>
  <si>
    <t>Ceci veut dire que si vous lui donnez un sac de maïs, il obtiendra 3 sacs de maïs, si vous lui donnez 2 sacs de maïs, il obtiendra 6 sacs de maïs et ainsi de suite. </t>
  </si>
  <si>
    <t>Montrez tous les lignes dans le SCHEMA GRAPHIQUE</t>
  </si>
  <si>
    <r>
      <t xml:space="preserve">C’est </t>
    </r>
    <r>
      <rPr>
        <b/>
        <u/>
        <sz val="11"/>
        <color indexed="8"/>
        <rFont val="Calibri"/>
        <family val="2"/>
      </rPr>
      <t>GARANTI</t>
    </r>
    <r>
      <rPr>
        <sz val="11"/>
        <color indexed="8"/>
        <rFont val="Calibri"/>
        <family val="2"/>
      </rPr>
      <t xml:space="preserve"> que ce sera triplé. </t>
    </r>
  </si>
  <si>
    <t>Celui qui aura reçu vos sacs ne connait pas votre identité. Maintenant, on lui demandera s’il veut vous retourner quelques sacs</t>
  </si>
  <si>
    <t>La personne n’est pas obligée de retourner les sacs de maïs que vous lui avez donnés. </t>
  </si>
  <si>
    <t>Ceci veut dire qu’il peut retourner zéro sac, un sac, deux sacs, etc. s’il le veut</t>
  </si>
  <si>
    <t>echinv_ie</t>
  </si>
  <si>
    <t>Sachant tout ceci, combien des 6 sacs de maïs voulez-vous lui envoyez ? </t>
  </si>
  <si>
    <t>Saisissez le nombre des sacs envoié par l'enqueté</t>
  </si>
  <si>
    <t>echinv_ie_keep</t>
  </si>
  <si>
    <t>echinv_ie_receive</t>
  </si>
  <si>
    <t>echinv_ie_sendback</t>
  </si>
  <si>
    <t>echinv_ie_gain</t>
  </si>
  <si>
    <t>Maintenant, vous êtes dans la situation opposée: c'est vous qui a besoin de mais</t>
  </si>
  <si>
    <t>C'est à dire que quelqu'un d'autre dans votre village est l'Envoyeur, et vous etes le Recepteur</t>
  </si>
  <si>
    <t>Le Recepteur a fait la meme décision que vous venez de faire</t>
  </si>
  <si>
    <t>Je vais présenter tous les 6 offres possible, qui sont dans ce schema ici, et vous allez me indiquer combien vous voulez renvoier</t>
  </si>
  <si>
    <t>Quand nous allons faire l'exercice votre correspondant sera quelqu'un d'autre du village dont vous ne connaissez pas l’identité</t>
  </si>
  <si>
    <t>Pour l'echauffement qui nous faisson maintenant, l'offre de votre correspondant est dans ces fiches ici, qui sont rempli par mes superviseurs.</t>
  </si>
  <si>
    <t>Montrez les fiches pre-rempli</t>
  </si>
  <si>
    <t>echinv_r</t>
  </si>
  <si>
    <t>Warm up Receiver</t>
  </si>
  <si>
    <t>Echauffement Recepteur</t>
  </si>
  <si>
    <t>echinv_r_linenum</t>
  </si>
  <si>
    <t>Vous avez la possibilité de lui retourner des sacs, mais vous êtes libre de les retourner ou pas. Combien de sacs voulez-vous lui retourner ? </t>
  </si>
  <si>
    <t>echinv_r_response</t>
  </si>
  <si>
    <t>echinv_r_gain</t>
  </si>
  <si>
    <t>Maintenant vous avez fait l’exercice en tant qu’Envoyeur, et en tant que Récepteur</t>
  </si>
  <si>
    <t>L’exercice pour l’argent effectivement va se dérouler dans la même façon</t>
  </si>
  <si>
    <t>Mais, nous allons vous payer pour une seule décision</t>
  </si>
  <si>
    <t>Après les exercices il y aura une réunion de paiement. Là, on va vous demander de tirer – sans regarder – un Jeton comme ceci</t>
  </si>
  <si>
    <t>Montrez les Jetons</t>
  </si>
  <si>
    <t>Si vous tirez le Jeton avec le numéro 1, nous allons vous payer pour votre décision comme Envoyeur</t>
  </si>
  <si>
    <t>On va tirer une réponse parmi les réponse des autres ménages enquêtés dans cette village. Dans ce fiche on va regarder combien ce ménage a renvoyé. </t>
  </si>
  <si>
    <t>S'il vous plait, tirez une fiche pour determiner votre gain.</t>
  </si>
  <si>
    <t>Fait tirer une fiche</t>
  </si>
  <si>
    <t>Assurez-vous que l'enqueté a compris</t>
  </si>
  <si>
    <t>Si lors de la réunion de paiement vous tirez le Jeton 2, nous allons vous payer en tant que récepteur. </t>
  </si>
  <si>
    <t>C’est-à-dire que on va sélectionner un des réponses des autres enquêtés dans votre village pour déterminer l’offre que vous allez recevoir.</t>
  </si>
  <si>
    <t>Apres on va regarder vos réponses pour déterminer combien vous allez renvoyer.</t>
  </si>
  <si>
    <t>S'il vous plait, tirez une fiche pour determiner l'offre qui vous allez recevoir en tant que Recepteur</t>
  </si>
  <si>
    <t>Voici, le Recepteur a choici d'Envoyer 3 Sacs qui sont triplé pour faire 9 Sacs</t>
  </si>
  <si>
    <t>Est-ce que vous avez bien compris?</t>
  </si>
  <si>
    <t>Ne continuez pas si l'enqueté n'a pas encore compris</t>
  </si>
  <si>
    <t>Maintenant, vous allez faire le même exercice, mais cette fois pour obtenir réellement de l’argent et vous allez jouer avec une autre personne de votre village (l’identité de cette personne ne sera pas connue). </t>
  </si>
  <si>
    <t>Ceci veut dire que lors de la réunion de paiement, vous aller tirez un de fiches comme ça, avec l’offre ou la réponse de quelqu’un d’autre de village. </t>
  </si>
  <si>
    <t>Montrez la fiche des excercies</t>
  </si>
  <si>
    <t>Votre gain à l’issue de l’exercice sera déterminé comme dans l’exercice d’échauffement avec les sacs de maïs. </t>
  </si>
  <si>
    <t>Rappelez-vous, que nous allons seulement payer pour un de tous les exercices que votre ménage fera aujourd’hui. </t>
  </si>
  <si>
    <t>Nous ferons une réunion de paiement à la fin de notre séjour dans votre village, ce que vous gagnerez dépendra à la fois de votre décision et celles des autres participants dans le village.</t>
  </si>
  <si>
    <t>Toutes les réponses sont ANONYMES, ceci signifie que si quelqu'un reçoit votre offre, il ne sait pas qu'elle est venue de vous. De même, si vous recevez une offre, vous ne savez pas qui l'a envoyée.</t>
  </si>
  <si>
    <t>Cet anonymat est très important pour nous, ainsi nous garantissons que personne dans votre village ne saura vos réponses. </t>
  </si>
  <si>
    <t>Il y a 6 coupons </t>
  </si>
  <si>
    <t>Chaque coupon vaut FC 500. </t>
  </si>
  <si>
    <t>Vous pouvez choisir d’envoyer tout, une partie ou aucun de vos pièces à un de vos frères du village (le RÉCEPTEUR). </t>
  </si>
  <si>
    <t>Je triplerai les pièces que vous décidez d’envoyer. Ainsi, si vous envoyez un pièce (FC 500), votre frère du village (RÉCEPTEUR) recevra 3 pièces (FC 1500), si vous envoyez 2 pièces (FC 500), votre frère du village recevra 6 pièces (FC 3000), si vous envoyez 4 pièces (FC 2000), votre frère du village recevra 12 pièces (FC 6000) etc... </t>
  </si>
  <si>
    <t>Montrez le schema graphique</t>
  </si>
  <si>
    <t>De ces pièces reçus, le RÉCEPTEUR peut décider de renvoyer certains ou aucun vers vous. </t>
  </si>
  <si>
    <t>Assurez-vous que l'enqueté a bien compris</t>
  </si>
  <si>
    <r>
      <t xml:space="preserve">Rappelez-vous que vous ne savez pas à qui vous êtes liés, et l'autre participant ne sait pas qu'il est lié à vous, </t>
    </r>
    <r>
      <rPr>
        <b/>
        <u/>
        <sz val="11"/>
        <color indexed="8"/>
        <rFont val="Calibri"/>
        <family val="2"/>
      </rPr>
      <t>VOS CHOIX PERSONNELS DEMEURERONT SECRETS</t>
    </r>
    <r>
      <rPr>
        <sz val="11"/>
        <color indexed="8"/>
        <rFont val="Calibri"/>
        <family val="2"/>
      </rPr>
      <t>. Nous ne dirons jamais combien vous lui avez envoyé</t>
    </r>
  </si>
  <si>
    <t>Rappelez-vous que nous allons payer seulement pour l’un des exercices.  Si à la réunion de paiement vous tirez JETON 1,  vous serez payé pour cet exercice</t>
  </si>
  <si>
    <t>Après que vous ayez fait votre choix en tant que ENVOYEUR, vous indiquerez ce que vous ferez comme RÉCEPTEUR. Ainsi, je vous présenterai les choix possibles de l'ENVOYEUR, et vous indiquerez combien vous allez renvoyer</t>
  </si>
  <si>
    <t>Rappelez-vous que nous payerons seulement pour l’un des exercices que vous ferez aujourd'hui. Si à la réunion de paiement vous tirez JETON 2, vous serez payé pour cet exercice. </t>
  </si>
  <si>
    <t>Ainsi vous pourriez être un ENVOYEUR ou un RÉCEPTEUR. En faisant vos choix, rappelez-vous que le RÉCEPTEUR n'obtient rien d’autre que ce qui vient de l’ENVOYEUR dans cet exercice. Donc si en tant que ENVOYEUR, vous n’envoyez rien au RÉCEPTEUR, il ne recevra rien ; si en tant que RÉCEPTEUR vous renvoyez tout vous n’aurez plus rien. </t>
  </si>
  <si>
    <t>Avez-vous des questions? </t>
  </si>
  <si>
    <t>Repondez les questions</t>
  </si>
  <si>
    <t>Maintenant vous êtes ENVOYEUR</t>
  </si>
  <si>
    <t>C’est-à-dire que vous avez 6 coupons de FC 500. </t>
  </si>
  <si>
    <t>Si vous tirez Jeton 1 lors de la réunion de paiement, vous recevrez les coupons que vous allez envoier vers le Recepteur plus les coupons qui le Recepteur va Renvoyer</t>
  </si>
  <si>
    <t>inv_ie</t>
  </si>
  <si>
    <t>Combien des coupons voulez-vous envoyer vers le Recepteur ? </t>
  </si>
  <si>
    <t>Copiez la réponse vers ligne IE dans la fiche des excercices</t>
  </si>
  <si>
    <t>Maintenant, vous êtes dans la situation opposée, c'est-à-dire vous êtes le récepteur. </t>
  </si>
  <si>
    <t>Je viens de inscrire votre offre dans ce fiche. Chaque enquêté dans ce village aura une fiche comme ça. </t>
  </si>
  <si>
    <t>Si vous tirez JETON 2 lors de la réunion de paiement, nous tirons une fiche de quelqu’un d’autre pour déterminer l’offre</t>
  </si>
  <si>
    <t>Je vais vous donner tous les offres possibles, et demander combien vous aller renvoyer. Avec ça, on déterminera votre gain si vous sélectionnerez JETON 2</t>
  </si>
  <si>
    <t>inv_r</t>
  </si>
  <si>
    <t>Receiver</t>
  </si>
  <si>
    <t>Recepteur</t>
  </si>
  <si>
    <t>Vous avez la possibilité de lui retourner des coupons mais vous êtes libre de les retourner ou pas. Combien de sacs voulez-vous lui retourner ? </t>
  </si>
  <si>
    <t>cashnum</t>
  </si>
  <si>
    <t>cash_error</t>
  </si>
  <si>
    <t>inkindnum</t>
  </si>
  <si>
    <t>inkind_error</t>
  </si>
  <si>
    <t>cashcheck_person</t>
  </si>
  <si>
    <t>inkindcheck_person</t>
  </si>
  <si>
    <t>cashcheck_hh</t>
  </si>
  <si>
    <t>inkindcheck_hh</t>
  </si>
  <si>
    <t>number(selected-at(.,count-selected(.)-1))&lt;=${hh_size}</t>
  </si>
  <si>
    <t>Services</t>
  </si>
  <si>
    <t>Does your household cultivate this plot, rent it to other households, or is it fallow?</t>
  </si>
  <si>
    <t>plot_landuse</t>
  </si>
  <si>
    <t>plot_rentreceive</t>
  </si>
  <si>
    <t>Est-ce que vous recevez de l'argent  pour ce champ dans quelqu'un de ces manieres?</t>
  </si>
  <si>
    <t>How do they pay</t>
  </si>
  <si>
    <t>Combien de dollar est-que vous recevez par année pour l'access?</t>
  </si>
  <si>
    <t>Combien de Franc Congolais est-que vous recevez par année pour l'access?</t>
  </si>
  <si>
    <t>Quel partie de récolte recevez vous pour l'access?</t>
  </si>
  <si>
    <t>Décrivez l'autre manière dans laquelle vous recevez le paiement</t>
  </si>
  <si>
    <t>plot_rent</t>
  </si>
  <si>
    <t>plotrent_dollar</t>
  </si>
  <si>
    <t>plotrent_franc</t>
  </si>
  <si>
    <t>plotrent_share</t>
  </si>
  <si>
    <t>plotrent_other</t>
  </si>
  <si>
    <t>plot_cultivation</t>
  </si>
  <si>
    <t>select_multiple work_list</t>
  </si>
  <si>
    <t>work_list</t>
  </si>
  <si>
    <t>${mem_nm_1}</t>
  </si>
  <si>
    <t>${mem_nm_2}</t>
  </si>
  <si>
    <t>${mem_nm_3}</t>
  </si>
  <si>
    <t>${mem_nm_4}</t>
  </si>
  <si>
    <t>${mem_nm_5}</t>
  </si>
  <si>
    <t>${mem_nm_6}</t>
  </si>
  <si>
    <t>${mem_nm_7}</t>
  </si>
  <si>
    <t>${mem_nm_8}</t>
  </si>
  <si>
    <t>${mem_nm_9}</t>
  </si>
  <si>
    <t>${mem_nm_10}</t>
  </si>
  <si>
    <t>${mem_nm_11}</t>
  </si>
  <si>
    <t>${mem_nm_12}</t>
  </si>
  <si>
    <t>${mem_nm_13}</t>
  </si>
  <si>
    <t>${mem_nm_14}</t>
  </si>
  <si>
    <t>${mem_nm_15}</t>
  </si>
  <si>
    <t>${mem_nm_16}</t>
  </si>
  <si>
    <t>${mem_nm_17}</t>
  </si>
  <si>
    <t>${mem_nm_18}</t>
  </si>
  <si>
    <t>${mem_nm_19}</t>
  </si>
  <si>
    <t>${mem_nm_20}</t>
  </si>
  <si>
    <t>Travailleur Journaillière</t>
  </si>
  <si>
    <t>Association agricole</t>
  </si>
  <si>
    <t>Combien des hommes-jours avez-vous utilisé le travailleur journailliere?</t>
  </si>
  <si>
    <t>work_who</t>
  </si>
  <si>
    <t>harvest_estimate</t>
  </si>
  <si>
    <t>Even though you haven't harvested yet, I would like to ask questions about your harvest. Could you please give estimates for these questions?</t>
  </si>
  <si>
    <t>Vous n'avez pas encore récolte, mais j'ai des questions sur votre récolte. Est-ce que vous pouvez me donner des estimations?</t>
  </si>
  <si>
    <t>Can't sell more than you've harvested</t>
  </si>
  <si>
    <t>Impossible de vendre plus que la quantité récolté</t>
  </si>
  <si>
    <t>number(.)&lt;=${hh_size}</t>
  </si>
  <si>
    <t>Cette saison B
Homme-jour veut dire que si 2 personnes ont travaille 2 jours, il faut saisir 4</t>
  </si>
  <si>
    <t>Combien des hommes-jours avez-vous utilisé l'association?</t>
  </si>
  <si>
    <t>assopersdays</t>
  </si>
  <si>
    <t>assopay_dollar</t>
  </si>
  <si>
    <t>assopay_franc</t>
  </si>
  <si>
    <t>assopay_share</t>
  </si>
  <si>
    <t>assopay_other</t>
  </si>
  <si>
    <t>assopay</t>
  </si>
  <si>
    <t>Paiez-vous pour le travaille de l'assocation?</t>
  </si>
  <si>
    <t>Combien de dollar est-que vous paiez par jour pour l'association?</t>
  </si>
  <si>
    <t>Combien de Franc Congolais est-que vous paiez par jour pour l'association?</t>
  </si>
  <si>
    <t>Quel partie de récolte contribuez vous pour l'association?</t>
  </si>
  <si>
    <t>Décrivez l'autre manière dans laquelle vous payez l'association</t>
  </si>
  <si>
    <t>Est-ce que votre ménage a prêté d'argent à quelq'un d'autre?</t>
  </si>
  <si>
    <t>Indiquez l'offre dans le Schema Graphique</t>
  </si>
  <si>
    <t>.&gt;=0 and .&lt;=6</t>
  </si>
  <si>
    <t>On regarde option 1 : si vous sélectionnez cette option, et vous tirez JETON 3 lors de la réunion de paiement on va déterminer si vous recevrez le paiement bas, c’est-à-dire 4000 FC ou le paiement haut : 4000 FC.</t>
  </si>
  <si>
    <t>Il y aura un sachet comme ceci. Dans ce sachet je mette deux boules. Si vous tirez la boule noire le paiement sera haut, si vous tirez la boule blanche le paiement sera bas.</t>
  </si>
  <si>
    <t>On regarde option 1 : si vous sélectionnez cette option, et vous tirez JETON 5 lors de la réunion de paiement on va déterminer si vous recevrez le paiement bas, c’est-à-dire 4000 FC ou le paiement haut : 4000 FC.</t>
  </si>
  <si>
    <t>On regarde option 1 : si vous sélectionnez cette option, et vous tirez JETON 4 lors de la réunion de paiement on va déterminer si vous recevrez le paiement bas, c’est-à-dire 4000 FC ou le paiement haut : 4000 FC.</t>
  </si>
  <si>
    <t>geopoint</t>
  </si>
  <si>
    <t>gps</t>
  </si>
  <si>
    <t>Please wait while I take a location.</t>
  </si>
  <si>
    <t>Patientez lorsque je prends la localisation</t>
  </si>
  <si>
    <t>result</t>
  </si>
  <si>
    <t>Result of the questionnaire</t>
  </si>
  <si>
    <t>Resultat d'entretien</t>
  </si>
  <si>
    <t>select_one result</t>
  </si>
  <si>
    <t>Rempli</t>
  </si>
  <si>
    <t>Absence longue durée</t>
  </si>
  <si>
    <t>Partiellement Rempli</t>
  </si>
  <si>
    <t>Incapacité</t>
  </si>
  <si>
    <t>result_other</t>
  </si>
  <si>
    <t>Sepcify</t>
  </si>
  <si>
    <t>${result}='96'</t>
  </si>
  <si>
    <t>not(number(${result}&gt;1))</t>
  </si>
  <si>
    <t>crop_note</t>
  </si>
  <si>
    <t>Cultivation</t>
  </si>
  <si>
    <t>plot_count</t>
  </si>
  <si>
    <t>Pour chaque boule je vais poser des questions, mais je vais demander des questions plus detaillés sur les trois champs principaux; c'est à dire, les champs le plus grands. D'abord, questions sur les récoltes qui vous cultivez dans le champ. Tous les questions sont sur la saison actuel. Apres j'ai des questions sur l'access au champ, qui y travaillent et quels intrants vous utilisez sur le champ. Après on prende le prochaine boule, pour répeter les questions pour un autre champ.</t>
  </si>
  <si>
    <t>Il faut noter le nombre total des champs.</t>
  </si>
  <si>
    <t>crop_trees</t>
  </si>
  <si>
    <t>How many trees do you have?</t>
  </si>
  <si>
    <t>Autre annuel</t>
  </si>
  <si>
    <t>Other perenne</t>
  </si>
  <si>
    <t>Autre perenne</t>
  </si>
  <si>
    <t>Nom d'enqueteur</t>
  </si>
  <si>
    <t>Combien des arbres avez-vous sur ce champ??</t>
  </si>
  <si>
    <t>Combien des arbres avez-vous dans ce champ?</t>
  </si>
  <si>
    <t>Quelle quantité est-ce que vous avez planté/semé dans ce champs lors de la saison passée?</t>
  </si>
  <si>
    <t>qdm_final</t>
  </si>
  <si>
    <t>number(selected-at(.,count-selected(.)-1))&lt;=${hh_size}+3</t>
  </si>
  <si>
    <t>.&gt;0 and .&lt;1000</t>
  </si>
  <si>
    <t>.&gt;=100 and .&lt;1000000</t>
  </si>
  <si>
    <t>.&gt;0 and .&lt;100000</t>
  </si>
  <si>
    <t>aid</t>
  </si>
  <si>
    <t>What was the name of the ngo?</t>
  </si>
  <si>
    <t>aid_ngo</t>
  </si>
  <si>
    <t>aid_desc</t>
  </si>
  <si>
    <t>Quel est le nom de l'ONG dans ce secteur?</t>
  </si>
  <si>
    <t>Le projet consistait en quoi?</t>
  </si>
  <si>
    <t>What did the project consist of?</t>
  </si>
  <si>
    <t>aid_list</t>
  </si>
  <si>
    <t>Santé</t>
  </si>
  <si>
    <t>Don d'argent</t>
  </si>
  <si>
    <t>Access au credit</t>
  </si>
  <si>
    <t>Formation (competences)</t>
  </si>
  <si>
    <t>Don des biens</t>
  </si>
  <si>
    <t>Sensibilization</t>
  </si>
  <si>
    <t>Construction d'infrastructure</t>
  </si>
  <si>
    <t>Health</t>
  </si>
  <si>
    <t>Infrastructure</t>
  </si>
  <si>
    <t>Droits des femmes</t>
  </si>
  <si>
    <t>Refus</t>
  </si>
  <si>
    <t>Gift of money</t>
  </si>
  <si>
    <t>Access to credit</t>
  </si>
  <si>
    <t>Training (skills)</t>
  </si>
  <si>
    <t>Gift of goods</t>
  </si>
  <si>
    <t>Sensitization</t>
  </si>
  <si>
    <t>Construction of infrastructure</t>
  </si>
  <si>
    <t>select_multiple project_list</t>
  </si>
  <si>
    <t>Over the pas two years, have you been beneficiary of a development project?</t>
  </si>
  <si>
    <t>Au cours des deux ans passés, est-ce que vous avez été beneficiaire d'un projet de developpement?</t>
  </si>
  <si>
    <t>Aid</t>
  </si>
  <si>
    <t>Aide</t>
  </si>
  <si>
    <t>aid_other</t>
  </si>
  <si>
    <t>aid_desc_oth</t>
  </si>
  <si>
    <t>select_multiple livestock_list</t>
  </si>
  <si>
    <t>Quels des animaux suivants possède votre ménage?</t>
  </si>
  <si>
    <t>Which of the following animals does your household own?</t>
  </si>
  <si>
    <t>livestock_list</t>
  </si>
  <si>
    <t>Cows</t>
  </si>
  <si>
    <t>Goats</t>
  </si>
  <si>
    <t>Chickens</t>
  </si>
  <si>
    <t>Porcs</t>
  </si>
  <si>
    <t>Other 1</t>
  </si>
  <si>
    <t>Other 2</t>
  </si>
  <si>
    <t>Vaches</t>
  </si>
  <si>
    <t>Chevres</t>
  </si>
  <si>
    <t>Poules</t>
  </si>
  <si>
    <t>Pigs</t>
  </si>
  <si>
    <t>Autre 1</t>
  </si>
  <si>
    <t>Autre 2</t>
  </si>
  <si>
    <t>livestock_qt</t>
  </si>
  <si>
    <t>device_num</t>
  </si>
  <si>
    <t>Device number</t>
  </si>
  <si>
    <t>Code de tablette</t>
  </si>
  <si>
    <t>pulldata('tablets', 'device_code', 'deviceid_key', ${deviceid})</t>
  </si>
  <si>
    <t>select_one territory_list</t>
  </si>
  <si>
    <t>territory</t>
  </si>
  <si>
    <t>In which territory/commune are you?</t>
  </si>
  <si>
    <t>Vous etes dans quel territoire/commune?</t>
  </si>
  <si>
    <t>select_one village_list</t>
  </si>
  <si>
    <t>grp_key</t>
  </si>
  <si>
    <t>search('villages', 'matches', 'territoire_id', ${territory})</t>
  </si>
  <si>
    <t>select_one respondent_list</t>
  </si>
  <si>
    <t>respondent_sel</t>
  </si>
  <si>
    <t>Select the respondent</t>
  </si>
  <si>
    <t>Selectez l'enquete</t>
  </si>
  <si>
    <t>search('names', 'matches', 'grp_id', ${grp_key})</t>
  </si>
  <si>
    <t>hh_code</t>
  </si>
  <si>
    <t>pulldata('names', 'hh_code', 'hhid_key', ${respondent_sel})</t>
  </si>
  <si>
    <t>hhid_ent</t>
  </si>
  <si>
    <t>hhname_ent</t>
  </si>
  <si>
    <t>hh_name</t>
  </si>
  <si>
    <t>vill_id</t>
  </si>
  <si>
    <t>pulldata('villages', 'vill_id', 'vill_key', ${grp_key})</t>
  </si>
  <si>
    <t>grp_id</t>
  </si>
  <si>
    <t>pulldata('villages', 'group_id', 'vill_key', ${grp_key})</t>
  </si>
  <si>
    <t>hh_id</t>
  </si>
  <si>
    <t>if(${hh_code}='0',${hhid_ent},${hh_code})</t>
  </si>
  <si>
    <t>obs_id</t>
  </si>
  <si>
    <t>concat('.',if(${vill_id}&lt;10,'0',''),${vill_id},${grp_id},if(${hh_id}&lt;10,'0',''),${hh_id})</t>
  </si>
  <si>
    <t>date_y</t>
  </si>
  <si>
    <t>format-date(${start},'%Y')</t>
  </si>
  <si>
    <t>date_m</t>
  </si>
  <si>
    <t>format-date(${start},'%n')</t>
  </si>
  <si>
    <t>date_d</t>
  </si>
  <si>
    <t>format-date(${start},'%e')</t>
  </si>
  <si>
    <t>date</t>
  </si>
  <si>
    <t>concat(${date_y},if(${date_m}&lt;10,'0',''),${date_m},if(${date_d}&lt;10,'0',''),${date_d})</t>
  </si>
  <si>
    <t>form_code</t>
  </si>
  <si>
    <t>concat('H',${date},'.',if(number(${interviewer})&lt;10,'0',''),${interviewer},if(${device_num}&lt;10,'0',''),${device_num},${obs_id})</t>
  </si>
  <si>
    <t>if(${hh_id} mod 2 = 0,4,5)</t>
  </si>
  <si>
    <t>respondent_list</t>
  </si>
  <si>
    <t>hhid_key</t>
  </si>
  <si>
    <t>hh_disp</t>
  </si>
  <si>
    <t>territory_list</t>
  </si>
  <si>
    <t>Kabare</t>
  </si>
  <si>
    <t>Bagira</t>
  </si>
  <si>
    <t>Uvira</t>
  </si>
  <si>
    <t>Fizi</t>
  </si>
  <si>
    <t>village_list</t>
  </si>
  <si>
    <t>vill_key</t>
  </si>
  <si>
    <t>disp_vill</t>
  </si>
  <si>
    <t>rptcnt</t>
  </si>
  <si>
    <t>${form_code}</t>
  </si>
  <si>
    <t>MFS II Phase B Questionnaire de Ménage
Version Terrain</t>
  </si>
  <si>
    <t>indexed-repeat(${gender}, ${hhroster},if(number(${gender_ep_who}) &gt; 0 ,number(${gender_ep_who}),1))='2'</t>
  </si>
  <si>
    <t>select_multiple aid_list</t>
  </si>
  <si>
    <t>Valeur total pour acheter un ramplaçant de meme qualité
NSP = 98
Unités sur l'écran suivant</t>
  </si>
  <si>
    <t>Lisez les assertions en haut voix.
NOTE: Paiements pour l'access incluient paiement au Mwami</t>
  </si>
  <si>
    <t>Imporved seeds</t>
  </si>
  <si>
    <t>Semences ameliorés</t>
  </si>
  <si>
    <t>Drainage</t>
  </si>
  <si>
    <t>.=0 or . = 98 or .&lt;1000000</t>
  </si>
  <si>
    <t>Unité dans l'écran suivant
98 = NSP</t>
  </si>
  <si>
    <t>Currency on the next screen
Enter 98 for don't know</t>
  </si>
  <si>
    <t>Pour chaque boule je vais poser des questions. Tous les questions sont sur la saison actuel.  Je commence avec le champ principal, c'est à dire le champ le plus important pour votre ménage. Après on prende le prochaine boule, pour répeter les questions pour un autre champ.</t>
  </si>
  <si>
    <t>Prenez la boule qui corresponde au champ le plus grand qui reste, et repondez toutes les questions sur ce champ.</t>
  </si>
  <si>
    <t>Mettez ces boules par terre: un boule pour chaque champs que votre ménage possède. Si vous voulez, vous pouvez faire une carte.</t>
  </si>
  <si>
    <t>Est-ce que vous avez reçu de l'argent  pour ce champ dans quelqu'un de ces manieres lors de la saison passé?</t>
  </si>
  <si>
    <t>Votre ménage cultivait ce champ lors de la saison B passé , ou c'est un champ loué par quelqu'un d'autre, ou est un champ en sachere?</t>
  </si>
  <si>
    <t>Quelles sont les cultures principaux cultivés dans ce champ la saison passée?</t>
  </si>
  <si>
    <t>Notez seuelement les trois cultures le plus important</t>
  </si>
  <si>
    <t>not(selected(.,'0') and count-selected(.)&gt;1) and not(selected(.,'97') and count-selected(.)&gt;1) and not(selected(.,'98') and count-selected(.)&gt;1) and not(count-selected(.)&gt;3)</t>
  </si>
  <si>
    <t>Units on next screen</t>
  </si>
  <si>
    <t>Unités ($ ou FC) dans l'écran suivant</t>
  </si>
  <si>
    <t>if(${hh_code}='0',${hhname_ent},pulldata('names', 'hh_nm', 'hhid_key', ${respondent_sel}))</t>
  </si>
  <si>
    <t>assets</t>
  </si>
  <si>
    <t>Which of the following durable goods does your household own?</t>
  </si>
  <si>
    <t>Quels des biens suivants possede votre ménage?</t>
  </si>
  <si>
    <t>Epouse/epoux</t>
  </si>
  <si>
    <t>Si oui, les questions sur le mariage seront demandé dans le groupe du conjoint(e).</t>
  </si>
  <si>
    <t>Notez la quantité. Unités dans le page prochain</t>
  </si>
  <si>
    <t>Select the village</t>
  </si>
  <si>
    <t>Selectionnez le village a partir de ce liste</t>
  </si>
  <si>
    <t>hhid_ent_2</t>
  </si>
  <si>
    <t>Vérification</t>
  </si>
  <si>
    <t>Enter the household code</t>
  </si>
  <si>
    <t>Saisissez le code ménage</t>
  </si>
  <si>
    <t>Si le chef d'équipe a corrigé le liste des ménages, le nom ne figure pas dans ce liste</t>
  </si>
  <si>
    <t>selected(${gender_available}, '1')</t>
  </si>
  <si>
    <t>Quel est le nom d'enqueté?</t>
  </si>
  <si>
    <t>Est-ce que le chef de ménage est le meme qu'en 2012?</t>
  </si>
  <si>
    <t>Pourquoi pas?</t>
  </si>
  <si>
    <t>chef_change</t>
  </si>
  <si>
    <t>chef_change_why</t>
  </si>
  <si>
    <t>select_one chefchange_list</t>
  </si>
  <si>
    <t>chefchange_list</t>
  </si>
  <si>
    <t>chef_change_autre</t>
  </si>
  <si>
    <t>Le chef de ménage de 2012 habite ailleurs maintentant</t>
  </si>
  <si>
    <t>L'ancien chef  de ménage est decede</t>
  </si>
  <si>
    <t>not(.='1' and ${hh_size}=1)</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</si>
</sst>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1"/>
      <color indexed="8"/>
      <name val="Calibri"/>
      <family val="2"/>
    </font>
    <font>
      <sz val="11"/>
      <color theme="1"/>
      <name val="Calibri"/>
      <family val="2"/>
      <scheme val="minor"/>
    </font>
    <font>
      <sz val="10"/>
      <name val="Arial"/>
      <family val="2"/>
    </font>
    <font>
      <sz val="12"/>
      <color indexed="8"/>
      <name val="Calibri"/>
      <family val="2"/>
    </font>
    <font>
      <sz val="11"/>
      <color indexed="8"/>
      <name val="Calibri"/>
      <family val="2"/>
    </font>
    <font>
      <b/>
      <sz val="15"/>
      <color indexed="56"/>
      <name val="Calibri"/>
      <family val="2"/>
    </font>
    <font>
      <b/>
      <sz val="11"/>
      <color indexed="56"/>
      <name val="Calibri"/>
      <family val="2"/>
    </font>
    <font>
      <b/>
      <sz val="18"/>
      <color indexed="56"/>
      <name val="Cambria"/>
      <family val="2"/>
    </font>
    <font>
      <b/>
      <sz val="11"/>
      <color indexed="8"/>
      <name val="Calibri"/>
      <family val="2"/>
    </font>
    <font>
      <sz val="8"/>
      <color indexed="8"/>
      <name val="Verdana"/>
      <family val="2"/>
    </font>
    <font>
      <sz val="11"/>
      <name val="Calibri"/>
      <family val="2"/>
    </font>
    <font>
      <b/>
      <sz val="12"/>
      <name val="Calibri"/>
      <family val="2"/>
    </font>
    <font>
      <sz val="12"/>
      <name val="Calibri"/>
      <family val="2"/>
    </font>
    <font>
      <sz val="7"/>
      <color indexed="8"/>
      <name val="Times New Roman"/>
      <family val="1"/>
    </font>
    <font>
      <u/>
      <sz val="7.7"/>
      <color indexed="12"/>
      <name val="Calibri"/>
      <family val="2"/>
    </font>
    <font>
      <sz val="15"/>
      <name val="Arial"/>
      <family val="2"/>
    </font>
    <font>
      <b/>
      <sz val="11"/>
      <name val="Calibri"/>
      <family val="2"/>
    </font>
    <font>
      <b/>
      <sz val="10"/>
      <name val="Arial"/>
      <family val="2"/>
    </font>
    <font>
      <sz val="8"/>
      <color indexed="8"/>
      <name val="Arial"/>
      <family val="2"/>
    </font>
    <font>
      <sz val="10"/>
      <color indexed="8"/>
      <name val="Arial"/>
      <family val="2"/>
    </font>
    <font>
      <sz val="10"/>
      <color indexed="8"/>
      <name val="Arial"/>
      <family val="2"/>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3"/>
      <color indexed="56"/>
      <name val="Calibri"/>
      <family val="2"/>
      <scheme val="minor"/>
    </font>
    <font>
      <sz val="12"/>
      <color rgb="FF3F3F76"/>
      <name val="Calibri"/>
      <family val="2"/>
      <scheme val="minor"/>
    </font>
    <font>
      <sz val="12"/>
      <color rgb="FFFA7D00"/>
      <name val="Calibri"/>
      <family val="2"/>
      <scheme val="minor"/>
    </font>
    <font>
      <b/>
      <sz val="12"/>
      <color rgb="FF3F3F3F"/>
      <name val="Calibri"/>
      <family val="2"/>
      <scheme val="minor"/>
    </font>
    <font>
      <b/>
      <sz val="12"/>
      <color theme="1"/>
      <name val="Calibri"/>
      <family val="2"/>
      <scheme val="minor"/>
    </font>
    <font>
      <sz val="12"/>
      <color rgb="FFFF0000"/>
      <name val="Calibri"/>
      <family val="2"/>
      <scheme val="minor"/>
    </font>
    <font>
      <sz val="11"/>
      <name val="Calibri"/>
      <family val="2"/>
      <scheme val="minor"/>
    </font>
    <font>
      <b/>
      <sz val="11"/>
      <color theme="1"/>
      <name val="Calibri"/>
      <family val="2"/>
      <scheme val="minor"/>
    </font>
    <font>
      <sz val="11"/>
      <color rgb="FFFF0000"/>
      <name val="Calibri"/>
      <family val="2"/>
    </font>
    <font>
      <u/>
      <sz val="8"/>
      <color indexed="8"/>
      <name val="Arial"/>
      <family val="2"/>
    </font>
    <font>
      <sz val="10"/>
      <color rgb="FF222222"/>
      <name val="Arial"/>
      <family val="2"/>
    </font>
    <font>
      <b/>
      <u/>
      <sz val="11"/>
      <color indexed="8"/>
      <name val="Calibri"/>
      <family val="2"/>
    </font>
  </fonts>
  <fills count="45">
    <fill>
      <patternFill patternType="none"/>
    </fill>
    <fill>
      <patternFill patternType="gray125"/>
    </fill>
    <fill>
      <patternFill patternType="solid">
        <fgColor indexed="46"/>
      </patternFill>
    </fill>
    <fill>
      <patternFill patternType="solid">
        <fgColor indexed="44"/>
      </patternFill>
    </fill>
    <fill>
      <patternFill patternType="solid">
        <fgColor indexed="51"/>
      </patternFill>
    </fill>
    <fill>
      <patternFill patternType="solid">
        <fgColor indexed="30"/>
      </patternFill>
    </fill>
    <fill>
      <patternFill patternType="solid">
        <fgColor indexed="36"/>
      </patternFill>
    </fill>
    <fill>
      <patternFill patternType="solid">
        <fgColor indexed="62"/>
      </patternFill>
    </fill>
    <fill>
      <patternFill patternType="solid">
        <fgColor indexed="22"/>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8" tint="0.59999389629810485"/>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5"/>
      </patternFill>
    </fill>
    <fill>
      <patternFill patternType="solid">
        <fgColor theme="6"/>
      </patternFill>
    </fill>
    <fill>
      <patternFill patternType="solid">
        <fgColor theme="8"/>
      </patternFill>
    </fill>
    <fill>
      <patternFill patternType="solid">
        <fgColor theme="9"/>
      </patternFill>
    </fill>
    <fill>
      <patternFill patternType="solid">
        <fgColor rgb="FFFFC7CE"/>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FFCC"/>
      </patternFill>
    </fill>
    <fill>
      <patternFill patternType="solid">
        <fgColor rgb="FF00B050"/>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0070C0"/>
        <bgColor indexed="64"/>
      </patternFill>
    </fill>
    <fill>
      <patternFill patternType="solid">
        <fgColor theme="6" tint="-0.499984740745262"/>
        <bgColor indexed="64"/>
      </patternFill>
    </fill>
    <fill>
      <patternFill patternType="solid">
        <fgColor rgb="FF92D050"/>
        <bgColor indexed="64"/>
      </patternFill>
    </fill>
    <fill>
      <patternFill patternType="solid">
        <fgColor theme="4"/>
        <bgColor indexed="64"/>
      </patternFill>
    </fill>
    <fill>
      <patternFill patternType="solid">
        <fgColor rgb="FF00B0F0"/>
        <bgColor indexed="64"/>
      </patternFill>
    </fill>
    <fill>
      <patternFill patternType="solid">
        <fgColor rgb="FF7030A0"/>
        <bgColor indexed="64"/>
      </patternFill>
    </fill>
  </fills>
  <borders count="10">
    <border>
      <left/>
      <right/>
      <top/>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7">
    <xf numFmtId="0" fontId="0" fillId="0" borderId="0"/>
    <xf numFmtId="0" fontId="21" fillId="10"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3"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2" borderId="0" applyNumberFormat="0" applyBorder="0" applyAlignment="0" applyProtection="0"/>
    <xf numFmtId="0" fontId="21" fillId="18" borderId="0" applyNumberFormat="0" applyBorder="0" applyAlignment="0" applyProtection="0"/>
    <xf numFmtId="0" fontId="21" fillId="4" borderId="0" applyNumberFormat="0" applyBorder="0" applyAlignment="0" applyProtection="0"/>
    <xf numFmtId="0" fontId="22" fillId="5"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7"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6"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3" fillId="28" borderId="0" applyNumberFormat="0" applyBorder="0" applyAlignment="0" applyProtection="0"/>
    <xf numFmtId="0" fontId="24" fillId="8" borderId="4" applyNumberFormat="0" applyAlignment="0" applyProtection="0"/>
    <xf numFmtId="0" fontId="25" fillId="29" borderId="5" applyNumberFormat="0" applyAlignment="0" applyProtection="0"/>
    <xf numFmtId="0" fontId="26" fillId="0" borderId="0" applyNumberFormat="0" applyFill="0" applyBorder="0" applyAlignment="0" applyProtection="0"/>
    <xf numFmtId="0" fontId="27" fillId="30" borderId="0" applyNumberFormat="0" applyBorder="0" applyAlignment="0" applyProtection="0"/>
    <xf numFmtId="0" fontId="5" fillId="0" borderId="1" applyNumberFormat="0" applyFill="0" applyAlignment="0" applyProtection="0"/>
    <xf numFmtId="0" fontId="28" fillId="0" borderId="6" applyNumberFormat="0" applyFill="0" applyAlignment="0" applyProtection="0"/>
    <xf numFmtId="0" fontId="6" fillId="0" borderId="2" applyNumberFormat="0" applyFill="0" applyAlignment="0" applyProtection="0"/>
    <xf numFmtId="0" fontId="6" fillId="0" borderId="0" applyNumberFormat="0" applyFill="0" applyBorder="0" applyAlignment="0" applyProtection="0"/>
    <xf numFmtId="0" fontId="14" fillId="0" borderId="0" applyNumberFormat="0" applyFill="0" applyBorder="0" applyAlignment="0" applyProtection="0">
      <alignment vertical="top"/>
      <protection locked="0"/>
    </xf>
    <xf numFmtId="0" fontId="29" fillId="31" borderId="4" applyNumberFormat="0" applyAlignment="0" applyProtection="0"/>
    <xf numFmtId="0" fontId="30" fillId="0" borderId="7" applyNumberFormat="0" applyFill="0" applyAlignment="0" applyProtection="0"/>
    <xf numFmtId="0" fontId="2" fillId="0" borderId="0">
      <alignment vertical="center"/>
    </xf>
    <xf numFmtId="0" fontId="4" fillId="0" borderId="0"/>
    <xf numFmtId="0" fontId="20" fillId="0" borderId="0"/>
    <xf numFmtId="0" fontId="3" fillId="32" borderId="8" applyNumberFormat="0" applyFont="0" applyAlignment="0" applyProtection="0"/>
    <xf numFmtId="0" fontId="31" fillId="8" borderId="9" applyNumberFormat="0" applyAlignment="0" applyProtection="0"/>
    <xf numFmtId="0" fontId="21" fillId="0" borderId="0"/>
    <xf numFmtId="0" fontId="7" fillId="0" borderId="0" applyNumberFormat="0" applyFill="0" applyBorder="0" applyAlignment="0" applyProtection="0"/>
    <xf numFmtId="0" fontId="32" fillId="0" borderId="3" applyNumberFormat="0" applyFill="0" applyAlignment="0" applyProtection="0"/>
    <xf numFmtId="0" fontId="33" fillId="0" borderId="0" applyNumberFormat="0" applyFill="0" applyBorder="0" applyAlignment="0" applyProtection="0"/>
    <xf numFmtId="0" fontId="1" fillId="0" borderId="0"/>
  </cellStyleXfs>
  <cellXfs count="155">
    <xf numFmtId="0" fontId="0" fillId="0" borderId="0" xfId="0"/>
    <xf numFmtId="0" fontId="10" fillId="9" borderId="0" xfId="0" applyFont="1" applyFill="1" applyBorder="1" applyAlignment="1">
      <alignment wrapText="1"/>
    </xf>
    <xf numFmtId="0" fontId="10" fillId="0" borderId="0" xfId="38" applyFont="1" applyBorder="1" applyAlignment="1">
      <alignment wrapText="1"/>
    </xf>
    <xf numFmtId="0" fontId="2" fillId="0" borderId="0" xfId="37" applyFont="1" applyBorder="1">
      <alignment vertical="center"/>
    </xf>
    <xf numFmtId="0" fontId="4" fillId="0" borderId="0" xfId="38" applyFont="1" applyFill="1" applyBorder="1"/>
    <xf numFmtId="0" fontId="4" fillId="0" borderId="0" xfId="38" applyFill="1" applyBorder="1"/>
    <xf numFmtId="0" fontId="0" fillId="0" borderId="0" xfId="0" applyFont="1" applyBorder="1"/>
    <xf numFmtId="0" fontId="10" fillId="0" borderId="0" xfId="0" applyFont="1" applyFill="1" applyBorder="1" applyAlignment="1">
      <alignment wrapText="1"/>
    </xf>
    <xf numFmtId="0" fontId="0" fillId="0" borderId="0" xfId="0" applyAlignment="1">
      <alignment vertical="center"/>
    </xf>
    <xf numFmtId="0" fontId="0" fillId="0" borderId="0" xfId="0" applyFont="1" applyFill="1" applyBorder="1"/>
    <xf numFmtId="0" fontId="10" fillId="33" borderId="0" xfId="0" applyFont="1" applyFill="1" applyBorder="1" applyAlignment="1"/>
    <xf numFmtId="0" fontId="10" fillId="34" borderId="0" xfId="0" applyFont="1" applyFill="1" applyBorder="1" applyAlignment="1"/>
    <xf numFmtId="0" fontId="10" fillId="0" borderId="0" xfId="38" applyFont="1" applyFill="1" applyBorder="1" applyAlignment="1">
      <alignment vertical="center"/>
    </xf>
    <xf numFmtId="0" fontId="10" fillId="0" borderId="0" xfId="0" applyFont="1" applyFill="1" applyBorder="1" applyAlignment="1"/>
    <xf numFmtId="0" fontId="10" fillId="0" borderId="0" xfId="38" applyFont="1" applyFill="1" applyBorder="1" applyAlignment="1">
      <alignment wrapText="1"/>
    </xf>
    <xf numFmtId="0" fontId="2" fillId="34" borderId="0" xfId="37" applyFont="1" applyFill="1" applyBorder="1" applyAlignment="1">
      <alignment vertical="center"/>
    </xf>
    <xf numFmtId="0" fontId="2" fillId="0" borderId="0" xfId="37" applyFont="1" applyFill="1" applyBorder="1" applyAlignment="1">
      <alignment vertical="center"/>
    </xf>
    <xf numFmtId="0" fontId="10" fillId="33" borderId="0" xfId="0" applyFont="1" applyFill="1" applyBorder="1" applyAlignment="1">
      <alignment wrapText="1"/>
    </xf>
    <xf numFmtId="0" fontId="10" fillId="34" borderId="0" xfId="38" applyFont="1" applyFill="1" applyBorder="1" applyAlignment="1">
      <alignment wrapText="1"/>
    </xf>
    <xf numFmtId="0" fontId="10" fillId="33" borderId="0" xfId="38" applyFont="1" applyFill="1" applyBorder="1" applyAlignment="1">
      <alignment wrapText="1"/>
    </xf>
    <xf numFmtId="0" fontId="2" fillId="33" borderId="0" xfId="37" applyFont="1" applyFill="1" applyBorder="1" applyAlignment="1">
      <alignment vertical="center"/>
    </xf>
    <xf numFmtId="0" fontId="10" fillId="34" borderId="0" xfId="0" applyFont="1" applyFill="1" applyBorder="1" applyAlignment="1">
      <alignment wrapText="1"/>
    </xf>
    <xf numFmtId="0" fontId="0" fillId="35" borderId="0" xfId="0" applyFont="1" applyFill="1" applyBorder="1"/>
    <xf numFmtId="0" fontId="0" fillId="0" borderId="0" xfId="0" applyAlignment="1">
      <alignment vertical="center" wrapText="1"/>
    </xf>
    <xf numFmtId="0" fontId="14" fillId="0" borderId="0" xfId="34" applyAlignment="1" applyProtection="1">
      <alignment vertical="center"/>
    </xf>
    <xf numFmtId="0" fontId="10" fillId="37" borderId="0" xfId="0" applyFont="1" applyFill="1" applyBorder="1" applyAlignment="1"/>
    <xf numFmtId="0" fontId="0" fillId="33" borderId="0" xfId="0" applyFill="1" applyBorder="1"/>
    <xf numFmtId="0" fontId="0" fillId="0" borderId="0" xfId="0" applyFill="1" applyBorder="1"/>
    <xf numFmtId="0" fontId="10" fillId="36" borderId="0" xfId="38" applyFont="1" applyFill="1" applyBorder="1" applyAlignment="1">
      <alignment wrapText="1"/>
    </xf>
    <xf numFmtId="0" fontId="0" fillId="0" borderId="0" xfId="0" applyBorder="1" applyAlignment="1">
      <alignment vertical="center"/>
    </xf>
    <xf numFmtId="0" fontId="0" fillId="0" borderId="0" xfId="0" applyBorder="1" applyAlignment="1">
      <alignment vertical="center" wrapText="1"/>
    </xf>
    <xf numFmtId="0" fontId="0" fillId="0" borderId="0" xfId="0" applyFill="1" applyBorder="1" applyAlignment="1">
      <alignment vertical="center"/>
    </xf>
    <xf numFmtId="0" fontId="0" fillId="36" borderId="0" xfId="0" applyFill="1" applyBorder="1" applyAlignment="1">
      <alignment vertical="center"/>
    </xf>
    <xf numFmtId="0" fontId="0" fillId="36" borderId="0" xfId="0" applyFill="1" applyBorder="1" applyAlignment="1">
      <alignment vertical="center" wrapText="1"/>
    </xf>
    <xf numFmtId="0" fontId="0" fillId="38" borderId="0" xfId="0" applyFill="1" applyBorder="1" applyAlignment="1">
      <alignment vertical="center"/>
    </xf>
    <xf numFmtId="0" fontId="0" fillId="38" borderId="0" xfId="0" applyFill="1" applyBorder="1" applyAlignment="1">
      <alignment vertical="center" wrapText="1"/>
    </xf>
    <xf numFmtId="0" fontId="10" fillId="36" borderId="0" xfId="0" applyFont="1" applyFill="1" applyBorder="1" applyAlignment="1">
      <alignment wrapText="1"/>
    </xf>
    <xf numFmtId="0" fontId="11" fillId="0" borderId="0" xfId="0" applyFont="1" applyFill="1" applyBorder="1" applyAlignment="1"/>
    <xf numFmtId="0" fontId="10" fillId="0" borderId="0" xfId="0" applyFont="1" applyBorder="1" applyAlignment="1">
      <alignment wrapText="1"/>
    </xf>
    <xf numFmtId="0" fontId="2" fillId="0" borderId="0" xfId="37" applyFont="1" applyBorder="1" applyAlignment="1">
      <alignment vertical="center" wrapText="1"/>
    </xf>
    <xf numFmtId="0" fontId="10" fillId="38" borderId="0" xfId="0" applyFont="1" applyFill="1" applyBorder="1" applyAlignment="1">
      <alignment wrapText="1"/>
    </xf>
    <xf numFmtId="0" fontId="10" fillId="0" borderId="0" xfId="0" applyFont="1" applyBorder="1" applyAlignment="1"/>
    <xf numFmtId="0" fontId="10" fillId="33" borderId="0" xfId="0" applyFont="1" applyFill="1" applyBorder="1"/>
    <xf numFmtId="0" fontId="10" fillId="39" borderId="0" xfId="0" applyFont="1" applyFill="1" applyBorder="1" applyAlignment="1"/>
    <xf numFmtId="0" fontId="11" fillId="0" borderId="0" xfId="38" applyFont="1" applyBorder="1" applyAlignment="1">
      <alignment wrapText="1"/>
    </xf>
    <xf numFmtId="0" fontId="12" fillId="0" borderId="0" xfId="38" applyFont="1" applyBorder="1" applyAlignment="1">
      <alignment wrapText="1"/>
    </xf>
    <xf numFmtId="0" fontId="11" fillId="0" borderId="0" xfId="38" applyFont="1" applyFill="1" applyBorder="1" applyAlignment="1">
      <alignment wrapText="1"/>
    </xf>
    <xf numFmtId="0" fontId="4" fillId="0" borderId="0" xfId="38" applyBorder="1"/>
    <xf numFmtId="0" fontId="2" fillId="36" borderId="0" xfId="37" applyFont="1" applyFill="1" applyBorder="1" applyAlignment="1">
      <alignment vertical="center" wrapText="1"/>
    </xf>
    <xf numFmtId="0" fontId="2" fillId="36" borderId="0" xfId="37" applyFont="1" applyFill="1" applyBorder="1" applyAlignment="1">
      <alignment vertical="center"/>
    </xf>
    <xf numFmtId="0" fontId="0" fillId="0" borderId="0" xfId="0" applyBorder="1"/>
    <xf numFmtId="0" fontId="2" fillId="33" borderId="0" xfId="37" applyFont="1" applyFill="1" applyBorder="1" applyAlignment="1">
      <alignment vertical="center" wrapText="1"/>
    </xf>
    <xf numFmtId="0" fontId="2" fillId="0" borderId="0" xfId="37" applyFont="1" applyFill="1" applyBorder="1" applyAlignment="1">
      <alignment vertical="center" wrapText="1"/>
    </xf>
    <xf numFmtId="0" fontId="16" fillId="33" borderId="0" xfId="0" applyFont="1" applyFill="1" applyBorder="1" applyAlignment="1">
      <alignment wrapText="1"/>
    </xf>
    <xf numFmtId="0" fontId="16" fillId="34" borderId="0" xfId="0" applyFont="1" applyFill="1" applyBorder="1" applyAlignment="1">
      <alignment wrapText="1"/>
    </xf>
    <xf numFmtId="0" fontId="0" fillId="34" borderId="0" xfId="0" applyFill="1" applyBorder="1" applyAlignment="1"/>
    <xf numFmtId="0" fontId="2" fillId="34" borderId="0" xfId="37" applyFont="1" applyFill="1" applyBorder="1" applyAlignment="1">
      <alignment vertical="center" wrapText="1"/>
    </xf>
    <xf numFmtId="0" fontId="0" fillId="36" borderId="0" xfId="0" applyFill="1" applyBorder="1" applyAlignment="1"/>
    <xf numFmtId="0" fontId="10" fillId="40" borderId="0" xfId="0" applyFont="1" applyFill="1" applyBorder="1" applyAlignment="1">
      <alignment wrapText="1"/>
    </xf>
    <xf numFmtId="0" fontId="10" fillId="40" borderId="0" xfId="0" applyFont="1" applyFill="1" applyBorder="1" applyAlignment="1"/>
    <xf numFmtId="0" fontId="11" fillId="0" borderId="0" xfId="0" applyFont="1" applyBorder="1" applyAlignment="1"/>
    <xf numFmtId="0" fontId="15" fillId="0" borderId="0" xfId="0" applyFont="1" applyBorder="1" applyAlignment="1"/>
    <xf numFmtId="0" fontId="0" fillId="0" borderId="0" xfId="0" applyFill="1" applyBorder="1" applyAlignment="1"/>
    <xf numFmtId="0" fontId="2" fillId="0" borderId="0" xfId="37" applyFont="1" applyBorder="1" applyAlignment="1">
      <alignment vertical="center"/>
    </xf>
    <xf numFmtId="0" fontId="12" fillId="0" borderId="0" xfId="38" applyFont="1" applyBorder="1" applyAlignment="1"/>
    <xf numFmtId="0" fontId="10" fillId="0" borderId="0" xfId="38" applyFont="1" applyFill="1" applyBorder="1" applyAlignment="1"/>
    <xf numFmtId="0" fontId="10" fillId="36" borderId="0" xfId="38" applyFont="1" applyFill="1" applyBorder="1" applyAlignment="1"/>
    <xf numFmtId="0" fontId="10" fillId="33" borderId="0" xfId="38" applyFont="1" applyFill="1" applyBorder="1" applyAlignment="1"/>
    <xf numFmtId="0" fontId="10" fillId="34" borderId="0" xfId="38" applyFont="1" applyFill="1" applyBorder="1" applyAlignment="1"/>
    <xf numFmtId="0" fontId="10" fillId="9" borderId="0" xfId="0" applyFont="1" applyFill="1" applyBorder="1" applyAlignment="1"/>
    <xf numFmtId="0" fontId="34" fillId="0" borderId="0" xfId="38" applyFont="1" applyFill="1" applyBorder="1" applyAlignment="1"/>
    <xf numFmtId="0" fontId="0" fillId="0" borderId="0" xfId="0" applyFill="1" applyBorder="1" applyAlignment="1">
      <alignment wrapText="1"/>
    </xf>
    <xf numFmtId="0" fontId="0" fillId="0" borderId="0" xfId="0" applyFill="1" applyBorder="1" applyAlignment="1">
      <alignment vertical="center" wrapText="1"/>
    </xf>
    <xf numFmtId="0" fontId="12" fillId="0" borderId="0" xfId="42" applyFont="1" applyBorder="1" applyAlignment="1">
      <alignment wrapText="1"/>
    </xf>
    <xf numFmtId="0" fontId="4" fillId="0" borderId="0" xfId="38" applyBorder="1" applyAlignment="1">
      <alignment wrapText="1"/>
    </xf>
    <xf numFmtId="0" fontId="10" fillId="36" borderId="0" xfId="38" applyFont="1" applyFill="1" applyBorder="1" applyAlignment="1">
      <alignment vertical="center" wrapText="1"/>
    </xf>
    <xf numFmtId="0" fontId="0" fillId="33" borderId="0" xfId="0" applyFill="1" applyBorder="1" applyAlignment="1">
      <alignment wrapText="1"/>
    </xf>
    <xf numFmtId="0" fontId="0" fillId="0" borderId="0" xfId="0" applyBorder="1" applyAlignment="1">
      <alignment wrapText="1"/>
    </xf>
    <xf numFmtId="0" fontId="17" fillId="33" borderId="0" xfId="37" applyFont="1" applyFill="1" applyBorder="1" applyAlignment="1">
      <alignment vertical="center" wrapText="1"/>
    </xf>
    <xf numFmtId="0" fontId="17" fillId="34" borderId="0" xfId="37" applyFont="1" applyFill="1" applyBorder="1" applyAlignment="1">
      <alignment vertical="center" wrapText="1"/>
    </xf>
    <xf numFmtId="0" fontId="10" fillId="34" borderId="0" xfId="38" applyFont="1" applyFill="1" applyBorder="1" applyAlignment="1">
      <alignment vertical="center" wrapText="1"/>
    </xf>
    <xf numFmtId="0" fontId="0" fillId="34" borderId="0" xfId="0" applyFill="1" applyBorder="1" applyAlignment="1">
      <alignment wrapText="1"/>
    </xf>
    <xf numFmtId="0" fontId="17" fillId="0" borderId="0" xfId="37" applyFont="1" applyFill="1" applyBorder="1" applyAlignment="1">
      <alignment vertical="center" wrapText="1"/>
    </xf>
    <xf numFmtId="0" fontId="17" fillId="0" borderId="0" xfId="37" applyFont="1" applyBorder="1" applyAlignment="1">
      <alignment vertical="center" wrapText="1"/>
    </xf>
    <xf numFmtId="0" fontId="35" fillId="34" borderId="0" xfId="0" applyFont="1" applyFill="1" applyBorder="1" applyAlignment="1">
      <alignment wrapText="1"/>
    </xf>
    <xf numFmtId="0" fontId="17" fillId="36" borderId="0" xfId="37" applyFont="1" applyFill="1" applyBorder="1" applyAlignment="1">
      <alignment vertical="center" wrapText="1"/>
    </xf>
    <xf numFmtId="0" fontId="0" fillId="36" borderId="0" xfId="0" applyFill="1" applyBorder="1" applyAlignment="1">
      <alignment wrapText="1"/>
    </xf>
    <xf numFmtId="0" fontId="8" fillId="0" borderId="0" xfId="0" applyFont="1" applyBorder="1"/>
    <xf numFmtId="0" fontId="8" fillId="0" borderId="0" xfId="0" applyFont="1" applyFill="1" applyBorder="1"/>
    <xf numFmtId="0" fontId="0" fillId="33" borderId="0" xfId="0" applyFont="1" applyFill="1" applyBorder="1"/>
    <xf numFmtId="0" fontId="8" fillId="33" borderId="0" xfId="0" applyFont="1" applyFill="1" applyBorder="1"/>
    <xf numFmtId="0" fontId="4" fillId="0" borderId="0" xfId="38" applyFont="1" applyBorder="1"/>
    <xf numFmtId="0" fontId="0" fillId="0" borderId="0" xfId="38" applyFont="1" applyBorder="1"/>
    <xf numFmtId="0" fontId="0" fillId="0" borderId="0" xfId="38" applyFont="1" applyFill="1" applyBorder="1"/>
    <xf numFmtId="0" fontId="4" fillId="0" borderId="0" xfId="0" applyFont="1" applyBorder="1"/>
    <xf numFmtId="0" fontId="0" fillId="0" borderId="0" xfId="0" applyFont="1" applyFill="1" applyBorder="1" applyAlignment="1">
      <alignment vertical="center" wrapText="1"/>
    </xf>
    <xf numFmtId="0" fontId="0" fillId="0" borderId="0" xfId="0" applyFont="1" applyBorder="1" applyAlignment="1">
      <alignment vertical="center" wrapText="1"/>
    </xf>
    <xf numFmtId="0" fontId="0" fillId="35" borderId="0" xfId="0" applyFont="1" applyFill="1" applyBorder="1" applyAlignment="1">
      <alignment vertical="center" wrapText="1"/>
    </xf>
    <xf numFmtId="0" fontId="16" fillId="33" borderId="0" xfId="0" applyFont="1" applyFill="1" applyBorder="1"/>
    <xf numFmtId="0" fontId="10" fillId="35" borderId="0" xfId="0" applyFont="1" applyFill="1" applyBorder="1"/>
    <xf numFmtId="0" fontId="36" fillId="0" borderId="0" xfId="0" applyFont="1" applyBorder="1"/>
    <xf numFmtId="0" fontId="36" fillId="35" borderId="0" xfId="0" applyFont="1" applyFill="1" applyBorder="1"/>
    <xf numFmtId="0" fontId="0" fillId="35" borderId="0" xfId="0" applyFill="1" applyBorder="1"/>
    <xf numFmtId="0" fontId="13" fillId="0" borderId="0" xfId="0" applyFont="1" applyBorder="1" applyAlignment="1">
      <alignment horizontal="justify"/>
    </xf>
    <xf numFmtId="0" fontId="0" fillId="41" borderId="0" xfId="0" applyFont="1" applyFill="1" applyBorder="1"/>
    <xf numFmtId="0" fontId="9" fillId="41" borderId="0" xfId="0" applyFont="1" applyFill="1" applyBorder="1"/>
    <xf numFmtId="0" fontId="9" fillId="0" borderId="0" xfId="0" applyFont="1" applyBorder="1" applyAlignment="1">
      <alignment horizontal="left" vertical="center" wrapText="1" indent="1"/>
    </xf>
    <xf numFmtId="0" fontId="18" fillId="0" borderId="0" xfId="0" applyFont="1" applyBorder="1" applyAlignment="1">
      <alignment horizontal="right" vertical="center"/>
    </xf>
    <xf numFmtId="0" fontId="0" fillId="0" borderId="0" xfId="0" applyFont="1" applyBorder="1" applyAlignment="1">
      <alignment horizontal="right" vertical="center"/>
    </xf>
    <xf numFmtId="0" fontId="18" fillId="0" borderId="0" xfId="0" applyFont="1" applyBorder="1"/>
    <xf numFmtId="0" fontId="4" fillId="0" borderId="0" xfId="38" applyBorder="1" applyAlignment="1">
      <alignment horizontal="right" vertical="center"/>
    </xf>
    <xf numFmtId="0" fontId="0" fillId="0" borderId="0" xfId="38" applyFont="1" applyBorder="1" applyAlignment="1">
      <alignment horizontal="left"/>
    </xf>
    <xf numFmtId="0" fontId="4" fillId="0" borderId="0" xfId="38" applyBorder="1" applyAlignment="1">
      <alignment horizontal="left"/>
    </xf>
    <xf numFmtId="0" fontId="19" fillId="0" borderId="0" xfId="0" applyFont="1" applyBorder="1"/>
    <xf numFmtId="0" fontId="0" fillId="0" borderId="0" xfId="0" applyAlignment="1"/>
    <xf numFmtId="0" fontId="10" fillId="42" borderId="0" xfId="0" applyFont="1" applyFill="1" applyBorder="1" applyAlignment="1"/>
    <xf numFmtId="0" fontId="2" fillId="38" borderId="0" xfId="37" applyFont="1" applyFill="1" applyBorder="1" applyAlignment="1">
      <alignment vertical="center" wrapText="1"/>
    </xf>
    <xf numFmtId="0" fontId="2" fillId="38" borderId="0" xfId="37" applyFont="1" applyFill="1" applyBorder="1" applyAlignment="1">
      <alignment vertical="center"/>
    </xf>
    <xf numFmtId="0" fontId="10" fillId="38" borderId="0" xfId="38" applyFont="1" applyFill="1" applyBorder="1" applyAlignment="1"/>
    <xf numFmtId="0" fontId="10" fillId="38" borderId="0" xfId="38" applyFont="1" applyFill="1" applyBorder="1" applyAlignment="1">
      <alignment wrapText="1"/>
    </xf>
    <xf numFmtId="0" fontId="12" fillId="38" borderId="0" xfId="42" applyFont="1" applyFill="1" applyBorder="1" applyAlignment="1">
      <alignment wrapText="1"/>
    </xf>
    <xf numFmtId="0" fontId="0" fillId="38" borderId="0" xfId="0" applyFill="1" applyBorder="1" applyAlignment="1">
      <alignment wrapText="1"/>
    </xf>
    <xf numFmtId="0" fontId="0" fillId="33" borderId="0" xfId="0" applyFill="1" applyBorder="1" applyAlignment="1">
      <alignment vertical="center" wrapText="1"/>
    </xf>
    <xf numFmtId="0" fontId="0" fillId="33" borderId="0" xfId="0" applyFill="1" applyBorder="1" applyAlignment="1">
      <alignment vertical="center"/>
    </xf>
    <xf numFmtId="0" fontId="0" fillId="34" borderId="0" xfId="0" applyFill="1" applyBorder="1" applyAlignment="1">
      <alignment vertical="center" wrapText="1"/>
    </xf>
    <xf numFmtId="0" fontId="0" fillId="34" borderId="0" xfId="0" applyFill="1" applyBorder="1" applyAlignment="1">
      <alignment vertical="center"/>
    </xf>
    <xf numFmtId="0" fontId="10" fillId="34" borderId="0" xfId="38" applyFont="1" applyFill="1" applyBorder="1" applyAlignment="1">
      <alignment vertical="center"/>
    </xf>
    <xf numFmtId="0" fontId="0" fillId="43" borderId="0" xfId="0" applyFill="1" applyBorder="1" applyAlignment="1">
      <alignment vertical="center" wrapText="1"/>
    </xf>
    <xf numFmtId="0" fontId="0" fillId="43" borderId="0" xfId="0" applyFill="1" applyBorder="1" applyAlignment="1">
      <alignment vertical="center"/>
    </xf>
    <xf numFmtId="0" fontId="10" fillId="43" borderId="0" xfId="0" applyFont="1" applyFill="1" applyBorder="1" applyAlignment="1">
      <alignment wrapText="1"/>
    </xf>
    <xf numFmtId="0" fontId="0" fillId="0" borderId="0" xfId="0" applyAlignment="1">
      <alignment wrapText="1"/>
    </xf>
    <xf numFmtId="0" fontId="0" fillId="41" borderId="0" xfId="0" applyFill="1"/>
    <xf numFmtId="0" fontId="0" fillId="41" borderId="0" xfId="0" applyFill="1" applyBorder="1" applyAlignment="1">
      <alignment vertical="center" wrapText="1"/>
    </xf>
    <xf numFmtId="0" fontId="18" fillId="0" borderId="0" xfId="0" applyFont="1"/>
    <xf numFmtId="0" fontId="18" fillId="0" borderId="0" xfId="0" applyFont="1" applyAlignment="1">
      <alignment vertical="center"/>
    </xf>
    <xf numFmtId="0" fontId="13" fillId="0" borderId="0" xfId="0" applyFont="1" applyFill="1" applyBorder="1" applyAlignment="1">
      <alignment horizontal="justify"/>
    </xf>
    <xf numFmtId="0" fontId="0" fillId="33" borderId="0" xfId="0" applyFill="1" applyBorder="1" applyAlignment="1"/>
    <xf numFmtId="0" fontId="0" fillId="33" borderId="0" xfId="0" applyFill="1"/>
    <xf numFmtId="0" fontId="18" fillId="0" borderId="0" xfId="0" applyFont="1" applyAlignment="1">
      <alignment horizontal="left" vertical="center" indent="2"/>
    </xf>
    <xf numFmtId="0" fontId="18" fillId="0" borderId="0" xfId="0" applyFont="1" applyAlignment="1">
      <alignment horizontal="left" vertical="center" indent="1"/>
    </xf>
    <xf numFmtId="0" fontId="18" fillId="0" borderId="0" xfId="0" applyFont="1" applyBorder="1" applyAlignment="1">
      <alignment horizontal="left" vertical="center" indent="2"/>
    </xf>
    <xf numFmtId="0" fontId="18" fillId="0" borderId="0" xfId="0" applyFont="1" applyFill="1" applyBorder="1" applyAlignment="1">
      <alignment horizontal="left" vertical="center" indent="2"/>
    </xf>
    <xf numFmtId="0" fontId="1" fillId="0" borderId="0" xfId="46" applyFill="1"/>
    <xf numFmtId="0" fontId="10" fillId="33" borderId="0" xfId="0" applyFont="1" applyFill="1" applyBorder="1" applyAlignment="1">
      <alignment vertical="center" wrapText="1"/>
    </xf>
    <xf numFmtId="0" fontId="10" fillId="33" borderId="0" xfId="0" applyFont="1" applyFill="1" applyBorder="1" applyAlignment="1">
      <alignment vertical="center"/>
    </xf>
    <xf numFmtId="0" fontId="10" fillId="0" borderId="0" xfId="0" applyFont="1" applyFill="1" applyBorder="1"/>
    <xf numFmtId="0" fontId="38" fillId="0" borderId="0" xfId="0" applyFont="1"/>
    <xf numFmtId="0" fontId="0" fillId="38" borderId="0" xfId="0" applyFill="1"/>
    <xf numFmtId="0" fontId="4" fillId="0" borderId="0" xfId="39" applyFont="1" applyFill="1" applyBorder="1" applyAlignment="1">
      <alignment horizontal="right" wrapText="1"/>
    </xf>
    <xf numFmtId="0" fontId="9" fillId="0" borderId="0" xfId="0" applyFont="1"/>
    <xf numFmtId="0" fontId="9" fillId="0" borderId="0" xfId="0" applyFont="1" applyBorder="1"/>
    <xf numFmtId="0" fontId="10" fillId="44" borderId="0" xfId="0" applyFont="1" applyFill="1" applyBorder="1" applyAlignment="1">
      <alignment wrapText="1"/>
    </xf>
    <xf numFmtId="0" fontId="0" fillId="0" borderId="0" xfId="0" applyFill="1"/>
    <xf numFmtId="0" fontId="0" fillId="0" borderId="0" xfId="0" applyFill="1" applyAlignment="1"/>
    <xf numFmtId="0" fontId="10" fillId="36" borderId="0" xfId="0" applyFont="1" applyFill="1" applyBorder="1" applyAlignment="1"/>
  </cellXfs>
  <cellStyles count="47">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Hyperlink" xfId="34" builtinId="8"/>
    <cellStyle name="Input" xfId="35"/>
    <cellStyle name="Linked Cell" xfId="36"/>
    <cellStyle name="Normal" xfId="0" builtinId="0"/>
    <cellStyle name="Normal 2" xfId="37"/>
    <cellStyle name="Normal 3" xfId="38"/>
    <cellStyle name="Normal 4" xfId="46"/>
    <cellStyle name="Normal_Sheet3" xfId="39"/>
    <cellStyle name="Note" xfId="40"/>
    <cellStyle name="Output" xfId="41"/>
    <cellStyle name="Standard_survey" xfId="42"/>
    <cellStyle name="Title" xfId="43"/>
    <cellStyle name="Total" xfId="44"/>
    <cellStyle name="Warning Text"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192.168.0.100/submiss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45"/>
  <sheetViews>
    <sheetView tabSelected="1" zoomScaleNormal="100" workbookViewId="0">
      <pane xSplit="6" ySplit="1" topLeftCell="Q87" activePane="bottomRight" state="frozen"/>
      <selection pane="topRight" activeCell="E1" sqref="E1"/>
      <selection pane="bottomLeft" activeCell="A2" sqref="A2"/>
      <selection pane="bottomRight" activeCell="R92" sqref="R92"/>
    </sheetView>
  </sheetViews>
  <sheetFormatPr defaultColWidth="18.28515625" defaultRowHeight="20.100000000000001" customHeight="1" x14ac:dyDescent="0.25"/>
  <cols>
    <col min="1" max="2" width="7.7109375" style="38" customWidth="1"/>
    <col min="3" max="3" width="28.42578125" style="38" customWidth="1"/>
    <col min="4" max="4" width="7" style="38" customWidth="1"/>
    <col min="5" max="5" width="9.42578125" style="38" customWidth="1"/>
    <col min="6" max="6" width="27.42578125" style="38" customWidth="1"/>
    <col min="7" max="7" width="86.28515625" style="13" customWidth="1"/>
    <col min="8" max="8" width="32.42578125" style="13" customWidth="1"/>
    <col min="9" max="9" width="43.140625" style="13" customWidth="1"/>
    <col min="10" max="10" width="23.85546875" style="7" customWidth="1"/>
    <col min="11" max="11" width="28.85546875" style="7" customWidth="1"/>
    <col min="12" max="12" width="37" style="7" customWidth="1"/>
    <col min="13" max="13" width="48.28515625" style="38" customWidth="1"/>
    <col min="14" max="15" width="18.28515625" style="7"/>
    <col min="16" max="17" width="26.42578125" style="7" customWidth="1"/>
    <col min="18" max="18" width="38.5703125" style="7" customWidth="1"/>
    <col min="19" max="19" width="23" style="38" customWidth="1"/>
    <col min="20" max="20" width="29" style="38" customWidth="1"/>
    <col min="21" max="16384" width="18.28515625" style="38"/>
  </cols>
  <sheetData>
    <row r="1" spans="1:25" ht="20.100000000000001" customHeight="1" x14ac:dyDescent="0.25">
      <c r="A1" s="38" t="s">
        <v>1311</v>
      </c>
      <c r="B1" s="38" t="s">
        <v>2033</v>
      </c>
      <c r="C1" s="60" t="s">
        <v>22</v>
      </c>
      <c r="D1" s="60" t="s">
        <v>493</v>
      </c>
      <c r="E1" s="60" t="s">
        <v>494</v>
      </c>
      <c r="F1" s="60" t="s">
        <v>23</v>
      </c>
      <c r="G1" s="60" t="s">
        <v>969</v>
      </c>
      <c r="H1" s="60" t="s">
        <v>712</v>
      </c>
      <c r="I1" s="37" t="s">
        <v>713</v>
      </c>
      <c r="J1" s="60" t="s">
        <v>29</v>
      </c>
      <c r="K1" s="37" t="s">
        <v>92</v>
      </c>
      <c r="L1" s="37" t="s">
        <v>31</v>
      </c>
      <c r="M1" s="37" t="s">
        <v>24</v>
      </c>
      <c r="N1" s="60" t="s">
        <v>25</v>
      </c>
      <c r="O1" s="60" t="s">
        <v>30</v>
      </c>
      <c r="P1" s="60" t="s">
        <v>93</v>
      </c>
      <c r="Q1" s="60" t="s">
        <v>765</v>
      </c>
      <c r="R1" s="60" t="s">
        <v>26</v>
      </c>
      <c r="S1" s="37" t="s">
        <v>17</v>
      </c>
      <c r="T1" s="60" t="s">
        <v>27</v>
      </c>
      <c r="U1" s="60" t="s">
        <v>1094</v>
      </c>
      <c r="V1" s="60" t="s">
        <v>473</v>
      </c>
      <c r="W1" s="60" t="s">
        <v>766</v>
      </c>
      <c r="X1" s="60" t="s">
        <v>28</v>
      </c>
      <c r="Y1" s="41" t="s">
        <v>57</v>
      </c>
    </row>
    <row r="2" spans="1:25" ht="20.100000000000001" customHeight="1" x14ac:dyDescent="0.25">
      <c r="A2" s="38">
        <v>0</v>
      </c>
      <c r="B2" s="38">
        <v>0</v>
      </c>
      <c r="C2" s="41" t="s">
        <v>143</v>
      </c>
      <c r="D2" s="41"/>
      <c r="E2" s="41"/>
      <c r="F2" s="41" t="s">
        <v>143</v>
      </c>
      <c r="G2" s="41"/>
      <c r="H2" s="41"/>
      <c r="I2" s="62"/>
      <c r="J2" s="41"/>
      <c r="K2" s="13"/>
      <c r="L2" s="13" t="str">
        <f t="shared" ref="L2:L6" si="0">E2&amp;IF(E2="",""," ")&amp;I2</f>
        <v/>
      </c>
      <c r="M2" s="41"/>
      <c r="N2" s="41"/>
      <c r="O2" s="41"/>
      <c r="P2" s="41"/>
      <c r="Q2" s="41"/>
      <c r="R2" s="41"/>
      <c r="S2" s="41"/>
      <c r="T2" s="61"/>
      <c r="U2" s="61"/>
      <c r="V2" s="61"/>
      <c r="W2" s="61"/>
      <c r="X2" s="61"/>
      <c r="Y2" s="41"/>
    </row>
    <row r="3" spans="1:25" ht="20.100000000000001" customHeight="1" x14ac:dyDescent="0.25">
      <c r="A3" s="38">
        <f>IF(C3="begin group",A2+1,IF(C3="end group",A2-1,A2))</f>
        <v>0</v>
      </c>
      <c r="B3" s="38">
        <f>IF(C3="begin repeat",B2+1,IF(C3="end repeat",B2-1,B2))</f>
        <v>0</v>
      </c>
      <c r="C3" s="41" t="s">
        <v>144</v>
      </c>
      <c r="D3" s="41"/>
      <c r="E3" s="41"/>
      <c r="F3" s="41" t="s">
        <v>144</v>
      </c>
      <c r="G3" s="41"/>
      <c r="H3" s="41"/>
      <c r="I3" s="62"/>
      <c r="J3" s="41" t="str">
        <f t="shared" ref="J3:J6" si="1">E3&amp;IF(D3="",""," ")&amp;G3</f>
        <v/>
      </c>
      <c r="K3" s="13"/>
      <c r="L3" s="13" t="str">
        <f t="shared" si="0"/>
        <v/>
      </c>
      <c r="M3" s="41"/>
      <c r="N3" s="41"/>
      <c r="O3" s="41"/>
      <c r="P3" s="41"/>
      <c r="Q3" s="41"/>
      <c r="R3" s="41"/>
      <c r="S3" s="41"/>
      <c r="T3" s="61"/>
      <c r="U3" s="61"/>
      <c r="V3" s="61"/>
      <c r="W3" s="61"/>
      <c r="X3" s="61"/>
      <c r="Y3" s="41"/>
    </row>
    <row r="4" spans="1:25" ht="20.100000000000001" customHeight="1" x14ac:dyDescent="0.25">
      <c r="A4" s="38">
        <f t="shared" ref="A4:A8" si="2">IF(C4="begin group",A3+1,IF(C4="end group",A3-1,A3))</f>
        <v>0</v>
      </c>
      <c r="B4" s="38">
        <f t="shared" ref="B4:B8" si="3">IF(C4="begin repeat",B3+1,IF(C4="end repeat",B3-1,B3))</f>
        <v>0</v>
      </c>
      <c r="C4" s="41" t="s">
        <v>145</v>
      </c>
      <c r="D4" s="41"/>
      <c r="E4" s="41"/>
      <c r="F4" s="41" t="s">
        <v>145</v>
      </c>
      <c r="G4" s="41"/>
      <c r="H4" s="41"/>
      <c r="I4" s="62"/>
      <c r="J4" s="41" t="str">
        <f t="shared" si="1"/>
        <v/>
      </c>
      <c r="K4" s="13"/>
      <c r="L4" s="13" t="str">
        <f t="shared" si="0"/>
        <v/>
      </c>
      <c r="M4" s="41"/>
      <c r="N4" s="41"/>
      <c r="O4" s="41"/>
      <c r="P4" s="41"/>
      <c r="Q4" s="41"/>
      <c r="R4" s="41"/>
      <c r="S4" s="41"/>
      <c r="T4" s="61"/>
      <c r="U4" s="61"/>
      <c r="V4" s="61"/>
      <c r="W4" s="61"/>
      <c r="X4" s="61" t="s">
        <v>36</v>
      </c>
      <c r="Y4" s="41"/>
    </row>
    <row r="5" spans="1:25" ht="20.100000000000001" customHeight="1" x14ac:dyDescent="0.25">
      <c r="A5" s="38">
        <f t="shared" si="2"/>
        <v>0</v>
      </c>
      <c r="B5" s="38">
        <f t="shared" si="3"/>
        <v>0</v>
      </c>
      <c r="C5" s="41" t="s">
        <v>961</v>
      </c>
      <c r="D5" s="41"/>
      <c r="E5" s="41"/>
      <c r="F5" s="41" t="s">
        <v>146</v>
      </c>
      <c r="G5" s="41" t="s">
        <v>1006</v>
      </c>
      <c r="H5" s="41" t="s">
        <v>1924</v>
      </c>
      <c r="I5" s="25" t="s">
        <v>897</v>
      </c>
      <c r="J5" s="41" t="str">
        <f t="shared" si="1"/>
        <v>Interviewer name</v>
      </c>
      <c r="K5" s="13" t="str">
        <f>E5&amp;IF(E5="",""," ")&amp;H5</f>
        <v>Nom d'enqueteur</v>
      </c>
      <c r="L5" s="13" t="str">
        <f t="shared" si="0"/>
        <v>Jina ya Muhulizaji</v>
      </c>
      <c r="M5" s="41"/>
      <c r="N5" s="41"/>
      <c r="O5" s="41"/>
      <c r="P5" s="41"/>
      <c r="Q5" s="41"/>
      <c r="R5" s="41"/>
      <c r="S5" s="41"/>
      <c r="T5" s="41"/>
      <c r="U5" s="41"/>
      <c r="V5" s="41"/>
      <c r="W5" s="41"/>
      <c r="X5" s="41" t="s">
        <v>36</v>
      </c>
      <c r="Y5" s="41"/>
    </row>
    <row r="6" spans="1:25" ht="20.100000000000001" customHeight="1" x14ac:dyDescent="0.25">
      <c r="A6" s="38">
        <f t="shared" si="2"/>
        <v>0</v>
      </c>
      <c r="B6" s="38">
        <f t="shared" si="3"/>
        <v>0</v>
      </c>
      <c r="C6" s="41" t="s">
        <v>35</v>
      </c>
      <c r="D6" s="41"/>
      <c r="E6" s="41"/>
      <c r="F6" s="41" t="s">
        <v>1982</v>
      </c>
      <c r="G6" s="41" t="s">
        <v>1983</v>
      </c>
      <c r="H6" s="41" t="s">
        <v>1984</v>
      </c>
      <c r="I6" s="41" t="s">
        <v>1984</v>
      </c>
      <c r="J6" s="41" t="str">
        <f t="shared" si="1"/>
        <v>Device number</v>
      </c>
      <c r="K6" s="13" t="str">
        <f>E6&amp;IF(E6="",""," ")&amp;H6</f>
        <v>Code de tablette</v>
      </c>
      <c r="L6" s="13" t="str">
        <f t="shared" si="0"/>
        <v>Code de tablette</v>
      </c>
      <c r="M6" s="41" t="s">
        <v>1985</v>
      </c>
      <c r="N6" s="41"/>
      <c r="O6" s="41"/>
      <c r="P6" s="41"/>
      <c r="Q6" s="41"/>
      <c r="R6" s="41"/>
      <c r="S6" s="41"/>
      <c r="T6" s="41"/>
      <c r="U6" s="41"/>
      <c r="V6" s="41"/>
      <c r="W6" s="41"/>
      <c r="X6" s="41" t="s">
        <v>36</v>
      </c>
      <c r="Y6" s="41"/>
    </row>
    <row r="7" spans="1:25" customFormat="1" ht="20.100000000000001" customHeight="1" x14ac:dyDescent="0.25">
      <c r="A7" s="38">
        <f t="shared" si="2"/>
        <v>0</v>
      </c>
      <c r="B7" s="38">
        <f t="shared" si="3"/>
        <v>0</v>
      </c>
      <c r="C7" s="13" t="s">
        <v>1986</v>
      </c>
      <c r="F7" s="13" t="s">
        <v>1987</v>
      </c>
      <c r="G7" s="13" t="s">
        <v>1988</v>
      </c>
      <c r="H7" s="114" t="s">
        <v>1989</v>
      </c>
      <c r="I7" s="114" t="s">
        <v>1989</v>
      </c>
      <c r="J7" s="41" t="str">
        <f>E7&amp;IF(D7="",""," ")&amp;G7</f>
        <v>In which territory/commune are you?</v>
      </c>
      <c r="K7" s="13" t="str">
        <f>E7&amp;IF(E7="",""," ")&amp;H7</f>
        <v>Vous etes dans quel territoire/commune?</v>
      </c>
      <c r="L7" s="13" t="str">
        <f>E7&amp;IF(E7="",""," ")&amp;I7</f>
        <v>Vous etes dans quel territoire/commune?</v>
      </c>
      <c r="M7" s="63"/>
      <c r="X7" t="s">
        <v>36</v>
      </c>
    </row>
    <row r="8" spans="1:25" ht="20.100000000000001" customHeight="1" x14ac:dyDescent="0.25">
      <c r="A8" s="38">
        <f t="shared" si="2"/>
        <v>0</v>
      </c>
      <c r="B8" s="38">
        <f t="shared" si="3"/>
        <v>0</v>
      </c>
      <c r="C8" s="13" t="s">
        <v>1990</v>
      </c>
      <c r="D8" s="13"/>
      <c r="E8" s="13"/>
      <c r="F8" s="13" t="s">
        <v>1991</v>
      </c>
      <c r="G8" s="13" t="s">
        <v>2063</v>
      </c>
      <c r="H8" s="13" t="s">
        <v>2064</v>
      </c>
      <c r="I8" s="13" t="s">
        <v>2064</v>
      </c>
      <c r="J8" s="41" t="str">
        <f t="shared" ref="J8:J14" si="4">E8&amp;IF(D8="",""," ")&amp;G8</f>
        <v>Select the village</v>
      </c>
      <c r="K8" s="13" t="str">
        <f t="shared" ref="K8:K14" si="5">E8&amp;IF(E8="",""," ")&amp;H8</f>
        <v>Selectionnez le village a partir de ce liste</v>
      </c>
      <c r="L8" s="13" t="str">
        <f t="shared" ref="L8:L14" si="6">E8&amp;IF(E8="",""," ")&amp;I8</f>
        <v>Selectionnez le village a partir de ce liste</v>
      </c>
      <c r="M8" s="41"/>
      <c r="N8" s="41" t="s">
        <v>1992</v>
      </c>
      <c r="O8" s="13"/>
      <c r="P8" s="13"/>
      <c r="Q8" s="13"/>
      <c r="R8" s="13"/>
      <c r="S8" s="41"/>
      <c r="T8" s="41"/>
      <c r="U8" s="41"/>
      <c r="V8" s="41"/>
      <c r="W8" s="41"/>
      <c r="X8" s="41" t="s">
        <v>36</v>
      </c>
      <c r="Y8" s="41"/>
    </row>
    <row r="9" spans="1:25" ht="20.100000000000001" customHeight="1" x14ac:dyDescent="0.25">
      <c r="A9" s="38">
        <f t="shared" ref="A9:A76" si="7">IF(C9="begin group",A8+1,IF(C9="end group",A8-1,A8))</f>
        <v>0</v>
      </c>
      <c r="B9" s="38">
        <f t="shared" ref="B9:B76" si="8">IF(C9="begin repeat",B8+1,IF(C9="end repeat",B8-1,B8))</f>
        <v>0</v>
      </c>
      <c r="C9" s="41" t="s">
        <v>1993</v>
      </c>
      <c r="D9" s="41"/>
      <c r="E9" s="41"/>
      <c r="F9" s="38" t="s">
        <v>1994</v>
      </c>
      <c r="G9" s="41" t="s">
        <v>1995</v>
      </c>
      <c r="H9" s="41" t="s">
        <v>1996</v>
      </c>
      <c r="I9" s="41" t="s">
        <v>1996</v>
      </c>
      <c r="J9" s="41" t="str">
        <f t="shared" si="4"/>
        <v>Select the respondent</v>
      </c>
      <c r="K9" s="13" t="str">
        <f t="shared" si="5"/>
        <v>Selectez l'enquete</v>
      </c>
      <c r="L9" s="13" t="str">
        <f t="shared" si="6"/>
        <v>Selectez l'enquete</v>
      </c>
      <c r="M9" s="41"/>
      <c r="N9" s="41" t="s">
        <v>1997</v>
      </c>
      <c r="O9" s="13" t="s">
        <v>2069</v>
      </c>
      <c r="P9" s="13" t="s">
        <v>2069</v>
      </c>
      <c r="Q9" s="13" t="s">
        <v>2069</v>
      </c>
      <c r="R9" s="41"/>
      <c r="S9" s="41"/>
      <c r="T9" s="41"/>
      <c r="U9" s="41"/>
      <c r="V9" s="41"/>
      <c r="W9" s="41"/>
      <c r="X9" s="41" t="s">
        <v>36</v>
      </c>
      <c r="Y9" s="41"/>
    </row>
    <row r="10" spans="1:25" ht="20.100000000000001" customHeight="1" x14ac:dyDescent="0.25">
      <c r="A10" s="38">
        <f t="shared" si="7"/>
        <v>0</v>
      </c>
      <c r="B10" s="38">
        <f t="shared" si="8"/>
        <v>0</v>
      </c>
      <c r="C10" s="41" t="s">
        <v>44</v>
      </c>
      <c r="D10" s="41"/>
      <c r="E10" s="41"/>
      <c r="F10" s="38" t="s">
        <v>1998</v>
      </c>
      <c r="G10" s="41"/>
      <c r="H10" s="41"/>
      <c r="I10" s="41"/>
      <c r="J10" s="41"/>
      <c r="K10" s="13"/>
      <c r="L10" s="13"/>
      <c r="M10" s="41" t="s">
        <v>1999</v>
      </c>
      <c r="N10" s="41"/>
      <c r="O10" s="13"/>
      <c r="P10" s="13"/>
      <c r="Q10" s="13"/>
      <c r="R10" s="41"/>
      <c r="S10" s="41"/>
      <c r="T10" s="41"/>
      <c r="U10" s="41"/>
      <c r="V10" s="41"/>
      <c r="W10" s="41"/>
      <c r="X10" s="41"/>
      <c r="Y10" s="41"/>
    </row>
    <row r="11" spans="1:25" ht="20.100000000000001" customHeight="1" x14ac:dyDescent="0.25">
      <c r="A11" s="38">
        <f t="shared" si="7"/>
        <v>0</v>
      </c>
      <c r="B11" s="38">
        <f t="shared" si="8"/>
        <v>0</v>
      </c>
      <c r="C11" s="41" t="s">
        <v>35</v>
      </c>
      <c r="D11" s="41"/>
      <c r="E11" s="41"/>
      <c r="F11" s="38" t="s">
        <v>2000</v>
      </c>
      <c r="G11" s="41" t="s">
        <v>2067</v>
      </c>
      <c r="H11" s="41" t="s">
        <v>2068</v>
      </c>
      <c r="I11" s="41" t="s">
        <v>2068</v>
      </c>
      <c r="J11" s="41" t="str">
        <f t="shared" si="4"/>
        <v>Enter the household code</v>
      </c>
      <c r="K11" s="13" t="str">
        <f t="shared" si="5"/>
        <v>Saisissez le code ménage</v>
      </c>
      <c r="L11" s="13" t="str">
        <f t="shared" si="6"/>
        <v>Saisissez le code ménage</v>
      </c>
      <c r="M11" s="41"/>
      <c r="N11" s="41"/>
      <c r="O11" s="13"/>
      <c r="P11" s="13"/>
      <c r="Q11" s="13"/>
      <c r="R11" s="41" t="str">
        <f>"${"&amp;F10&amp;"}='0'"</f>
        <v>${hh_code}='0'</v>
      </c>
      <c r="S11" s="41"/>
      <c r="T11" s="41"/>
      <c r="U11" s="41"/>
      <c r="V11" s="41"/>
      <c r="W11" s="41"/>
      <c r="X11" s="41" t="s">
        <v>36</v>
      </c>
      <c r="Y11" s="41"/>
    </row>
    <row r="12" spans="1:25" ht="20.100000000000001" customHeight="1" x14ac:dyDescent="0.25">
      <c r="C12" s="41" t="s">
        <v>35</v>
      </c>
      <c r="D12" s="41"/>
      <c r="E12" s="41"/>
      <c r="F12" s="38" t="s">
        <v>2065</v>
      </c>
      <c r="G12" s="41" t="s">
        <v>2067</v>
      </c>
      <c r="H12" s="41" t="s">
        <v>2068</v>
      </c>
      <c r="I12" s="41" t="s">
        <v>2068</v>
      </c>
      <c r="J12" s="41" t="str">
        <f t="shared" ref="J12" si="9">E12&amp;IF(D12="",""," ")&amp;G12</f>
        <v>Enter the household code</v>
      </c>
      <c r="K12" s="13" t="str">
        <f t="shared" ref="K12" si="10">E12&amp;IF(E12="",""," ")&amp;H12</f>
        <v>Saisissez le code ménage</v>
      </c>
      <c r="L12" s="13" t="str">
        <f t="shared" ref="L12" si="11">E12&amp;IF(E12="",""," ")&amp;I12</f>
        <v>Saisissez le code ménage</v>
      </c>
      <c r="M12" s="41"/>
      <c r="N12" s="41"/>
      <c r="O12" s="13" t="s">
        <v>2066</v>
      </c>
      <c r="P12" s="13" t="s">
        <v>2066</v>
      </c>
      <c r="Q12" s="13" t="s">
        <v>2066</v>
      </c>
      <c r="R12" s="41" t="str">
        <f>"${"&amp;F10&amp;"}='0'"</f>
        <v>${hh_code}='0'</v>
      </c>
      <c r="S12" s="41"/>
      <c r="T12" s="41" t="str">
        <f>".=${"&amp;F11&amp;"}"</f>
        <v>.=${hhid_ent}</v>
      </c>
      <c r="U12" s="41"/>
      <c r="V12" s="41"/>
      <c r="W12" s="41"/>
      <c r="X12" s="41"/>
      <c r="Y12" s="41"/>
    </row>
    <row r="13" spans="1:25" ht="20.100000000000001" customHeight="1" x14ac:dyDescent="0.25">
      <c r="A13" s="38">
        <f>IF(C13="begin group",A11+1,IF(C13="end group",A11-1,A11))</f>
        <v>0</v>
      </c>
      <c r="B13" s="38">
        <f>IF(C13="begin repeat",B11+1,IF(C13="end repeat",B11-1,B11))</f>
        <v>0</v>
      </c>
      <c r="C13" s="41" t="s">
        <v>34</v>
      </c>
      <c r="D13" s="41"/>
      <c r="E13" s="41"/>
      <c r="F13" s="38" t="s">
        <v>2001</v>
      </c>
      <c r="G13" s="41" t="s">
        <v>2071</v>
      </c>
      <c r="H13" s="41" t="s">
        <v>2071</v>
      </c>
      <c r="I13" s="41" t="s">
        <v>2071</v>
      </c>
      <c r="J13" s="41" t="str">
        <f t="shared" si="4"/>
        <v>Quel est le nom d'enqueté?</v>
      </c>
      <c r="K13" s="13" t="str">
        <f t="shared" si="5"/>
        <v>Quel est le nom d'enqueté?</v>
      </c>
      <c r="L13" s="13" t="str">
        <f t="shared" si="6"/>
        <v>Quel est le nom d'enqueté?</v>
      </c>
      <c r="M13" s="41"/>
      <c r="N13" s="41"/>
      <c r="O13" s="13"/>
      <c r="P13" s="13"/>
      <c r="Q13" s="13"/>
      <c r="R13" s="41" t="str">
        <f>"${"&amp;F10&amp;"}='0'"</f>
        <v>${hh_code}='0'</v>
      </c>
      <c r="S13" s="41"/>
      <c r="T13" s="41"/>
      <c r="U13" s="41"/>
      <c r="V13" s="41"/>
      <c r="W13" s="41"/>
      <c r="X13" s="41" t="s">
        <v>36</v>
      </c>
      <c r="Y13" s="41"/>
    </row>
    <row r="14" spans="1:25" ht="20.100000000000001" customHeight="1" x14ac:dyDescent="0.25">
      <c r="A14" s="38">
        <f t="shared" si="7"/>
        <v>0</v>
      </c>
      <c r="B14" s="38">
        <f t="shared" si="8"/>
        <v>0</v>
      </c>
      <c r="C14" s="41" t="s">
        <v>44</v>
      </c>
      <c r="D14" s="41"/>
      <c r="E14" s="41"/>
      <c r="F14" s="41" t="s">
        <v>2002</v>
      </c>
      <c r="G14" s="41"/>
      <c r="H14" s="41"/>
      <c r="I14" s="25"/>
      <c r="J14" s="41" t="str">
        <f t="shared" si="4"/>
        <v/>
      </c>
      <c r="K14" s="13" t="str">
        <f t="shared" si="5"/>
        <v/>
      </c>
      <c r="L14" s="13" t="str">
        <f t="shared" si="6"/>
        <v/>
      </c>
      <c r="M14" s="41" t="s">
        <v>2056</v>
      </c>
      <c r="N14" s="41"/>
      <c r="O14" s="13"/>
      <c r="P14" s="13"/>
      <c r="Q14" s="13"/>
      <c r="R14" s="41"/>
      <c r="S14" s="41"/>
      <c r="U14" s="41"/>
      <c r="V14" s="41"/>
      <c r="W14" s="41"/>
      <c r="X14" s="41"/>
      <c r="Y14" s="41"/>
    </row>
    <row r="15" spans="1:25" ht="20.100000000000001" customHeight="1" x14ac:dyDescent="0.25">
      <c r="A15" s="38">
        <f t="shared" si="7"/>
        <v>0</v>
      </c>
      <c r="B15" s="38">
        <f t="shared" si="8"/>
        <v>0</v>
      </c>
      <c r="C15" s="41" t="s">
        <v>44</v>
      </c>
      <c r="D15" s="41"/>
      <c r="E15" s="41"/>
      <c r="F15" s="41" t="s">
        <v>2003</v>
      </c>
      <c r="G15" s="41"/>
      <c r="H15" s="41"/>
      <c r="I15" s="25"/>
      <c r="J15" s="41"/>
      <c r="K15" s="13"/>
      <c r="L15" s="13"/>
      <c r="M15" s="41" t="s">
        <v>2004</v>
      </c>
      <c r="N15" s="41"/>
      <c r="O15" s="13"/>
      <c r="P15" s="13"/>
      <c r="Q15" s="13"/>
      <c r="R15" s="41"/>
      <c r="S15" s="41"/>
      <c r="U15" s="41"/>
      <c r="V15" s="41"/>
      <c r="W15" s="41"/>
      <c r="X15" s="41"/>
      <c r="Y15" s="41"/>
    </row>
    <row r="16" spans="1:25" ht="20.100000000000001" customHeight="1" x14ac:dyDescent="0.25">
      <c r="A16" s="38">
        <f t="shared" si="7"/>
        <v>0</v>
      </c>
      <c r="B16" s="38">
        <f t="shared" si="8"/>
        <v>0</v>
      </c>
      <c r="C16" s="41" t="s">
        <v>44</v>
      </c>
      <c r="D16" s="41"/>
      <c r="E16" s="41"/>
      <c r="F16" s="41" t="s">
        <v>2005</v>
      </c>
      <c r="G16" s="41"/>
      <c r="H16" s="41"/>
      <c r="I16" s="25"/>
      <c r="J16" s="41"/>
      <c r="K16" s="13"/>
      <c r="L16" s="13"/>
      <c r="M16" s="41" t="s">
        <v>2006</v>
      </c>
      <c r="N16" s="41"/>
      <c r="O16" s="13"/>
      <c r="P16" s="13"/>
      <c r="Q16" s="13"/>
      <c r="R16" s="41"/>
      <c r="S16" s="41"/>
      <c r="U16" s="41"/>
      <c r="V16" s="41"/>
      <c r="W16" s="41"/>
      <c r="X16" s="41"/>
      <c r="Y16" s="41"/>
    </row>
    <row r="17" spans="1:25" ht="20.100000000000001" customHeight="1" x14ac:dyDescent="0.25">
      <c r="A17" s="38">
        <f t="shared" si="7"/>
        <v>0</v>
      </c>
      <c r="B17" s="38">
        <f t="shared" si="8"/>
        <v>0</v>
      </c>
      <c r="C17" s="41" t="s">
        <v>44</v>
      </c>
      <c r="D17" s="41"/>
      <c r="E17" s="41"/>
      <c r="F17" s="41" t="s">
        <v>2007</v>
      </c>
      <c r="G17" s="41"/>
      <c r="H17" s="41"/>
      <c r="I17" s="25"/>
      <c r="J17" s="41"/>
      <c r="K17" s="13"/>
      <c r="L17" s="13"/>
      <c r="M17" s="41" t="s">
        <v>2008</v>
      </c>
      <c r="N17" s="41"/>
      <c r="O17" s="13"/>
      <c r="P17" s="13"/>
      <c r="Q17" s="13"/>
      <c r="R17" s="41"/>
      <c r="S17" s="41"/>
      <c r="U17" s="41"/>
      <c r="V17" s="41"/>
      <c r="W17" s="41"/>
      <c r="X17" s="41"/>
      <c r="Y17" s="41"/>
    </row>
    <row r="18" spans="1:25" ht="20.100000000000001" customHeight="1" x14ac:dyDescent="0.25">
      <c r="A18" s="38">
        <f t="shared" si="7"/>
        <v>0</v>
      </c>
      <c r="B18" s="38">
        <f t="shared" si="8"/>
        <v>0</v>
      </c>
      <c r="C18" s="41" t="s">
        <v>44</v>
      </c>
      <c r="D18" s="41"/>
      <c r="E18" s="41"/>
      <c r="F18" s="41" t="s">
        <v>2009</v>
      </c>
      <c r="G18" s="41"/>
      <c r="H18" s="41"/>
      <c r="I18" s="25"/>
      <c r="J18" s="41"/>
      <c r="K18" s="13"/>
      <c r="L18" s="13"/>
      <c r="M18" s="41" t="s">
        <v>2010</v>
      </c>
      <c r="N18" s="41"/>
      <c r="O18" s="13"/>
      <c r="P18" s="13"/>
      <c r="Q18" s="13"/>
      <c r="R18" s="41"/>
      <c r="S18" s="41"/>
      <c r="U18" s="41"/>
      <c r="V18" s="41"/>
      <c r="W18" s="41"/>
      <c r="X18" s="41"/>
      <c r="Y18" s="41"/>
    </row>
    <row r="19" spans="1:25" ht="20.100000000000001" customHeight="1" x14ac:dyDescent="0.25">
      <c r="A19" s="38">
        <f t="shared" si="7"/>
        <v>0</v>
      </c>
      <c r="B19" s="38">
        <f t="shared" si="8"/>
        <v>0</v>
      </c>
      <c r="C19" s="41" t="s">
        <v>44</v>
      </c>
      <c r="D19" s="41"/>
      <c r="E19" s="41"/>
      <c r="F19" s="41" t="s">
        <v>2011</v>
      </c>
      <c r="G19" s="41"/>
      <c r="H19" s="41"/>
      <c r="I19" s="25"/>
      <c r="J19" s="41"/>
      <c r="K19" s="13"/>
      <c r="L19" s="13"/>
      <c r="M19" s="41" t="s">
        <v>2012</v>
      </c>
      <c r="N19" s="41"/>
      <c r="O19" s="13"/>
      <c r="P19" s="13"/>
      <c r="Q19" s="13"/>
      <c r="R19" s="41"/>
      <c r="S19" s="41"/>
      <c r="U19" s="41"/>
      <c r="V19" s="41"/>
      <c r="W19" s="41"/>
      <c r="X19" s="41"/>
      <c r="Y19" s="41"/>
    </row>
    <row r="20" spans="1:25" ht="20.100000000000001" customHeight="1" x14ac:dyDescent="0.25">
      <c r="A20" s="38">
        <f t="shared" si="7"/>
        <v>0</v>
      </c>
      <c r="B20" s="38">
        <f t="shared" si="8"/>
        <v>0</v>
      </c>
      <c r="C20" s="41" t="s">
        <v>44</v>
      </c>
      <c r="D20" s="41"/>
      <c r="E20" s="41"/>
      <c r="F20" s="41" t="s">
        <v>2013</v>
      </c>
      <c r="G20" s="41"/>
      <c r="H20" s="41"/>
      <c r="I20" s="25"/>
      <c r="J20" s="41"/>
      <c r="K20" s="13"/>
      <c r="L20" s="13"/>
      <c r="M20" s="41" t="s">
        <v>2014</v>
      </c>
      <c r="N20" s="41"/>
      <c r="O20" s="13"/>
      <c r="P20" s="13"/>
      <c r="Q20" s="13"/>
      <c r="R20" s="41"/>
      <c r="S20" s="41"/>
      <c r="U20" s="41"/>
      <c r="V20" s="41"/>
      <c r="W20" s="41"/>
      <c r="X20" s="41"/>
      <c r="Y20" s="41"/>
    </row>
    <row r="21" spans="1:25" ht="20.100000000000001" customHeight="1" x14ac:dyDescent="0.25">
      <c r="A21" s="38">
        <f t="shared" si="7"/>
        <v>0</v>
      </c>
      <c r="B21" s="38">
        <f t="shared" si="8"/>
        <v>0</v>
      </c>
      <c r="C21" s="41" t="s">
        <v>44</v>
      </c>
      <c r="D21" s="41"/>
      <c r="E21" s="41"/>
      <c r="F21" s="41" t="s">
        <v>2015</v>
      </c>
      <c r="G21" s="41"/>
      <c r="H21" s="41"/>
      <c r="I21" s="25"/>
      <c r="J21" s="41"/>
      <c r="K21" s="13"/>
      <c r="L21" s="13"/>
      <c r="M21" s="41" t="s">
        <v>2016</v>
      </c>
      <c r="N21" s="41"/>
      <c r="O21" s="13"/>
      <c r="P21" s="13"/>
      <c r="Q21" s="13"/>
      <c r="R21" s="41"/>
      <c r="S21" s="41"/>
      <c r="U21" s="41"/>
      <c r="V21" s="41"/>
      <c r="W21" s="41"/>
      <c r="X21" s="41"/>
      <c r="Y21" s="41"/>
    </row>
    <row r="22" spans="1:25" ht="20.100000000000001" customHeight="1" x14ac:dyDescent="0.25">
      <c r="A22" s="38">
        <f t="shared" si="7"/>
        <v>0</v>
      </c>
      <c r="B22" s="38">
        <f t="shared" si="8"/>
        <v>0</v>
      </c>
      <c r="C22" s="41" t="s">
        <v>44</v>
      </c>
      <c r="D22" s="41"/>
      <c r="E22" s="41"/>
      <c r="F22" s="41" t="s">
        <v>2017</v>
      </c>
      <c r="G22" s="41"/>
      <c r="H22" s="41"/>
      <c r="I22" s="25"/>
      <c r="J22" s="41"/>
      <c r="K22" s="13"/>
      <c r="L22" s="13"/>
      <c r="M22" s="41" t="s">
        <v>2018</v>
      </c>
      <c r="N22" s="41"/>
      <c r="O22" s="13"/>
      <c r="P22" s="13"/>
      <c r="Q22" s="13"/>
      <c r="R22" s="41"/>
      <c r="S22" s="41"/>
      <c r="U22" s="41"/>
      <c r="V22" s="41"/>
      <c r="W22" s="41"/>
      <c r="X22" s="41"/>
      <c r="Y22" s="41"/>
    </row>
    <row r="23" spans="1:25" ht="20.100000000000001" customHeight="1" x14ac:dyDescent="0.25">
      <c r="A23" s="38">
        <f t="shared" si="7"/>
        <v>0</v>
      </c>
      <c r="B23" s="38">
        <f t="shared" si="8"/>
        <v>0</v>
      </c>
      <c r="C23" s="38" t="s">
        <v>44</v>
      </c>
      <c r="F23" s="38" t="s">
        <v>2019</v>
      </c>
      <c r="M23" s="38" t="s">
        <v>2020</v>
      </c>
    </row>
    <row r="24" spans="1:25" ht="20.100000000000001" customHeight="1" x14ac:dyDescent="0.25">
      <c r="C24" s="38" t="s">
        <v>148</v>
      </c>
      <c r="F24" s="38" t="s">
        <v>2074</v>
      </c>
      <c r="G24" s="13" t="s">
        <v>2072</v>
      </c>
      <c r="H24" s="13" t="s">
        <v>2072</v>
      </c>
      <c r="I24" s="13" t="s">
        <v>2072</v>
      </c>
      <c r="J24" s="41" t="str">
        <f t="shared" ref="J24:J25" si="12">E24&amp;IF(D24="",""," ")&amp;G24</f>
        <v>Est-ce que le chef de ménage est le meme qu'en 2012?</v>
      </c>
      <c r="K24" s="13" t="str">
        <f t="shared" ref="K24:K25" si="13">E24&amp;IF(E24="",""," ")&amp;H24</f>
        <v>Est-ce que le chef de ménage est le meme qu'en 2012?</v>
      </c>
      <c r="L24" s="13" t="str">
        <f t="shared" ref="L24:L25" si="14">E24&amp;IF(E24="",""," ")&amp;I24</f>
        <v>Est-ce que le chef de ménage est le meme qu'en 2012?</v>
      </c>
      <c r="X24" s="38" t="s">
        <v>36</v>
      </c>
    </row>
    <row r="25" spans="1:25" ht="20.100000000000001" customHeight="1" x14ac:dyDescent="0.25">
      <c r="C25" s="38" t="s">
        <v>2076</v>
      </c>
      <c r="F25" s="38" t="s">
        <v>2075</v>
      </c>
      <c r="G25" s="13" t="s">
        <v>2073</v>
      </c>
      <c r="H25" s="13" t="s">
        <v>2073</v>
      </c>
      <c r="I25" s="13" t="s">
        <v>2073</v>
      </c>
      <c r="J25" s="41" t="str">
        <f t="shared" si="12"/>
        <v>Pourquoi pas?</v>
      </c>
      <c r="K25" s="13" t="str">
        <f t="shared" si="13"/>
        <v>Pourquoi pas?</v>
      </c>
      <c r="L25" s="13" t="str">
        <f t="shared" si="14"/>
        <v>Pourquoi pas?</v>
      </c>
      <c r="R25" s="7" t="str">
        <f>"${"&amp;F24&amp;"}='0'"</f>
        <v>${chef_change}='0'</v>
      </c>
      <c r="X25" s="38" t="s">
        <v>36</v>
      </c>
    </row>
    <row r="26" spans="1:25" ht="20.100000000000001" customHeight="1" x14ac:dyDescent="0.25">
      <c r="C26" s="38" t="s">
        <v>34</v>
      </c>
      <c r="F26" s="38" t="s">
        <v>2078</v>
      </c>
      <c r="G26" s="13" t="s">
        <v>591</v>
      </c>
      <c r="H26" s="13" t="s">
        <v>1526</v>
      </c>
      <c r="I26" s="13" t="s">
        <v>1526</v>
      </c>
      <c r="J26" s="41" t="str">
        <f t="shared" ref="J26" si="15">E26&amp;IF(D26="",""," ")&amp;G26</f>
        <v>Specifiez</v>
      </c>
      <c r="K26" s="13" t="str">
        <f t="shared" ref="K26" si="16">E26&amp;IF(E26="",""," ")&amp;H26</f>
        <v>Spécifiez</v>
      </c>
      <c r="L26" s="13" t="str">
        <f t="shared" ref="L26" si="17">E26&amp;IF(E26="",""," ")&amp;I26</f>
        <v>Spécifiez</v>
      </c>
      <c r="R26" s="7" t="str">
        <f>"${"&amp;F25&amp;"}='96'"</f>
        <v>${chef_change_why}='96'</v>
      </c>
    </row>
    <row r="27" spans="1:25" s="58" customFormat="1" ht="20.100000000000001" customHeight="1" x14ac:dyDescent="0.25">
      <c r="A27" s="38">
        <f>IF(C27="begin group",A23+1,IF(C27="end group",A23-1,A23))</f>
        <v>1</v>
      </c>
      <c r="B27" s="38">
        <f>IF(C27="begin repeat",B23+1,IF(C27="end repeat",B23-1,B23))</f>
        <v>0</v>
      </c>
      <c r="C27" s="59" t="s">
        <v>32</v>
      </c>
      <c r="D27" s="59"/>
      <c r="E27" s="59"/>
      <c r="F27" s="59" t="s">
        <v>1003</v>
      </c>
      <c r="G27" s="59" t="s">
        <v>1004</v>
      </c>
      <c r="H27" s="59" t="s">
        <v>1005</v>
      </c>
      <c r="I27" s="59" t="s">
        <v>1005</v>
      </c>
      <c r="J27" s="59" t="str">
        <f>E27&amp;IF(D27="",""," ")&amp;G27</f>
        <v>Household Questionnaire</v>
      </c>
      <c r="K27" s="59" t="str">
        <f>E27&amp;IF(E27="",""," ")&amp;H27</f>
        <v>Questionnaire de ménage</v>
      </c>
      <c r="L27" s="59" t="str">
        <f>E27&amp;IF(E27="",""," ")&amp;I27</f>
        <v>Questionnaire de ménage</v>
      </c>
      <c r="M27" s="59"/>
      <c r="N27" s="59"/>
      <c r="O27" s="59"/>
      <c r="P27" s="59"/>
      <c r="Q27" s="59"/>
      <c r="R27" s="59" t="s">
        <v>1913</v>
      </c>
      <c r="S27" s="59"/>
      <c r="T27" s="59"/>
      <c r="U27" s="59"/>
      <c r="V27" s="59"/>
      <c r="W27" s="59"/>
      <c r="X27" s="59"/>
      <c r="Y27" s="59"/>
    </row>
    <row r="28" spans="1:25" ht="20.100000000000001" customHeight="1" x14ac:dyDescent="0.25">
      <c r="A28" s="38">
        <f t="shared" si="7"/>
        <v>1</v>
      </c>
      <c r="B28" s="38">
        <f t="shared" si="8"/>
        <v>0</v>
      </c>
      <c r="C28" s="63" t="s">
        <v>33</v>
      </c>
      <c r="D28" s="63"/>
      <c r="E28" s="63"/>
      <c r="F28" s="63" t="s">
        <v>1358</v>
      </c>
      <c r="G28" s="63" t="s">
        <v>492</v>
      </c>
      <c r="H28" s="63" t="s">
        <v>585</v>
      </c>
      <c r="I28" s="13" t="s">
        <v>898</v>
      </c>
      <c r="J28" s="63" t="str">
        <f>E28&amp;IF(D28="",""," ")&amp;G28</f>
        <v>You will be asked the names of all household members. These names will be used in the rest of the interview, so make sure to include everyone.</v>
      </c>
      <c r="K28" s="13" t="str">
        <f t="shared" ref="K28" si="18">E28&amp;IF(E28="",""," ")&amp;H28</f>
        <v>Je vais vous demander les noms de tous les membres du ménage. Ces soms seront utilisé dans le reste du questionnaire, donc assurez vous d'inclure tous.</v>
      </c>
      <c r="L28" s="13" t="str">
        <f t="shared" ref="L28" si="19">E28&amp;IF(E28="",""," ")&amp;I28</f>
        <v>Ningipenda kukuhuliza majina ya watu wote wanyumbani. Majina haya yatatumikishwa ku mwisho wa mazungumzo, kwahiyo hakikisha kwamba watu wote wameandikwa</v>
      </c>
      <c r="M28" s="63"/>
      <c r="N28" s="63"/>
      <c r="O28" s="63"/>
      <c r="P28" s="63" t="s">
        <v>97</v>
      </c>
      <c r="Q28" s="63" t="s">
        <v>97</v>
      </c>
      <c r="R28" s="63"/>
      <c r="S28" s="41"/>
      <c r="T28" s="63"/>
      <c r="U28" s="63"/>
      <c r="V28" s="63"/>
      <c r="W28" s="63"/>
      <c r="X28" s="63"/>
      <c r="Y28" s="63"/>
    </row>
    <row r="29" spans="1:25" s="36" customFormat="1" ht="20.100000000000001" customHeight="1" x14ac:dyDescent="0.25">
      <c r="A29" s="38">
        <f t="shared" si="7"/>
        <v>1</v>
      </c>
      <c r="B29" s="38">
        <f t="shared" si="8"/>
        <v>1</v>
      </c>
      <c r="C29" s="33" t="s">
        <v>244</v>
      </c>
      <c r="D29" s="33"/>
      <c r="E29" s="33"/>
      <c r="F29" s="33" t="s">
        <v>981</v>
      </c>
      <c r="G29" s="32" t="s">
        <v>970</v>
      </c>
      <c r="H29" s="32" t="s">
        <v>1036</v>
      </c>
      <c r="I29" s="32" t="s">
        <v>1036</v>
      </c>
      <c r="J29" s="33" t="str">
        <f>E29&amp;IF(D29="",""," ")&amp;G29</f>
        <v>Household Member</v>
      </c>
      <c r="K29" s="33" t="str">
        <f>E29&amp;IF(E29="",""," ")&amp;H29</f>
        <v>Membre du ménage: Nom</v>
      </c>
      <c r="L29" s="33" t="str">
        <f>E29&amp;IF(E29="",""," ")&amp;I29</f>
        <v>Membre du ménage: Nom</v>
      </c>
      <c r="M29" s="33"/>
      <c r="N29" s="33"/>
      <c r="O29" s="33"/>
      <c r="P29" s="33"/>
      <c r="Q29" s="33"/>
      <c r="R29" s="33"/>
      <c r="S29" s="33"/>
      <c r="T29" s="33"/>
      <c r="U29" s="33"/>
      <c r="V29" s="33"/>
    </row>
    <row r="30" spans="1:25" customFormat="1" ht="20.100000000000001" customHeight="1" x14ac:dyDescent="0.25">
      <c r="A30" s="38">
        <f t="shared" si="7"/>
        <v>1</v>
      </c>
      <c r="B30" s="38">
        <f t="shared" si="8"/>
        <v>1</v>
      </c>
      <c r="C30" t="s">
        <v>44</v>
      </c>
      <c r="F30" t="s">
        <v>1359</v>
      </c>
      <c r="M30" t="s">
        <v>1360</v>
      </c>
    </row>
    <row r="31" spans="1:25" s="17" customFormat="1" ht="20.100000000000001" customHeight="1" x14ac:dyDescent="0.25">
      <c r="A31" s="38">
        <f t="shared" si="7"/>
        <v>2</v>
      </c>
      <c r="B31" s="38">
        <f t="shared" si="8"/>
        <v>1</v>
      </c>
      <c r="C31" s="143" t="s">
        <v>32</v>
      </c>
      <c r="D31" s="143"/>
      <c r="E31" s="143"/>
      <c r="F31" s="143" t="s">
        <v>1361</v>
      </c>
      <c r="G31" s="144" t="s">
        <v>15</v>
      </c>
      <c r="H31" s="144" t="s">
        <v>586</v>
      </c>
      <c r="I31" s="144" t="s">
        <v>586</v>
      </c>
      <c r="J31" s="143" t="str">
        <f t="shared" ref="J31" si="20">E31&amp;IF(D31="",""," ")&amp;G31</f>
        <v>Name</v>
      </c>
      <c r="K31" s="143" t="str">
        <f t="shared" ref="K31" si="21">E31&amp;IF(E31="",""," ")&amp;H31</f>
        <v>Nom</v>
      </c>
      <c r="L31" s="143" t="str">
        <f t="shared" ref="L31" si="22">E31&amp;IF(E31="",""," ")&amp;I31</f>
        <v>Nom</v>
      </c>
      <c r="M31" s="143"/>
      <c r="N31" s="143" t="s">
        <v>1312</v>
      </c>
      <c r="O31" s="143"/>
      <c r="P31" s="143"/>
      <c r="Q31" s="143"/>
      <c r="R31" s="143"/>
      <c r="S31" s="143"/>
      <c r="T31" s="143"/>
      <c r="U31" s="143"/>
      <c r="V31" s="143"/>
    </row>
    <row r="32" spans="1:25" ht="20.100000000000001" customHeight="1" x14ac:dyDescent="0.25">
      <c r="A32" s="38">
        <f t="shared" si="7"/>
        <v>2</v>
      </c>
      <c r="B32" s="38">
        <f t="shared" si="8"/>
        <v>1</v>
      </c>
      <c r="C32" s="63" t="s">
        <v>33</v>
      </c>
      <c r="D32" s="63"/>
      <c r="E32" s="63"/>
      <c r="F32" s="63" t="s">
        <v>1362</v>
      </c>
      <c r="G32" s="63" t="s">
        <v>1363</v>
      </c>
      <c r="H32" s="63" t="s">
        <v>149</v>
      </c>
      <c r="I32" s="63" t="s">
        <v>149</v>
      </c>
      <c r="J32" s="63" t="str">
        <f>E32&amp;IF(D32="",""," ")&amp;G32</f>
        <v>Household head</v>
      </c>
      <c r="K32" s="13" t="str">
        <f>E32&amp;IF(E32="",""," ")&amp;H32</f>
        <v>Chef de ménage</v>
      </c>
      <c r="L32" s="13" t="str">
        <f>E32&amp;IF(E32="",""," ")&amp;I32</f>
        <v>Chef de ménage</v>
      </c>
      <c r="M32" s="63"/>
      <c r="N32" s="63"/>
      <c r="O32" s="63"/>
      <c r="P32" s="63"/>
      <c r="Q32" s="63"/>
      <c r="R32" s="63" t="str">
        <f>"${"&amp;F30&amp;"}=1"</f>
        <v>${nameline}=1</v>
      </c>
      <c r="S32" s="41"/>
      <c r="T32" s="63"/>
      <c r="U32" s="63"/>
      <c r="V32" s="63"/>
      <c r="W32" s="63"/>
      <c r="X32" s="63"/>
      <c r="Y32" s="63"/>
    </row>
    <row r="33" spans="1:25" ht="20.100000000000001" customHeight="1" x14ac:dyDescent="0.25">
      <c r="A33" s="38">
        <f t="shared" si="7"/>
        <v>2</v>
      </c>
      <c r="B33" s="38">
        <f t="shared" si="8"/>
        <v>1</v>
      </c>
      <c r="C33" s="63" t="s">
        <v>33</v>
      </c>
      <c r="D33" s="63"/>
      <c r="E33" s="63"/>
      <c r="F33" s="63" t="s">
        <v>1364</v>
      </c>
      <c r="G33" s="63" t="s">
        <v>1365</v>
      </c>
      <c r="H33" s="63" t="s">
        <v>1366</v>
      </c>
      <c r="I33" s="63" t="s">
        <v>1366</v>
      </c>
      <c r="J33" s="63" t="str">
        <f t="shared" ref="J33" si="23">E33&amp;IF(D33="",""," ")&amp;G33</f>
        <v>Other household members: wive, children, visitors</v>
      </c>
      <c r="K33" s="13" t="str">
        <f t="shared" ref="K33" si="24">E33&amp;IF(E33="",""," ")&amp;H33</f>
        <v>Autres membres: conjoints de chef, les enfants, etc</v>
      </c>
      <c r="L33" s="13" t="str">
        <f t="shared" ref="L33" si="25">E33&amp;IF(E33="",""," ")&amp;I33</f>
        <v>Autres membres: conjoints de chef, les enfants, etc</v>
      </c>
      <c r="M33" s="63"/>
      <c r="N33" s="63"/>
      <c r="O33" s="63"/>
      <c r="P33" s="63" t="s">
        <v>97</v>
      </c>
      <c r="Q33" s="63"/>
      <c r="R33" s="63" t="str">
        <f>"${"&amp;F30&amp;"}&gt;1"</f>
        <v>${nameline}&gt;1</v>
      </c>
      <c r="S33" s="41"/>
      <c r="T33" s="63"/>
      <c r="U33" s="63"/>
      <c r="V33" s="63"/>
      <c r="W33" s="63"/>
      <c r="X33" s="63"/>
      <c r="Y33" s="63"/>
    </row>
    <row r="34" spans="1:25" ht="20.100000000000001" customHeight="1" x14ac:dyDescent="0.25">
      <c r="A34" s="38">
        <f t="shared" si="7"/>
        <v>2</v>
      </c>
      <c r="B34" s="38">
        <f t="shared" si="8"/>
        <v>1</v>
      </c>
      <c r="C34" s="30" t="s">
        <v>34</v>
      </c>
      <c r="D34" s="30">
        <v>1</v>
      </c>
      <c r="E34" s="30"/>
      <c r="F34" s="30" t="s">
        <v>971</v>
      </c>
      <c r="G34" s="29" t="s">
        <v>15</v>
      </c>
      <c r="H34" s="29" t="s">
        <v>586</v>
      </c>
      <c r="I34" s="29" t="s">
        <v>586</v>
      </c>
      <c r="J34" s="30" t="str">
        <f>E34&amp;IF(D34="",""," ")&amp;G34</f>
        <v xml:space="preserve"> Name</v>
      </c>
      <c r="K34" s="7" t="str">
        <f>E34&amp;IF(E34="",""," ")&amp;H34</f>
        <v>Nom</v>
      </c>
      <c r="L34" s="7" t="str">
        <f>E34&amp;IF(E34="",""," ")&amp;I34</f>
        <v>Nom</v>
      </c>
      <c r="M34" s="30"/>
      <c r="N34" s="30"/>
      <c r="O34" s="30"/>
      <c r="P34" s="30"/>
      <c r="Q34" s="30"/>
      <c r="R34" s="30"/>
      <c r="S34" s="30"/>
      <c r="T34" s="30"/>
      <c r="U34" s="30"/>
      <c r="V34" s="30"/>
      <c r="X34" s="30" t="s">
        <v>36</v>
      </c>
    </row>
    <row r="35" spans="1:25" s="21" customFormat="1" ht="20.100000000000001" customHeight="1" x14ac:dyDescent="0.25">
      <c r="A35" s="38">
        <f t="shared" si="7"/>
        <v>1</v>
      </c>
      <c r="B35" s="38">
        <f t="shared" si="8"/>
        <v>1</v>
      </c>
      <c r="C35" s="124" t="s">
        <v>40</v>
      </c>
      <c r="D35" s="124"/>
      <c r="E35" s="124"/>
      <c r="F35" s="124"/>
      <c r="G35" s="125"/>
      <c r="H35" s="125"/>
      <c r="I35" s="125"/>
      <c r="J35" s="124"/>
      <c r="M35" s="124"/>
      <c r="N35" s="124"/>
      <c r="O35" s="124"/>
      <c r="P35" s="124"/>
      <c r="Q35" s="124"/>
      <c r="R35" s="124"/>
      <c r="S35" s="124"/>
      <c r="T35" s="124"/>
      <c r="U35" s="124"/>
      <c r="V35" s="124"/>
      <c r="X35" s="124"/>
    </row>
    <row r="36" spans="1:25" s="40" customFormat="1" ht="20.100000000000001" customHeight="1" x14ac:dyDescent="0.25">
      <c r="A36" s="38">
        <f t="shared" si="7"/>
        <v>1</v>
      </c>
      <c r="B36" s="38">
        <f t="shared" si="8"/>
        <v>0</v>
      </c>
      <c r="C36" s="35" t="s">
        <v>287</v>
      </c>
      <c r="D36" s="35"/>
      <c r="E36" s="35"/>
      <c r="F36" s="35"/>
      <c r="G36" s="34"/>
      <c r="H36" s="34"/>
      <c r="I36" s="34"/>
      <c r="J36" s="35"/>
      <c r="K36" s="35"/>
      <c r="L36" s="35"/>
      <c r="M36" s="35"/>
      <c r="N36" s="35"/>
      <c r="O36" s="35"/>
      <c r="P36" s="35"/>
      <c r="Q36" s="35"/>
      <c r="R36" s="35"/>
      <c r="S36" s="35"/>
      <c r="T36" s="35"/>
      <c r="U36" s="35"/>
      <c r="V36" s="35"/>
    </row>
    <row r="37" spans="1:25" ht="20.100000000000001" customHeight="1" x14ac:dyDescent="0.25">
      <c r="A37" s="38">
        <f t="shared" si="7"/>
        <v>1</v>
      </c>
      <c r="B37" s="38">
        <f t="shared" si="8"/>
        <v>0</v>
      </c>
      <c r="C37" s="72" t="s">
        <v>44</v>
      </c>
      <c r="D37" s="30">
        <v>1</v>
      </c>
      <c r="E37" s="30"/>
      <c r="F37" s="30" t="str">
        <f t="shared" ref="F37:F56" si="26">"mem_nm_"&amp;D37</f>
        <v>mem_nm_1</v>
      </c>
      <c r="G37" s="29" t="s">
        <v>972</v>
      </c>
      <c r="H37" s="29"/>
      <c r="I37" s="29"/>
      <c r="J37" s="30"/>
      <c r="K37" s="30"/>
      <c r="L37" s="30"/>
      <c r="M37" s="30" t="str">
        <f>"indexed-repeat(${"&amp;F$34&amp;"}, ${"&amp;F$29&amp;"},"&amp;D37&amp;")"</f>
        <v>indexed-repeat(${mem_nm}, ${hhnames},1)</v>
      </c>
      <c r="N37" s="30"/>
      <c r="O37" s="30"/>
      <c r="P37" s="30"/>
      <c r="Q37" s="30"/>
      <c r="R37" s="30"/>
      <c r="S37" s="30"/>
      <c r="T37" s="30"/>
      <c r="U37" s="30"/>
      <c r="V37" s="30"/>
      <c r="X37" s="39"/>
    </row>
    <row r="38" spans="1:25" ht="20.100000000000001" customHeight="1" x14ac:dyDescent="0.25">
      <c r="A38" s="38">
        <f t="shared" si="7"/>
        <v>1</v>
      </c>
      <c r="B38" s="38">
        <f t="shared" si="8"/>
        <v>0</v>
      </c>
      <c r="C38" s="72" t="s">
        <v>44</v>
      </c>
      <c r="D38" s="30">
        <v>2</v>
      </c>
      <c r="E38" s="30"/>
      <c r="F38" s="30" t="str">
        <f t="shared" si="26"/>
        <v>mem_nm_2</v>
      </c>
      <c r="G38" s="29" t="s">
        <v>973</v>
      </c>
      <c r="H38" s="29"/>
      <c r="I38" s="29"/>
      <c r="J38" s="30"/>
      <c r="K38" s="30"/>
      <c r="L38" s="30"/>
      <c r="M38" s="30" t="str">
        <f t="shared" ref="M38:M56" si="27">"indexed-repeat(${"&amp;F$34&amp;"}, ${"&amp;F$29&amp;"},"&amp;D38&amp;")"</f>
        <v>indexed-repeat(${mem_nm}, ${hhnames},2)</v>
      </c>
      <c r="N38" s="30"/>
      <c r="O38" s="30"/>
      <c r="P38" s="30"/>
      <c r="Q38" s="30"/>
      <c r="R38" s="30"/>
      <c r="S38" s="30"/>
      <c r="T38" s="30"/>
      <c r="U38" s="30"/>
      <c r="V38" s="30"/>
    </row>
    <row r="39" spans="1:25" ht="20.100000000000001" customHeight="1" x14ac:dyDescent="0.25">
      <c r="A39" s="38">
        <f t="shared" si="7"/>
        <v>1</v>
      </c>
      <c r="B39" s="38">
        <f t="shared" si="8"/>
        <v>0</v>
      </c>
      <c r="C39" s="72" t="s">
        <v>44</v>
      </c>
      <c r="D39" s="30">
        <v>3</v>
      </c>
      <c r="E39" s="30"/>
      <c r="F39" s="30" t="str">
        <f t="shared" si="26"/>
        <v>mem_nm_3</v>
      </c>
      <c r="G39" s="29" t="s">
        <v>974</v>
      </c>
      <c r="H39" s="29"/>
      <c r="I39" s="29"/>
      <c r="J39" s="30"/>
      <c r="K39" s="30"/>
      <c r="L39" s="30"/>
      <c r="M39" s="30" t="str">
        <f t="shared" si="27"/>
        <v>indexed-repeat(${mem_nm}, ${hhnames},3)</v>
      </c>
      <c r="N39" s="30"/>
      <c r="O39" s="30"/>
      <c r="P39" s="30"/>
      <c r="Q39" s="30"/>
      <c r="R39" s="30"/>
      <c r="S39" s="30"/>
      <c r="T39" s="30"/>
      <c r="U39" s="30"/>
      <c r="V39" s="30"/>
      <c r="X39" s="39"/>
    </row>
    <row r="40" spans="1:25" ht="20.100000000000001" customHeight="1" x14ac:dyDescent="0.25">
      <c r="A40" s="38">
        <f t="shared" si="7"/>
        <v>1</v>
      </c>
      <c r="B40" s="38">
        <f t="shared" si="8"/>
        <v>0</v>
      </c>
      <c r="C40" s="72" t="s">
        <v>44</v>
      </c>
      <c r="D40" s="30">
        <v>4</v>
      </c>
      <c r="E40" s="30"/>
      <c r="F40" s="30" t="str">
        <f t="shared" si="26"/>
        <v>mem_nm_4</v>
      </c>
      <c r="G40" s="29"/>
      <c r="H40" s="29"/>
      <c r="I40" s="29"/>
      <c r="J40" s="30"/>
      <c r="K40" s="30"/>
      <c r="L40" s="30"/>
      <c r="M40" s="30" t="str">
        <f t="shared" si="27"/>
        <v>indexed-repeat(${mem_nm}, ${hhnames},4)</v>
      </c>
      <c r="N40" s="30"/>
      <c r="O40" s="30"/>
      <c r="P40" s="30"/>
      <c r="Q40" s="30"/>
      <c r="R40" s="30"/>
      <c r="S40" s="30"/>
      <c r="T40" s="30"/>
      <c r="U40" s="30"/>
      <c r="V40" s="30"/>
    </row>
    <row r="41" spans="1:25" ht="20.100000000000001" customHeight="1" x14ac:dyDescent="0.25">
      <c r="A41" s="38">
        <f t="shared" si="7"/>
        <v>1</v>
      </c>
      <c r="B41" s="38">
        <f t="shared" si="8"/>
        <v>0</v>
      </c>
      <c r="C41" s="72" t="s">
        <v>44</v>
      </c>
      <c r="D41" s="30">
        <v>5</v>
      </c>
      <c r="E41" s="30"/>
      <c r="F41" s="30" t="str">
        <f t="shared" si="26"/>
        <v>mem_nm_5</v>
      </c>
      <c r="G41" s="29"/>
      <c r="H41" s="29"/>
      <c r="I41" s="29"/>
      <c r="J41" s="30"/>
      <c r="K41" s="30"/>
      <c r="L41" s="30"/>
      <c r="M41" s="30" t="str">
        <f t="shared" si="27"/>
        <v>indexed-repeat(${mem_nm}, ${hhnames},5)</v>
      </c>
      <c r="N41" s="30"/>
      <c r="O41" s="30"/>
      <c r="P41" s="30"/>
      <c r="Q41" s="30"/>
      <c r="R41" s="30"/>
      <c r="S41" s="30"/>
      <c r="T41" s="30"/>
      <c r="U41" s="30"/>
      <c r="V41" s="30"/>
      <c r="X41" s="39"/>
    </row>
    <row r="42" spans="1:25" ht="20.100000000000001" customHeight="1" x14ac:dyDescent="0.25">
      <c r="A42" s="38">
        <f t="shared" si="7"/>
        <v>1</v>
      </c>
      <c r="B42" s="38">
        <f t="shared" si="8"/>
        <v>0</v>
      </c>
      <c r="C42" s="72" t="s">
        <v>44</v>
      </c>
      <c r="D42" s="30">
        <v>6</v>
      </c>
      <c r="E42" s="30"/>
      <c r="F42" s="30" t="str">
        <f t="shared" si="26"/>
        <v>mem_nm_6</v>
      </c>
      <c r="G42" s="29"/>
      <c r="H42" s="29"/>
      <c r="I42" s="29"/>
      <c r="J42" s="30"/>
      <c r="K42" s="30"/>
      <c r="L42" s="30"/>
      <c r="M42" s="30" t="str">
        <f t="shared" si="27"/>
        <v>indexed-repeat(${mem_nm}, ${hhnames},6)</v>
      </c>
      <c r="N42" s="30"/>
      <c r="O42" s="30"/>
      <c r="P42" s="30"/>
      <c r="Q42" s="30"/>
      <c r="R42" s="30"/>
      <c r="S42" s="30"/>
      <c r="T42" s="30"/>
      <c r="U42" s="30"/>
      <c r="V42" s="30"/>
      <c r="X42" s="39"/>
    </row>
    <row r="43" spans="1:25" ht="20.100000000000001" customHeight="1" x14ac:dyDescent="0.25">
      <c r="A43" s="38">
        <f t="shared" si="7"/>
        <v>1</v>
      </c>
      <c r="B43" s="38">
        <f t="shared" si="8"/>
        <v>0</v>
      </c>
      <c r="C43" s="72" t="s">
        <v>44</v>
      </c>
      <c r="D43" s="30">
        <v>7</v>
      </c>
      <c r="E43" s="30"/>
      <c r="F43" s="30" t="str">
        <f t="shared" si="26"/>
        <v>mem_nm_7</v>
      </c>
      <c r="G43" s="29"/>
      <c r="H43" s="29"/>
      <c r="I43" s="29"/>
      <c r="J43" s="30"/>
      <c r="K43" s="30"/>
      <c r="L43" s="30"/>
      <c r="M43" s="30" t="str">
        <f t="shared" si="27"/>
        <v>indexed-repeat(${mem_nm}, ${hhnames},7)</v>
      </c>
      <c r="N43" s="30"/>
      <c r="O43" s="30"/>
      <c r="P43" s="30"/>
      <c r="Q43" s="30"/>
      <c r="R43" s="30"/>
      <c r="S43" s="30"/>
      <c r="T43" s="30"/>
      <c r="U43" s="30"/>
      <c r="V43" s="30"/>
    </row>
    <row r="44" spans="1:25" ht="20.100000000000001" customHeight="1" x14ac:dyDescent="0.25">
      <c r="A44" s="38">
        <f t="shared" si="7"/>
        <v>1</v>
      </c>
      <c r="B44" s="38">
        <f t="shared" si="8"/>
        <v>0</v>
      </c>
      <c r="C44" s="72" t="s">
        <v>44</v>
      </c>
      <c r="D44" s="30">
        <v>8</v>
      </c>
      <c r="E44" s="30"/>
      <c r="F44" s="30" t="str">
        <f t="shared" si="26"/>
        <v>mem_nm_8</v>
      </c>
      <c r="G44" s="29"/>
      <c r="H44" s="29"/>
      <c r="I44" s="29"/>
      <c r="J44" s="30"/>
      <c r="K44" s="30"/>
      <c r="L44" s="30"/>
      <c r="M44" s="30" t="str">
        <f t="shared" si="27"/>
        <v>indexed-repeat(${mem_nm}, ${hhnames},8)</v>
      </c>
      <c r="N44" s="30"/>
      <c r="O44" s="30"/>
      <c r="P44" s="30"/>
      <c r="Q44" s="30"/>
      <c r="R44" s="30"/>
      <c r="S44" s="30"/>
      <c r="T44" s="30"/>
      <c r="U44" s="30"/>
      <c r="V44" s="30"/>
      <c r="X44" s="39"/>
    </row>
    <row r="45" spans="1:25" ht="20.100000000000001" customHeight="1" x14ac:dyDescent="0.25">
      <c r="A45" s="38">
        <f t="shared" si="7"/>
        <v>1</v>
      </c>
      <c r="B45" s="38">
        <f t="shared" si="8"/>
        <v>0</v>
      </c>
      <c r="C45" s="72" t="s">
        <v>44</v>
      </c>
      <c r="D45" s="30">
        <v>9</v>
      </c>
      <c r="E45" s="30"/>
      <c r="F45" s="30" t="str">
        <f t="shared" si="26"/>
        <v>mem_nm_9</v>
      </c>
      <c r="G45" s="29"/>
      <c r="H45" s="29"/>
      <c r="I45" s="29"/>
      <c r="J45" s="30"/>
      <c r="K45" s="30"/>
      <c r="L45" s="30"/>
      <c r="M45" s="30" t="str">
        <f t="shared" si="27"/>
        <v>indexed-repeat(${mem_nm}, ${hhnames},9)</v>
      </c>
      <c r="N45" s="30"/>
      <c r="O45" s="30"/>
      <c r="P45" s="30"/>
      <c r="Q45" s="30"/>
      <c r="R45" s="30"/>
      <c r="S45" s="30"/>
      <c r="T45" s="30"/>
      <c r="U45" s="30"/>
      <c r="V45" s="30"/>
    </row>
    <row r="46" spans="1:25" ht="20.100000000000001" customHeight="1" x14ac:dyDescent="0.25">
      <c r="A46" s="38">
        <f t="shared" si="7"/>
        <v>1</v>
      </c>
      <c r="B46" s="38">
        <f t="shared" si="8"/>
        <v>0</v>
      </c>
      <c r="C46" s="72" t="s">
        <v>44</v>
      </c>
      <c r="D46" s="30">
        <v>10</v>
      </c>
      <c r="E46" s="30"/>
      <c r="F46" s="30" t="str">
        <f t="shared" si="26"/>
        <v>mem_nm_10</v>
      </c>
      <c r="G46" s="29"/>
      <c r="H46" s="29"/>
      <c r="I46" s="29"/>
      <c r="J46" s="30"/>
      <c r="K46" s="30"/>
      <c r="L46" s="30"/>
      <c r="M46" s="30" t="str">
        <f t="shared" si="27"/>
        <v>indexed-repeat(${mem_nm}, ${hhnames},10)</v>
      </c>
      <c r="N46" s="30"/>
      <c r="O46" s="30"/>
      <c r="P46" s="30"/>
      <c r="Q46" s="30"/>
      <c r="R46" s="30"/>
      <c r="S46" s="30"/>
      <c r="T46" s="30"/>
      <c r="U46" s="30"/>
      <c r="V46" s="30"/>
      <c r="X46" s="39"/>
    </row>
    <row r="47" spans="1:25" ht="20.100000000000001" customHeight="1" x14ac:dyDescent="0.25">
      <c r="A47" s="38">
        <f t="shared" si="7"/>
        <v>1</v>
      </c>
      <c r="B47" s="38">
        <f t="shared" si="8"/>
        <v>0</v>
      </c>
      <c r="C47" s="72" t="s">
        <v>44</v>
      </c>
      <c r="D47" s="30">
        <v>11</v>
      </c>
      <c r="E47" s="30"/>
      <c r="F47" s="30" t="str">
        <f t="shared" si="26"/>
        <v>mem_nm_11</v>
      </c>
      <c r="G47" s="29"/>
      <c r="H47" s="29"/>
      <c r="I47" s="29"/>
      <c r="J47" s="30"/>
      <c r="K47" s="30"/>
      <c r="L47" s="30"/>
      <c r="M47" s="30" t="str">
        <f t="shared" si="27"/>
        <v>indexed-repeat(${mem_nm}, ${hhnames},11)</v>
      </c>
      <c r="N47" s="30"/>
      <c r="O47" s="30"/>
      <c r="P47" s="30"/>
      <c r="Q47" s="30"/>
      <c r="R47" s="30"/>
      <c r="S47" s="30"/>
      <c r="T47" s="30"/>
      <c r="U47" s="30"/>
      <c r="V47" s="30"/>
      <c r="X47" s="39"/>
    </row>
    <row r="48" spans="1:25" ht="20.100000000000001" customHeight="1" x14ac:dyDescent="0.25">
      <c r="A48" s="38">
        <f t="shared" si="7"/>
        <v>1</v>
      </c>
      <c r="B48" s="38">
        <f t="shared" si="8"/>
        <v>0</v>
      </c>
      <c r="C48" s="72" t="s">
        <v>44</v>
      </c>
      <c r="D48" s="30">
        <v>12</v>
      </c>
      <c r="E48" s="30"/>
      <c r="F48" s="30" t="str">
        <f t="shared" si="26"/>
        <v>mem_nm_12</v>
      </c>
      <c r="G48" s="29"/>
      <c r="H48" s="29"/>
      <c r="I48" s="29"/>
      <c r="J48" s="30"/>
      <c r="K48" s="30"/>
      <c r="L48" s="30"/>
      <c r="M48" s="30" t="str">
        <f t="shared" si="27"/>
        <v>indexed-repeat(${mem_nm}, ${hhnames},12)</v>
      </c>
      <c r="N48" s="30"/>
      <c r="O48" s="30"/>
      <c r="P48" s="30"/>
      <c r="Q48" s="30"/>
      <c r="R48" s="30"/>
      <c r="S48" s="30"/>
      <c r="T48" s="30"/>
      <c r="U48" s="30"/>
      <c r="V48" s="30"/>
    </row>
    <row r="49" spans="1:24" ht="20.100000000000001" customHeight="1" x14ac:dyDescent="0.25">
      <c r="A49" s="38">
        <f t="shared" si="7"/>
        <v>1</v>
      </c>
      <c r="B49" s="38">
        <f t="shared" si="8"/>
        <v>0</v>
      </c>
      <c r="C49" s="72" t="s">
        <v>44</v>
      </c>
      <c r="D49" s="30">
        <v>13</v>
      </c>
      <c r="E49" s="30"/>
      <c r="F49" s="30" t="str">
        <f t="shared" si="26"/>
        <v>mem_nm_13</v>
      </c>
      <c r="G49" s="29"/>
      <c r="H49" s="29"/>
      <c r="I49" s="29"/>
      <c r="J49" s="30"/>
      <c r="K49" s="30"/>
      <c r="L49" s="30"/>
      <c r="M49" s="30" t="str">
        <f t="shared" si="27"/>
        <v>indexed-repeat(${mem_nm}, ${hhnames},13)</v>
      </c>
      <c r="N49" s="30"/>
      <c r="O49" s="30"/>
      <c r="P49" s="30"/>
      <c r="Q49" s="30"/>
      <c r="R49" s="30"/>
      <c r="S49" s="30"/>
      <c r="T49" s="30"/>
      <c r="U49" s="30"/>
      <c r="V49" s="30"/>
      <c r="X49" s="39"/>
    </row>
    <row r="50" spans="1:24" ht="20.100000000000001" customHeight="1" x14ac:dyDescent="0.25">
      <c r="A50" s="38">
        <f t="shared" si="7"/>
        <v>1</v>
      </c>
      <c r="B50" s="38">
        <f t="shared" si="8"/>
        <v>0</v>
      </c>
      <c r="C50" s="72" t="s">
        <v>44</v>
      </c>
      <c r="D50" s="30">
        <v>14</v>
      </c>
      <c r="E50" s="30"/>
      <c r="F50" s="30" t="str">
        <f t="shared" si="26"/>
        <v>mem_nm_14</v>
      </c>
      <c r="G50" s="29"/>
      <c r="H50" s="29"/>
      <c r="I50" s="29"/>
      <c r="J50" s="30"/>
      <c r="K50" s="30"/>
      <c r="L50" s="30"/>
      <c r="M50" s="30" t="str">
        <f t="shared" si="27"/>
        <v>indexed-repeat(${mem_nm}, ${hhnames},14)</v>
      </c>
      <c r="N50" s="30"/>
      <c r="O50" s="30"/>
      <c r="P50" s="30"/>
      <c r="Q50" s="30"/>
      <c r="R50" s="30"/>
      <c r="S50" s="30"/>
      <c r="T50" s="30"/>
      <c r="U50" s="30"/>
      <c r="V50" s="30"/>
    </row>
    <row r="51" spans="1:24" ht="20.100000000000001" customHeight="1" x14ac:dyDescent="0.25">
      <c r="A51" s="38">
        <f t="shared" si="7"/>
        <v>1</v>
      </c>
      <c r="B51" s="38">
        <f t="shared" si="8"/>
        <v>0</v>
      </c>
      <c r="C51" s="72" t="s">
        <v>44</v>
      </c>
      <c r="D51" s="30">
        <v>15</v>
      </c>
      <c r="E51" s="30"/>
      <c r="F51" s="30" t="str">
        <f t="shared" si="26"/>
        <v>mem_nm_15</v>
      </c>
      <c r="G51" s="29"/>
      <c r="H51" s="29"/>
      <c r="I51" s="29"/>
      <c r="J51" s="30"/>
      <c r="K51" s="30"/>
      <c r="L51" s="30"/>
      <c r="M51" s="30" t="str">
        <f t="shared" si="27"/>
        <v>indexed-repeat(${mem_nm}, ${hhnames},15)</v>
      </c>
      <c r="N51" s="30"/>
      <c r="O51" s="30"/>
      <c r="P51" s="30"/>
      <c r="Q51" s="30"/>
      <c r="R51" s="30"/>
      <c r="S51" s="30"/>
      <c r="T51" s="30"/>
      <c r="U51" s="30"/>
      <c r="V51" s="30"/>
      <c r="X51" s="39"/>
    </row>
    <row r="52" spans="1:24" ht="20.100000000000001" customHeight="1" x14ac:dyDescent="0.25">
      <c r="A52" s="38">
        <f t="shared" si="7"/>
        <v>1</v>
      </c>
      <c r="B52" s="38">
        <f t="shared" si="8"/>
        <v>0</v>
      </c>
      <c r="C52" s="72" t="s">
        <v>44</v>
      </c>
      <c r="D52" s="30">
        <v>16</v>
      </c>
      <c r="E52" s="30"/>
      <c r="F52" s="30" t="str">
        <f t="shared" si="26"/>
        <v>mem_nm_16</v>
      </c>
      <c r="G52" s="29"/>
      <c r="H52" s="29"/>
      <c r="I52" s="29"/>
      <c r="J52" s="30"/>
      <c r="K52" s="30"/>
      <c r="L52" s="30"/>
      <c r="M52" s="30" t="str">
        <f t="shared" si="27"/>
        <v>indexed-repeat(${mem_nm}, ${hhnames},16)</v>
      </c>
      <c r="N52" s="30"/>
      <c r="O52" s="30"/>
      <c r="P52" s="30"/>
      <c r="Q52" s="30"/>
      <c r="R52" s="30"/>
      <c r="S52" s="30"/>
      <c r="T52" s="30"/>
      <c r="U52" s="30"/>
      <c r="V52" s="30"/>
      <c r="X52" s="39"/>
    </row>
    <row r="53" spans="1:24" ht="20.100000000000001" customHeight="1" x14ac:dyDescent="0.25">
      <c r="A53" s="38">
        <f t="shared" si="7"/>
        <v>1</v>
      </c>
      <c r="B53" s="38">
        <f t="shared" si="8"/>
        <v>0</v>
      </c>
      <c r="C53" s="72" t="s">
        <v>44</v>
      </c>
      <c r="D53" s="30">
        <v>17</v>
      </c>
      <c r="E53" s="30"/>
      <c r="F53" s="30" t="str">
        <f t="shared" si="26"/>
        <v>mem_nm_17</v>
      </c>
      <c r="G53" s="29"/>
      <c r="H53" s="29"/>
      <c r="I53" s="29"/>
      <c r="J53" s="30"/>
      <c r="K53" s="30"/>
      <c r="L53" s="30"/>
      <c r="M53" s="30" t="str">
        <f t="shared" si="27"/>
        <v>indexed-repeat(${mem_nm}, ${hhnames},17)</v>
      </c>
      <c r="N53" s="30"/>
      <c r="O53" s="30"/>
      <c r="P53" s="30"/>
      <c r="Q53" s="30"/>
      <c r="R53" s="30"/>
      <c r="S53" s="30"/>
      <c r="T53" s="30"/>
      <c r="U53" s="30"/>
      <c r="V53" s="30"/>
    </row>
    <row r="54" spans="1:24" ht="20.100000000000001" customHeight="1" x14ac:dyDescent="0.25">
      <c r="A54" s="38">
        <f t="shared" si="7"/>
        <v>1</v>
      </c>
      <c r="B54" s="38">
        <f t="shared" si="8"/>
        <v>0</v>
      </c>
      <c r="C54" s="72" t="s">
        <v>44</v>
      </c>
      <c r="D54" s="30">
        <v>18</v>
      </c>
      <c r="E54" s="30"/>
      <c r="F54" s="30" t="str">
        <f t="shared" si="26"/>
        <v>mem_nm_18</v>
      </c>
      <c r="G54" s="29"/>
      <c r="H54" s="29"/>
      <c r="I54" s="29"/>
      <c r="J54" s="30"/>
      <c r="K54" s="30"/>
      <c r="L54" s="30"/>
      <c r="M54" s="30" t="str">
        <f t="shared" si="27"/>
        <v>indexed-repeat(${mem_nm}, ${hhnames},18)</v>
      </c>
      <c r="N54" s="30"/>
      <c r="O54" s="30"/>
      <c r="P54" s="30"/>
      <c r="Q54" s="30"/>
      <c r="R54" s="30"/>
      <c r="S54" s="30"/>
      <c r="T54" s="30"/>
      <c r="U54" s="30"/>
      <c r="V54" s="30"/>
      <c r="X54" s="39"/>
    </row>
    <row r="55" spans="1:24" ht="20.100000000000001" customHeight="1" x14ac:dyDescent="0.25">
      <c r="A55" s="38">
        <f t="shared" si="7"/>
        <v>1</v>
      </c>
      <c r="B55" s="38">
        <f t="shared" si="8"/>
        <v>0</v>
      </c>
      <c r="C55" s="72" t="s">
        <v>44</v>
      </c>
      <c r="D55" s="30">
        <v>19</v>
      </c>
      <c r="E55" s="30"/>
      <c r="F55" s="30" t="str">
        <f t="shared" si="26"/>
        <v>mem_nm_19</v>
      </c>
      <c r="G55" s="29"/>
      <c r="H55" s="29"/>
      <c r="I55" s="29"/>
      <c r="J55" s="30"/>
      <c r="K55" s="30"/>
      <c r="L55" s="30"/>
      <c r="M55" s="30" t="str">
        <f t="shared" si="27"/>
        <v>indexed-repeat(${mem_nm}, ${hhnames},19)</v>
      </c>
      <c r="N55" s="30"/>
      <c r="O55" s="30"/>
      <c r="P55" s="30"/>
      <c r="Q55" s="30"/>
      <c r="R55" s="30"/>
      <c r="S55" s="30"/>
      <c r="T55" s="30"/>
      <c r="U55" s="30"/>
      <c r="V55" s="30"/>
    </row>
    <row r="56" spans="1:24" ht="20.100000000000001" customHeight="1" x14ac:dyDescent="0.25">
      <c r="A56" s="38">
        <f t="shared" si="7"/>
        <v>1</v>
      </c>
      <c r="B56" s="38">
        <f t="shared" si="8"/>
        <v>0</v>
      </c>
      <c r="C56" s="72" t="s">
        <v>44</v>
      </c>
      <c r="D56" s="30">
        <v>20</v>
      </c>
      <c r="E56" s="30"/>
      <c r="F56" s="30" t="str">
        <f t="shared" si="26"/>
        <v>mem_nm_20</v>
      </c>
      <c r="G56" s="29"/>
      <c r="H56" s="29"/>
      <c r="I56" s="29"/>
      <c r="J56" s="30"/>
      <c r="K56" s="30"/>
      <c r="L56" s="30"/>
      <c r="M56" s="30" t="str">
        <f t="shared" si="27"/>
        <v>indexed-repeat(${mem_nm}, ${hhnames},20)</v>
      </c>
      <c r="N56" s="30"/>
      <c r="O56" s="30"/>
      <c r="P56" s="30"/>
      <c r="Q56" s="30"/>
      <c r="R56" s="30"/>
      <c r="S56" s="30"/>
      <c r="T56" s="30"/>
      <c r="U56" s="30"/>
      <c r="V56" s="30"/>
      <c r="X56" s="39"/>
    </row>
    <row r="57" spans="1:24" ht="20.100000000000001" customHeight="1" x14ac:dyDescent="0.25">
      <c r="A57" s="38">
        <f t="shared" si="7"/>
        <v>1</v>
      </c>
      <c r="B57" s="38">
        <f t="shared" si="8"/>
        <v>0</v>
      </c>
      <c r="C57" s="72" t="s">
        <v>44</v>
      </c>
      <c r="D57" s="30"/>
      <c r="E57" s="30"/>
      <c r="F57" s="72" t="s">
        <v>975</v>
      </c>
      <c r="G57" s="31"/>
      <c r="H57" s="31"/>
      <c r="I57" s="29"/>
      <c r="J57" s="72"/>
      <c r="K57" s="30"/>
      <c r="L57" s="30"/>
      <c r="M57" s="30" t="s">
        <v>976</v>
      </c>
      <c r="N57" s="72"/>
      <c r="O57" s="72"/>
      <c r="P57" s="72"/>
      <c r="Q57" s="72"/>
      <c r="R57" s="72"/>
      <c r="S57" s="30"/>
      <c r="T57" s="30"/>
      <c r="U57" s="30"/>
      <c r="V57" s="30"/>
    </row>
    <row r="58" spans="1:24" s="17" customFormat="1" ht="20.100000000000001" customHeight="1" x14ac:dyDescent="0.25">
      <c r="A58" s="38">
        <f t="shared" si="7"/>
        <v>2</v>
      </c>
      <c r="B58" s="38">
        <f t="shared" si="8"/>
        <v>0</v>
      </c>
      <c r="C58" s="143" t="s">
        <v>32</v>
      </c>
      <c r="D58" s="143"/>
      <c r="E58" s="143"/>
      <c r="F58" s="143" t="s">
        <v>1367</v>
      </c>
      <c r="G58" s="144" t="s">
        <v>1368</v>
      </c>
      <c r="H58" s="144" t="s">
        <v>1369</v>
      </c>
      <c r="I58" s="144" t="s">
        <v>1369</v>
      </c>
      <c r="J58" s="143" t="str">
        <f t="shared" ref="J58:J80" si="28">E58&amp;IF(D58="",""," ")&amp;G58</f>
        <v>Name check</v>
      </c>
      <c r="K58" s="143" t="str">
        <f t="shared" ref="K58:K80" si="29">E58&amp;IF(E58="",""," ")&amp;H58</f>
        <v>Verification des noms</v>
      </c>
      <c r="L58" s="143" t="str">
        <f t="shared" ref="L58:L80" si="30">E58&amp;IF(E58="",""," ")&amp;I58</f>
        <v>Verification des noms</v>
      </c>
      <c r="M58" s="143"/>
      <c r="N58" s="143" t="s">
        <v>1312</v>
      </c>
      <c r="O58" s="143"/>
      <c r="P58" s="143"/>
      <c r="Q58" s="143"/>
      <c r="R58" s="143"/>
      <c r="S58" s="143"/>
      <c r="T58" s="143"/>
      <c r="U58" s="143"/>
      <c r="V58" s="143"/>
    </row>
    <row r="59" spans="1:24" ht="20.100000000000001" customHeight="1" x14ac:dyDescent="0.25">
      <c r="A59" s="38">
        <f t="shared" si="7"/>
        <v>2</v>
      </c>
      <c r="B59" s="38">
        <f t="shared" si="8"/>
        <v>0</v>
      </c>
      <c r="C59" s="72" t="s">
        <v>33</v>
      </c>
      <c r="D59" s="30"/>
      <c r="E59" s="30"/>
      <c r="F59" s="30" t="s">
        <v>1370</v>
      </c>
      <c r="G59" s="29" t="str">
        <f>"Vous avez mentionné ${"&amp;F57&amp;"} noms:"</f>
        <v>Vous avez mentionné ${hh_size} noms:</v>
      </c>
      <c r="H59" s="29" t="str">
        <f>"Vous avez mentionné ${"&amp;F57&amp;"} noms:"</f>
        <v>Vous avez mentionné ${hh_size} noms:</v>
      </c>
      <c r="I59" s="29" t="str">
        <f>"Vous avez mentionné ${"&amp;F57&amp;"} noms:"</f>
        <v>Vous avez mentionné ${hh_size} noms:</v>
      </c>
      <c r="J59" s="63" t="str">
        <f t="shared" si="28"/>
        <v>Vous avez mentionné ${hh_size} noms:</v>
      </c>
      <c r="K59" s="13" t="str">
        <f t="shared" si="29"/>
        <v>Vous avez mentionné ${hh_size} noms:</v>
      </c>
      <c r="L59" s="13" t="str">
        <f t="shared" si="30"/>
        <v>Vous avez mentionné ${hh_size} noms:</v>
      </c>
      <c r="M59" s="30"/>
      <c r="N59" s="30"/>
      <c r="O59" s="30"/>
      <c r="P59" s="30"/>
      <c r="Q59" s="30"/>
      <c r="R59" s="30"/>
      <c r="S59" s="30"/>
      <c r="T59" s="30"/>
      <c r="U59" s="30"/>
      <c r="V59" s="30"/>
      <c r="X59" s="39"/>
    </row>
    <row r="60" spans="1:24" ht="20.100000000000001" customHeight="1" x14ac:dyDescent="0.25">
      <c r="A60" s="38">
        <f t="shared" si="7"/>
        <v>2</v>
      </c>
      <c r="B60" s="38">
        <f t="shared" si="8"/>
        <v>0</v>
      </c>
      <c r="C60" s="72" t="s">
        <v>33</v>
      </c>
      <c r="D60" s="30">
        <v>1</v>
      </c>
      <c r="E60" s="30"/>
      <c r="F60" s="30" t="str">
        <f>"note_mem_nm_"&amp;D60</f>
        <v>note_mem_nm_1</v>
      </c>
      <c r="G60" s="29" t="str">
        <f>"${"&amp;F37&amp;"}"</f>
        <v>${mem_nm_1}</v>
      </c>
      <c r="H60" s="29" t="str">
        <f>"${"&amp;F37&amp;"}"</f>
        <v>${mem_nm_1}</v>
      </c>
      <c r="I60" s="29" t="str">
        <f>"${"&amp;F37&amp;"}"</f>
        <v>${mem_nm_1}</v>
      </c>
      <c r="J60" s="63" t="str">
        <f t="shared" si="28"/>
        <v xml:space="preserve"> ${mem_nm_1}</v>
      </c>
      <c r="K60" s="13" t="str">
        <f t="shared" si="29"/>
        <v>${mem_nm_1}</v>
      </c>
      <c r="L60" s="13" t="str">
        <f t="shared" si="30"/>
        <v>${mem_nm_1}</v>
      </c>
      <c r="M60" s="30"/>
      <c r="N60" s="30"/>
      <c r="O60" s="30"/>
      <c r="P60" s="30"/>
      <c r="Q60" s="30"/>
      <c r="R60" s="30" t="str">
        <f>"${"&amp;F$57&amp;"}&gt;="&amp;D60</f>
        <v>${hh_size}&gt;=1</v>
      </c>
      <c r="S60" s="30"/>
      <c r="T60" s="30"/>
      <c r="U60" s="30"/>
      <c r="V60" s="30"/>
      <c r="X60" s="39"/>
    </row>
    <row r="61" spans="1:24" ht="20.100000000000001" customHeight="1" x14ac:dyDescent="0.25">
      <c r="A61" s="38">
        <f t="shared" si="7"/>
        <v>2</v>
      </c>
      <c r="B61" s="38">
        <f t="shared" si="8"/>
        <v>0</v>
      </c>
      <c r="C61" s="72" t="s">
        <v>33</v>
      </c>
      <c r="D61" s="30">
        <v>2</v>
      </c>
      <c r="E61" s="30"/>
      <c r="F61" s="30" t="str">
        <f t="shared" ref="F61:F79" si="31">"note_mem_nm_"&amp;D61</f>
        <v>note_mem_nm_2</v>
      </c>
      <c r="G61" s="29" t="str">
        <f t="shared" ref="G61:G79" si="32">"${"&amp;F38&amp;"}"</f>
        <v>${mem_nm_2}</v>
      </c>
      <c r="H61" s="29" t="str">
        <f t="shared" ref="H61:H79" si="33">"${"&amp;F38&amp;"}"</f>
        <v>${mem_nm_2}</v>
      </c>
      <c r="I61" s="29" t="str">
        <f t="shared" ref="I61:I79" si="34">"${"&amp;F38&amp;"}"</f>
        <v>${mem_nm_2}</v>
      </c>
      <c r="J61" s="63" t="str">
        <f t="shared" si="28"/>
        <v xml:space="preserve"> ${mem_nm_2}</v>
      </c>
      <c r="K61" s="13" t="str">
        <f t="shared" si="29"/>
        <v>${mem_nm_2}</v>
      </c>
      <c r="L61" s="13" t="str">
        <f t="shared" si="30"/>
        <v>${mem_nm_2}</v>
      </c>
      <c r="M61" s="30"/>
      <c r="N61" s="30"/>
      <c r="O61" s="30"/>
      <c r="P61" s="30"/>
      <c r="Q61" s="30"/>
      <c r="R61" s="30" t="str">
        <f t="shared" ref="R61:R79" si="35">"${"&amp;F$57&amp;"}&gt;="&amp;D61</f>
        <v>${hh_size}&gt;=2</v>
      </c>
      <c r="S61" s="30"/>
      <c r="T61" s="30"/>
      <c r="U61" s="30"/>
      <c r="V61" s="30"/>
    </row>
    <row r="62" spans="1:24" ht="20.100000000000001" customHeight="1" x14ac:dyDescent="0.25">
      <c r="A62" s="38">
        <f t="shared" si="7"/>
        <v>2</v>
      </c>
      <c r="B62" s="38">
        <f t="shared" si="8"/>
        <v>0</v>
      </c>
      <c r="C62" s="72" t="s">
        <v>33</v>
      </c>
      <c r="D62" s="30">
        <v>3</v>
      </c>
      <c r="E62" s="30"/>
      <c r="F62" s="30" t="str">
        <f t="shared" si="31"/>
        <v>note_mem_nm_3</v>
      </c>
      <c r="G62" s="29" t="str">
        <f t="shared" si="32"/>
        <v>${mem_nm_3}</v>
      </c>
      <c r="H62" s="29" t="str">
        <f t="shared" si="33"/>
        <v>${mem_nm_3}</v>
      </c>
      <c r="I62" s="29" t="str">
        <f t="shared" si="34"/>
        <v>${mem_nm_3}</v>
      </c>
      <c r="J62" s="63" t="str">
        <f t="shared" si="28"/>
        <v xml:space="preserve"> ${mem_nm_3}</v>
      </c>
      <c r="K62" s="13" t="str">
        <f t="shared" si="29"/>
        <v>${mem_nm_3}</v>
      </c>
      <c r="L62" s="13" t="str">
        <f t="shared" si="30"/>
        <v>${mem_nm_3}</v>
      </c>
      <c r="M62" s="30"/>
      <c r="N62" s="30"/>
      <c r="O62" s="30"/>
      <c r="P62" s="30"/>
      <c r="Q62" s="30"/>
      <c r="R62" s="30" t="str">
        <f t="shared" si="35"/>
        <v>${hh_size}&gt;=3</v>
      </c>
      <c r="S62" s="30"/>
      <c r="T62" s="30"/>
      <c r="U62" s="30"/>
      <c r="V62" s="30"/>
      <c r="X62" s="39"/>
    </row>
    <row r="63" spans="1:24" ht="20.100000000000001" customHeight="1" x14ac:dyDescent="0.25">
      <c r="A63" s="38">
        <f t="shared" si="7"/>
        <v>2</v>
      </c>
      <c r="B63" s="38">
        <f t="shared" si="8"/>
        <v>0</v>
      </c>
      <c r="C63" s="72" t="s">
        <v>33</v>
      </c>
      <c r="D63" s="30">
        <v>4</v>
      </c>
      <c r="E63" s="30"/>
      <c r="F63" s="30" t="str">
        <f t="shared" si="31"/>
        <v>note_mem_nm_4</v>
      </c>
      <c r="G63" s="29" t="str">
        <f t="shared" si="32"/>
        <v>${mem_nm_4}</v>
      </c>
      <c r="H63" s="29" t="str">
        <f t="shared" si="33"/>
        <v>${mem_nm_4}</v>
      </c>
      <c r="I63" s="29" t="str">
        <f t="shared" si="34"/>
        <v>${mem_nm_4}</v>
      </c>
      <c r="J63" s="63" t="str">
        <f t="shared" si="28"/>
        <v xml:space="preserve"> ${mem_nm_4}</v>
      </c>
      <c r="K63" s="13" t="str">
        <f t="shared" si="29"/>
        <v>${mem_nm_4}</v>
      </c>
      <c r="L63" s="13" t="str">
        <f t="shared" si="30"/>
        <v>${mem_nm_4}</v>
      </c>
      <c r="M63" s="30"/>
      <c r="N63" s="30"/>
      <c r="O63" s="30"/>
      <c r="P63" s="30"/>
      <c r="Q63" s="30"/>
      <c r="R63" s="30" t="str">
        <f t="shared" si="35"/>
        <v>${hh_size}&gt;=4</v>
      </c>
      <c r="S63" s="30"/>
      <c r="T63" s="30"/>
      <c r="U63" s="30"/>
      <c r="V63" s="30"/>
    </row>
    <row r="64" spans="1:24" ht="20.100000000000001" customHeight="1" x14ac:dyDescent="0.25">
      <c r="A64" s="38">
        <f t="shared" si="7"/>
        <v>2</v>
      </c>
      <c r="B64" s="38">
        <f t="shared" si="8"/>
        <v>0</v>
      </c>
      <c r="C64" s="72" t="s">
        <v>33</v>
      </c>
      <c r="D64" s="30">
        <v>5</v>
      </c>
      <c r="E64" s="30"/>
      <c r="F64" s="30" t="str">
        <f t="shared" si="31"/>
        <v>note_mem_nm_5</v>
      </c>
      <c r="G64" s="29" t="str">
        <f t="shared" si="32"/>
        <v>${mem_nm_5}</v>
      </c>
      <c r="H64" s="29" t="str">
        <f t="shared" si="33"/>
        <v>${mem_nm_5}</v>
      </c>
      <c r="I64" s="29" t="str">
        <f t="shared" si="34"/>
        <v>${mem_nm_5}</v>
      </c>
      <c r="J64" s="63" t="str">
        <f t="shared" si="28"/>
        <v xml:space="preserve"> ${mem_nm_5}</v>
      </c>
      <c r="K64" s="13" t="str">
        <f t="shared" si="29"/>
        <v>${mem_nm_5}</v>
      </c>
      <c r="L64" s="13" t="str">
        <f t="shared" si="30"/>
        <v>${mem_nm_5}</v>
      </c>
      <c r="M64" s="30"/>
      <c r="N64" s="30"/>
      <c r="O64" s="30"/>
      <c r="P64" s="30"/>
      <c r="Q64" s="30"/>
      <c r="R64" s="30" t="str">
        <f t="shared" si="35"/>
        <v>${hh_size}&gt;=5</v>
      </c>
      <c r="S64" s="30"/>
      <c r="T64" s="30"/>
      <c r="U64" s="30"/>
      <c r="V64" s="30"/>
      <c r="X64" s="39"/>
    </row>
    <row r="65" spans="1:24" ht="20.100000000000001" customHeight="1" x14ac:dyDescent="0.25">
      <c r="A65" s="38">
        <f t="shared" si="7"/>
        <v>2</v>
      </c>
      <c r="B65" s="38">
        <f t="shared" si="8"/>
        <v>0</v>
      </c>
      <c r="C65" s="72" t="s">
        <v>33</v>
      </c>
      <c r="D65" s="30">
        <v>6</v>
      </c>
      <c r="E65" s="30"/>
      <c r="F65" s="30" t="str">
        <f t="shared" si="31"/>
        <v>note_mem_nm_6</v>
      </c>
      <c r="G65" s="29" t="str">
        <f t="shared" si="32"/>
        <v>${mem_nm_6}</v>
      </c>
      <c r="H65" s="29" t="str">
        <f t="shared" si="33"/>
        <v>${mem_nm_6}</v>
      </c>
      <c r="I65" s="29" t="str">
        <f t="shared" si="34"/>
        <v>${mem_nm_6}</v>
      </c>
      <c r="J65" s="63" t="str">
        <f t="shared" si="28"/>
        <v xml:space="preserve"> ${mem_nm_6}</v>
      </c>
      <c r="K65" s="13" t="str">
        <f t="shared" si="29"/>
        <v>${mem_nm_6}</v>
      </c>
      <c r="L65" s="13" t="str">
        <f t="shared" si="30"/>
        <v>${mem_nm_6}</v>
      </c>
      <c r="M65" s="30"/>
      <c r="N65" s="30"/>
      <c r="O65" s="30"/>
      <c r="P65" s="30"/>
      <c r="Q65" s="30"/>
      <c r="R65" s="30" t="str">
        <f t="shared" si="35"/>
        <v>${hh_size}&gt;=6</v>
      </c>
      <c r="S65" s="30"/>
      <c r="T65" s="30"/>
      <c r="U65" s="30"/>
      <c r="V65" s="30"/>
      <c r="X65" s="39"/>
    </row>
    <row r="66" spans="1:24" ht="20.100000000000001" customHeight="1" x14ac:dyDescent="0.25">
      <c r="A66" s="38">
        <f t="shared" si="7"/>
        <v>2</v>
      </c>
      <c r="B66" s="38">
        <f t="shared" si="8"/>
        <v>0</v>
      </c>
      <c r="C66" s="72" t="s">
        <v>33</v>
      </c>
      <c r="D66" s="30">
        <v>7</v>
      </c>
      <c r="E66" s="30"/>
      <c r="F66" s="30" t="str">
        <f t="shared" si="31"/>
        <v>note_mem_nm_7</v>
      </c>
      <c r="G66" s="29" t="str">
        <f t="shared" si="32"/>
        <v>${mem_nm_7}</v>
      </c>
      <c r="H66" s="29" t="str">
        <f t="shared" si="33"/>
        <v>${mem_nm_7}</v>
      </c>
      <c r="I66" s="29" t="str">
        <f t="shared" si="34"/>
        <v>${mem_nm_7}</v>
      </c>
      <c r="J66" s="63" t="str">
        <f t="shared" si="28"/>
        <v xml:space="preserve"> ${mem_nm_7}</v>
      </c>
      <c r="K66" s="13" t="str">
        <f t="shared" si="29"/>
        <v>${mem_nm_7}</v>
      </c>
      <c r="L66" s="13" t="str">
        <f t="shared" si="30"/>
        <v>${mem_nm_7}</v>
      </c>
      <c r="M66" s="30"/>
      <c r="N66" s="30"/>
      <c r="O66" s="30"/>
      <c r="P66" s="30"/>
      <c r="Q66" s="30"/>
      <c r="R66" s="30" t="str">
        <f t="shared" si="35"/>
        <v>${hh_size}&gt;=7</v>
      </c>
      <c r="S66" s="30"/>
      <c r="T66" s="30"/>
      <c r="U66" s="30"/>
      <c r="V66" s="30"/>
    </row>
    <row r="67" spans="1:24" ht="20.100000000000001" customHeight="1" x14ac:dyDescent="0.25">
      <c r="A67" s="38">
        <f t="shared" si="7"/>
        <v>2</v>
      </c>
      <c r="B67" s="38">
        <f t="shared" si="8"/>
        <v>0</v>
      </c>
      <c r="C67" s="72" t="s">
        <v>33</v>
      </c>
      <c r="D67" s="30">
        <v>8</v>
      </c>
      <c r="E67" s="30"/>
      <c r="F67" s="30" t="str">
        <f t="shared" si="31"/>
        <v>note_mem_nm_8</v>
      </c>
      <c r="G67" s="29" t="str">
        <f t="shared" si="32"/>
        <v>${mem_nm_8}</v>
      </c>
      <c r="H67" s="29" t="str">
        <f t="shared" si="33"/>
        <v>${mem_nm_8}</v>
      </c>
      <c r="I67" s="29" t="str">
        <f t="shared" si="34"/>
        <v>${mem_nm_8}</v>
      </c>
      <c r="J67" s="63" t="str">
        <f t="shared" si="28"/>
        <v xml:space="preserve"> ${mem_nm_8}</v>
      </c>
      <c r="K67" s="13" t="str">
        <f t="shared" si="29"/>
        <v>${mem_nm_8}</v>
      </c>
      <c r="L67" s="13" t="str">
        <f t="shared" si="30"/>
        <v>${mem_nm_8}</v>
      </c>
      <c r="M67" s="30"/>
      <c r="N67" s="30"/>
      <c r="O67" s="30"/>
      <c r="P67" s="30"/>
      <c r="Q67" s="30"/>
      <c r="R67" s="30" t="str">
        <f t="shared" si="35"/>
        <v>${hh_size}&gt;=8</v>
      </c>
      <c r="S67" s="30"/>
      <c r="T67" s="30"/>
      <c r="U67" s="30"/>
      <c r="V67" s="30"/>
      <c r="X67" s="39"/>
    </row>
    <row r="68" spans="1:24" ht="20.100000000000001" customHeight="1" x14ac:dyDescent="0.25">
      <c r="A68" s="38">
        <f t="shared" si="7"/>
        <v>2</v>
      </c>
      <c r="B68" s="38">
        <f t="shared" si="8"/>
        <v>0</v>
      </c>
      <c r="C68" s="72" t="s">
        <v>33</v>
      </c>
      <c r="D68" s="30">
        <v>9</v>
      </c>
      <c r="E68" s="30"/>
      <c r="F68" s="30" t="str">
        <f t="shared" si="31"/>
        <v>note_mem_nm_9</v>
      </c>
      <c r="G68" s="29" t="str">
        <f t="shared" si="32"/>
        <v>${mem_nm_9}</v>
      </c>
      <c r="H68" s="29" t="str">
        <f t="shared" si="33"/>
        <v>${mem_nm_9}</v>
      </c>
      <c r="I68" s="29" t="str">
        <f t="shared" si="34"/>
        <v>${mem_nm_9}</v>
      </c>
      <c r="J68" s="63" t="str">
        <f t="shared" si="28"/>
        <v xml:space="preserve"> ${mem_nm_9}</v>
      </c>
      <c r="K68" s="13" t="str">
        <f t="shared" si="29"/>
        <v>${mem_nm_9}</v>
      </c>
      <c r="L68" s="13" t="str">
        <f t="shared" si="30"/>
        <v>${mem_nm_9}</v>
      </c>
      <c r="M68" s="30"/>
      <c r="N68" s="30"/>
      <c r="O68" s="30"/>
      <c r="P68" s="30"/>
      <c r="Q68" s="30"/>
      <c r="R68" s="30" t="str">
        <f t="shared" si="35"/>
        <v>${hh_size}&gt;=9</v>
      </c>
      <c r="S68" s="30"/>
      <c r="T68" s="30"/>
      <c r="U68" s="30"/>
      <c r="V68" s="30"/>
    </row>
    <row r="69" spans="1:24" ht="20.100000000000001" customHeight="1" x14ac:dyDescent="0.25">
      <c r="A69" s="38">
        <f t="shared" si="7"/>
        <v>2</v>
      </c>
      <c r="B69" s="38">
        <f t="shared" si="8"/>
        <v>0</v>
      </c>
      <c r="C69" s="72" t="s">
        <v>33</v>
      </c>
      <c r="D69" s="30">
        <v>10</v>
      </c>
      <c r="E69" s="30"/>
      <c r="F69" s="30" t="str">
        <f t="shared" si="31"/>
        <v>note_mem_nm_10</v>
      </c>
      <c r="G69" s="29" t="str">
        <f t="shared" si="32"/>
        <v>${mem_nm_10}</v>
      </c>
      <c r="H69" s="29" t="str">
        <f t="shared" si="33"/>
        <v>${mem_nm_10}</v>
      </c>
      <c r="I69" s="29" t="str">
        <f t="shared" si="34"/>
        <v>${mem_nm_10}</v>
      </c>
      <c r="J69" s="63" t="str">
        <f t="shared" si="28"/>
        <v xml:space="preserve"> ${mem_nm_10}</v>
      </c>
      <c r="K69" s="13" t="str">
        <f t="shared" si="29"/>
        <v>${mem_nm_10}</v>
      </c>
      <c r="L69" s="13" t="str">
        <f t="shared" si="30"/>
        <v>${mem_nm_10}</v>
      </c>
      <c r="M69" s="30"/>
      <c r="N69" s="30"/>
      <c r="O69" s="30"/>
      <c r="P69" s="30"/>
      <c r="Q69" s="30"/>
      <c r="R69" s="30" t="str">
        <f t="shared" si="35"/>
        <v>${hh_size}&gt;=10</v>
      </c>
      <c r="S69" s="30"/>
      <c r="T69" s="30"/>
      <c r="U69" s="30"/>
      <c r="V69" s="30"/>
      <c r="X69" s="39"/>
    </row>
    <row r="70" spans="1:24" ht="20.100000000000001" customHeight="1" x14ac:dyDescent="0.25">
      <c r="A70" s="38">
        <f t="shared" si="7"/>
        <v>2</v>
      </c>
      <c r="B70" s="38">
        <f t="shared" si="8"/>
        <v>0</v>
      </c>
      <c r="C70" s="72" t="s">
        <v>33</v>
      </c>
      <c r="D70" s="30">
        <v>11</v>
      </c>
      <c r="E70" s="30"/>
      <c r="F70" s="30" t="str">
        <f t="shared" si="31"/>
        <v>note_mem_nm_11</v>
      </c>
      <c r="G70" s="29" t="str">
        <f t="shared" si="32"/>
        <v>${mem_nm_11}</v>
      </c>
      <c r="H70" s="29" t="str">
        <f t="shared" si="33"/>
        <v>${mem_nm_11}</v>
      </c>
      <c r="I70" s="29" t="str">
        <f t="shared" si="34"/>
        <v>${mem_nm_11}</v>
      </c>
      <c r="J70" s="63" t="str">
        <f t="shared" si="28"/>
        <v xml:space="preserve"> ${mem_nm_11}</v>
      </c>
      <c r="K70" s="13" t="str">
        <f t="shared" si="29"/>
        <v>${mem_nm_11}</v>
      </c>
      <c r="L70" s="13" t="str">
        <f t="shared" si="30"/>
        <v>${mem_nm_11}</v>
      </c>
      <c r="M70" s="30"/>
      <c r="N70" s="30"/>
      <c r="O70" s="30"/>
      <c r="P70" s="30"/>
      <c r="Q70" s="30"/>
      <c r="R70" s="30" t="str">
        <f t="shared" si="35"/>
        <v>${hh_size}&gt;=11</v>
      </c>
      <c r="S70" s="30"/>
      <c r="T70" s="30"/>
      <c r="U70" s="30"/>
      <c r="V70" s="30"/>
      <c r="X70" s="39"/>
    </row>
    <row r="71" spans="1:24" ht="20.100000000000001" customHeight="1" x14ac:dyDescent="0.25">
      <c r="A71" s="38">
        <f t="shared" si="7"/>
        <v>2</v>
      </c>
      <c r="B71" s="38">
        <f t="shared" si="8"/>
        <v>0</v>
      </c>
      <c r="C71" s="72" t="s">
        <v>33</v>
      </c>
      <c r="D71" s="30">
        <v>12</v>
      </c>
      <c r="E71" s="30"/>
      <c r="F71" s="30" t="str">
        <f t="shared" si="31"/>
        <v>note_mem_nm_12</v>
      </c>
      <c r="G71" s="29" t="str">
        <f t="shared" si="32"/>
        <v>${mem_nm_12}</v>
      </c>
      <c r="H71" s="29" t="str">
        <f t="shared" si="33"/>
        <v>${mem_nm_12}</v>
      </c>
      <c r="I71" s="29" t="str">
        <f t="shared" si="34"/>
        <v>${mem_nm_12}</v>
      </c>
      <c r="J71" s="63" t="str">
        <f t="shared" si="28"/>
        <v xml:space="preserve"> ${mem_nm_12}</v>
      </c>
      <c r="K71" s="13" t="str">
        <f t="shared" si="29"/>
        <v>${mem_nm_12}</v>
      </c>
      <c r="L71" s="13" t="str">
        <f t="shared" si="30"/>
        <v>${mem_nm_12}</v>
      </c>
      <c r="M71" s="30"/>
      <c r="N71" s="30"/>
      <c r="O71" s="30"/>
      <c r="P71" s="30"/>
      <c r="Q71" s="30"/>
      <c r="R71" s="30" t="str">
        <f t="shared" si="35"/>
        <v>${hh_size}&gt;=12</v>
      </c>
      <c r="S71" s="30"/>
      <c r="T71" s="30"/>
      <c r="U71" s="30"/>
      <c r="V71" s="30"/>
    </row>
    <row r="72" spans="1:24" ht="20.100000000000001" customHeight="1" x14ac:dyDescent="0.25">
      <c r="A72" s="38">
        <f t="shared" si="7"/>
        <v>2</v>
      </c>
      <c r="B72" s="38">
        <f t="shared" si="8"/>
        <v>0</v>
      </c>
      <c r="C72" s="72" t="s">
        <v>33</v>
      </c>
      <c r="D72" s="30">
        <v>13</v>
      </c>
      <c r="E72" s="30"/>
      <c r="F72" s="30" t="str">
        <f t="shared" si="31"/>
        <v>note_mem_nm_13</v>
      </c>
      <c r="G72" s="29" t="str">
        <f t="shared" si="32"/>
        <v>${mem_nm_13}</v>
      </c>
      <c r="H72" s="29" t="str">
        <f t="shared" si="33"/>
        <v>${mem_nm_13}</v>
      </c>
      <c r="I72" s="29" t="str">
        <f t="shared" si="34"/>
        <v>${mem_nm_13}</v>
      </c>
      <c r="J72" s="63" t="str">
        <f t="shared" si="28"/>
        <v xml:space="preserve"> ${mem_nm_13}</v>
      </c>
      <c r="K72" s="13" t="str">
        <f t="shared" si="29"/>
        <v>${mem_nm_13}</v>
      </c>
      <c r="L72" s="13" t="str">
        <f t="shared" si="30"/>
        <v>${mem_nm_13}</v>
      </c>
      <c r="M72" s="30"/>
      <c r="N72" s="30"/>
      <c r="O72" s="30"/>
      <c r="P72" s="30"/>
      <c r="Q72" s="30"/>
      <c r="R72" s="30" t="str">
        <f t="shared" si="35"/>
        <v>${hh_size}&gt;=13</v>
      </c>
      <c r="S72" s="30"/>
      <c r="T72" s="30"/>
      <c r="U72" s="30"/>
      <c r="V72" s="30"/>
      <c r="X72" s="39"/>
    </row>
    <row r="73" spans="1:24" ht="20.100000000000001" customHeight="1" x14ac:dyDescent="0.25">
      <c r="A73" s="38">
        <f t="shared" si="7"/>
        <v>2</v>
      </c>
      <c r="B73" s="38">
        <f t="shared" si="8"/>
        <v>0</v>
      </c>
      <c r="C73" s="72" t="s">
        <v>33</v>
      </c>
      <c r="D73" s="30">
        <v>14</v>
      </c>
      <c r="E73" s="30"/>
      <c r="F73" s="30" t="str">
        <f t="shared" si="31"/>
        <v>note_mem_nm_14</v>
      </c>
      <c r="G73" s="29" t="str">
        <f t="shared" si="32"/>
        <v>${mem_nm_14}</v>
      </c>
      <c r="H73" s="29" t="str">
        <f t="shared" si="33"/>
        <v>${mem_nm_14}</v>
      </c>
      <c r="I73" s="29" t="str">
        <f t="shared" si="34"/>
        <v>${mem_nm_14}</v>
      </c>
      <c r="J73" s="63" t="str">
        <f t="shared" si="28"/>
        <v xml:space="preserve"> ${mem_nm_14}</v>
      </c>
      <c r="K73" s="13" t="str">
        <f t="shared" si="29"/>
        <v>${mem_nm_14}</v>
      </c>
      <c r="L73" s="13" t="str">
        <f t="shared" si="30"/>
        <v>${mem_nm_14}</v>
      </c>
      <c r="M73" s="30"/>
      <c r="N73" s="30"/>
      <c r="O73" s="30"/>
      <c r="P73" s="30"/>
      <c r="Q73" s="30"/>
      <c r="R73" s="30" t="str">
        <f t="shared" si="35"/>
        <v>${hh_size}&gt;=14</v>
      </c>
      <c r="S73" s="30"/>
      <c r="T73" s="30"/>
      <c r="U73" s="30"/>
      <c r="V73" s="30"/>
    </row>
    <row r="74" spans="1:24" ht="20.100000000000001" customHeight="1" x14ac:dyDescent="0.25">
      <c r="A74" s="38">
        <f t="shared" si="7"/>
        <v>2</v>
      </c>
      <c r="B74" s="38">
        <f t="shared" si="8"/>
        <v>0</v>
      </c>
      <c r="C74" s="72" t="s">
        <v>33</v>
      </c>
      <c r="D74" s="30">
        <v>15</v>
      </c>
      <c r="E74" s="30"/>
      <c r="F74" s="30" t="str">
        <f t="shared" si="31"/>
        <v>note_mem_nm_15</v>
      </c>
      <c r="G74" s="29" t="str">
        <f t="shared" si="32"/>
        <v>${mem_nm_15}</v>
      </c>
      <c r="H74" s="29" t="str">
        <f t="shared" si="33"/>
        <v>${mem_nm_15}</v>
      </c>
      <c r="I74" s="29" t="str">
        <f t="shared" si="34"/>
        <v>${mem_nm_15}</v>
      </c>
      <c r="J74" s="63" t="str">
        <f t="shared" si="28"/>
        <v xml:space="preserve"> ${mem_nm_15}</v>
      </c>
      <c r="K74" s="13" t="str">
        <f t="shared" si="29"/>
        <v>${mem_nm_15}</v>
      </c>
      <c r="L74" s="13" t="str">
        <f t="shared" si="30"/>
        <v>${mem_nm_15}</v>
      </c>
      <c r="M74" s="30"/>
      <c r="N74" s="30"/>
      <c r="O74" s="30"/>
      <c r="P74" s="30"/>
      <c r="Q74" s="30"/>
      <c r="R74" s="30" t="str">
        <f t="shared" si="35"/>
        <v>${hh_size}&gt;=15</v>
      </c>
      <c r="S74" s="30"/>
      <c r="T74" s="30"/>
      <c r="U74" s="30"/>
      <c r="V74" s="30"/>
      <c r="X74" s="39"/>
    </row>
    <row r="75" spans="1:24" ht="20.100000000000001" customHeight="1" x14ac:dyDescent="0.25">
      <c r="A75" s="38">
        <f t="shared" si="7"/>
        <v>2</v>
      </c>
      <c r="B75" s="38">
        <f t="shared" si="8"/>
        <v>0</v>
      </c>
      <c r="C75" s="72" t="s">
        <v>33</v>
      </c>
      <c r="D75" s="30">
        <v>16</v>
      </c>
      <c r="E75" s="30"/>
      <c r="F75" s="30" t="str">
        <f t="shared" si="31"/>
        <v>note_mem_nm_16</v>
      </c>
      <c r="G75" s="29" t="str">
        <f t="shared" si="32"/>
        <v>${mem_nm_16}</v>
      </c>
      <c r="H75" s="29" t="str">
        <f t="shared" si="33"/>
        <v>${mem_nm_16}</v>
      </c>
      <c r="I75" s="29" t="str">
        <f t="shared" si="34"/>
        <v>${mem_nm_16}</v>
      </c>
      <c r="J75" s="63" t="str">
        <f t="shared" si="28"/>
        <v xml:space="preserve"> ${mem_nm_16}</v>
      </c>
      <c r="K75" s="13" t="str">
        <f t="shared" si="29"/>
        <v>${mem_nm_16}</v>
      </c>
      <c r="L75" s="13" t="str">
        <f t="shared" si="30"/>
        <v>${mem_nm_16}</v>
      </c>
      <c r="M75" s="30"/>
      <c r="N75" s="30"/>
      <c r="O75" s="30"/>
      <c r="P75" s="30"/>
      <c r="Q75" s="30"/>
      <c r="R75" s="30" t="str">
        <f t="shared" si="35"/>
        <v>${hh_size}&gt;=16</v>
      </c>
      <c r="S75" s="30"/>
      <c r="T75" s="30"/>
      <c r="U75" s="30"/>
      <c r="V75" s="30"/>
      <c r="X75" s="39"/>
    </row>
    <row r="76" spans="1:24" ht="20.100000000000001" customHeight="1" x14ac:dyDescent="0.25">
      <c r="A76" s="38">
        <f t="shared" si="7"/>
        <v>2</v>
      </c>
      <c r="B76" s="38">
        <f t="shared" si="8"/>
        <v>0</v>
      </c>
      <c r="C76" s="72" t="s">
        <v>33</v>
      </c>
      <c r="D76" s="30">
        <v>17</v>
      </c>
      <c r="E76" s="30"/>
      <c r="F76" s="30" t="str">
        <f t="shared" si="31"/>
        <v>note_mem_nm_17</v>
      </c>
      <c r="G76" s="29" t="str">
        <f t="shared" si="32"/>
        <v>${mem_nm_17}</v>
      </c>
      <c r="H76" s="29" t="str">
        <f t="shared" si="33"/>
        <v>${mem_nm_17}</v>
      </c>
      <c r="I76" s="29" t="str">
        <f t="shared" si="34"/>
        <v>${mem_nm_17}</v>
      </c>
      <c r="J76" s="63" t="str">
        <f t="shared" si="28"/>
        <v xml:space="preserve"> ${mem_nm_17}</v>
      </c>
      <c r="K76" s="13" t="str">
        <f t="shared" si="29"/>
        <v>${mem_nm_17}</v>
      </c>
      <c r="L76" s="13" t="str">
        <f t="shared" si="30"/>
        <v>${mem_nm_17}</v>
      </c>
      <c r="M76" s="30"/>
      <c r="N76" s="30"/>
      <c r="O76" s="30"/>
      <c r="P76" s="30"/>
      <c r="Q76" s="30"/>
      <c r="R76" s="30" t="str">
        <f t="shared" si="35"/>
        <v>${hh_size}&gt;=17</v>
      </c>
      <c r="S76" s="30"/>
      <c r="T76" s="30"/>
      <c r="U76" s="30"/>
      <c r="V76" s="30"/>
    </row>
    <row r="77" spans="1:24" ht="20.100000000000001" customHeight="1" x14ac:dyDescent="0.25">
      <c r="A77" s="38">
        <f t="shared" ref="A77:A86" si="36">IF(C77="begin group",A76+1,IF(C77="end group",A76-1,A76))</f>
        <v>2</v>
      </c>
      <c r="B77" s="38">
        <f t="shared" ref="B77:B86" si="37">IF(C77="begin repeat",B76+1,IF(C77="end repeat",B76-1,B76))</f>
        <v>0</v>
      </c>
      <c r="C77" s="72" t="s">
        <v>33</v>
      </c>
      <c r="D77" s="30">
        <v>18</v>
      </c>
      <c r="E77" s="30"/>
      <c r="F77" s="30" t="str">
        <f t="shared" si="31"/>
        <v>note_mem_nm_18</v>
      </c>
      <c r="G77" s="29" t="str">
        <f t="shared" si="32"/>
        <v>${mem_nm_18}</v>
      </c>
      <c r="H77" s="29" t="str">
        <f t="shared" si="33"/>
        <v>${mem_nm_18}</v>
      </c>
      <c r="I77" s="29" t="str">
        <f t="shared" si="34"/>
        <v>${mem_nm_18}</v>
      </c>
      <c r="J77" s="63" t="str">
        <f t="shared" si="28"/>
        <v xml:space="preserve"> ${mem_nm_18}</v>
      </c>
      <c r="K77" s="13" t="str">
        <f t="shared" si="29"/>
        <v>${mem_nm_18}</v>
      </c>
      <c r="L77" s="13" t="str">
        <f t="shared" si="30"/>
        <v>${mem_nm_18}</v>
      </c>
      <c r="M77" s="30"/>
      <c r="N77" s="30"/>
      <c r="O77" s="30"/>
      <c r="P77" s="30"/>
      <c r="Q77" s="30"/>
      <c r="R77" s="30" t="str">
        <f t="shared" si="35"/>
        <v>${hh_size}&gt;=18</v>
      </c>
      <c r="S77" s="30"/>
      <c r="T77" s="30"/>
      <c r="U77" s="30"/>
      <c r="V77" s="30"/>
      <c r="X77" s="39"/>
    </row>
    <row r="78" spans="1:24" ht="20.100000000000001" customHeight="1" x14ac:dyDescent="0.25">
      <c r="A78" s="38">
        <f t="shared" si="36"/>
        <v>2</v>
      </c>
      <c r="B78" s="38">
        <f t="shared" si="37"/>
        <v>0</v>
      </c>
      <c r="C78" s="72" t="s">
        <v>33</v>
      </c>
      <c r="D78" s="30">
        <v>19</v>
      </c>
      <c r="E78" s="30"/>
      <c r="F78" s="30" t="str">
        <f t="shared" si="31"/>
        <v>note_mem_nm_19</v>
      </c>
      <c r="G78" s="29" t="str">
        <f t="shared" si="32"/>
        <v>${mem_nm_19}</v>
      </c>
      <c r="H78" s="29" t="str">
        <f t="shared" si="33"/>
        <v>${mem_nm_19}</v>
      </c>
      <c r="I78" s="29" t="str">
        <f t="shared" si="34"/>
        <v>${mem_nm_19}</v>
      </c>
      <c r="J78" s="63" t="str">
        <f t="shared" si="28"/>
        <v xml:space="preserve"> ${mem_nm_19}</v>
      </c>
      <c r="K78" s="13" t="str">
        <f t="shared" si="29"/>
        <v>${mem_nm_19}</v>
      </c>
      <c r="L78" s="13" t="str">
        <f t="shared" si="30"/>
        <v>${mem_nm_19}</v>
      </c>
      <c r="M78" s="30"/>
      <c r="N78" s="30"/>
      <c r="O78" s="30"/>
      <c r="P78" s="30"/>
      <c r="Q78" s="30"/>
      <c r="R78" s="30" t="str">
        <f t="shared" si="35"/>
        <v>${hh_size}&gt;=19</v>
      </c>
      <c r="S78" s="30"/>
      <c r="T78" s="30"/>
      <c r="U78" s="30"/>
      <c r="V78" s="30"/>
    </row>
    <row r="79" spans="1:24" ht="20.100000000000001" customHeight="1" x14ac:dyDescent="0.25">
      <c r="A79" s="38">
        <f t="shared" si="36"/>
        <v>2</v>
      </c>
      <c r="B79" s="38">
        <f t="shared" si="37"/>
        <v>0</v>
      </c>
      <c r="C79" s="72" t="s">
        <v>33</v>
      </c>
      <c r="D79" s="30">
        <v>20</v>
      </c>
      <c r="E79" s="30"/>
      <c r="F79" s="30" t="str">
        <f t="shared" si="31"/>
        <v>note_mem_nm_20</v>
      </c>
      <c r="G79" s="29" t="str">
        <f t="shared" si="32"/>
        <v>${mem_nm_20}</v>
      </c>
      <c r="H79" s="29" t="str">
        <f t="shared" si="33"/>
        <v>${mem_nm_20}</v>
      </c>
      <c r="I79" s="29" t="str">
        <f t="shared" si="34"/>
        <v>${mem_nm_20}</v>
      </c>
      <c r="J79" s="63" t="str">
        <f t="shared" si="28"/>
        <v xml:space="preserve"> ${mem_nm_20}</v>
      </c>
      <c r="K79" s="13" t="str">
        <f t="shared" si="29"/>
        <v>${mem_nm_20}</v>
      </c>
      <c r="L79" s="13" t="str">
        <f t="shared" si="30"/>
        <v>${mem_nm_20}</v>
      </c>
      <c r="M79" s="30"/>
      <c r="N79" s="30"/>
      <c r="O79" s="30"/>
      <c r="P79" s="30"/>
      <c r="Q79" s="30"/>
      <c r="R79" s="30" t="str">
        <f t="shared" si="35"/>
        <v>${hh_size}&gt;=20</v>
      </c>
      <c r="S79" s="30"/>
      <c r="T79" s="30"/>
      <c r="U79" s="30"/>
      <c r="V79" s="30"/>
      <c r="X79" s="39"/>
    </row>
    <row r="80" spans="1:24" ht="20.100000000000001" customHeight="1" x14ac:dyDescent="0.25">
      <c r="A80" s="38">
        <f t="shared" si="36"/>
        <v>2</v>
      </c>
      <c r="B80" s="38">
        <f t="shared" si="37"/>
        <v>0</v>
      </c>
      <c r="C80" s="72" t="s">
        <v>148</v>
      </c>
      <c r="D80" s="30"/>
      <c r="E80" s="30"/>
      <c r="F80" s="30" t="s">
        <v>1371</v>
      </c>
      <c r="G80" s="29" t="s">
        <v>1372</v>
      </c>
      <c r="H80" s="29" t="s">
        <v>1373</v>
      </c>
      <c r="I80" s="29" t="s">
        <v>1373</v>
      </c>
      <c r="J80" s="63" t="str">
        <f t="shared" si="28"/>
        <v>Is this correct?</v>
      </c>
      <c r="K80" s="13" t="str">
        <f t="shared" si="29"/>
        <v>Est-ce que c'est correct?</v>
      </c>
      <c r="L80" s="13" t="str">
        <f t="shared" si="30"/>
        <v>Est-ce que c'est correct?</v>
      </c>
      <c r="M80" s="30"/>
      <c r="N80" s="30"/>
      <c r="O80" s="30"/>
      <c r="P80" s="30"/>
      <c r="Q80" s="30"/>
      <c r="R80" s="30"/>
      <c r="S80" s="30"/>
      <c r="T80" s="30" t="s">
        <v>1374</v>
      </c>
      <c r="U80" s="30"/>
      <c r="V80" s="30"/>
      <c r="X80" s="39" t="s">
        <v>36</v>
      </c>
    </row>
    <row r="81" spans="1:25" s="21" customFormat="1" ht="20.100000000000001" customHeight="1" x14ac:dyDescent="0.25">
      <c r="A81" s="38">
        <f t="shared" si="36"/>
        <v>1</v>
      </c>
      <c r="B81" s="38">
        <f t="shared" si="37"/>
        <v>0</v>
      </c>
      <c r="C81" s="124" t="s">
        <v>40</v>
      </c>
      <c r="D81" s="124"/>
      <c r="E81" s="124"/>
      <c r="F81" s="124"/>
      <c r="G81" s="125"/>
      <c r="H81" s="125"/>
      <c r="I81" s="125"/>
      <c r="J81" s="15"/>
      <c r="K81" s="11"/>
      <c r="L81" s="11"/>
      <c r="M81" s="124"/>
      <c r="N81" s="124"/>
      <c r="O81" s="124"/>
      <c r="P81" s="124"/>
      <c r="Q81" s="124"/>
      <c r="R81" s="124"/>
      <c r="S81" s="124"/>
      <c r="T81" s="124"/>
      <c r="U81" s="124"/>
      <c r="V81" s="124"/>
      <c r="X81" s="56"/>
    </row>
    <row r="82" spans="1:25" s="36" customFormat="1" ht="20.100000000000001" customHeight="1" x14ac:dyDescent="0.25">
      <c r="A82" s="38">
        <f t="shared" si="36"/>
        <v>1</v>
      </c>
      <c r="B82" s="38">
        <f t="shared" si="37"/>
        <v>1</v>
      </c>
      <c r="C82" s="33" t="s">
        <v>244</v>
      </c>
      <c r="E82" s="33"/>
      <c r="F82" s="33" t="s">
        <v>980</v>
      </c>
      <c r="G82" s="32" t="s">
        <v>970</v>
      </c>
      <c r="H82" s="32" t="s">
        <v>995</v>
      </c>
      <c r="I82" s="32" t="s">
        <v>995</v>
      </c>
      <c r="J82" s="33" t="str">
        <f>E82&amp;IF(D82="",""," ")&amp;G82</f>
        <v>Household Member</v>
      </c>
      <c r="K82" s="33" t="str">
        <f>E82&amp;IF(D82="",""," ")&amp;H82</f>
        <v>Membre du ménage</v>
      </c>
      <c r="L82" s="33" t="str">
        <f>E82&amp;IF(E82="",""," ")&amp;I82</f>
        <v>Membre du ménage</v>
      </c>
      <c r="M82" s="33"/>
      <c r="N82" s="33"/>
      <c r="O82" s="33"/>
      <c r="P82" s="33"/>
      <c r="Q82" s="33"/>
      <c r="R82" s="33"/>
      <c r="S82" s="33"/>
      <c r="T82" s="33"/>
      <c r="U82" s="33"/>
      <c r="V82" s="33"/>
      <c r="X82" s="48"/>
      <c r="Y82" s="33" t="str">
        <f>"${"&amp;F57&amp;"}"</f>
        <v>${hh_size}</v>
      </c>
    </row>
    <row r="83" spans="1:25" customFormat="1" ht="20.100000000000001" customHeight="1" x14ac:dyDescent="0.25">
      <c r="A83" s="38">
        <f t="shared" si="36"/>
        <v>1</v>
      </c>
      <c r="B83" s="38">
        <f t="shared" si="37"/>
        <v>1</v>
      </c>
      <c r="C83" t="s">
        <v>44</v>
      </c>
      <c r="F83" t="s">
        <v>1375</v>
      </c>
      <c r="M83" t="s">
        <v>1360</v>
      </c>
    </row>
    <row r="84" spans="1:25" ht="48.75" customHeight="1" x14ac:dyDescent="0.25">
      <c r="A84" s="38">
        <f t="shared" si="36"/>
        <v>1</v>
      </c>
      <c r="B84" s="38">
        <f t="shared" si="37"/>
        <v>1</v>
      </c>
      <c r="C84" s="30" t="s">
        <v>44</v>
      </c>
      <c r="D84" s="30"/>
      <c r="E84" s="30"/>
      <c r="F84" s="30" t="s">
        <v>977</v>
      </c>
      <c r="G84" s="29"/>
      <c r="H84" s="29"/>
      <c r="I84" s="29"/>
      <c r="J84" s="30" t="str">
        <f>D84&amp;IF(D84="",""," ")&amp;G84</f>
        <v/>
      </c>
      <c r="K84" s="30" t="str">
        <f>E84&amp;IF(D84="",""," ")&amp;H84</f>
        <v/>
      </c>
      <c r="L84" s="30" t="str">
        <f>E84&amp;IF(E84="",""," ")&amp;I84</f>
        <v/>
      </c>
      <c r="M84" s="30" t="str">
        <f>"indexed-repeat(${"&amp;F34&amp;"}, ${"&amp;F29&amp;"}, if(${"&amp;F83&amp;"} != null, ${"&amp;F83&amp;"}, 1))"</f>
        <v>indexed-repeat(${mem_nm}, ${hhnames}, if(${linenum} != null, ${linenum}, 1))</v>
      </c>
      <c r="N84" s="30"/>
      <c r="O84" s="30"/>
      <c r="P84" s="30"/>
      <c r="Q84" s="30"/>
      <c r="R84" s="30"/>
      <c r="S84" s="30"/>
      <c r="T84" s="30"/>
      <c r="U84" s="30"/>
      <c r="V84" s="30"/>
      <c r="X84" s="39"/>
    </row>
    <row r="85" spans="1:25" s="17" customFormat="1" ht="20.100000000000001" customHeight="1" x14ac:dyDescent="0.25">
      <c r="A85" s="38">
        <f t="shared" si="36"/>
        <v>2</v>
      </c>
      <c r="B85" s="38">
        <f t="shared" si="37"/>
        <v>1</v>
      </c>
      <c r="C85" s="122" t="s">
        <v>32</v>
      </c>
      <c r="D85" s="122" t="s">
        <v>493</v>
      </c>
      <c r="E85" s="122"/>
      <c r="F85" s="122" t="str">
        <f>LOWER(D85)&amp;"_"</f>
        <v>a_</v>
      </c>
      <c r="G85" s="123" t="str">
        <f>"${"&amp;$F84&amp;"}"</f>
        <v>${curr_name}</v>
      </c>
      <c r="H85" s="123" t="str">
        <f>"${"&amp;$F84&amp;"}"</f>
        <v>${curr_name}</v>
      </c>
      <c r="I85" s="123" t="str">
        <f>"${"&amp;$F84&amp;"}"</f>
        <v>${curr_name}</v>
      </c>
      <c r="J85" s="122" t="str">
        <f>E85&amp;IF(D85="",""," ")&amp;G85</f>
        <v xml:space="preserve"> ${curr_name}</v>
      </c>
      <c r="K85" s="122" t="str">
        <f>E85&amp;IF(D85="",""," ")&amp;H85</f>
        <v xml:space="preserve"> ${curr_name}</v>
      </c>
      <c r="L85" s="122" t="str">
        <f>E85&amp;IF(E85="",""," ")&amp;I85</f>
        <v>${curr_name}</v>
      </c>
      <c r="M85" s="122"/>
      <c r="N85" s="122"/>
      <c r="O85" s="122"/>
      <c r="P85" s="122"/>
      <c r="Q85" s="122"/>
      <c r="R85" s="122" t="str">
        <f>"${"&amp;F57&amp;"}&gt;=${"&amp;F83&amp;"}"</f>
        <v>${hh_size}&gt;=${linenum}</v>
      </c>
      <c r="S85" s="122"/>
      <c r="T85" s="122"/>
      <c r="U85" s="122"/>
      <c r="V85" s="122"/>
    </row>
    <row r="86" spans="1:25" customFormat="1" ht="19.5" customHeight="1" x14ac:dyDescent="0.25">
      <c r="A86" s="38">
        <f t="shared" si="36"/>
        <v>2</v>
      </c>
      <c r="B86" s="38">
        <f t="shared" si="37"/>
        <v>1</v>
      </c>
      <c r="C86" t="s">
        <v>33</v>
      </c>
      <c r="F86" t="s">
        <v>33</v>
      </c>
      <c r="G86" t="str">
        <f>"Questions about ${"&amp;F84&amp;"}"</f>
        <v>Questions about ${curr_name}</v>
      </c>
      <c r="H86" t="str">
        <f>"Questions sur ${"&amp;F84&amp;"}"</f>
        <v>Questions sur ${curr_name}</v>
      </c>
      <c r="I86" t="str">
        <f>"Questions sur ${"&amp;F84&amp;"}"</f>
        <v>Questions sur ${curr_name}</v>
      </c>
      <c r="J86" s="30" t="str">
        <f>E86&amp;IF(D86="",""," ")&amp;G86</f>
        <v>Questions about ${curr_name}</v>
      </c>
      <c r="K86" s="30" t="str">
        <f>E86&amp;IF(D86="",""," ")&amp;H86</f>
        <v>Questions sur ${curr_name}</v>
      </c>
      <c r="L86" s="30" t="str">
        <f>E86&amp;IF(E86="",""," ")&amp;I86</f>
        <v>Questions sur ${curr_name}</v>
      </c>
    </row>
    <row r="87" spans="1:25" ht="20.100000000000001" customHeight="1" x14ac:dyDescent="0.25">
      <c r="A87" s="38">
        <f t="shared" ref="A87:A153" si="38">IF(C87="begin group",A86+1,IF(C87="end group",A86-1,A86))</f>
        <v>2</v>
      </c>
      <c r="B87" s="38">
        <f t="shared" ref="B87:B153" si="39">IF(C87="begin repeat",B86+1,IF(C87="end repeat",B86-1,B86))</f>
        <v>1</v>
      </c>
      <c r="C87" s="30" t="s">
        <v>41</v>
      </c>
      <c r="D87" s="30">
        <v>2</v>
      </c>
      <c r="E87" s="30" t="str">
        <f t="shared" ref="E87:E116" si="40">IF(D87="","",$D$81&amp;"."&amp;D87)</f>
        <v>.2</v>
      </c>
      <c r="F87" s="30" t="s">
        <v>979</v>
      </c>
      <c r="G87" s="29" t="str">
        <f>"What is the sex of ${"&amp;$F$84&amp;"}?"</f>
        <v>What is the sex of ${curr_name}?</v>
      </c>
      <c r="H87" s="29" t="str">
        <f>"Quel est le genre de ${"&amp;$F$84&amp;"}?"</f>
        <v>Quel est le genre de ${curr_name}?</v>
      </c>
      <c r="I87" s="29" t="str">
        <f>"Quel est le genre de ${"&amp;$F$84&amp;"}?"</f>
        <v>Quel est le genre de ${curr_name}?</v>
      </c>
      <c r="J87" s="30" t="str">
        <f t="shared" ref="J87:J123" si="41">E87&amp;IF(D87="",""," ")&amp;G87</f>
        <v>.2 What is the sex of ${curr_name}?</v>
      </c>
      <c r="K87" s="30" t="str">
        <f t="shared" ref="K87:K123" si="42">E87&amp;IF(D87="",""," ")&amp;H87</f>
        <v>.2 Quel est le genre de ${curr_name}?</v>
      </c>
      <c r="L87" s="30" t="str">
        <f t="shared" ref="L87:L123" si="43">E87&amp;IF(E87="",""," ")&amp;I87</f>
        <v>.2 Quel est le genre de ${curr_name}?</v>
      </c>
      <c r="M87" s="30"/>
      <c r="N87" s="30"/>
      <c r="O87" s="30"/>
      <c r="P87" s="30"/>
      <c r="Q87" s="30"/>
      <c r="R87" s="30"/>
      <c r="S87" s="30"/>
      <c r="T87" s="30"/>
      <c r="U87" s="30"/>
      <c r="V87" s="30"/>
      <c r="X87" s="30" t="s">
        <v>36</v>
      </c>
    </row>
    <row r="88" spans="1:25" ht="20.100000000000001" customHeight="1" x14ac:dyDescent="0.25">
      <c r="A88" s="38">
        <f t="shared" si="38"/>
        <v>2</v>
      </c>
      <c r="B88" s="38">
        <f t="shared" si="39"/>
        <v>1</v>
      </c>
      <c r="C88" s="30" t="s">
        <v>35</v>
      </c>
      <c r="D88" s="30">
        <v>3</v>
      </c>
      <c r="E88" s="30" t="str">
        <f t="shared" si="40"/>
        <v>.3</v>
      </c>
      <c r="F88" s="30" t="s">
        <v>978</v>
      </c>
      <c r="G88" s="29" t="str">
        <f>"What is the age of ${"&amp;F84&amp;"}?"</f>
        <v>What is the age of ${curr_name}?</v>
      </c>
      <c r="H88" s="29" t="str">
        <f>"Quel est l'age de ${"&amp;$F$84&amp;"}?"</f>
        <v>Quel est l'age de ${curr_name}?</v>
      </c>
      <c r="I88" s="29" t="str">
        <f>"Quel est l'age de ${"&amp;$F$84&amp;"}?"</f>
        <v>Quel est l'age de ${curr_name}?</v>
      </c>
      <c r="J88" s="30" t="str">
        <f t="shared" si="41"/>
        <v>.3 What is the age of ${curr_name}?</v>
      </c>
      <c r="K88" s="30" t="str">
        <f t="shared" si="42"/>
        <v>.3 Quel est l'age de ${curr_name}?</v>
      </c>
      <c r="L88" s="30" t="str">
        <f t="shared" si="43"/>
        <v>.3 Quel est l'age de ${curr_name}?</v>
      </c>
      <c r="M88" s="30"/>
      <c r="N88" s="30"/>
      <c r="O88" s="30" t="s">
        <v>1376</v>
      </c>
      <c r="P88" s="30" t="s">
        <v>1377</v>
      </c>
      <c r="Q88" s="30" t="s">
        <v>1377</v>
      </c>
      <c r="R88" s="30"/>
      <c r="S88" s="30"/>
      <c r="T88" s="30" t="str">
        <f>".&gt;=0 and .&lt;=120 and not(.&lt;12 and ${"&amp;F83&amp;"}=1)"</f>
        <v>.&gt;=0 and .&lt;=120 and not(.&lt;12 and ${linenum}=1)</v>
      </c>
      <c r="U88" s="30"/>
      <c r="V88" s="30"/>
      <c r="X88" s="30" t="s">
        <v>36</v>
      </c>
    </row>
    <row r="89" spans="1:25" ht="20.100000000000001" customHeight="1" x14ac:dyDescent="0.25">
      <c r="A89" s="38">
        <f t="shared" si="38"/>
        <v>2</v>
      </c>
      <c r="B89" s="38">
        <f t="shared" si="39"/>
        <v>1</v>
      </c>
      <c r="C89" s="30" t="s">
        <v>42</v>
      </c>
      <c r="D89" s="30">
        <v>4</v>
      </c>
      <c r="E89" s="30" t="str">
        <f t="shared" si="40"/>
        <v>.4</v>
      </c>
      <c r="F89" s="30" t="s">
        <v>982</v>
      </c>
      <c r="G89" s="29" t="s">
        <v>983</v>
      </c>
      <c r="H89" s="29" t="s">
        <v>588</v>
      </c>
      <c r="I89" s="29" t="s">
        <v>1596</v>
      </c>
      <c r="J89" s="30" t="str">
        <f t="shared" si="41"/>
        <v>.4 Is the age of the household member exact of approximate?</v>
      </c>
      <c r="K89" s="30" t="str">
        <f t="shared" si="42"/>
        <v>.4 Est-ce que l'age est exacte ou approximatif?</v>
      </c>
      <c r="L89" s="30" t="str">
        <f t="shared" si="43"/>
        <v>.4 Je! miaka ya ${curr_name} ni kamili au inataka henea?</v>
      </c>
      <c r="M89" s="30"/>
      <c r="N89" s="30"/>
      <c r="O89" s="30"/>
      <c r="P89" s="30"/>
      <c r="Q89" s="30"/>
      <c r="R89" s="30"/>
      <c r="S89" s="30"/>
      <c r="T89" s="30"/>
      <c r="U89" s="30"/>
      <c r="V89" s="30"/>
      <c r="X89" s="30" t="s">
        <v>36</v>
      </c>
    </row>
    <row r="90" spans="1:25" ht="20.100000000000001" customHeight="1" x14ac:dyDescent="0.25">
      <c r="A90" s="38">
        <f t="shared" si="38"/>
        <v>2</v>
      </c>
      <c r="B90" s="38">
        <f t="shared" si="39"/>
        <v>1</v>
      </c>
      <c r="C90" s="30" t="s">
        <v>16</v>
      </c>
      <c r="D90" s="30">
        <v>5</v>
      </c>
      <c r="E90" s="30" t="str">
        <f t="shared" si="40"/>
        <v>.5</v>
      </c>
      <c r="F90" s="30" t="s">
        <v>984</v>
      </c>
      <c r="G90" s="29" t="str">
        <f>"What is ${"&amp;$F$84&amp;"} to the household head?"</f>
        <v>What is ${curr_name} to the household head?</v>
      </c>
      <c r="H90" s="29" t="str">
        <f>"Quelle est la relation entre ${"&amp;$F$84&amp;"} et le chef du ménage?"</f>
        <v>Quelle est la relation entre ${curr_name} et le chef du ménage?</v>
      </c>
      <c r="I90" s="29" t="s">
        <v>1597</v>
      </c>
      <c r="J90" s="30" t="str">
        <f t="shared" si="41"/>
        <v>.5 What is ${curr_name} to the household head?</v>
      </c>
      <c r="K90" s="30" t="str">
        <f t="shared" si="42"/>
        <v>.5 Quelle est la relation entre ${curr_name} et le chef du ménage?</v>
      </c>
      <c r="L90" s="30" t="str">
        <f t="shared" si="43"/>
        <v>.5 ${curr_name}  ana undugu gani na mkubwa wa nyumba?</v>
      </c>
      <c r="M90" s="30"/>
      <c r="N90" s="30"/>
      <c r="O90" s="29" t="s">
        <v>1092</v>
      </c>
      <c r="P90" s="30" t="s">
        <v>1093</v>
      </c>
      <c r="Q90" s="30" t="s">
        <v>1093</v>
      </c>
      <c r="R90" s="30" t="str">
        <f>"${"&amp;F83&amp;"}!=1"</f>
        <v>${linenum}!=1</v>
      </c>
      <c r="S90" s="30"/>
      <c r="T90" s="30" t="s">
        <v>1378</v>
      </c>
      <c r="U90" s="30" t="s">
        <v>1379</v>
      </c>
      <c r="V90" s="30" t="s">
        <v>1380</v>
      </c>
      <c r="W90" s="30" t="s">
        <v>1380</v>
      </c>
      <c r="X90" s="30" t="s">
        <v>36</v>
      </c>
    </row>
    <row r="91" spans="1:25" ht="20.100000000000001" customHeight="1" x14ac:dyDescent="0.25">
      <c r="A91" s="38">
        <f t="shared" si="38"/>
        <v>2</v>
      </c>
      <c r="B91" s="38">
        <f t="shared" si="39"/>
        <v>1</v>
      </c>
      <c r="C91" s="30" t="s">
        <v>1381</v>
      </c>
      <c r="D91" s="30"/>
      <c r="E91" s="30"/>
      <c r="F91" s="30" t="s">
        <v>1382</v>
      </c>
      <c r="G91" s="29" t="str">
        <f>"What is  the marital status of ${"&amp;$F$84&amp;"}?"</f>
        <v>What is  the marital status of ${curr_name}?</v>
      </c>
      <c r="H91" s="29" t="str">
        <f>"Quel est l'etat civil de ${"&amp;$F$84&amp;"}?"</f>
        <v>Quel est l'etat civil de ${curr_name}?</v>
      </c>
      <c r="I91" s="29" t="str">
        <f>"Quel est l'etat civil de ${"&amp;$F$84&amp;"}?"</f>
        <v>Quel est l'etat civil de ${curr_name}?</v>
      </c>
      <c r="J91" s="30" t="str">
        <f t="shared" si="41"/>
        <v>What is  the marital status of ${curr_name}?</v>
      </c>
      <c r="K91" s="30" t="str">
        <f t="shared" si="42"/>
        <v>Quel est l'etat civil de ${curr_name}?</v>
      </c>
      <c r="L91" s="30" t="str">
        <f t="shared" si="43"/>
        <v>Quel est l'etat civil de ${curr_name}?</v>
      </c>
      <c r="M91" s="30"/>
      <c r="N91" s="30"/>
      <c r="O91" s="29"/>
      <c r="P91" s="30"/>
      <c r="Q91" s="30"/>
      <c r="R91" s="30" t="str">
        <f>"${"&amp;F90&amp;"}!='2' and ${"&amp;F88&amp;"}&gt;12"</f>
        <v>${relhead}!='2' and ${age}&gt;12</v>
      </c>
      <c r="S91" s="30"/>
      <c r="T91" s="30"/>
      <c r="U91" s="30"/>
      <c r="V91" s="30"/>
      <c r="X91" t="s">
        <v>36</v>
      </c>
    </row>
    <row r="92" spans="1:25" ht="20.100000000000001" customHeight="1" x14ac:dyDescent="0.25">
      <c r="A92" s="38">
        <f t="shared" si="38"/>
        <v>2</v>
      </c>
      <c r="B92" s="38">
        <f t="shared" si="39"/>
        <v>1</v>
      </c>
      <c r="C92" s="30" t="s">
        <v>148</v>
      </c>
      <c r="D92" s="30"/>
      <c r="E92" s="30"/>
      <c r="F92" s="30" t="s">
        <v>1383</v>
      </c>
      <c r="G92" s="29" t="str">
        <f>"Is ${"&amp;$F$84&amp;"} married to someone in the HH?"</f>
        <v>Is ${curr_name} married to someone in the HH?</v>
      </c>
      <c r="H92" s="29" t="str">
        <f>"${"&amp;$F$84&amp;"} est marié avec quelqu'un dans le ménage?"</f>
        <v>${curr_name} est marié avec quelqu'un dans le ménage?</v>
      </c>
      <c r="I92" s="29" t="str">
        <f>"${"&amp;$F$84&amp;"} est marié avec quelqu'un dans le ménage?"</f>
        <v>${curr_name} est marié avec quelqu'un dans le ménage?</v>
      </c>
      <c r="J92" s="30" t="str">
        <f t="shared" si="41"/>
        <v>Is ${curr_name} married to someone in the HH?</v>
      </c>
      <c r="K92" s="30" t="str">
        <f t="shared" si="42"/>
        <v>${curr_name} est marié avec quelqu'un dans le ménage?</v>
      </c>
      <c r="L92" s="30" t="str">
        <f t="shared" si="43"/>
        <v>${curr_name} est marié avec quelqu'un dans le ménage?</v>
      </c>
      <c r="M92" s="30"/>
      <c r="N92" s="30"/>
      <c r="O92" s="29" t="s">
        <v>1384</v>
      </c>
      <c r="P92" s="30" t="s">
        <v>2061</v>
      </c>
      <c r="Q92" s="30" t="s">
        <v>2061</v>
      </c>
      <c r="R92" s="30" t="str">
        <f>"${"&amp;F83&amp;"}=1 and ${"&amp;F91&amp;"}='2'"</f>
        <v>${linenum}=1 and ${marstat}='2'</v>
      </c>
      <c r="S92" s="30"/>
      <c r="T92" s="30" t="s">
        <v>2081</v>
      </c>
      <c r="U92" s="30"/>
      <c r="V92" s="30"/>
      <c r="X92" t="s">
        <v>36</v>
      </c>
    </row>
    <row r="93" spans="1:25" s="131" customFormat="1" ht="20.100000000000001" customHeight="1" x14ac:dyDescent="0.25">
      <c r="A93" s="38">
        <f t="shared" si="38"/>
        <v>3</v>
      </c>
      <c r="B93" s="38">
        <f t="shared" si="39"/>
        <v>1</v>
      </c>
      <c r="C93" s="132" t="s">
        <v>32</v>
      </c>
      <c r="F93" s="131" t="s">
        <v>1099</v>
      </c>
      <c r="G93" s="131" t="s">
        <v>439</v>
      </c>
      <c r="H93" s="131" t="s">
        <v>1100</v>
      </c>
      <c r="I93" s="131" t="s">
        <v>440</v>
      </c>
      <c r="J93" s="132" t="str">
        <f t="shared" si="41"/>
        <v>Marriage</v>
      </c>
      <c r="K93" s="132" t="str">
        <f>E93&amp;IF(D93="",""," ")&amp;H93</f>
        <v>Marrage</v>
      </c>
      <c r="L93" s="132" t="str">
        <f>E93&amp;IF(E93="",""," ")&amp;I93</f>
        <v>Mariage</v>
      </c>
      <c r="R93" t="str">
        <f>"${"&amp;F90&amp;"}='2' or ${"&amp;F92&amp;"}='0'"</f>
        <v>${relhead}='2' or ${head_hhmar}='0'</v>
      </c>
    </row>
    <row r="94" spans="1:25" customFormat="1" ht="20.100000000000001" customHeight="1" x14ac:dyDescent="0.25">
      <c r="A94" s="38">
        <f t="shared" si="38"/>
        <v>3</v>
      </c>
      <c r="B94" s="38">
        <f t="shared" si="39"/>
        <v>1</v>
      </c>
      <c r="C94" s="72" t="s">
        <v>34</v>
      </c>
      <c r="F94" s="38" t="s">
        <v>1385</v>
      </c>
      <c r="G94" s="13" t="s">
        <v>1386</v>
      </c>
      <c r="H94" t="s">
        <v>1387</v>
      </c>
      <c r="I94" t="s">
        <v>1387</v>
      </c>
      <c r="J94" s="30" t="str">
        <f t="shared" si="41"/>
        <v>Name of spouse</v>
      </c>
      <c r="K94" s="30" t="str">
        <f t="shared" ref="K94:K95" si="44">E94&amp;IF(D94="",""," ")&amp;H94</f>
        <v>Nom d'epouse</v>
      </c>
      <c r="L94" s="30" t="str">
        <f t="shared" ref="L94:L95" si="45">E94&amp;IF(E94="",""," ")&amp;I94</f>
        <v>Nom d'epouse</v>
      </c>
      <c r="R94" t="str">
        <f>"${"&amp;F92&amp;"}='0'"</f>
        <v>${head_hhmar}='0'</v>
      </c>
      <c r="X94" t="s">
        <v>36</v>
      </c>
    </row>
    <row r="95" spans="1:25" customFormat="1" ht="20.100000000000001" customHeight="1" x14ac:dyDescent="0.25">
      <c r="A95" s="38">
        <f t="shared" si="38"/>
        <v>3</v>
      </c>
      <c r="B95" s="38">
        <f t="shared" si="39"/>
        <v>1</v>
      </c>
      <c r="C95" s="72" t="s">
        <v>35</v>
      </c>
      <c r="D95" s="50"/>
      <c r="E95" s="50"/>
      <c r="F95" s="72" t="s">
        <v>1388</v>
      </c>
      <c r="G95" t="s">
        <v>1095</v>
      </c>
      <c r="H95" t="s">
        <v>1389</v>
      </c>
      <c r="I95" t="s">
        <v>1389</v>
      </c>
      <c r="J95" s="30" t="str">
        <f t="shared" si="41"/>
        <v>Age of spouse</v>
      </c>
      <c r="K95" s="30" t="str">
        <f t="shared" si="44"/>
        <v>Age d'epouse</v>
      </c>
      <c r="L95" s="30" t="str">
        <f t="shared" si="45"/>
        <v>Age d'epouse</v>
      </c>
      <c r="R95" t="str">
        <f>"${"&amp;F92&amp;"}='0'"</f>
        <v>${head_hhmar}='0'</v>
      </c>
      <c r="T95" s="30" t="s">
        <v>1390</v>
      </c>
      <c r="X95" t="s">
        <v>36</v>
      </c>
    </row>
    <row r="96" spans="1:25" customFormat="1" ht="20.100000000000001" customHeight="1" x14ac:dyDescent="0.25">
      <c r="A96" s="38">
        <f t="shared" si="38"/>
        <v>3</v>
      </c>
      <c r="B96" s="38">
        <f t="shared" si="39"/>
        <v>1</v>
      </c>
      <c r="C96" s="50" t="s">
        <v>44</v>
      </c>
      <c r="D96" s="50"/>
      <c r="E96" s="50"/>
      <c r="F96" t="s">
        <v>1391</v>
      </c>
      <c r="M96" t="str">
        <f>"if(${"&amp;F83&amp;"}=1,${"&amp;F94&amp;"},${"&amp;F84&amp;"})"</f>
        <v>if(${linenum}=1,${nonhh_name},${curr_name})</v>
      </c>
    </row>
    <row r="97" spans="1:24" customFormat="1" ht="20.100000000000001" customHeight="1" x14ac:dyDescent="0.25">
      <c r="A97" s="38">
        <f t="shared" si="38"/>
        <v>3</v>
      </c>
      <c r="B97" s="38">
        <f t="shared" si="39"/>
        <v>1</v>
      </c>
      <c r="C97" s="38" t="s">
        <v>1392</v>
      </c>
      <c r="D97" s="50"/>
      <c r="E97" s="50"/>
      <c r="F97" t="s">
        <v>1393</v>
      </c>
      <c r="G97" t="s">
        <v>1394</v>
      </c>
      <c r="H97" t="s">
        <v>1395</v>
      </c>
      <c r="I97" t="s">
        <v>1395</v>
      </c>
      <c r="J97" s="30" t="str">
        <f t="shared" si="41"/>
        <v>What type of marriage?</v>
      </c>
      <c r="K97" s="30" t="str">
        <f t="shared" ref="K97" si="46">E97&amp;IF(D97="",""," ")&amp;H97</f>
        <v>Quel type de mariage?</v>
      </c>
      <c r="L97" s="30" t="str">
        <f t="shared" ref="L97" si="47">E97&amp;IF(E97="",""," ")&amp;I97</f>
        <v>Quel type de mariage?</v>
      </c>
      <c r="X97" t="s">
        <v>36</v>
      </c>
    </row>
    <row r="98" spans="1:24" customFormat="1" ht="20.100000000000001" customHeight="1" x14ac:dyDescent="0.25">
      <c r="A98" s="38">
        <f t="shared" si="38"/>
        <v>3</v>
      </c>
      <c r="B98" s="38">
        <f t="shared" si="39"/>
        <v>1</v>
      </c>
      <c r="C98" s="38" t="s">
        <v>35</v>
      </c>
      <c r="D98" s="38"/>
      <c r="E98" s="38"/>
      <c r="F98" s="38" t="s">
        <v>1396</v>
      </c>
      <c r="G98" t="s">
        <v>1397</v>
      </c>
      <c r="H98" s="7" t="s">
        <v>1398</v>
      </c>
      <c r="I98" s="7" t="s">
        <v>1398</v>
      </c>
      <c r="J98" s="30" t="str">
        <f>E98&amp;IF(D98="",""," ")&amp;G98</f>
        <v>In which year did the marriage take place</v>
      </c>
      <c r="K98" s="30" t="str">
        <f>E98&amp;IF(D98="",""," ")&amp;H98</f>
        <v>Le mariage etait dans quel an?</v>
      </c>
      <c r="L98" s="30" t="str">
        <f>E98&amp;IF(E98="",""," ")&amp;I98</f>
        <v>Le mariage etait dans quel an?</v>
      </c>
      <c r="T98" t="s">
        <v>1399</v>
      </c>
      <c r="X98" t="s">
        <v>36</v>
      </c>
    </row>
    <row r="99" spans="1:24" customFormat="1" ht="20.100000000000001" customHeight="1" x14ac:dyDescent="0.25">
      <c r="A99" s="38">
        <f t="shared" si="38"/>
        <v>3</v>
      </c>
      <c r="B99" s="38">
        <f t="shared" si="39"/>
        <v>1</v>
      </c>
      <c r="C99" s="38" t="s">
        <v>44</v>
      </c>
      <c r="D99" s="38"/>
      <c r="E99" s="38"/>
      <c r="F99" s="38" t="s">
        <v>1400</v>
      </c>
      <c r="H99" s="7"/>
      <c r="I99" s="7"/>
      <c r="J99" s="30" t="str">
        <f t="shared" ref="J99:J109" si="48">E99&amp;IF(D99="",""," ")&amp;G99</f>
        <v/>
      </c>
      <c r="K99" s="30" t="str">
        <f t="shared" ref="K99:K109" si="49">E99&amp;IF(D99="",""," ")&amp;H99</f>
        <v/>
      </c>
      <c r="L99" s="30" t="str">
        <f t="shared" ref="L99:L109" si="50">E99&amp;IF(E99="",""," ")&amp;I99</f>
        <v/>
      </c>
      <c r="M99" t="str">
        <f>"indexed-repeat(${"&amp;F88&amp;"},${"&amp;F82&amp;"},1)-( 2014-${"&amp;F98&amp;"})"</f>
        <v>indexed-repeat(${age},${hhroster},1)-( 2014-${hh_marryear})</v>
      </c>
    </row>
    <row r="100" spans="1:24" customFormat="1" ht="20.100000000000001" customHeight="1" x14ac:dyDescent="0.25">
      <c r="A100" s="38">
        <f t="shared" si="38"/>
        <v>3</v>
      </c>
      <c r="B100" s="38">
        <f t="shared" si="39"/>
        <v>1</v>
      </c>
      <c r="C100" t="s">
        <v>44</v>
      </c>
      <c r="F100" t="s">
        <v>1401</v>
      </c>
      <c r="J100" s="30" t="str">
        <f t="shared" si="48"/>
        <v/>
      </c>
      <c r="K100" s="30" t="str">
        <f t="shared" si="49"/>
        <v/>
      </c>
      <c r="L100" s="30" t="str">
        <f t="shared" si="50"/>
        <v/>
      </c>
      <c r="M100" t="str">
        <f>"if(${"&amp;F83&amp;"}=1,${"&amp;F95&amp;"},${"&amp;F88&amp;"})-( 2014-${"&amp;F98&amp;"})"</f>
        <v>if(${linenum}=1,${nonhh_age},${age})-( 2014-${hh_marryear})</v>
      </c>
    </row>
    <row r="101" spans="1:24" customFormat="1" ht="20.100000000000001" customHeight="1" x14ac:dyDescent="0.25">
      <c r="A101" s="38">
        <f t="shared" si="38"/>
        <v>3</v>
      </c>
      <c r="B101" s="38">
        <f t="shared" si="39"/>
        <v>1</v>
      </c>
      <c r="C101" s="38" t="s">
        <v>44</v>
      </c>
      <c r="D101" s="38"/>
      <c r="E101" s="38"/>
      <c r="F101" s="38" t="s">
        <v>1402</v>
      </c>
      <c r="H101" s="7"/>
      <c r="I101" s="7"/>
      <c r="J101" s="30" t="str">
        <f t="shared" si="48"/>
        <v/>
      </c>
      <c r="K101" s="30" t="str">
        <f t="shared" si="49"/>
        <v/>
      </c>
      <c r="L101" s="30" t="str">
        <f t="shared" si="50"/>
        <v/>
      </c>
      <c r="M101" t="str">
        <f>"if(${"&amp;F99&amp;"} &lt; 12,1,0) + if(${"&amp;F99&amp;"} &gt; 100,1,0) + if(${"&amp;F100&amp;"} &lt; 12,1,0) + if(${"&amp;F100&amp;"} &gt; 100,1,0)"</f>
        <v>if(${headagemarr} &lt; 12,1,0) + if(${headagemarr} &gt; 100,1,0) + if(${spousegagemarr} &lt; 12,1,0) + if(${spousegagemarr} &gt; 100,1,0)</v>
      </c>
    </row>
    <row r="102" spans="1:24" customFormat="1" ht="20.100000000000001" customHeight="1" x14ac:dyDescent="0.25">
      <c r="A102" s="38">
        <f t="shared" si="38"/>
        <v>3</v>
      </c>
      <c r="B102" s="38">
        <f t="shared" si="39"/>
        <v>1</v>
      </c>
      <c r="C102" s="38" t="s">
        <v>148</v>
      </c>
      <c r="D102" s="38"/>
      <c r="E102" s="38"/>
      <c r="F102" s="38" t="s">
        <v>1403</v>
      </c>
      <c r="G102" s="13" t="str">
        <f>"${"&amp;F37&amp;"}'s age at time of marriage was: ${"&amp;F99&amp;"} ${"&amp;F96&amp;"}'s age was:  ${"&amp;F100&amp;"}. Is this correct?"</f>
        <v>${mem_nm_1}'s age at time of marriage was: ${headagemarr} ${spousename}'s age was:  ${spousegagemarr}. Is this correct?</v>
      </c>
      <c r="H102" s="13" t="str">
        <f>"Au moment de mariage l'age de ${"&amp;F$37&amp;"} était: ${"&amp;F99&amp;"}. L'age de ${"&amp;F96&amp;"} était:  ${"&amp;F100&amp;"}. C'est correct?"</f>
        <v>Au moment de mariage l'age de ${mem_nm_1} était: ${headagemarr}. L'age de ${spousename} était:  ${spousegagemarr}. C'est correct?</v>
      </c>
      <c r="I102" s="13" t="str">
        <f>"Au moment de mariage l'age de ${"&amp;F$37&amp;"} était: ${"&amp;F99&amp;"}. L'age de ${"&amp;F96&amp;"} était:  ${"&amp;F100&amp;"}. C'est correct?"</f>
        <v>Au moment de mariage l'age de ${mem_nm_1} était: ${headagemarr}. L'age de ${spousename} était:  ${spousegagemarr}. C'est correct?</v>
      </c>
      <c r="J102" s="30" t="str">
        <f t="shared" si="48"/>
        <v>${mem_nm_1}'s age at time of marriage was: ${headagemarr} ${spousename}'s age was:  ${spousegagemarr}. Is this correct?</v>
      </c>
      <c r="K102" s="30" t="str">
        <f t="shared" si="49"/>
        <v>Au moment de mariage l'age de ${mem_nm_1} était: ${headagemarr}. L'age de ${spousename} était:  ${spousegagemarr}. C'est correct?</v>
      </c>
      <c r="L102" s="30" t="str">
        <f t="shared" si="50"/>
        <v>Au moment de mariage l'age de ${mem_nm_1} était: ${headagemarr}. L'age de ${spousename} était:  ${spousegagemarr}. C'est correct?</v>
      </c>
      <c r="T102" t="str">
        <f>".='1' and ${"&amp;F101&amp;"} =0"</f>
        <v>.='1' and ${marrage_error} =0</v>
      </c>
      <c r="U102" t="s">
        <v>1404</v>
      </c>
      <c r="V102" t="s">
        <v>1405</v>
      </c>
      <c r="W102" t="s">
        <v>1405</v>
      </c>
      <c r="X102" t="s">
        <v>36</v>
      </c>
    </row>
    <row r="103" spans="1:24" customFormat="1" ht="20.100000000000001" customHeight="1" x14ac:dyDescent="0.25">
      <c r="A103" s="38">
        <f t="shared" si="38"/>
        <v>3</v>
      </c>
      <c r="B103" s="38">
        <f t="shared" si="39"/>
        <v>1</v>
      </c>
      <c r="C103" s="38" t="s">
        <v>1406</v>
      </c>
      <c r="D103" s="38"/>
      <c r="E103" s="38"/>
      <c r="F103" s="38" t="s">
        <v>1407</v>
      </c>
      <c r="G103" s="38" t="s">
        <v>1408</v>
      </c>
      <c r="H103" s="7" t="s">
        <v>1409</v>
      </c>
      <c r="I103" s="7" t="s">
        <v>1409</v>
      </c>
      <c r="J103" s="30" t="str">
        <f t="shared" si="48"/>
        <v>At the time of marriage, whose parents had more land?</v>
      </c>
      <c r="K103" s="30" t="str">
        <f t="shared" si="49"/>
        <v>Au moment de mariage, les parents de qui avaient plus de terre?</v>
      </c>
      <c r="L103" s="30" t="str">
        <f t="shared" si="50"/>
        <v>Au moment de mariage, les parents de qui avaient plus de terre?</v>
      </c>
      <c r="X103" t="s">
        <v>36</v>
      </c>
    </row>
    <row r="104" spans="1:24" s="7" customFormat="1" ht="45" x14ac:dyDescent="0.25">
      <c r="A104" s="38">
        <f t="shared" si="38"/>
        <v>3</v>
      </c>
      <c r="B104" s="38">
        <f t="shared" si="39"/>
        <v>1</v>
      </c>
      <c r="C104" s="7" t="s">
        <v>1410</v>
      </c>
      <c r="F104" s="7" t="s">
        <v>1411</v>
      </c>
      <c r="G104" s="7" t="str">
        <f>"What did ${"&amp;F37&amp;"} and his/her family provide?"</f>
        <v>What did ${mem_nm_1} and his/her family provide?</v>
      </c>
      <c r="H104" s="7" t="str">
        <f>"Qu'est-ce que ${"&amp;F37&amp;"} et sa famille ont donné pour le mariage?"</f>
        <v>Qu'est-ce que ${mem_nm_1} et sa famille ont donné pour le mariage?</v>
      </c>
      <c r="I104" s="7" t="str">
        <f>"Qu'est-ce que ${"&amp;F37&amp;"} et sa famille ont donné pour le mariage?"</f>
        <v>Qu'est-ce que ${mem_nm_1} et sa famille ont donné pour le mariage?</v>
      </c>
      <c r="J104" s="30" t="str">
        <f t="shared" si="48"/>
        <v>What did ${mem_nm_1} and his/her family provide?</v>
      </c>
      <c r="K104" s="30" t="str">
        <f t="shared" si="49"/>
        <v>Qu'est-ce que ${mem_nm_1} et sa famille ont donné pour le mariage?</v>
      </c>
      <c r="L104" s="30" t="str">
        <f t="shared" si="50"/>
        <v>Qu'est-ce que ${mem_nm_1} et sa famille ont donné pour le mariage?</v>
      </c>
      <c r="P104" s="145"/>
      <c r="T104" s="7" t="s">
        <v>1412</v>
      </c>
      <c r="X104" s="7" t="s">
        <v>36</v>
      </c>
    </row>
    <row r="105" spans="1:24" s="7" customFormat="1" ht="30" x14ac:dyDescent="0.25">
      <c r="A105" s="38">
        <f t="shared" si="38"/>
        <v>3</v>
      </c>
      <c r="B105" s="38">
        <f t="shared" si="39"/>
        <v>1</v>
      </c>
      <c r="C105" s="7" t="s">
        <v>35</v>
      </c>
      <c r="F105" s="7" t="s">
        <v>1413</v>
      </c>
      <c r="G105" s="7" t="s">
        <v>1414</v>
      </c>
      <c r="H105" s="7" t="s">
        <v>1415</v>
      </c>
      <c r="I105" s="7" t="s">
        <v>1415</v>
      </c>
      <c r="J105" s="30" t="str">
        <f t="shared" si="48"/>
        <v>What is the monetary value of the dot, in $?</v>
      </c>
      <c r="K105" s="30" t="str">
        <f t="shared" si="49"/>
        <v>Quel était le valuer de dot en $</v>
      </c>
      <c r="L105" s="30" t="str">
        <f t="shared" si="50"/>
        <v>Quel était le valuer de dot en $</v>
      </c>
      <c r="O105" s="7" t="s">
        <v>1416</v>
      </c>
      <c r="P105" s="7" t="s">
        <v>1416</v>
      </c>
      <c r="Q105" s="7" t="s">
        <v>1416</v>
      </c>
      <c r="R105" s="7" t="str">
        <f>"selected(${"&amp;F104&amp;"},'1')"</f>
        <v>selected(${headprov},'1')</v>
      </c>
      <c r="T105" s="7" t="s">
        <v>1417</v>
      </c>
      <c r="X105" s="7" t="s">
        <v>36</v>
      </c>
    </row>
    <row r="106" spans="1:24" s="7" customFormat="1" ht="60" x14ac:dyDescent="0.25">
      <c r="A106" s="38">
        <f t="shared" si="38"/>
        <v>3</v>
      </c>
      <c r="B106" s="38">
        <f t="shared" si="39"/>
        <v>1</v>
      </c>
      <c r="C106" s="7" t="s">
        <v>35</v>
      </c>
      <c r="F106" s="7" t="s">
        <v>1418</v>
      </c>
      <c r="G106" s="7" t="s">
        <v>1419</v>
      </c>
      <c r="H106" s="7" t="s">
        <v>1420</v>
      </c>
      <c r="I106" s="7" t="s">
        <v>1420</v>
      </c>
      <c r="J106" s="30" t="str">
        <f t="shared" si="48"/>
        <v>What is the monetary value of gifts and food if you had to buy it today in $?</v>
      </c>
      <c r="K106" s="30" t="str">
        <f t="shared" si="49"/>
        <v>Quel était le valeur de cadeaux en $?</v>
      </c>
      <c r="L106" s="30" t="str">
        <f t="shared" si="50"/>
        <v>Quel était le valeur de cadeaux en $?</v>
      </c>
      <c r="P106" s="145"/>
      <c r="R106" s="7" t="str">
        <f>"selected(${"&amp;F104&amp;"},'2')"</f>
        <v>selected(${headprov},'2')</v>
      </c>
      <c r="T106" s="7" t="s">
        <v>1417</v>
      </c>
      <c r="X106" s="7" t="s">
        <v>36</v>
      </c>
    </row>
    <row r="107" spans="1:24" s="7" customFormat="1" ht="45" x14ac:dyDescent="0.25">
      <c r="A107" s="38">
        <f t="shared" si="38"/>
        <v>3</v>
      </c>
      <c r="B107" s="38">
        <f t="shared" si="39"/>
        <v>1</v>
      </c>
      <c r="C107" s="7" t="s">
        <v>1410</v>
      </c>
      <c r="F107" s="7" t="s">
        <v>1421</v>
      </c>
      <c r="G107" s="7" t="str">
        <f>"What did ${"&amp;F96&amp;"} and his/her family provide?"</f>
        <v>What did ${spousename} and his/her family provide?</v>
      </c>
      <c r="H107" s="7" t="str">
        <f>"Qu'est-ce que ${"&amp;F96&amp;"} et sa famille ont donné pour le mariage?"</f>
        <v>Qu'est-ce que ${spousename} et sa famille ont donné pour le mariage?</v>
      </c>
      <c r="I107" s="7" t="str">
        <f>"Qu'est-ce que ${"&amp;F96&amp;"} et sa famille ont donné pour le mariage?"</f>
        <v>Qu'est-ce que ${spousename} et sa famille ont donné pour le mariage?</v>
      </c>
      <c r="J107" s="30" t="str">
        <f t="shared" si="48"/>
        <v>What did ${spousename} and his/her family provide?</v>
      </c>
      <c r="K107" s="30" t="str">
        <f t="shared" si="49"/>
        <v>Qu'est-ce que ${spousename} et sa famille ont donné pour le mariage?</v>
      </c>
      <c r="L107" s="30" t="str">
        <f t="shared" si="50"/>
        <v>Qu'est-ce que ${spousename} et sa famille ont donné pour le mariage?</v>
      </c>
      <c r="P107" s="145"/>
      <c r="T107" s="7" t="s">
        <v>1412</v>
      </c>
      <c r="X107" s="7" t="s">
        <v>36</v>
      </c>
    </row>
    <row r="108" spans="1:24" s="7" customFormat="1" ht="30" x14ac:dyDescent="0.25">
      <c r="A108" s="38">
        <f t="shared" si="38"/>
        <v>3</v>
      </c>
      <c r="B108" s="38">
        <f t="shared" si="39"/>
        <v>1</v>
      </c>
      <c r="C108" s="7" t="s">
        <v>35</v>
      </c>
      <c r="F108" s="7" t="s">
        <v>1422</v>
      </c>
      <c r="G108" s="7" t="s">
        <v>1414</v>
      </c>
      <c r="H108" s="7" t="s">
        <v>1415</v>
      </c>
      <c r="I108" s="7" t="s">
        <v>1423</v>
      </c>
      <c r="J108" s="30" t="str">
        <f t="shared" si="48"/>
        <v>What is the monetary value of the dot, in $?</v>
      </c>
      <c r="K108" s="30" t="str">
        <f t="shared" si="49"/>
        <v>Quel était le valuer de dot en $</v>
      </c>
      <c r="L108" s="30" t="str">
        <f t="shared" si="50"/>
        <v>Quel était le valeur de dot en $</v>
      </c>
      <c r="O108" s="7" t="s">
        <v>1416</v>
      </c>
      <c r="P108" s="7" t="s">
        <v>1416</v>
      </c>
      <c r="Q108" s="7" t="s">
        <v>1416</v>
      </c>
      <c r="R108" s="7" t="str">
        <f>"selected(${"&amp;F107&amp;"},'1')"</f>
        <v>selected(${spouseprov},'1')</v>
      </c>
      <c r="T108" s="7" t="s">
        <v>1417</v>
      </c>
      <c r="X108" s="7" t="s">
        <v>36</v>
      </c>
    </row>
    <row r="109" spans="1:24" s="7" customFormat="1" ht="34.5" customHeight="1" x14ac:dyDescent="0.25">
      <c r="A109" s="38">
        <f t="shared" si="38"/>
        <v>3</v>
      </c>
      <c r="B109" s="38">
        <f t="shared" si="39"/>
        <v>1</v>
      </c>
      <c r="C109" s="7" t="s">
        <v>35</v>
      </c>
      <c r="F109" s="7" t="s">
        <v>1424</v>
      </c>
      <c r="G109" s="7" t="s">
        <v>1419</v>
      </c>
      <c r="H109" s="7" t="s">
        <v>1420</v>
      </c>
      <c r="I109" s="7" t="s">
        <v>1420</v>
      </c>
      <c r="J109" s="30" t="str">
        <f t="shared" si="48"/>
        <v>What is the monetary value of gifts and food if you had to buy it today in $?</v>
      </c>
      <c r="K109" s="30" t="str">
        <f t="shared" si="49"/>
        <v>Quel était le valeur de cadeaux en $?</v>
      </c>
      <c r="L109" s="30" t="str">
        <f t="shared" si="50"/>
        <v>Quel était le valeur de cadeaux en $?</v>
      </c>
      <c r="P109" s="145"/>
      <c r="R109" s="7" t="str">
        <f>"selected(${"&amp;F107&amp;"},'2')"</f>
        <v>selected(${spouseprov},'2')</v>
      </c>
      <c r="T109" s="7" t="s">
        <v>1417</v>
      </c>
      <c r="X109" s="7" t="s">
        <v>36</v>
      </c>
    </row>
    <row r="110" spans="1:24" s="21" customFormat="1" ht="20.100000000000001" customHeight="1" x14ac:dyDescent="0.25">
      <c r="A110" s="38">
        <f t="shared" si="38"/>
        <v>2</v>
      </c>
      <c r="B110" s="38">
        <f t="shared" si="39"/>
        <v>1</v>
      </c>
      <c r="C110" s="124" t="s">
        <v>40</v>
      </c>
      <c r="D110" s="124"/>
      <c r="E110" s="124"/>
      <c r="F110" s="124"/>
      <c r="G110" s="125"/>
      <c r="H110" s="125"/>
      <c r="I110" s="125"/>
      <c r="J110" s="124"/>
      <c r="K110" s="124"/>
      <c r="L110" s="124"/>
      <c r="M110" s="124"/>
      <c r="N110" s="124"/>
      <c r="O110" s="124"/>
      <c r="P110" s="124"/>
      <c r="Q110" s="124"/>
      <c r="R110" s="124"/>
      <c r="S110" s="124"/>
      <c r="T110" s="124"/>
      <c r="U110" s="124"/>
      <c r="V110" s="124"/>
      <c r="X110" s="124"/>
    </row>
    <row r="111" spans="1:24" ht="20.100000000000001" customHeight="1" x14ac:dyDescent="0.25">
      <c r="A111" s="38">
        <f t="shared" si="38"/>
        <v>2</v>
      </c>
      <c r="B111" s="38">
        <f t="shared" si="39"/>
        <v>1</v>
      </c>
      <c r="C111" s="30" t="s">
        <v>98</v>
      </c>
      <c r="D111" s="30">
        <v>6</v>
      </c>
      <c r="E111" s="30" t="str">
        <f t="shared" si="40"/>
        <v>.6</v>
      </c>
      <c r="F111" s="30" t="s">
        <v>985</v>
      </c>
      <c r="G111" s="29" t="str">
        <f>"What is ${"&amp;$F$84&amp;"}'s residence status within the household?"</f>
        <v>What is ${curr_name}'s residence status within the household?</v>
      </c>
      <c r="H111" s="29" t="str">
        <f>"Quelle est le statut de residence au ménage de ${"&amp;F84&amp;"}?"</f>
        <v>Quelle est le statut de residence au ménage de ${curr_name}?</v>
      </c>
      <c r="I111" s="29" t="s">
        <v>899</v>
      </c>
      <c r="J111" s="30" t="str">
        <f t="shared" si="41"/>
        <v>.6 What is ${curr_name}'s residence status within the household?</v>
      </c>
      <c r="K111" s="30" t="str">
        <f t="shared" si="42"/>
        <v>.6 Quelle est le statut de residence au ménage de ${curr_name}?</v>
      </c>
      <c r="L111" s="30" t="str">
        <f t="shared" si="43"/>
        <v>.6 Je! ${mem_nm_1} anabaki hapa kwa muda (miaka) yote?</v>
      </c>
      <c r="M111" s="30"/>
      <c r="N111" s="30"/>
      <c r="O111" s="30"/>
      <c r="P111" s="30"/>
      <c r="Q111" s="30"/>
      <c r="S111" s="30"/>
      <c r="U111" s="30"/>
      <c r="V111" s="30"/>
      <c r="X111" s="30" t="s">
        <v>36</v>
      </c>
    </row>
    <row r="112" spans="1:24" ht="20.100000000000001" customHeight="1" x14ac:dyDescent="0.25">
      <c r="A112" s="38">
        <f t="shared" si="38"/>
        <v>2</v>
      </c>
      <c r="B112" s="38">
        <f t="shared" si="39"/>
        <v>1</v>
      </c>
      <c r="C112" s="30" t="s">
        <v>43</v>
      </c>
      <c r="D112" s="30">
        <v>7</v>
      </c>
      <c r="E112" s="30" t="str">
        <f t="shared" si="40"/>
        <v>.7</v>
      </c>
      <c r="F112" s="30" t="s">
        <v>986</v>
      </c>
      <c r="G112" s="29" t="str">
        <f>"What is the level of education of ${"&amp;$F$84&amp;"}?"</f>
        <v>What is the level of education of ${curr_name}?</v>
      </c>
      <c r="H112" s="29" t="str">
        <f>"Quel est le niveau d'education de ${"&amp;$F$84&amp;"}?"</f>
        <v>Quel est le niveau d'education de ${curr_name}?</v>
      </c>
      <c r="I112" s="29" t="str">
        <f>"${"&amp;$F$84&amp;"} ameishia somo la ngapi?"</f>
        <v>${curr_name} ameishia somo la ngapi?</v>
      </c>
      <c r="J112" s="30" t="str">
        <f t="shared" si="41"/>
        <v>.7 What is the level of education of ${curr_name}?</v>
      </c>
      <c r="K112" s="30" t="str">
        <f t="shared" si="42"/>
        <v>.7 Quel est le niveau d'education de ${curr_name}?</v>
      </c>
      <c r="L112" s="30" t="str">
        <f t="shared" si="43"/>
        <v>.7 ${curr_name} ameishia somo la ngapi?</v>
      </c>
      <c r="M112" s="30"/>
      <c r="N112" s="30"/>
      <c r="O112" s="30" t="s">
        <v>58</v>
      </c>
      <c r="P112" s="30" t="s">
        <v>58</v>
      </c>
      <c r="Q112" s="30" t="s">
        <v>58</v>
      </c>
      <c r="R112" s="30" t="str">
        <f>"${"&amp;F88&amp;"}&gt;3"</f>
        <v>${age}&gt;3</v>
      </c>
      <c r="S112" s="30"/>
      <c r="T112" s="30" t="s">
        <v>1425</v>
      </c>
      <c r="U112" s="30"/>
      <c r="V112" s="30"/>
      <c r="X112" s="30" t="s">
        <v>36</v>
      </c>
    </row>
    <row r="113" spans="1:25" ht="20.100000000000001" customHeight="1" x14ac:dyDescent="0.25">
      <c r="A113" s="38">
        <f t="shared" si="38"/>
        <v>2</v>
      </c>
      <c r="B113" s="38">
        <f t="shared" si="39"/>
        <v>1</v>
      </c>
      <c r="C113" s="30" t="s">
        <v>107</v>
      </c>
      <c r="D113" s="30">
        <v>8</v>
      </c>
      <c r="E113" s="30" t="str">
        <f t="shared" si="40"/>
        <v>.8</v>
      </c>
      <c r="F113" s="30" t="s">
        <v>987</v>
      </c>
      <c r="G113" s="29" t="str">
        <f>"What is the religion of ${"&amp;$F$84&amp;"}"</f>
        <v>What is the religion of ${curr_name}</v>
      </c>
      <c r="H113" s="29" t="str">
        <f>"Quelle est la religion de ${"&amp;$F$84&amp;"}?"</f>
        <v>Quelle est la religion de ${curr_name}?</v>
      </c>
      <c r="I113" s="29" t="str">
        <f>"Dini ya ${"&amp;$F$84&amp;"} ni gani?"</f>
        <v>Dini ya ${curr_name} ni gani?</v>
      </c>
      <c r="J113" s="30" t="str">
        <f t="shared" si="41"/>
        <v>.8 What is the religion of ${curr_name}</v>
      </c>
      <c r="K113" s="30" t="str">
        <f t="shared" si="42"/>
        <v>.8 Quelle est la religion de ${curr_name}?</v>
      </c>
      <c r="L113" s="30" t="str">
        <f t="shared" si="43"/>
        <v>.8 Dini ya ${curr_name} ni gani?</v>
      </c>
      <c r="M113" s="30"/>
      <c r="N113" s="30"/>
      <c r="O113" s="30"/>
      <c r="P113" s="30"/>
      <c r="Q113" s="30"/>
      <c r="R113" s="30"/>
      <c r="S113" s="30"/>
      <c r="T113" s="30"/>
      <c r="U113" s="30"/>
      <c r="V113" s="30"/>
      <c r="X113" s="30" t="s">
        <v>36</v>
      </c>
    </row>
    <row r="114" spans="1:25" ht="20.100000000000001" customHeight="1" x14ac:dyDescent="0.25">
      <c r="A114" s="38">
        <f t="shared" si="38"/>
        <v>2</v>
      </c>
      <c r="B114" s="38">
        <f t="shared" si="39"/>
        <v>1</v>
      </c>
      <c r="C114" s="30" t="s">
        <v>34</v>
      </c>
      <c r="D114" s="30"/>
      <c r="E114" s="30" t="str">
        <f t="shared" si="40"/>
        <v/>
      </c>
      <c r="F114" s="30" t="s">
        <v>988</v>
      </c>
      <c r="G114" s="29" t="s">
        <v>109</v>
      </c>
      <c r="H114" s="29" t="s">
        <v>589</v>
      </c>
      <c r="I114" s="29" t="s">
        <v>670</v>
      </c>
      <c r="J114" s="30" t="str">
        <f t="shared" si="41"/>
        <v>Other religion</v>
      </c>
      <c r="K114" s="30" t="str">
        <f t="shared" si="42"/>
        <v>Autre religion</v>
      </c>
      <c r="L114" s="30" t="str">
        <f t="shared" si="43"/>
        <v>Dini ingine?</v>
      </c>
      <c r="M114" s="30"/>
      <c r="N114" s="30"/>
      <c r="O114" s="30"/>
      <c r="P114" s="30"/>
      <c r="Q114" s="30"/>
      <c r="R114" s="30" t="str">
        <f>"${"&amp;F113&amp;"}='96'"</f>
        <v>${religion}='96'</v>
      </c>
      <c r="S114" s="30"/>
      <c r="T114" s="30"/>
      <c r="U114" s="30"/>
      <c r="V114" s="30"/>
      <c r="X114" s="30" t="s">
        <v>36</v>
      </c>
    </row>
    <row r="115" spans="1:25" ht="20.100000000000001" customHeight="1" x14ac:dyDescent="0.25">
      <c r="A115" s="38">
        <f t="shared" si="38"/>
        <v>2</v>
      </c>
      <c r="B115" s="38">
        <f t="shared" si="39"/>
        <v>1</v>
      </c>
      <c r="C115" s="30" t="s">
        <v>108</v>
      </c>
      <c r="D115" s="30">
        <v>9</v>
      </c>
      <c r="E115" s="30" t="str">
        <f t="shared" si="40"/>
        <v>.9</v>
      </c>
      <c r="F115" s="30" t="s">
        <v>989</v>
      </c>
      <c r="G115" s="29" t="str">
        <f>"What is the mother language of ${"&amp;$F$84&amp;"}?"</f>
        <v>What is the mother language of ${curr_name}?</v>
      </c>
      <c r="H115" s="29" t="str">
        <f>"Quelle est le langue maternel de ${"&amp;$F$84&amp;"}?"</f>
        <v>Quelle est le langue maternel de ${curr_name}?</v>
      </c>
      <c r="I115" s="29" t="str">
        <f>"Luga ya ${"&amp;$F$84&amp;"} ya asili ni gani?"</f>
        <v>Luga ya ${curr_name} ya asili ni gani?</v>
      </c>
      <c r="J115" s="30" t="str">
        <f t="shared" si="41"/>
        <v>.9 What is the mother language of ${curr_name}?</v>
      </c>
      <c r="K115" s="30" t="str">
        <f t="shared" si="42"/>
        <v>.9 Quelle est le langue maternel de ${curr_name}?</v>
      </c>
      <c r="L115" s="30" t="str">
        <f t="shared" si="43"/>
        <v>.9 Luga ya ${curr_name} ya asili ni gani?</v>
      </c>
      <c r="M115" s="30"/>
      <c r="N115" s="30"/>
      <c r="O115" s="30"/>
      <c r="P115" s="30"/>
      <c r="Q115" s="30"/>
      <c r="R115" s="30" t="str">
        <f>"${"&amp;F83&amp;"}=1 or ${"&amp;F90&amp;"}='2'"</f>
        <v>${linenum}=1 or ${relhead}='2'</v>
      </c>
      <c r="S115" s="30"/>
      <c r="T115" s="30"/>
      <c r="U115" s="30"/>
      <c r="V115" s="30"/>
      <c r="X115" s="30" t="s">
        <v>36</v>
      </c>
    </row>
    <row r="116" spans="1:25" ht="20.100000000000001" customHeight="1" x14ac:dyDescent="0.25">
      <c r="A116" s="38">
        <f t="shared" si="38"/>
        <v>2</v>
      </c>
      <c r="B116" s="38">
        <f t="shared" si="39"/>
        <v>1</v>
      </c>
      <c r="C116" s="30" t="s">
        <v>34</v>
      </c>
      <c r="D116" s="30"/>
      <c r="E116" s="30" t="str">
        <f t="shared" si="40"/>
        <v/>
      </c>
      <c r="F116" s="30" t="s">
        <v>990</v>
      </c>
      <c r="G116" s="29" t="s">
        <v>996</v>
      </c>
      <c r="H116" s="29" t="s">
        <v>590</v>
      </c>
      <c r="I116" s="29" t="s">
        <v>671</v>
      </c>
      <c r="J116" s="30" t="str">
        <f t="shared" si="41"/>
        <v>Other language</v>
      </c>
      <c r="K116" s="30" t="str">
        <f t="shared" si="42"/>
        <v>Autre langue</v>
      </c>
      <c r="L116" s="30" t="str">
        <f t="shared" si="43"/>
        <v>Luga ingine?</v>
      </c>
      <c r="M116" s="30"/>
      <c r="N116" s="30"/>
      <c r="O116" s="30"/>
      <c r="P116" s="30"/>
      <c r="Q116" s="30"/>
      <c r="R116" s="30" t="str">
        <f>"${"&amp;F115&amp;"}='96'"</f>
        <v>${etn}='96'</v>
      </c>
      <c r="S116" s="30"/>
      <c r="T116" s="30"/>
      <c r="U116" s="30"/>
      <c r="V116" s="30"/>
      <c r="X116" s="30" t="s">
        <v>36</v>
      </c>
    </row>
    <row r="117" spans="1:25" ht="20.100000000000001" customHeight="1" x14ac:dyDescent="0.25">
      <c r="A117" s="38">
        <f t="shared" si="38"/>
        <v>2</v>
      </c>
      <c r="B117" s="38">
        <f t="shared" si="39"/>
        <v>1</v>
      </c>
      <c r="C117" s="96" t="s">
        <v>1426</v>
      </c>
      <c r="D117" s="30"/>
      <c r="E117" s="30"/>
      <c r="F117" s="30" t="s">
        <v>1008</v>
      </c>
      <c r="G117" s="29" t="str">
        <f>"Which of the following statuses are applicable to ${"&amp;$F$84&amp;"}?"</f>
        <v>Which of the following statuses are applicable to ${curr_name}?</v>
      </c>
      <c r="H117" s="29" t="str">
        <f>"Est-ce que ${"&amp;$F$84&amp;"} a une des positions suivantes dans la communauté?"</f>
        <v>Est-ce que ${curr_name} a une des positions suivantes dans la communauté?</v>
      </c>
      <c r="I117" s="29" t="str">
        <f>"Est-ce que ${"&amp;$F$84&amp;"} a une des positions suivantes dans la communauté?"</f>
        <v>Est-ce que ${curr_name} a une des positions suivantes dans la communauté?</v>
      </c>
      <c r="J117" s="30" t="str">
        <f t="shared" si="41"/>
        <v>Which of the following statuses are applicable to ${curr_name}?</v>
      </c>
      <c r="K117" s="30" t="str">
        <f t="shared" si="42"/>
        <v>Est-ce que ${curr_name} a une des positions suivantes dans la communauté?</v>
      </c>
      <c r="L117" s="30" t="str">
        <f t="shared" si="43"/>
        <v>Est-ce que ${curr_name} a une des positions suivantes dans la communauté?</v>
      </c>
      <c r="M117" s="30"/>
      <c r="N117" s="30"/>
      <c r="O117" s="30" t="s">
        <v>1427</v>
      </c>
      <c r="P117" s="30" t="s">
        <v>1427</v>
      </c>
      <c r="Q117" s="30" t="s">
        <v>1427</v>
      </c>
      <c r="R117" s="30" t="str">
        <f>"${"&amp;F88&amp;"}&gt;12"</f>
        <v>${age}&gt;12</v>
      </c>
      <c r="S117" s="30"/>
      <c r="T117" s="7" t="s">
        <v>1428</v>
      </c>
      <c r="U117" s="30"/>
      <c r="V117" s="30"/>
      <c r="X117" s="30" t="s">
        <v>36</v>
      </c>
    </row>
    <row r="118" spans="1:25" ht="20.100000000000001" customHeight="1" x14ac:dyDescent="0.25">
      <c r="A118" s="38">
        <f t="shared" si="38"/>
        <v>2</v>
      </c>
      <c r="B118" s="38">
        <f t="shared" si="39"/>
        <v>1</v>
      </c>
      <c r="C118" s="30" t="s">
        <v>1041</v>
      </c>
      <c r="D118" s="30">
        <v>10</v>
      </c>
      <c r="E118" s="30" t="str">
        <f>IF(D118="","",$D$81&amp;"."&amp;D118)</f>
        <v>.10</v>
      </c>
      <c r="F118" s="30" t="s">
        <v>991</v>
      </c>
      <c r="G118" s="29" t="str">
        <f>"Check the activities ${"&amp;$F$84&amp;"} is engaged in"</f>
        <v>Check the activities ${curr_name} is engaged in</v>
      </c>
      <c r="H118" s="29" t="str">
        <f>"Quelles sont les occupations de ${"&amp;$F$84&amp;"}?"</f>
        <v>Quelles sont les occupations de ${curr_name}?</v>
      </c>
      <c r="I118" s="29" t="str">
        <f>"Quelles sont les occupations de ${"&amp;$F$84&amp;"}?"</f>
        <v>Quelles sont les occupations de ${curr_name}?</v>
      </c>
      <c r="J118" s="30" t="str">
        <f t="shared" si="41"/>
        <v>.10 Check the activities ${curr_name} is engaged in</v>
      </c>
      <c r="K118" s="30" t="str">
        <f t="shared" si="42"/>
        <v>.10 Quelles sont les occupations de ${curr_name}?</v>
      </c>
      <c r="L118" s="30" t="str">
        <f t="shared" si="43"/>
        <v>.10 Quelles sont les occupations de ${curr_name}?</v>
      </c>
      <c r="M118" s="30"/>
      <c r="N118" s="30"/>
      <c r="O118" s="30"/>
      <c r="P118" s="30"/>
      <c r="Q118" s="30"/>
      <c r="R118" s="30" t="str">
        <f>"${"&amp;F88&amp;"}&gt;12"</f>
        <v>${age}&gt;12</v>
      </c>
      <c r="S118" s="30"/>
      <c r="T118" s="7" t="s">
        <v>1428</v>
      </c>
      <c r="U118" s="30"/>
      <c r="V118" s="30"/>
      <c r="X118" s="30" t="s">
        <v>36</v>
      </c>
    </row>
    <row r="119" spans="1:25" s="36" customFormat="1" ht="20.100000000000001" customHeight="1" x14ac:dyDescent="0.25">
      <c r="A119" s="38">
        <f t="shared" si="38"/>
        <v>2</v>
      </c>
      <c r="B119" s="38">
        <f t="shared" si="39"/>
        <v>2</v>
      </c>
      <c r="C119" s="33" t="s">
        <v>244</v>
      </c>
      <c r="D119" s="33"/>
      <c r="E119" s="33"/>
      <c r="F119" s="33" t="s">
        <v>1429</v>
      </c>
      <c r="G119" s="32" t="s">
        <v>1056</v>
      </c>
      <c r="H119" s="32" t="s">
        <v>1056</v>
      </c>
      <c r="I119" s="32" t="s">
        <v>1056</v>
      </c>
      <c r="J119" s="30" t="str">
        <f t="shared" si="41"/>
        <v>Occupations</v>
      </c>
      <c r="K119" s="30" t="str">
        <f t="shared" si="42"/>
        <v>Occupations</v>
      </c>
      <c r="L119" s="30" t="str">
        <f t="shared" si="43"/>
        <v>Occupations</v>
      </c>
      <c r="M119" s="33"/>
      <c r="N119" s="33"/>
      <c r="O119" s="33"/>
      <c r="P119" s="33"/>
      <c r="Q119" s="33"/>
      <c r="R119" s="122" t="str">
        <f>"not(selected(${"&amp;F118&amp;"},'0'))"</f>
        <v>not(selected(${occupation},'0'))</v>
      </c>
      <c r="S119" s="33"/>
      <c r="U119" s="33"/>
      <c r="V119" s="33"/>
      <c r="X119" s="33"/>
      <c r="Y119" s="36" t="str">
        <f>"count-selected(${"&amp;F118&amp;"})"</f>
        <v>count-selected(${occupation})</v>
      </c>
    </row>
    <row r="120" spans="1:25" customFormat="1" ht="20.100000000000001" customHeight="1" x14ac:dyDescent="0.25">
      <c r="A120" s="38">
        <f t="shared" si="38"/>
        <v>2</v>
      </c>
      <c r="B120" s="38">
        <f t="shared" si="39"/>
        <v>2</v>
      </c>
      <c r="C120" t="s">
        <v>44</v>
      </c>
      <c r="F120" s="146" t="s">
        <v>1430</v>
      </c>
      <c r="M120" t="str">
        <f>"selected-at(${"&amp;F118&amp;"},if(position(..)-1&lt;0,0, position(..)-1))"</f>
        <v>selected-at(${occupation},if(position(..)-1&lt;0,0, position(..)-1))</v>
      </c>
    </row>
    <row r="121" spans="1:25" customFormat="1" ht="20.100000000000001" customHeight="1" x14ac:dyDescent="0.25">
      <c r="A121" s="38">
        <f t="shared" si="38"/>
        <v>2</v>
      </c>
      <c r="B121" s="38">
        <f t="shared" si="39"/>
        <v>2</v>
      </c>
      <c r="C121" t="s">
        <v>44</v>
      </c>
      <c r="F121" t="s">
        <v>1431</v>
      </c>
      <c r="M121" t="str">
        <f>"jr:choice-name(${"&amp;F120&amp;"}, '${"&amp;F118&amp;"}')"</f>
        <v>jr:choice-name(${this_occupation}, '${occupation}')</v>
      </c>
    </row>
    <row r="122" spans="1:25" s="129" customFormat="1" ht="20.100000000000001" customHeight="1" x14ac:dyDescent="0.25">
      <c r="A122" s="38">
        <f t="shared" si="38"/>
        <v>2</v>
      </c>
      <c r="B122" s="38">
        <f t="shared" si="39"/>
        <v>2</v>
      </c>
      <c r="C122" s="127" t="s">
        <v>33</v>
      </c>
      <c r="D122" s="127">
        <v>1</v>
      </c>
      <c r="E122" s="127"/>
      <c r="F122" s="127" t="str">
        <f>"occ"&amp;D122&amp;"_"</f>
        <v>occ1_</v>
      </c>
      <c r="G122" s="128" t="str">
        <f>"${"&amp;F121&amp;"}"</f>
        <v>${this_occupation_label}</v>
      </c>
      <c r="H122" s="128" t="str">
        <f>"${"&amp;F121&amp;"}"</f>
        <v>${this_occupation_label}</v>
      </c>
      <c r="I122" s="128" t="str">
        <f>"${"&amp;F121&amp;"}"</f>
        <v>${this_occupation_label}</v>
      </c>
      <c r="J122" s="127" t="str">
        <f>E122&amp;IF(D122="",""," ")&amp;G122</f>
        <v xml:space="preserve"> ${this_occupation_label}</v>
      </c>
      <c r="K122" s="127" t="str">
        <f>E122&amp;IF(D122="",""," ")&amp;H122</f>
        <v xml:space="preserve"> ${this_occupation_label}</v>
      </c>
      <c r="L122" s="127" t="str">
        <f>E122&amp;IF(E122="",""," ")&amp;I122</f>
        <v>${this_occupation_label}</v>
      </c>
      <c r="M122" s="127"/>
      <c r="N122" s="127"/>
      <c r="O122" s="127"/>
      <c r="P122" s="127"/>
      <c r="Q122" s="127"/>
      <c r="R122" s="127"/>
      <c r="S122" s="127"/>
      <c r="T122" s="127"/>
      <c r="U122" s="127"/>
      <c r="V122" s="127"/>
    </row>
    <row r="123" spans="1:25" customFormat="1" ht="20.100000000000001" customHeight="1" x14ac:dyDescent="0.25">
      <c r="A123" s="38">
        <f t="shared" si="38"/>
        <v>2</v>
      </c>
      <c r="B123" s="38">
        <f t="shared" si="39"/>
        <v>2</v>
      </c>
      <c r="C123" s="30" t="s">
        <v>1432</v>
      </c>
      <c r="D123">
        <v>1</v>
      </c>
      <c r="E123">
        <v>1</v>
      </c>
      <c r="F123" t="s">
        <v>1433</v>
      </c>
      <c r="G123" t="str">
        <f>"Time spent by ${"&amp;$F$84&amp;"} on the activity: ${"&amp;F121&amp;"} relative to total productive time  the past year"</f>
        <v>Time spent by ${curr_name} on the activity: ${this_occupation_label} relative to total productive time  the past year</v>
      </c>
      <c r="H123" t="str">
        <f>"Combien de temps consacre ${"&amp;$F$84&amp;"} pour l'activité: ${"&amp;F121&amp;"} par rapport au temps active total de l'année passée"</f>
        <v>Combien de temps consacre ${curr_name} pour l'activité: ${this_occupation_label} par rapport au temps active total de l'année passée</v>
      </c>
      <c r="I123" t="str">
        <f>"Combien de temps consacre ${"&amp;$F$84&amp;"} pour l'activité: ${"&amp;F121&amp;"}"</f>
        <v>Combien de temps consacre ${curr_name} pour l'activité: ${this_occupation_label}</v>
      </c>
      <c r="J123" s="30" t="str">
        <f t="shared" si="41"/>
        <v>1 Time spent by ${curr_name} on the activity: ${this_occupation_label} relative to total productive time  the past year</v>
      </c>
      <c r="K123" s="30" t="str">
        <f t="shared" si="42"/>
        <v>1 Combien de temps consacre ${curr_name} pour l'activité: ${this_occupation_label} par rapport au temps active total de l'année passée</v>
      </c>
      <c r="L123" s="30" t="str">
        <f t="shared" si="43"/>
        <v>1 Combien de temps consacre ${curr_name} pour l'activité: ${this_occupation_label}</v>
      </c>
      <c r="O123" t="s">
        <v>1434</v>
      </c>
      <c r="P123" t="s">
        <v>1435</v>
      </c>
      <c r="Q123" t="s">
        <v>1435</v>
      </c>
      <c r="X123" t="s">
        <v>36</v>
      </c>
    </row>
    <row r="124" spans="1:25" customFormat="1" ht="15" x14ac:dyDescent="0.25">
      <c r="A124" s="38">
        <f t="shared" si="38"/>
        <v>2</v>
      </c>
      <c r="B124" s="38">
        <f t="shared" si="39"/>
        <v>2</v>
      </c>
      <c r="C124" t="s">
        <v>44</v>
      </c>
      <c r="F124" t="s">
        <v>1436</v>
      </c>
      <c r="M124" t="str">
        <f>"number(${"&amp;F123&amp;"})"</f>
        <v>number(${occ_time})</v>
      </c>
      <c r="T124" s="38"/>
    </row>
    <row r="125" spans="1:25" customFormat="1" ht="20.100000000000001" customHeight="1" x14ac:dyDescent="0.25">
      <c r="A125" s="38">
        <f t="shared" si="38"/>
        <v>2</v>
      </c>
      <c r="B125" s="38">
        <f t="shared" si="39"/>
        <v>2</v>
      </c>
      <c r="C125" s="30" t="s">
        <v>148</v>
      </c>
      <c r="F125" t="s">
        <v>1437</v>
      </c>
      <c r="G125" t="str">
        <f>"You have indicated too much time: at least ${"&amp;F133&amp;"}% go back and check."</f>
        <v>You have indicated too much time: at least ${timecheck}% go back and check.</v>
      </c>
      <c r="H125" t="str">
        <f>"Vous avez consacré trop de temps: au moin ${"&amp;F133&amp;"}%. Retournez pour verifier."</f>
        <v>Vous avez consacré trop de temps: au moin ${timecheck}%. Retournez pour verifier.</v>
      </c>
      <c r="I125" t="str">
        <f>"Vous avez consacré trop de temps: au moin ${"&amp;F133&amp;"}%. Retournez pour verifier."</f>
        <v>Vous avez consacré trop de temps: au moin ${timecheck}%. Retournez pour verifier.</v>
      </c>
      <c r="J125" s="30" t="str">
        <f t="shared" ref="J125" si="51">E125&amp;IF(D125="",""," ")&amp;G125</f>
        <v>You have indicated too much time: at least ${timecheck}% go back and check.</v>
      </c>
      <c r="K125" s="30" t="str">
        <f t="shared" ref="K125" si="52">E125&amp;IF(D125="",""," ")&amp;H125</f>
        <v>Vous avez consacré trop de temps: au moin ${timecheck}%. Retournez pour verifier.</v>
      </c>
      <c r="L125" s="30" t="str">
        <f t="shared" ref="L125" si="53">E125&amp;IF(E125="",""," ")&amp;I125</f>
        <v>Vous avez consacré trop de temps: au moin ${timecheck}%. Retournez pour verifier.</v>
      </c>
      <c r="R125" t="str">
        <f>"${"&amp;F133&amp;"}&gt;100"</f>
        <v>${timecheck}&gt;100</v>
      </c>
      <c r="T125" t="str">
        <f>".='1' and ${"&amp;F133&amp;"} &lt;=100"</f>
        <v>.='1' and ${timecheck} &lt;=100</v>
      </c>
      <c r="X125" t="s">
        <v>36</v>
      </c>
    </row>
    <row r="126" spans="1:25" ht="20.100000000000001" customHeight="1" x14ac:dyDescent="0.25">
      <c r="A126" s="38">
        <f t="shared" si="38"/>
        <v>2</v>
      </c>
      <c r="B126" s="38">
        <f t="shared" si="39"/>
        <v>2</v>
      </c>
      <c r="C126" s="30" t="s">
        <v>1432</v>
      </c>
      <c r="D126" s="30">
        <v>2</v>
      </c>
      <c r="E126" s="30">
        <v>2</v>
      </c>
      <c r="F126" t="s">
        <v>1438</v>
      </c>
      <c r="G126" s="29" t="str">
        <f>"Proportion of income in cash of this activity (${"&amp;F121&amp;"}) by ${"&amp;$F$84&amp;"} as a share of total cash household income"</f>
        <v>Proportion of income in cash of this activity (${this_occupation_label}) by ${curr_name} as a share of total cash household income</v>
      </c>
      <c r="H126" s="29" t="str">
        <f>"Proportion de revenus en argent de cette activité (${"&amp;F121&amp;"}) de ${"&amp;$F$84&amp;"} par apport au revenu total en argent de ce menage"</f>
        <v>Proportion de revenus en argent de cette activité (${this_occupation_label}) de ${curr_name} par apport au revenu total en argent de ce menage</v>
      </c>
      <c r="I126" s="29" t="str">
        <f>"Proportion de revenus en nature (production de nourriture) de cette activité (${"&amp;F121&amp;"}) de ${"&amp;$F$84&amp;"} par apport au revenu en nature total de ce menage"</f>
        <v>Proportion de revenus en nature (production de nourriture) de cette activité (${this_occupation_label}) de ${curr_name} par apport au revenu en nature total de ce menage</v>
      </c>
      <c r="J126" s="30" t="str">
        <f>E126&amp;IF(D126="",""," ")&amp;G126</f>
        <v>2 Proportion of income in cash of this activity (${this_occupation_label}) by ${curr_name} as a share of total cash household income</v>
      </c>
      <c r="K126" s="30" t="str">
        <f>E126&amp;IF(D126="",""," ")&amp;H126</f>
        <v>2 Proportion de revenus en argent de cette activité (${this_occupation_label}) de ${curr_name} par apport au revenu total en argent de ce menage</v>
      </c>
      <c r="L126" s="30" t="str">
        <f>E126&amp;IF(E126="",""," ")&amp;I126</f>
        <v>2 Proportion de revenus en nature (production de nourriture) de cette activité (${this_occupation_label}) de ${curr_name} par apport au revenu en nature total de ce menage</v>
      </c>
      <c r="M126" s="30"/>
      <c r="N126" s="30"/>
      <c r="O126" s="30"/>
      <c r="P126" s="30"/>
      <c r="Q126" s="30"/>
      <c r="R126" s="30"/>
      <c r="S126" s="30"/>
      <c r="T126" s="30"/>
      <c r="U126" s="30"/>
      <c r="V126" s="30"/>
      <c r="X126" t="s">
        <v>36</v>
      </c>
    </row>
    <row r="127" spans="1:25" customFormat="1" ht="15" x14ac:dyDescent="0.25">
      <c r="A127" s="38">
        <f t="shared" si="38"/>
        <v>2</v>
      </c>
      <c r="B127" s="38">
        <f t="shared" si="39"/>
        <v>2</v>
      </c>
      <c r="C127" t="s">
        <v>44</v>
      </c>
      <c r="F127" t="s">
        <v>1821</v>
      </c>
      <c r="M127" t="str">
        <f>"number(${"&amp;F126&amp;"})"</f>
        <v>number(${occ_cash})</v>
      </c>
      <c r="T127" s="38"/>
    </row>
    <row r="128" spans="1:25" customFormat="1" ht="20.100000000000001" customHeight="1" x14ac:dyDescent="0.25">
      <c r="A128" s="38">
        <f t="shared" si="38"/>
        <v>2</v>
      </c>
      <c r="B128" s="38">
        <f t="shared" si="39"/>
        <v>2</v>
      </c>
      <c r="C128" s="30" t="s">
        <v>148</v>
      </c>
      <c r="F128" t="s">
        <v>1822</v>
      </c>
      <c r="G128" t="str">
        <f>"You have indicated too much cash income: at least ${"&amp;F151&amp;"}% for the entire household, go back and check."</f>
        <v>You have indicated too much cash income: at least ${cashcheck_hh}% for the entire household, go back and check.</v>
      </c>
      <c r="H128" t="str">
        <f>"Vous avez indique trop des revenus en argent: au moin ${"&amp;F151&amp;"}% pour le ménage. Retournez pour verifier."</f>
        <v>Vous avez indique trop des revenus en argent: au moin ${cashcheck_hh}% pour le ménage. Retournez pour verifier.</v>
      </c>
      <c r="I128" t="str">
        <f>"Vous avez indique trop des revenus en argent: au moin ${"&amp;F151&amp;"}% pour le ménage. Retournez pour verifier."</f>
        <v>Vous avez indique trop des revenus en argent: au moin ${cashcheck_hh}% pour le ménage. Retournez pour verifier.</v>
      </c>
      <c r="J128" s="30" t="str">
        <f t="shared" ref="J128" si="54">E128&amp;IF(D128="",""," ")&amp;G128</f>
        <v>You have indicated too much cash income: at least ${cashcheck_hh}% for the entire household, go back and check.</v>
      </c>
      <c r="K128" s="30" t="str">
        <f t="shared" ref="K128" si="55">E128&amp;IF(D128="",""," ")&amp;H128</f>
        <v>Vous avez indique trop des revenus en argent: au moin ${cashcheck_hh}% pour le ménage. Retournez pour verifier.</v>
      </c>
      <c r="L128" s="30" t="str">
        <f t="shared" ref="L128" si="56">E128&amp;IF(E128="",""," ")&amp;I128</f>
        <v>Vous avez indique trop des revenus en argent: au moin ${cashcheck_hh}% pour le ménage. Retournez pour verifier.</v>
      </c>
      <c r="R128" t="str">
        <f>"${"&amp;F151&amp;"}&gt;100"</f>
        <v>${cashcheck_hh}&gt;100</v>
      </c>
      <c r="T128" t="str">
        <f>".='1' and ${"&amp;F136&amp;"} &lt;=100"</f>
        <v>.='1' and ${edu_} &lt;=100</v>
      </c>
      <c r="X128" t="s">
        <v>36</v>
      </c>
    </row>
    <row r="129" spans="1:24" ht="20.100000000000001" customHeight="1" x14ac:dyDescent="0.25">
      <c r="A129" s="38">
        <f t="shared" si="38"/>
        <v>2</v>
      </c>
      <c r="B129" s="38">
        <f t="shared" si="39"/>
        <v>2</v>
      </c>
      <c r="C129" s="30" t="s">
        <v>1432</v>
      </c>
      <c r="D129" s="30">
        <v>3</v>
      </c>
      <c r="E129" s="30">
        <v>3</v>
      </c>
      <c r="F129" t="s">
        <v>1439</v>
      </c>
      <c r="G129" s="29" t="str">
        <f>"Proportion of income in kind of this activity (${"&amp;F121&amp;"}) by ${"&amp;$F$84&amp;"} as a share of total in kind household income"</f>
        <v>Proportion of income in kind of this activity (${this_occupation_label}) by ${curr_name} as a share of total in kind household income</v>
      </c>
      <c r="H129" s="29" t="str">
        <f>"Proportion de revenus en nature (production de nourriture) de cette activité (${"&amp;F121&amp;"}) de ${"&amp;$F$84&amp;"} par apport au revenu en nature total de ce menage"</f>
        <v>Proportion de revenus en nature (production de nourriture) de cette activité (${this_occupation_label}) de ${curr_name} par apport au revenu en nature total de ce menage</v>
      </c>
      <c r="I129" s="29" t="str">
        <f>"Proportion de revenus en nature (production de nourriture) de cette activité (${"&amp;F121&amp;"}) de ${"&amp;$F$84&amp;"} par apport au revenu en nature total de ce menage"</f>
        <v>Proportion de revenus en nature (production de nourriture) de cette activité (${this_occupation_label}) de ${curr_name} par apport au revenu en nature total de ce menage</v>
      </c>
      <c r="J129" s="30" t="str">
        <f>E129&amp;IF(D129="",""," ")&amp;G129</f>
        <v>3 Proportion of income in kind of this activity (${this_occupation_label}) by ${curr_name} as a share of total in kind household income</v>
      </c>
      <c r="K129" s="30" t="str">
        <f>E129&amp;IF(D129="",""," ")&amp;H129</f>
        <v>3 Proportion de revenus en nature (production de nourriture) de cette activité (${this_occupation_label}) de ${curr_name} par apport au revenu en nature total de ce menage</v>
      </c>
      <c r="L129" s="30" t="str">
        <f>E129&amp;IF(E129="",""," ")&amp;I129</f>
        <v>3 Proportion de revenus en nature (production de nourriture) de cette activité (${this_occupation_label}) de ${curr_name} par apport au revenu en nature total de ce menage</v>
      </c>
      <c r="M129" s="30"/>
      <c r="N129" s="30"/>
      <c r="O129" s="30"/>
      <c r="P129" s="30"/>
      <c r="Q129" s="30"/>
      <c r="R129" s="30"/>
      <c r="S129" s="30"/>
      <c r="T129" s="30"/>
      <c r="U129" s="30"/>
      <c r="V129" s="30"/>
      <c r="X129" t="s">
        <v>36</v>
      </c>
    </row>
    <row r="130" spans="1:24" customFormat="1" ht="15" x14ac:dyDescent="0.25">
      <c r="A130" s="38">
        <f t="shared" si="38"/>
        <v>2</v>
      </c>
      <c r="B130" s="38">
        <f t="shared" si="39"/>
        <v>2</v>
      </c>
      <c r="C130" t="s">
        <v>44</v>
      </c>
      <c r="F130" t="s">
        <v>1823</v>
      </c>
      <c r="M130" t="str">
        <f>"number(${"&amp;F129&amp;"})"</f>
        <v>number(${occ_inkind})</v>
      </c>
      <c r="T130" s="38"/>
    </row>
    <row r="131" spans="1:24" customFormat="1" ht="20.100000000000001" customHeight="1" x14ac:dyDescent="0.25">
      <c r="A131" s="38">
        <f t="shared" si="38"/>
        <v>2</v>
      </c>
      <c r="B131" s="38">
        <f t="shared" si="39"/>
        <v>2</v>
      </c>
      <c r="C131" s="30" t="s">
        <v>148</v>
      </c>
      <c r="F131" t="s">
        <v>1824</v>
      </c>
      <c r="G131" t="str">
        <f>"You have indicated too much in kind income: at least ${"&amp;F152&amp;"}% for the entire household, go back and check."</f>
        <v>You have indicated too much in kind income: at least ${inkindcheck_hh}% for the entire household, go back and check.</v>
      </c>
      <c r="H131" t="str">
        <f>"Vous avez indique trop des revenus en nature: au moin ${"&amp;F152&amp;"}% pour le ménage. Retournez pour verifier."</f>
        <v>Vous avez indique trop des revenus en nature: au moin ${inkindcheck_hh}% pour le ménage. Retournez pour verifier.</v>
      </c>
      <c r="I131" t="str">
        <f>"Vous avez indique trop des revenus en nature: au moin ${"&amp;F152&amp;"}% pour le ménage. Retournez pour verifier."</f>
        <v>Vous avez indique trop des revenus en nature: au moin ${inkindcheck_hh}% pour le ménage. Retournez pour verifier.</v>
      </c>
      <c r="J131" s="30" t="str">
        <f t="shared" ref="J131" si="57">E131&amp;IF(D131="",""," ")&amp;G131</f>
        <v>You have indicated too much in kind income: at least ${inkindcheck_hh}% for the entire household, go back and check.</v>
      </c>
      <c r="K131" s="30" t="str">
        <f t="shared" ref="K131" si="58">E131&amp;IF(D131="",""," ")&amp;H131</f>
        <v>Vous avez indique trop des revenus en nature: au moin ${inkindcheck_hh}% pour le ménage. Retournez pour verifier.</v>
      </c>
      <c r="L131" s="30" t="str">
        <f t="shared" ref="L131" si="59">E131&amp;IF(E131="",""," ")&amp;I131</f>
        <v>Vous avez indique trop des revenus en nature: au moin ${inkindcheck_hh}% pour le ménage. Retournez pour verifier.</v>
      </c>
      <c r="R131" t="str">
        <f>"${"&amp;F152&amp;"}&gt;100"</f>
        <v>${inkindcheck_hh}&gt;100</v>
      </c>
      <c r="T131" t="str">
        <f>".='1' and ${"&amp;F139&amp;"} &lt;=100"</f>
        <v>.='1' and ${noschool_oth} &lt;=100</v>
      </c>
      <c r="X131" t="s">
        <v>36</v>
      </c>
    </row>
    <row r="132" spans="1:24" s="40" customFormat="1" ht="20.100000000000001" customHeight="1" x14ac:dyDescent="0.25">
      <c r="A132" s="38">
        <f t="shared" si="38"/>
        <v>2</v>
      </c>
      <c r="B132" s="38">
        <f t="shared" si="39"/>
        <v>1</v>
      </c>
      <c r="C132" s="35" t="s">
        <v>287</v>
      </c>
      <c r="D132" s="35"/>
      <c r="E132" s="35"/>
      <c r="F132" s="147"/>
      <c r="G132" s="34"/>
      <c r="H132" s="34"/>
      <c r="I132" s="34"/>
      <c r="J132" s="35"/>
      <c r="K132" s="35"/>
      <c r="L132" s="35"/>
      <c r="M132" s="35"/>
      <c r="N132" s="35"/>
      <c r="O132" s="35"/>
      <c r="P132" s="35"/>
      <c r="Q132" s="35"/>
      <c r="R132" s="35"/>
      <c r="S132" s="35"/>
      <c r="T132" s="35"/>
      <c r="U132" s="35"/>
      <c r="V132" s="35"/>
      <c r="X132" s="35"/>
    </row>
    <row r="133" spans="1:24" customFormat="1" ht="20.100000000000001" customHeight="1" x14ac:dyDescent="0.25">
      <c r="A133" s="38">
        <f t="shared" si="38"/>
        <v>2</v>
      </c>
      <c r="B133" s="38">
        <f t="shared" si="39"/>
        <v>1</v>
      </c>
      <c r="C133" s="72" t="s">
        <v>44</v>
      </c>
      <c r="F133" t="s">
        <v>1440</v>
      </c>
      <c r="M133" t="str">
        <f>"sum(${"&amp;F124&amp;"})"</f>
        <v>sum(${timenum})</v>
      </c>
      <c r="T133" s="38"/>
    </row>
    <row r="134" spans="1:24" customFormat="1" ht="20.100000000000001" customHeight="1" x14ac:dyDescent="0.25">
      <c r="A134" s="38">
        <f t="shared" si="38"/>
        <v>2</v>
      </c>
      <c r="B134" s="38">
        <f t="shared" si="39"/>
        <v>1</v>
      </c>
      <c r="C134" s="72" t="s">
        <v>44</v>
      </c>
      <c r="F134" t="s">
        <v>1825</v>
      </c>
      <c r="M134" t="str">
        <f>"sum(${"&amp;F127&amp;"})"</f>
        <v>sum(${cashnum})</v>
      </c>
      <c r="T134" s="38"/>
    </row>
    <row r="135" spans="1:24" customFormat="1" ht="20.100000000000001" customHeight="1" x14ac:dyDescent="0.25">
      <c r="A135" s="38">
        <f t="shared" si="38"/>
        <v>2</v>
      </c>
      <c r="B135" s="38">
        <f t="shared" si="39"/>
        <v>1</v>
      </c>
      <c r="C135" s="72" t="s">
        <v>44</v>
      </c>
      <c r="F135" t="s">
        <v>1826</v>
      </c>
      <c r="M135" t="str">
        <f>"sum(${"&amp;F130&amp;"})"</f>
        <v>sum(${inkindnum})</v>
      </c>
      <c r="T135" s="38"/>
    </row>
    <row r="136" spans="1:24" s="17" customFormat="1" ht="20.100000000000001" customHeight="1" x14ac:dyDescent="0.25">
      <c r="A136" s="38">
        <f t="shared" si="38"/>
        <v>3</v>
      </c>
      <c r="B136" s="38">
        <f t="shared" si="39"/>
        <v>1</v>
      </c>
      <c r="C136" s="122" t="s">
        <v>32</v>
      </c>
      <c r="E136" s="122"/>
      <c r="F136" s="122" t="s">
        <v>1059</v>
      </c>
      <c r="G136" s="123" t="s">
        <v>443</v>
      </c>
      <c r="H136" s="123" t="s">
        <v>443</v>
      </c>
      <c r="I136" s="123" t="s">
        <v>443</v>
      </c>
      <c r="J136" s="122" t="str">
        <f t="shared" ref="J136:J147" si="60">E136&amp;IF(D136="",""," ")&amp;G136</f>
        <v>Education</v>
      </c>
      <c r="K136" s="122" t="str">
        <f t="shared" ref="K136:K147" si="61">E136&amp;IF(D136="",""," ")&amp;H136</f>
        <v>Education</v>
      </c>
      <c r="L136" s="122" t="str">
        <f t="shared" ref="L136:L147" si="62">E136&amp;IF(E136="",""," ")&amp;I136</f>
        <v>Education</v>
      </c>
      <c r="M136" s="122"/>
      <c r="N136" s="122"/>
      <c r="O136" s="122"/>
      <c r="P136" s="122"/>
      <c r="Q136" s="122"/>
      <c r="R136" s="122" t="str">
        <f>"${"&amp;F88&amp;"}&gt;3 and ${"&amp;F88&amp;"}&lt;17"</f>
        <v>${age}&gt;3 and ${age}&lt;17</v>
      </c>
      <c r="S136" s="122"/>
      <c r="T136" s="122"/>
      <c r="U136" s="122"/>
      <c r="V136" s="122"/>
    </row>
    <row r="137" spans="1:24" customFormat="1" ht="20.100000000000001" customHeight="1" x14ac:dyDescent="0.25">
      <c r="A137" s="38">
        <f t="shared" si="38"/>
        <v>3</v>
      </c>
      <c r="B137" s="38">
        <f t="shared" si="39"/>
        <v>1</v>
      </c>
      <c r="C137" s="72" t="s">
        <v>148</v>
      </c>
      <c r="F137" t="s">
        <v>1064</v>
      </c>
      <c r="G137" t="str">
        <f>"Does ${"&amp;$F$84&amp;"} go to school?"</f>
        <v>Does ${curr_name} go to school?</v>
      </c>
      <c r="H137" t="str">
        <f>"${"&amp;$F$84&amp;"} va à l’école /collège?"</f>
        <v>${curr_name} va à l’école /collège?</v>
      </c>
      <c r="I137" t="str">
        <f>"${"&amp;$F$84&amp;"} va à l’école /collège?"</f>
        <v>${curr_name} va à l’école /collège?</v>
      </c>
      <c r="J137" s="30" t="str">
        <f t="shared" si="60"/>
        <v>Does ${curr_name} go to school?</v>
      </c>
      <c r="K137" s="30" t="str">
        <f t="shared" si="61"/>
        <v>${curr_name} va à l’école /collège?</v>
      </c>
      <c r="L137" s="30" t="str">
        <f t="shared" si="62"/>
        <v>${curr_name} va à l’école /collège?</v>
      </c>
      <c r="X137" t="s">
        <v>36</v>
      </c>
    </row>
    <row r="138" spans="1:24" customFormat="1" ht="20.100000000000001" customHeight="1" x14ac:dyDescent="0.25">
      <c r="A138" s="38">
        <f t="shared" si="38"/>
        <v>3</v>
      </c>
      <c r="B138" s="38">
        <f t="shared" si="39"/>
        <v>1</v>
      </c>
      <c r="C138" s="72" t="s">
        <v>1065</v>
      </c>
      <c r="F138" t="s">
        <v>1071</v>
      </c>
      <c r="G138" t="s">
        <v>1061</v>
      </c>
      <c r="H138" t="s">
        <v>1060</v>
      </c>
      <c r="I138" t="s">
        <v>1060</v>
      </c>
      <c r="J138" s="30" t="str">
        <f t="shared" si="60"/>
        <v>Why not ?</v>
      </c>
      <c r="K138" s="30" t="str">
        <f t="shared" si="61"/>
        <v>Pourqoui pas ?</v>
      </c>
      <c r="L138" s="30" t="str">
        <f t="shared" si="62"/>
        <v>Pourqoui pas ?</v>
      </c>
      <c r="R138" t="str">
        <f>"${"&amp;F137&amp;"}='0'"</f>
        <v>${schoolatt}='0'</v>
      </c>
      <c r="X138" t="s">
        <v>36</v>
      </c>
    </row>
    <row r="139" spans="1:24" customFormat="1" ht="20.100000000000001" customHeight="1" x14ac:dyDescent="0.25">
      <c r="A139" s="38">
        <f t="shared" si="38"/>
        <v>3</v>
      </c>
      <c r="B139" s="38">
        <f t="shared" si="39"/>
        <v>1</v>
      </c>
      <c r="C139" s="72" t="s">
        <v>34</v>
      </c>
      <c r="F139" t="s">
        <v>1072</v>
      </c>
      <c r="G139" t="s">
        <v>82</v>
      </c>
      <c r="H139" t="s">
        <v>591</v>
      </c>
      <c r="I139" t="s">
        <v>591</v>
      </c>
      <c r="J139" s="30" t="str">
        <f t="shared" si="60"/>
        <v>Specify</v>
      </c>
      <c r="K139" s="30" t="str">
        <f t="shared" si="61"/>
        <v>Specifiez</v>
      </c>
      <c r="L139" s="30" t="str">
        <f t="shared" si="62"/>
        <v>Specifiez</v>
      </c>
      <c r="R139" t="str">
        <f>"${"&amp;F138&amp;"}='96'"</f>
        <v>${noschool}='96'</v>
      </c>
      <c r="X139" t="s">
        <v>36</v>
      </c>
    </row>
    <row r="140" spans="1:24" customFormat="1" ht="20.100000000000001" customHeight="1" x14ac:dyDescent="0.25">
      <c r="A140" s="38">
        <f t="shared" si="38"/>
        <v>3</v>
      </c>
      <c r="B140" s="38">
        <f t="shared" si="39"/>
        <v>1</v>
      </c>
      <c r="C140" s="72" t="s">
        <v>35</v>
      </c>
      <c r="F140" t="s">
        <v>1073</v>
      </c>
      <c r="G140" t="str">
        <f>"How many times was ${"&amp;$F$84&amp;"} absentin the month of may?"</f>
        <v>How many times was ${curr_name} absentin the month of may?</v>
      </c>
      <c r="H140" t="str">
        <f>"Combien de fois ${"&amp;$F$84&amp;"} a été absent pendant le mois de Mai?"</f>
        <v>Combien de fois ${curr_name} a été absent pendant le mois de Mai?</v>
      </c>
      <c r="I140" t="str">
        <f>"Combien de fois ${"&amp;$F$84&amp;"} a été absent pendant le mois de Mai?"</f>
        <v>Combien de fois ${curr_name} a été absent pendant le mois de Mai?</v>
      </c>
      <c r="J140" s="30" t="str">
        <f t="shared" si="60"/>
        <v>How many times was ${curr_name} absentin the month of may?</v>
      </c>
      <c r="K140" s="30" t="str">
        <f t="shared" si="61"/>
        <v>Combien de fois ${curr_name} a été absent pendant le mois de Mai?</v>
      </c>
      <c r="L140" s="30" t="str">
        <f t="shared" si="62"/>
        <v>Combien de fois ${curr_name} a été absent pendant le mois de Mai?</v>
      </c>
      <c r="O140" t="s">
        <v>1062</v>
      </c>
      <c r="P140" s="130" t="s">
        <v>1657</v>
      </c>
      <c r="Q140" t="s">
        <v>1063</v>
      </c>
      <c r="R140" t="str">
        <f>"${"&amp;F137&amp;"}='1'"</f>
        <v>${schoolatt}='1'</v>
      </c>
      <c r="T140" s="114" t="s">
        <v>1656</v>
      </c>
      <c r="U140" s="114"/>
      <c r="X140" t="s">
        <v>36</v>
      </c>
    </row>
    <row r="141" spans="1:24" customFormat="1" ht="20.100000000000001" customHeight="1" x14ac:dyDescent="0.25">
      <c r="A141" s="38">
        <f t="shared" si="38"/>
        <v>3</v>
      </c>
      <c r="B141" s="38">
        <f t="shared" si="39"/>
        <v>1</v>
      </c>
      <c r="C141" s="72" t="s">
        <v>35</v>
      </c>
      <c r="F141" t="s">
        <v>1074</v>
      </c>
      <c r="G141" t="str">
        <f>"How many times was ${"&amp;$F$84&amp;"}'s teacher absentin the month of may?"</f>
        <v>How many times was ${curr_name}'s teacher absentin the month of may?</v>
      </c>
      <c r="H141" t="str">
        <f>"Combien de fois l'enseignant de ${"&amp;$F$84&amp;"} a été absent pendant le mois de Mai?"</f>
        <v>Combien de fois l'enseignant de ${curr_name} a été absent pendant le mois de Mai?</v>
      </c>
      <c r="I141" t="str">
        <f>"Combien de fois l'enseignant de ${"&amp;$F$84&amp;"} a été absent pendant le mois de Mai?"</f>
        <v>Combien de fois l'enseignant de ${curr_name} a été absent pendant le mois de Mai?</v>
      </c>
      <c r="J141" s="30" t="str">
        <f t="shared" si="60"/>
        <v>How many times was ${curr_name}'s teacher absentin the month of may?</v>
      </c>
      <c r="K141" s="30" t="str">
        <f t="shared" si="61"/>
        <v>Combien de fois l'enseignant de ${curr_name} a été absent pendant le mois de Mai?</v>
      </c>
      <c r="L141" s="30" t="str">
        <f t="shared" si="62"/>
        <v>Combien de fois l'enseignant de ${curr_name} a été absent pendant le mois de Mai?</v>
      </c>
      <c r="O141" t="s">
        <v>1062</v>
      </c>
      <c r="P141" s="130" t="s">
        <v>1657</v>
      </c>
      <c r="Q141" t="s">
        <v>1063</v>
      </c>
      <c r="R141" t="str">
        <f>"${"&amp;F137&amp;"}='1'"</f>
        <v>${schoolatt}='1'</v>
      </c>
      <c r="T141" s="114" t="s">
        <v>1656</v>
      </c>
      <c r="U141" s="114"/>
      <c r="X141" t="s">
        <v>36</v>
      </c>
    </row>
    <row r="142" spans="1:24" customFormat="1" ht="20.100000000000001" customHeight="1" x14ac:dyDescent="0.25">
      <c r="A142" s="38">
        <f t="shared" si="38"/>
        <v>3</v>
      </c>
      <c r="B142" s="38">
        <f t="shared" si="39"/>
        <v>1</v>
      </c>
      <c r="C142" s="72" t="s">
        <v>35</v>
      </c>
      <c r="F142" t="s">
        <v>1075</v>
      </c>
      <c r="G142" t="str">
        <f>"Prime/minerval par année pour l'education de ${"&amp;$F$84&amp;"}"</f>
        <v>Prime/minerval par année pour l'education de ${curr_name}</v>
      </c>
      <c r="H142" t="str">
        <f>"Prime/minerval par année pour l'education de ${"&amp;$F$84&amp;"}"</f>
        <v>Prime/minerval par année pour l'education de ${curr_name}</v>
      </c>
      <c r="I142" t="str">
        <f>"Prime/minerval par année pour l'education de ${"&amp;$F$84&amp;"}"</f>
        <v>Prime/minerval par année pour l'education de ${curr_name}</v>
      </c>
      <c r="J142" s="30" t="str">
        <f t="shared" si="60"/>
        <v>Prime/minerval par année pour l'education de ${curr_name}</v>
      </c>
      <c r="K142" s="30" t="str">
        <f t="shared" si="61"/>
        <v>Prime/minerval par année pour l'education de ${curr_name}</v>
      </c>
      <c r="L142" s="30" t="str">
        <f t="shared" si="62"/>
        <v>Prime/minerval par année pour l'education de ${curr_name}</v>
      </c>
      <c r="O142" s="130" t="s">
        <v>2045</v>
      </c>
      <c r="P142" s="130" t="s">
        <v>2044</v>
      </c>
      <c r="Q142" s="130" t="s">
        <v>2044</v>
      </c>
      <c r="R142" t="str">
        <f>"${"&amp;F137&amp;"}='1'"</f>
        <v>${schoolatt}='1'</v>
      </c>
      <c r="T142" s="114" t="s">
        <v>2043</v>
      </c>
      <c r="U142" s="114"/>
      <c r="X142" t="s">
        <v>36</v>
      </c>
    </row>
    <row r="143" spans="1:24" customFormat="1" ht="20.100000000000001" customHeight="1" x14ac:dyDescent="0.25">
      <c r="A143" s="38">
        <f t="shared" si="38"/>
        <v>3</v>
      </c>
      <c r="B143" s="38">
        <f t="shared" si="39"/>
        <v>1</v>
      </c>
      <c r="C143" s="72" t="s">
        <v>265</v>
      </c>
      <c r="F143" t="str">
        <f>F142&amp;"_curr"</f>
        <v>prime_curr</v>
      </c>
      <c r="G143" t="s">
        <v>262</v>
      </c>
      <c r="H143" t="s">
        <v>596</v>
      </c>
      <c r="I143" t="s">
        <v>596</v>
      </c>
      <c r="J143" s="30" t="str">
        <f t="shared" si="60"/>
        <v>Units</v>
      </c>
      <c r="K143" s="30" t="str">
        <f t="shared" si="61"/>
        <v>Unités</v>
      </c>
      <c r="L143" s="30" t="str">
        <f t="shared" si="62"/>
        <v>Unités</v>
      </c>
      <c r="O143" s="30"/>
      <c r="P143" s="30"/>
      <c r="Q143" s="30"/>
      <c r="R143" t="str">
        <f>"${"&amp;F142&amp;"}!=0 and ${"&amp;F142&amp;"}!=98 and ${"&amp;F137&amp;"}='1'"</f>
        <v>${prime}!=0 and ${prime}!=98 and ${schoolatt}='1'</v>
      </c>
      <c r="T143" s="38" t="str">
        <f>"not(.='2' and ${"&amp;F142&amp;"}&lt;100)"</f>
        <v>not(.='2' and ${prime}&lt;100)</v>
      </c>
      <c r="X143" t="s">
        <v>36</v>
      </c>
    </row>
    <row r="144" spans="1:24" customFormat="1" ht="20.100000000000001" customHeight="1" x14ac:dyDescent="0.25">
      <c r="A144" s="38">
        <f>IF(C144="begin group",A142+1,IF(C144="end group",A142-1,A142))</f>
        <v>3</v>
      </c>
      <c r="B144" s="38">
        <f>IF(C144="begin repeat",B142+1,IF(C144="end repeat",B142-1,B142))</f>
        <v>1</v>
      </c>
      <c r="C144" s="72" t="s">
        <v>35</v>
      </c>
      <c r="F144" t="s">
        <v>1076</v>
      </c>
      <c r="G144" t="str">
        <f>"Fournitures scolaires  par année(uniformes livres etc.) pour l'education de ${"&amp;$F$84&amp;"}"</f>
        <v>Fournitures scolaires  par année(uniformes livres etc.) pour l'education de ${curr_name}</v>
      </c>
      <c r="H144" t="str">
        <f>"Fournitures scolaires  par année(uniformes livres etc.) pour l'education de ${"&amp;$F$84&amp;"}"</f>
        <v>Fournitures scolaires  par année(uniformes livres etc.) pour l'education de ${curr_name}</v>
      </c>
      <c r="I144" t="str">
        <f>"Fournitures scolaires  par année(uniformes livres etc.) pour l'education de ${"&amp;$F$84&amp;"}"</f>
        <v>Fournitures scolaires  par année(uniformes livres etc.) pour l'education de ${curr_name}</v>
      </c>
      <c r="J144" s="30" t="str">
        <f t="shared" si="60"/>
        <v>Fournitures scolaires  par année(uniformes livres etc.) pour l'education de ${curr_name}</v>
      </c>
      <c r="K144" s="30" t="str">
        <f t="shared" si="61"/>
        <v>Fournitures scolaires  par année(uniformes livres etc.) pour l'education de ${curr_name}</v>
      </c>
      <c r="L144" s="30" t="str">
        <f t="shared" si="62"/>
        <v>Fournitures scolaires  par année(uniformes livres etc.) pour l'education de ${curr_name}</v>
      </c>
      <c r="O144" s="130" t="s">
        <v>2045</v>
      </c>
      <c r="P144" s="130" t="s">
        <v>2044</v>
      </c>
      <c r="Q144" s="130" t="s">
        <v>2044</v>
      </c>
      <c r="R144" t="str">
        <f>"${"&amp;F137&amp;"}='1'"</f>
        <v>${schoolatt}='1'</v>
      </c>
      <c r="T144" s="114" t="s">
        <v>2043</v>
      </c>
      <c r="U144" s="114"/>
      <c r="X144" t="s">
        <v>36</v>
      </c>
    </row>
    <row r="145" spans="1:25" customFormat="1" ht="20.100000000000001" customHeight="1" x14ac:dyDescent="0.25">
      <c r="A145" s="38">
        <f t="shared" ref="A145" si="63">IF(C145="begin group",A144+1,IF(C145="end group",A144-1,A144))</f>
        <v>3</v>
      </c>
      <c r="B145" s="38">
        <f t="shared" ref="B145" si="64">IF(C145="begin repeat",B144+1,IF(C145="end repeat",B144-1,B144))</f>
        <v>1</v>
      </c>
      <c r="C145" s="72" t="s">
        <v>265</v>
      </c>
      <c r="F145" t="str">
        <f>F144&amp;"_curr"</f>
        <v>material_curr</v>
      </c>
      <c r="G145" t="s">
        <v>262</v>
      </c>
      <c r="H145" t="s">
        <v>596</v>
      </c>
      <c r="I145" t="s">
        <v>596</v>
      </c>
      <c r="J145" s="30" t="str">
        <f t="shared" ref="J145" si="65">E145&amp;IF(D145="",""," ")&amp;G145</f>
        <v>Units</v>
      </c>
      <c r="K145" s="30" t="str">
        <f t="shared" ref="K145" si="66">E145&amp;IF(D145="",""," ")&amp;H145</f>
        <v>Unités</v>
      </c>
      <c r="L145" s="30" t="str">
        <f t="shared" ref="L145" si="67">E145&amp;IF(E145="",""," ")&amp;I145</f>
        <v>Unités</v>
      </c>
      <c r="O145" s="30"/>
      <c r="P145" s="30"/>
      <c r="Q145" s="30"/>
      <c r="R145" t="str">
        <f>"${"&amp;F144&amp;"}!=0 and ${"&amp;F144&amp;"}!=98 and ${"&amp;F137&amp;"}='1'"</f>
        <v>${material}!=0 and ${material}!=98 and ${schoolatt}='1'</v>
      </c>
      <c r="T145" s="38" t="str">
        <f>"not(.='2' and ${"&amp;F144&amp;"}&lt;100)"</f>
        <v>not(.='2' and ${material}&lt;100)</v>
      </c>
      <c r="X145" t="s">
        <v>36</v>
      </c>
    </row>
    <row r="146" spans="1:25" customFormat="1" ht="20.100000000000001" customHeight="1" x14ac:dyDescent="0.25">
      <c r="A146" s="38">
        <f>IF(C146="begin group",A144+1,IF(C146="end group",A144-1,A144))</f>
        <v>3</v>
      </c>
      <c r="B146" s="38">
        <f>IF(C146="begin repeat",B144+1,IF(C146="end repeat",B144-1,B144))</f>
        <v>1</v>
      </c>
      <c r="C146" s="72" t="s">
        <v>35</v>
      </c>
      <c r="F146" t="s">
        <v>1077</v>
      </c>
      <c r="G146" t="str">
        <f>"Autre fournitures par année pour l'education de ${"&amp;$F$84&amp;"}"</f>
        <v>Autre fournitures par année pour l'education de ${curr_name}</v>
      </c>
      <c r="H146" t="str">
        <f>"Autre fournitures par année pour l'education de ${"&amp;$F$84&amp;"}"</f>
        <v>Autre fournitures par année pour l'education de ${curr_name}</v>
      </c>
      <c r="I146" t="str">
        <f>"Autre fournitures par année pour l'education de ${"&amp;$F$84&amp;"}"</f>
        <v>Autre fournitures par année pour l'education de ${curr_name}</v>
      </c>
      <c r="J146" s="30" t="str">
        <f t="shared" si="60"/>
        <v>Autre fournitures par année pour l'education de ${curr_name}</v>
      </c>
      <c r="K146" s="30" t="str">
        <f t="shared" si="61"/>
        <v>Autre fournitures par année pour l'education de ${curr_name}</v>
      </c>
      <c r="L146" s="30" t="str">
        <f t="shared" si="62"/>
        <v>Autre fournitures par année pour l'education de ${curr_name}</v>
      </c>
      <c r="O146" s="130" t="s">
        <v>2045</v>
      </c>
      <c r="P146" s="130" t="s">
        <v>2044</v>
      </c>
      <c r="Q146" s="130" t="s">
        <v>2044</v>
      </c>
      <c r="R146" t="str">
        <f>"${"&amp;F137&amp;"}='1'"</f>
        <v>${schoolatt}='1'</v>
      </c>
      <c r="T146" s="114" t="s">
        <v>2043</v>
      </c>
      <c r="U146" s="114"/>
      <c r="X146" t="s">
        <v>36</v>
      </c>
    </row>
    <row r="147" spans="1:25" customFormat="1" ht="20.100000000000001" customHeight="1" x14ac:dyDescent="0.25">
      <c r="A147" s="38">
        <f t="shared" ref="A147" si="68">IF(C147="begin group",A146+1,IF(C147="end group",A146-1,A146))</f>
        <v>3</v>
      </c>
      <c r="B147" s="38">
        <f t="shared" ref="B147" si="69">IF(C147="begin repeat",B146+1,IF(C147="end repeat",B146-1,B146))</f>
        <v>1</v>
      </c>
      <c r="C147" s="72" t="s">
        <v>265</v>
      </c>
      <c r="F147" t="str">
        <f>F146&amp;"_curr"</f>
        <v>othercost_curr</v>
      </c>
      <c r="G147" t="s">
        <v>262</v>
      </c>
      <c r="H147" t="s">
        <v>596</v>
      </c>
      <c r="I147" t="s">
        <v>596</v>
      </c>
      <c r="J147" s="30" t="str">
        <f t="shared" si="60"/>
        <v>Units</v>
      </c>
      <c r="K147" s="30" t="str">
        <f t="shared" si="61"/>
        <v>Unités</v>
      </c>
      <c r="L147" s="30" t="str">
        <f t="shared" si="62"/>
        <v>Unités</v>
      </c>
      <c r="O147" s="30"/>
      <c r="P147" s="30"/>
      <c r="Q147" s="30"/>
      <c r="R147" t="str">
        <f>"${"&amp;F146&amp;"}!=0 and ${"&amp;F146&amp;"}!=98 and ${"&amp;F137&amp;"}='1'"</f>
        <v>${othercost}!=0 and ${othercost}!=98 and ${schoolatt}='1'</v>
      </c>
      <c r="S147" t="str">
        <f>"${"&amp;F146&amp;"}!=0 and ${"&amp;F146&amp;"}!=98"</f>
        <v>${othercost}!=0 and ${othercost}!=98</v>
      </c>
      <c r="T147" s="38" t="str">
        <f>"not(.='2' and ${"&amp;F146&amp;"}&lt;100)"</f>
        <v>not(.='2' and ${othercost}&lt;100)</v>
      </c>
      <c r="X147" t="s">
        <v>36</v>
      </c>
    </row>
    <row r="148" spans="1:25" s="21" customFormat="1" ht="20.100000000000001" customHeight="1" x14ac:dyDescent="0.25">
      <c r="A148" s="38">
        <f>IF(C148="begin group",A146+1,IF(C148="end group",A146-1,A146))</f>
        <v>2</v>
      </c>
      <c r="B148" s="38">
        <f>IF(C148="begin repeat",B146+1,IF(C148="end repeat",B146-1,B146))</f>
        <v>1</v>
      </c>
      <c r="C148" s="124" t="s">
        <v>40</v>
      </c>
      <c r="D148" s="124"/>
      <c r="E148" s="124"/>
      <c r="F148" s="124"/>
      <c r="G148" s="125" t="str">
        <f>G136</f>
        <v>Education</v>
      </c>
      <c r="H148" s="125"/>
      <c r="I148" s="125"/>
      <c r="J148" s="124"/>
      <c r="K148" s="124"/>
      <c r="L148" s="124"/>
      <c r="M148" s="124"/>
      <c r="N148" s="124"/>
      <c r="O148" s="124"/>
      <c r="P148" s="124"/>
      <c r="Q148" s="124"/>
      <c r="R148" s="124"/>
      <c r="S148" s="124"/>
      <c r="T148" s="124"/>
      <c r="U148" s="124"/>
      <c r="V148" s="124"/>
      <c r="X148" s="124"/>
    </row>
    <row r="149" spans="1:25" s="21" customFormat="1" ht="20.100000000000001" customHeight="1" x14ac:dyDescent="0.25">
      <c r="A149" s="38">
        <f t="shared" si="38"/>
        <v>1</v>
      </c>
      <c r="B149" s="38">
        <f t="shared" si="39"/>
        <v>1</v>
      </c>
      <c r="C149" s="124" t="s">
        <v>40</v>
      </c>
      <c r="D149" s="124"/>
      <c r="E149" s="124"/>
      <c r="F149" s="124"/>
      <c r="G149" s="125"/>
      <c r="H149" s="125"/>
      <c r="I149" s="125"/>
      <c r="J149" s="124"/>
      <c r="K149" s="124"/>
      <c r="L149" s="124"/>
      <c r="M149" s="124"/>
      <c r="N149" s="124"/>
      <c r="O149" s="124"/>
      <c r="P149" s="124"/>
      <c r="Q149" s="124"/>
      <c r="R149" s="124"/>
      <c r="S149" s="124"/>
      <c r="T149" s="124"/>
      <c r="U149" s="124"/>
      <c r="V149" s="124"/>
      <c r="X149" s="124"/>
    </row>
    <row r="150" spans="1:25" s="40" customFormat="1" ht="21" customHeight="1" x14ac:dyDescent="0.25">
      <c r="A150" s="38">
        <f t="shared" si="38"/>
        <v>1</v>
      </c>
      <c r="B150" s="38">
        <f t="shared" si="39"/>
        <v>0</v>
      </c>
      <c r="C150" s="35" t="s">
        <v>287</v>
      </c>
      <c r="D150" s="35"/>
      <c r="E150" s="35"/>
      <c r="F150" s="35"/>
      <c r="G150" s="34"/>
      <c r="H150" s="34"/>
      <c r="I150" s="34"/>
      <c r="J150" s="35"/>
      <c r="K150" s="35"/>
      <c r="L150" s="35"/>
      <c r="M150" s="35"/>
      <c r="N150" s="35"/>
      <c r="O150" s="35"/>
      <c r="P150" s="35"/>
      <c r="Q150" s="35"/>
      <c r="R150" s="35"/>
      <c r="S150" s="35"/>
      <c r="T150" s="35"/>
      <c r="U150" s="35"/>
      <c r="V150" s="35"/>
    </row>
    <row r="151" spans="1:25" customFormat="1" ht="20.100000000000001" customHeight="1" x14ac:dyDescent="0.25">
      <c r="A151" s="38">
        <f t="shared" si="38"/>
        <v>1</v>
      </c>
      <c r="B151" s="38">
        <f t="shared" si="39"/>
        <v>0</v>
      </c>
      <c r="C151" s="72" t="s">
        <v>44</v>
      </c>
      <c r="F151" t="s">
        <v>1827</v>
      </c>
      <c r="M151" t="str">
        <f>"sum(${"&amp;F134&amp;"})"</f>
        <v>sum(${cashcheck_person})</v>
      </c>
      <c r="T151" s="38"/>
    </row>
    <row r="152" spans="1:25" customFormat="1" ht="20.100000000000001" customHeight="1" x14ac:dyDescent="0.25">
      <c r="A152" s="38">
        <f t="shared" si="38"/>
        <v>1</v>
      </c>
      <c r="B152" s="38">
        <f t="shared" si="39"/>
        <v>0</v>
      </c>
      <c r="C152" s="72" t="s">
        <v>44</v>
      </c>
      <c r="F152" t="s">
        <v>1828</v>
      </c>
      <c r="M152" t="str">
        <f>"sum(${"&amp;F135&amp;"})"</f>
        <v>sum(${inkindcheck_person})</v>
      </c>
      <c r="T152" s="38"/>
    </row>
    <row r="153" spans="1:25" s="17" customFormat="1" ht="20.100000000000001" customHeight="1" x14ac:dyDescent="0.25">
      <c r="A153" s="38">
        <f t="shared" si="38"/>
        <v>2</v>
      </c>
      <c r="B153" s="38">
        <f t="shared" si="39"/>
        <v>0</v>
      </c>
      <c r="C153" s="122" t="s">
        <v>32</v>
      </c>
      <c r="D153" s="17" t="s">
        <v>506</v>
      </c>
      <c r="E153" s="122"/>
      <c r="F153" s="122" t="str">
        <f>LOWER(D153)&amp;"_"</f>
        <v>c_</v>
      </c>
      <c r="G153" s="123" t="s">
        <v>1057</v>
      </c>
      <c r="H153" s="123" t="s">
        <v>1058</v>
      </c>
      <c r="I153" s="123" t="s">
        <v>1058</v>
      </c>
      <c r="J153" s="122" t="str">
        <f>E153&amp;IF(D153="",""," ")&amp;G153</f>
        <v xml:space="preserve"> Housing etc.</v>
      </c>
      <c r="K153" s="122" t="str">
        <f>E153&amp;IF(D153="",""," ")&amp;H153</f>
        <v xml:space="preserve"> Domicile</v>
      </c>
      <c r="L153" s="122" t="str">
        <f>E153&amp;IF(E153="",""," ")&amp;I153</f>
        <v>Domicile</v>
      </c>
      <c r="M153" s="122"/>
      <c r="N153" s="122"/>
      <c r="O153" s="122"/>
      <c r="P153" s="122"/>
      <c r="Q153" s="122"/>
      <c r="R153" s="122"/>
      <c r="S153" s="122"/>
      <c r="T153" s="122"/>
      <c r="U153" s="122"/>
      <c r="V153" s="122"/>
    </row>
    <row r="154" spans="1:25" ht="38.25" customHeight="1" x14ac:dyDescent="0.25">
      <c r="A154" s="38">
        <f t="shared" ref="A154:A171" si="70">IF(C154="begin group",A153+1,IF(C154="end group",A153-1,A153))</f>
        <v>2</v>
      </c>
      <c r="B154" s="38">
        <f t="shared" ref="B154:B171" si="71">IF(C154="begin repeat",B153+1,IF(C154="end repeat",B153-1,B153))</f>
        <v>0</v>
      </c>
      <c r="C154" s="7" t="s">
        <v>33</v>
      </c>
      <c r="E154" s="7"/>
      <c r="F154" s="7" t="s">
        <v>490</v>
      </c>
      <c r="H154" s="13" t="s">
        <v>592</v>
      </c>
      <c r="I154" s="43" t="s">
        <v>592</v>
      </c>
      <c r="K154" s="7" t="str">
        <f>E154&amp;IF(D153="",""," ")&amp;H154</f>
        <v xml:space="preserve"> Maintenant, je vais poser quelques questions sur votre histoire, et votre maison.</v>
      </c>
      <c r="L154" s="7" t="str">
        <f t="shared" ref="L154:L170" si="72">E154&amp;IF(E154="",""," ")&amp;I154</f>
        <v>Maintenant, je vais poser quelques questions sur votre histoire, et votre maison.</v>
      </c>
      <c r="M154" s="7"/>
      <c r="S154" s="7"/>
      <c r="T154" s="7"/>
      <c r="U154" s="7"/>
      <c r="V154" s="7"/>
      <c r="W154" s="7"/>
      <c r="X154" s="7"/>
      <c r="Y154" s="7"/>
    </row>
    <row r="155" spans="1:25" ht="20.100000000000001" customHeight="1" x14ac:dyDescent="0.25">
      <c r="A155" s="38">
        <f t="shared" si="70"/>
        <v>2</v>
      </c>
      <c r="B155" s="38">
        <f t="shared" si="71"/>
        <v>0</v>
      </c>
      <c r="C155" s="38" t="s">
        <v>239</v>
      </c>
      <c r="D155" s="38">
        <v>1</v>
      </c>
      <c r="E155" s="30" t="str">
        <f>IF(D155="","",D$153&amp;"."&amp;D155)</f>
        <v>C.1</v>
      </c>
      <c r="F155" s="38" t="s">
        <v>495</v>
      </c>
      <c r="G155" s="41" t="s">
        <v>992</v>
      </c>
      <c r="H155" s="41" t="s">
        <v>593</v>
      </c>
      <c r="I155" s="13" t="s">
        <v>673</v>
      </c>
      <c r="J155" s="38" t="str">
        <f t="shared" ref="J155:J170" si="73">E155&amp;IF(D155="",""," ")&amp;G155</f>
        <v>C.1 Was the household head born in this village?</v>
      </c>
      <c r="K155" s="7" t="str">
        <f t="shared" ref="K155:K170" si="74">E155&amp;IF(D155="",""," ")&amp;H155</f>
        <v>C.1 Est-ce que le chef de ménage est née dans le village</v>
      </c>
      <c r="L155" s="7" t="str">
        <f t="shared" si="72"/>
        <v>C.1 Je! mkubwa wa jamaa alizaliwa ndani ya kijiji hiki?</v>
      </c>
      <c r="N155" s="38"/>
      <c r="O155" s="38"/>
      <c r="P155" s="38"/>
      <c r="Q155" s="38"/>
      <c r="R155" s="38"/>
      <c r="X155" s="73" t="s">
        <v>36</v>
      </c>
    </row>
    <row r="156" spans="1:25" ht="20.100000000000001" customHeight="1" x14ac:dyDescent="0.25">
      <c r="A156" s="38">
        <f t="shared" si="70"/>
        <v>2</v>
      </c>
      <c r="B156" s="38">
        <f t="shared" si="71"/>
        <v>0</v>
      </c>
      <c r="C156" s="38" t="s">
        <v>150</v>
      </c>
      <c r="D156" s="38">
        <v>6</v>
      </c>
      <c r="E156" s="30" t="str">
        <f t="shared" ref="E156:E169" si="75">IF(D156="","",D$153&amp;"."&amp;D156)</f>
        <v>C.6</v>
      </c>
      <c r="F156" s="38" t="s">
        <v>496</v>
      </c>
      <c r="G156" s="41" t="s">
        <v>1009</v>
      </c>
      <c r="H156" s="41" t="s">
        <v>1010</v>
      </c>
      <c r="I156" s="115" t="s">
        <v>1010</v>
      </c>
      <c r="J156" s="38" t="str">
        <f t="shared" si="73"/>
        <v>C.6 When did he/she arrive in the village?</v>
      </c>
      <c r="K156" s="7" t="str">
        <f t="shared" si="74"/>
        <v>C.6 Quand est-ce qu'il/elle a arrivé dans le village?</v>
      </c>
      <c r="L156" s="7" t="str">
        <f t="shared" si="72"/>
        <v>C.6 Quand est-ce qu'il/elle a arrivé dans le village?</v>
      </c>
      <c r="N156" s="38"/>
      <c r="O156" s="38"/>
      <c r="P156" s="38"/>
      <c r="Q156" s="38"/>
      <c r="R156" s="38" t="str">
        <f>"${"&amp;F155&amp;"} = '0'"</f>
        <v>${headborn} = '0'</v>
      </c>
      <c r="X156" s="73" t="s">
        <v>36</v>
      </c>
    </row>
    <row r="157" spans="1:25" ht="20.100000000000001" customHeight="1" x14ac:dyDescent="0.25">
      <c r="A157" s="38">
        <f t="shared" si="70"/>
        <v>2</v>
      </c>
      <c r="B157" s="38">
        <f t="shared" si="71"/>
        <v>0</v>
      </c>
      <c r="C157" s="38" t="s">
        <v>151</v>
      </c>
      <c r="D157" s="38">
        <v>7</v>
      </c>
      <c r="E157" s="30" t="str">
        <f t="shared" si="75"/>
        <v>C.7</v>
      </c>
      <c r="F157" s="38" t="s">
        <v>497</v>
      </c>
      <c r="G157" s="41" t="s">
        <v>993</v>
      </c>
      <c r="H157" s="41" t="s">
        <v>594</v>
      </c>
      <c r="I157" s="13" t="s">
        <v>674</v>
      </c>
      <c r="J157" s="38" t="str">
        <f t="shared" si="73"/>
        <v>C.7 Do you or your household own or rent this dwelling/building?</v>
      </c>
      <c r="K157" s="7" t="str">
        <f t="shared" si="74"/>
        <v>C.7 Est-ce que le ménage posède ou loue la maison?</v>
      </c>
      <c r="L157" s="7" t="str">
        <f t="shared" si="72"/>
        <v>C.7 Je! wewe au jamaa lako munanyumba au munapanga?</v>
      </c>
      <c r="N157" s="38"/>
      <c r="O157" s="38"/>
      <c r="P157" s="38"/>
      <c r="Q157" s="38"/>
      <c r="R157" s="38"/>
      <c r="X157" s="73" t="s">
        <v>36</v>
      </c>
    </row>
    <row r="158" spans="1:25" ht="20.100000000000001" customHeight="1" x14ac:dyDescent="0.25">
      <c r="A158" s="38">
        <f t="shared" si="70"/>
        <v>2</v>
      </c>
      <c r="B158" s="38">
        <f t="shared" si="71"/>
        <v>0</v>
      </c>
      <c r="C158" s="38" t="s">
        <v>35</v>
      </c>
      <c r="D158" s="38">
        <v>7</v>
      </c>
      <c r="E158" s="30" t="str">
        <f t="shared" si="75"/>
        <v>C.7</v>
      </c>
      <c r="F158" s="38" t="s">
        <v>498</v>
      </c>
      <c r="G158" s="41" t="s">
        <v>994</v>
      </c>
      <c r="H158" s="41" t="s">
        <v>595</v>
      </c>
      <c r="I158" s="13" t="s">
        <v>675</v>
      </c>
      <c r="J158" s="38" t="str">
        <f t="shared" si="73"/>
        <v>C.7 How much do you pay per month for rent?</v>
      </c>
      <c r="K158" s="7" t="str">
        <f t="shared" si="74"/>
        <v>C.7 Combien est-ce que vous payez par moi pour louer?</v>
      </c>
      <c r="L158" s="7" t="str">
        <f t="shared" si="72"/>
        <v>C.7 Munalipa ngapi kwa mwezi?</v>
      </c>
      <c r="N158" s="38"/>
      <c r="O158" s="38"/>
      <c r="P158" s="38" t="s">
        <v>918</v>
      </c>
      <c r="Q158" s="38" t="s">
        <v>918</v>
      </c>
      <c r="R158" s="7" t="str">
        <f>"${"&amp;F157&amp;"}= '2'"</f>
        <v>${houseown}= '2'</v>
      </c>
      <c r="X158" s="73" t="s">
        <v>36</v>
      </c>
    </row>
    <row r="159" spans="1:25" ht="20.100000000000001" customHeight="1" x14ac:dyDescent="0.25">
      <c r="A159" s="38">
        <f t="shared" si="70"/>
        <v>2</v>
      </c>
      <c r="B159" s="38">
        <f t="shared" si="71"/>
        <v>0</v>
      </c>
      <c r="C159" s="38" t="s">
        <v>265</v>
      </c>
      <c r="D159" s="38">
        <v>8</v>
      </c>
      <c r="E159" s="30" t="str">
        <f t="shared" si="75"/>
        <v>C.8</v>
      </c>
      <c r="F159" s="38" t="s">
        <v>1011</v>
      </c>
      <c r="G159" s="41" t="s">
        <v>262</v>
      </c>
      <c r="H159" s="41" t="s">
        <v>596</v>
      </c>
      <c r="I159" s="13" t="s">
        <v>676</v>
      </c>
      <c r="J159" s="38" t="str">
        <f t="shared" si="73"/>
        <v>C.8 Units</v>
      </c>
      <c r="K159" s="7" t="str">
        <f t="shared" si="74"/>
        <v>C.8 Unités</v>
      </c>
      <c r="L159" s="7" t="str">
        <f t="shared" si="72"/>
        <v>C.8 munalipaka nini?</v>
      </c>
      <c r="N159" s="38"/>
      <c r="O159" s="38"/>
      <c r="P159" s="38"/>
      <c r="Q159" s="38"/>
      <c r="R159" s="7" t="str">
        <f>"${"&amp;F157&amp;"}= '2'"</f>
        <v>${houseown}= '2'</v>
      </c>
      <c r="T159" s="38" t="str">
        <f>"not(.='2' and ${"&amp;F158&amp;"}&lt;100)"</f>
        <v>not(.='2' and ${rentprice}&lt;100)</v>
      </c>
      <c r="X159" s="73" t="s">
        <v>36</v>
      </c>
    </row>
    <row r="160" spans="1:25" ht="20.100000000000001" customHeight="1" x14ac:dyDescent="0.25">
      <c r="A160" s="38">
        <f t="shared" si="70"/>
        <v>2</v>
      </c>
      <c r="B160" s="38">
        <f t="shared" si="71"/>
        <v>0</v>
      </c>
      <c r="C160" s="38" t="s">
        <v>152</v>
      </c>
      <c r="D160" s="38">
        <v>9</v>
      </c>
      <c r="E160" s="30" t="str">
        <f t="shared" si="75"/>
        <v>C.9</v>
      </c>
      <c r="F160" s="38" t="s">
        <v>499</v>
      </c>
      <c r="G160" s="41" t="s">
        <v>997</v>
      </c>
      <c r="H160" s="41" t="s">
        <v>597</v>
      </c>
      <c r="I160" s="13" t="s">
        <v>677</v>
      </c>
      <c r="J160" s="38" t="str">
        <f t="shared" si="73"/>
        <v>C.9 What is the major construction material of the outside walls?</v>
      </c>
      <c r="K160" s="7" t="str">
        <f t="shared" si="74"/>
        <v>C.9 Quel est le material des murs?</v>
      </c>
      <c r="L160" s="7" t="str">
        <f t="shared" si="72"/>
        <v>C.9 Vibambazi vya nyumba vimejengwa na nini?</v>
      </c>
      <c r="N160" s="38"/>
      <c r="O160" s="38" t="s">
        <v>1472</v>
      </c>
      <c r="P160" s="38" t="s">
        <v>1473</v>
      </c>
      <c r="Q160" s="38" t="s">
        <v>1473</v>
      </c>
      <c r="R160" s="38"/>
      <c r="X160" s="73" t="s">
        <v>36</v>
      </c>
    </row>
    <row r="161" spans="1:25" ht="20.100000000000001" customHeight="1" x14ac:dyDescent="0.25">
      <c r="A161" s="38">
        <f t="shared" si="70"/>
        <v>2</v>
      </c>
      <c r="B161" s="38">
        <f t="shared" si="71"/>
        <v>0</v>
      </c>
      <c r="C161" s="38" t="s">
        <v>34</v>
      </c>
      <c r="E161" s="30" t="str">
        <f t="shared" si="75"/>
        <v/>
      </c>
      <c r="F161" s="38" t="str">
        <f>F160&amp;"_oth"</f>
        <v>wallmat_oth</v>
      </c>
      <c r="G161" s="41" t="s">
        <v>82</v>
      </c>
      <c r="H161" s="41" t="s">
        <v>591</v>
      </c>
      <c r="I161" s="13" t="s">
        <v>672</v>
      </c>
      <c r="J161" s="38" t="str">
        <f t="shared" si="73"/>
        <v>Specify</v>
      </c>
      <c r="K161" s="7" t="str">
        <f t="shared" si="74"/>
        <v>Specifiez</v>
      </c>
      <c r="L161" s="7" t="str">
        <f t="shared" si="72"/>
        <v>Pana mwangaza</v>
      </c>
      <c r="N161" s="38"/>
      <c r="O161" s="38"/>
      <c r="P161" s="38"/>
      <c r="Q161" s="38"/>
      <c r="R161" s="38" t="str">
        <f>"${"&amp;F160&amp;"}='96'"</f>
        <v>${wallmat}='96'</v>
      </c>
      <c r="X161" s="73" t="s">
        <v>36</v>
      </c>
    </row>
    <row r="162" spans="1:25" ht="20.100000000000001" customHeight="1" x14ac:dyDescent="0.25">
      <c r="A162" s="38">
        <f t="shared" si="70"/>
        <v>2</v>
      </c>
      <c r="B162" s="38">
        <f t="shared" si="71"/>
        <v>0</v>
      </c>
      <c r="C162" s="38" t="s">
        <v>153</v>
      </c>
      <c r="D162" s="38">
        <v>10</v>
      </c>
      <c r="E162" s="30" t="str">
        <f t="shared" si="75"/>
        <v>C.10</v>
      </c>
      <c r="F162" s="38" t="s">
        <v>500</v>
      </c>
      <c r="G162" s="41" t="s">
        <v>998</v>
      </c>
      <c r="H162" s="41" t="s">
        <v>598</v>
      </c>
      <c r="I162" s="13" t="s">
        <v>678</v>
      </c>
      <c r="J162" s="38" t="str">
        <f t="shared" si="73"/>
        <v>C.10 What is the major material of the roof?</v>
      </c>
      <c r="K162" s="7" t="str">
        <f t="shared" si="74"/>
        <v>C.10 Quel est la nature de toiture?</v>
      </c>
      <c r="L162" s="7" t="str">
        <f t="shared" si="72"/>
        <v>C.10 Nyumba yenu inafunikiwa na nini?</v>
      </c>
      <c r="N162" s="38"/>
      <c r="O162" s="38" t="s">
        <v>1472</v>
      </c>
      <c r="P162" s="38" t="s">
        <v>1473</v>
      </c>
      <c r="Q162" s="38" t="s">
        <v>1473</v>
      </c>
      <c r="R162" s="38"/>
      <c r="X162" s="73" t="s">
        <v>36</v>
      </c>
    </row>
    <row r="163" spans="1:25" ht="20.100000000000001" customHeight="1" x14ac:dyDescent="0.25">
      <c r="A163" s="38">
        <f t="shared" si="70"/>
        <v>2</v>
      </c>
      <c r="B163" s="38">
        <f t="shared" si="71"/>
        <v>0</v>
      </c>
      <c r="C163" s="38" t="s">
        <v>34</v>
      </c>
      <c r="E163" s="30" t="str">
        <f t="shared" si="75"/>
        <v/>
      </c>
      <c r="F163" s="38" t="str">
        <f>F162&amp;"_oth"</f>
        <v>roofmat_oth</v>
      </c>
      <c r="G163" s="41" t="s">
        <v>82</v>
      </c>
      <c r="H163" s="41" t="s">
        <v>591</v>
      </c>
      <c r="I163" s="13" t="s">
        <v>672</v>
      </c>
      <c r="J163" s="38" t="str">
        <f t="shared" si="73"/>
        <v>Specify</v>
      </c>
      <c r="K163" s="7" t="str">
        <f t="shared" si="74"/>
        <v>Specifiez</v>
      </c>
      <c r="L163" s="7" t="str">
        <f t="shared" si="72"/>
        <v>Pana mwangaza</v>
      </c>
      <c r="N163" s="38"/>
      <c r="O163" s="38"/>
      <c r="P163" s="38"/>
      <c r="Q163" s="38"/>
      <c r="R163" s="38" t="str">
        <f>"${"&amp;F162&amp;"}='96'"</f>
        <v>${roofmat}='96'</v>
      </c>
      <c r="X163" s="73" t="s">
        <v>36</v>
      </c>
    </row>
    <row r="164" spans="1:25" ht="20.100000000000001" customHeight="1" x14ac:dyDescent="0.25">
      <c r="A164" s="38">
        <f t="shared" si="70"/>
        <v>2</v>
      </c>
      <c r="B164" s="38">
        <f t="shared" si="71"/>
        <v>0</v>
      </c>
      <c r="C164" s="38" t="s">
        <v>154</v>
      </c>
      <c r="D164" s="38">
        <v>11</v>
      </c>
      <c r="E164" s="30" t="str">
        <f t="shared" si="75"/>
        <v>C.11</v>
      </c>
      <c r="F164" s="38" t="s">
        <v>501</v>
      </c>
      <c r="G164" s="41" t="s">
        <v>999</v>
      </c>
      <c r="H164" s="41" t="s">
        <v>1474</v>
      </c>
      <c r="I164" s="13" t="s">
        <v>679</v>
      </c>
      <c r="J164" s="38" t="str">
        <f t="shared" si="73"/>
        <v xml:space="preserve">C.11 What is the major material of the floor? </v>
      </c>
      <c r="K164" s="7" t="str">
        <f t="shared" si="74"/>
        <v>C.11 Quel est le nature de pavement?</v>
      </c>
      <c r="L164" s="7" t="str">
        <f t="shared" si="72"/>
        <v>C.11 Sakafu inajengwa na nini?</v>
      </c>
      <c r="N164" s="38"/>
      <c r="O164" s="38" t="s">
        <v>1472</v>
      </c>
      <c r="P164" s="38" t="s">
        <v>1473</v>
      </c>
      <c r="Q164" s="38" t="s">
        <v>1473</v>
      </c>
      <c r="R164" s="38"/>
      <c r="X164" s="73" t="s">
        <v>36</v>
      </c>
    </row>
    <row r="165" spans="1:25" ht="20.100000000000001" customHeight="1" x14ac:dyDescent="0.25">
      <c r="A165" s="38">
        <f t="shared" si="70"/>
        <v>2</v>
      </c>
      <c r="B165" s="38">
        <f t="shared" si="71"/>
        <v>0</v>
      </c>
      <c r="C165" s="38" t="s">
        <v>34</v>
      </c>
      <c r="E165" s="30" t="str">
        <f t="shared" si="75"/>
        <v/>
      </c>
      <c r="F165" s="38" t="str">
        <f>F164&amp;"_oth"</f>
        <v>floormat_oth</v>
      </c>
      <c r="G165" s="41" t="s">
        <v>82</v>
      </c>
      <c r="H165" s="41" t="s">
        <v>591</v>
      </c>
      <c r="I165" s="13" t="s">
        <v>680</v>
      </c>
      <c r="J165" s="38" t="str">
        <f t="shared" si="73"/>
        <v>Specify</v>
      </c>
      <c r="K165" s="7" t="str">
        <f t="shared" si="74"/>
        <v>Specifiez</v>
      </c>
      <c r="L165" s="7" t="str">
        <f t="shared" si="72"/>
        <v>Pana mwangaza (Fafanuwa)</v>
      </c>
      <c r="N165" s="38"/>
      <c r="O165" s="38"/>
      <c r="P165" s="38"/>
      <c r="Q165" s="38"/>
      <c r="R165" s="38" t="str">
        <f>"${"&amp;F164&amp;"}='96'"</f>
        <v>${floormat}='96'</v>
      </c>
      <c r="X165" s="73" t="s">
        <v>36</v>
      </c>
    </row>
    <row r="166" spans="1:25" ht="20.100000000000001" customHeight="1" x14ac:dyDescent="0.25">
      <c r="A166" s="38">
        <f t="shared" si="70"/>
        <v>2</v>
      </c>
      <c r="B166" s="38">
        <f t="shared" si="71"/>
        <v>0</v>
      </c>
      <c r="C166" s="38" t="s">
        <v>155</v>
      </c>
      <c r="D166" s="38">
        <v>12</v>
      </c>
      <c r="E166" s="30" t="str">
        <f t="shared" si="75"/>
        <v>C.12</v>
      </c>
      <c r="F166" s="38" t="s">
        <v>503</v>
      </c>
      <c r="G166" s="41" t="s">
        <v>1000</v>
      </c>
      <c r="H166" s="41" t="s">
        <v>599</v>
      </c>
      <c r="I166" s="13" t="s">
        <v>900</v>
      </c>
      <c r="J166" s="38" t="str">
        <f t="shared" si="73"/>
        <v>C.12 What is your choice of water?</v>
      </c>
      <c r="K166" s="7" t="str">
        <f t="shared" si="74"/>
        <v>C.12 Quel est la source d’approvisionnement en eau potable principal ?</v>
      </c>
      <c r="L166" s="7" t="str">
        <f t="shared" si="72"/>
        <v>C.12 Unapata maji safi wapi?</v>
      </c>
      <c r="N166" s="38"/>
      <c r="O166" s="38"/>
      <c r="P166" s="38"/>
      <c r="Q166" s="38"/>
      <c r="R166" s="38"/>
      <c r="X166" s="73" t="s">
        <v>36</v>
      </c>
    </row>
    <row r="167" spans="1:25" ht="20.100000000000001" customHeight="1" x14ac:dyDescent="0.25">
      <c r="A167" s="38">
        <f t="shared" si="70"/>
        <v>2</v>
      </c>
      <c r="B167" s="38">
        <f t="shared" si="71"/>
        <v>0</v>
      </c>
      <c r="C167" s="38" t="s">
        <v>34</v>
      </c>
      <c r="E167" s="30" t="str">
        <f>IF(D167="","",D$153&amp;"."&amp;D167)</f>
        <v/>
      </c>
      <c r="F167" s="38" t="str">
        <f>F166&amp;"_oth"</f>
        <v>watertype_oth</v>
      </c>
      <c r="G167" s="41" t="s">
        <v>82</v>
      </c>
      <c r="H167" s="41" t="s">
        <v>591</v>
      </c>
      <c r="I167" s="13" t="s">
        <v>672</v>
      </c>
      <c r="J167" s="38" t="str">
        <f t="shared" si="73"/>
        <v>Specify</v>
      </c>
      <c r="K167" s="7" t="str">
        <f t="shared" si="74"/>
        <v>Specifiez</v>
      </c>
      <c r="L167" s="7" t="str">
        <f t="shared" si="72"/>
        <v>Pana mwangaza</v>
      </c>
      <c r="N167" s="38"/>
      <c r="O167" s="38"/>
      <c r="P167" s="38"/>
      <c r="Q167" s="38"/>
      <c r="R167" s="38" t="str">
        <f>"${"&amp;F166&amp;"}='96'"</f>
        <v>${watertype}='96'</v>
      </c>
      <c r="X167" s="73" t="s">
        <v>36</v>
      </c>
    </row>
    <row r="168" spans="1:25" ht="20.100000000000001" customHeight="1" x14ac:dyDescent="0.25">
      <c r="A168" s="38">
        <f t="shared" si="70"/>
        <v>2</v>
      </c>
      <c r="B168" s="38">
        <f t="shared" si="71"/>
        <v>0</v>
      </c>
      <c r="C168" s="38" t="s">
        <v>35</v>
      </c>
      <c r="D168" s="38">
        <v>13</v>
      </c>
      <c r="E168" s="30" t="str">
        <f t="shared" si="75"/>
        <v>C.13</v>
      </c>
      <c r="F168" s="38" t="s">
        <v>502</v>
      </c>
      <c r="G168" s="41" t="s">
        <v>1001</v>
      </c>
      <c r="H168" s="41" t="s">
        <v>600</v>
      </c>
      <c r="I168" s="13" t="s">
        <v>681</v>
      </c>
      <c r="J168" s="38" t="str">
        <f t="shared" si="73"/>
        <v>C.13 What is the distance to the used source of water?</v>
      </c>
      <c r="K168" s="7" t="str">
        <f t="shared" si="74"/>
        <v>C.13 Distance d’eau</v>
      </c>
      <c r="L168" s="7" t="str">
        <f t="shared" si="72"/>
        <v>C.13 Munafanya saa ngapi kwa kuenda kushota mayi?</v>
      </c>
      <c r="N168" s="38"/>
      <c r="O168" s="38"/>
      <c r="P168" s="38" t="s">
        <v>156</v>
      </c>
      <c r="Q168" s="38" t="s">
        <v>156</v>
      </c>
      <c r="R168" s="38" t="str">
        <f>"${"&amp;F166&amp;"}!='1'"</f>
        <v>${watertype}!='1'</v>
      </c>
      <c r="X168" s="73" t="s">
        <v>36</v>
      </c>
    </row>
    <row r="169" spans="1:25" ht="20.100000000000001" customHeight="1" x14ac:dyDescent="0.25">
      <c r="A169" s="38">
        <f t="shared" si="70"/>
        <v>2</v>
      </c>
      <c r="B169" s="38">
        <f t="shared" si="71"/>
        <v>0</v>
      </c>
      <c r="C169" s="38" t="s">
        <v>157</v>
      </c>
      <c r="D169" s="38">
        <v>14</v>
      </c>
      <c r="E169" s="30" t="str">
        <f t="shared" si="75"/>
        <v>C.14</v>
      </c>
      <c r="F169" s="38" t="s">
        <v>504</v>
      </c>
      <c r="G169" s="41" t="s">
        <v>158</v>
      </c>
      <c r="H169" s="41" t="s">
        <v>601</v>
      </c>
      <c r="I169" s="13" t="s">
        <v>682</v>
      </c>
      <c r="J169" s="38" t="str">
        <f t="shared" si="73"/>
        <v>C.14 What type of toilet do you use?</v>
      </c>
      <c r="K169" s="7" t="str">
        <f t="shared" si="74"/>
        <v>C.14 Quel est le type de toilet?</v>
      </c>
      <c r="L169" s="7" t="str">
        <f t="shared" si="72"/>
        <v>C.14 Munatumikisha aina gani ya choo?</v>
      </c>
      <c r="N169" s="38"/>
      <c r="O169" s="38" t="s">
        <v>1475</v>
      </c>
      <c r="P169" s="38" t="s">
        <v>1476</v>
      </c>
      <c r="Q169" s="38" t="s">
        <v>1476</v>
      </c>
      <c r="R169" s="38"/>
      <c r="X169" s="73" t="s">
        <v>36</v>
      </c>
    </row>
    <row r="170" spans="1:25" ht="20.100000000000001" customHeight="1" x14ac:dyDescent="0.25">
      <c r="A170" s="38">
        <f t="shared" si="70"/>
        <v>2</v>
      </c>
      <c r="B170" s="38">
        <f t="shared" si="71"/>
        <v>0</v>
      </c>
      <c r="C170" s="38" t="s">
        <v>34</v>
      </c>
      <c r="E170" s="30" t="str">
        <f>IF(D170="","",#REF!&amp;"."&amp;D170)</f>
        <v/>
      </c>
      <c r="F170" s="38" t="str">
        <f>F169&amp;"_oth"</f>
        <v>sanitation_oth</v>
      </c>
      <c r="G170" s="41" t="s">
        <v>82</v>
      </c>
      <c r="H170" s="41" t="s">
        <v>591</v>
      </c>
      <c r="I170" s="13" t="s">
        <v>672</v>
      </c>
      <c r="J170" s="38" t="str">
        <f t="shared" si="73"/>
        <v>Specify</v>
      </c>
      <c r="K170" s="7" t="str">
        <f t="shared" si="74"/>
        <v>Specifiez</v>
      </c>
      <c r="L170" s="7" t="str">
        <f t="shared" si="72"/>
        <v>Pana mwangaza</v>
      </c>
      <c r="N170" s="38"/>
      <c r="O170" s="38"/>
      <c r="P170" s="38"/>
      <c r="Q170" s="38"/>
      <c r="R170" s="38" t="str">
        <f>"${"&amp;F169&amp;"}='96'"</f>
        <v>${sanitation}='96'</v>
      </c>
      <c r="X170" s="73" t="s">
        <v>36</v>
      </c>
    </row>
    <row r="171" spans="1:25" s="21" customFormat="1" ht="20.100000000000001" customHeight="1" x14ac:dyDescent="0.25">
      <c r="A171" s="38">
        <f t="shared" si="70"/>
        <v>1</v>
      </c>
      <c r="B171" s="38">
        <f t="shared" si="71"/>
        <v>0</v>
      </c>
      <c r="C171" s="56" t="s">
        <v>40</v>
      </c>
      <c r="D171" s="56"/>
      <c r="E171" s="56"/>
      <c r="F171" s="56"/>
      <c r="G171" s="15" t="str">
        <f>G153</f>
        <v>Housing etc.</v>
      </c>
      <c r="H171" s="15"/>
      <c r="I171" s="126"/>
      <c r="J171" s="56"/>
      <c r="M171" s="18"/>
      <c r="N171" s="56"/>
      <c r="O171" s="56"/>
      <c r="P171" s="56"/>
      <c r="Q171" s="56"/>
      <c r="R171" s="56"/>
      <c r="S171" s="56"/>
      <c r="T171" s="18"/>
      <c r="U171" s="18"/>
      <c r="V171" s="18"/>
      <c r="W171" s="18"/>
      <c r="X171" s="56"/>
      <c r="Y171" s="56"/>
    </row>
    <row r="172" spans="1:25" ht="20.100000000000001" customHeight="1" x14ac:dyDescent="0.25">
      <c r="A172" s="38">
        <f t="shared" ref="A172:A190" si="76">IF(C172="begin group",A171+1,IF(C172="end group",A171-1,A171))</f>
        <v>1</v>
      </c>
      <c r="B172" s="38">
        <f t="shared" ref="B172:B190" si="77">IF(C172="begin repeat",B171+1,IF(C172="end repeat",B171-1,B171))</f>
        <v>0</v>
      </c>
      <c r="C172" s="30" t="s">
        <v>1958</v>
      </c>
      <c r="D172" s="30"/>
      <c r="E172" s="39"/>
      <c r="F172" s="30" t="s">
        <v>1933</v>
      </c>
      <c r="G172" s="29" t="s">
        <v>1959</v>
      </c>
      <c r="H172" s="29" t="s">
        <v>1960</v>
      </c>
      <c r="I172" s="29" t="s">
        <v>1960</v>
      </c>
      <c r="J172" s="30" t="str">
        <f t="shared" ref="J172:J173" si="78">E172&amp;IF(D172="",""," ")&amp;G172</f>
        <v>Over the pas two years, have you been beneficiary of a development project?</v>
      </c>
      <c r="K172" s="30" t="str">
        <f t="shared" ref="K172:K173" si="79">E172&amp;IF(D172="",""," ")&amp;H172</f>
        <v>Au cours des deux ans passés, est-ce que vous avez été beneficiaire d'un projet de developpement?</v>
      </c>
      <c r="L172" s="30" t="str">
        <f t="shared" ref="L172:L173" si="80">E172&amp;IF(E172="",""," ")&amp;I172</f>
        <v>Au cours des deux ans passés, est-ce que vous avez été beneficiaire d'un projet de developpement?</v>
      </c>
      <c r="M172" s="30"/>
      <c r="N172" s="30"/>
      <c r="O172" s="30" t="s">
        <v>1477</v>
      </c>
      <c r="P172" s="30" t="s">
        <v>1427</v>
      </c>
      <c r="Q172" s="30" t="s">
        <v>1427</v>
      </c>
      <c r="R172" s="30"/>
      <c r="S172" s="30"/>
      <c r="T172" s="7" t="s">
        <v>1471</v>
      </c>
      <c r="U172" s="30"/>
      <c r="V172" s="30"/>
      <c r="X172" s="30" t="s">
        <v>36</v>
      </c>
    </row>
    <row r="173" spans="1:25" s="36" customFormat="1" ht="20.100000000000001" customHeight="1" x14ac:dyDescent="0.25">
      <c r="A173" s="38">
        <f t="shared" si="76"/>
        <v>1</v>
      </c>
      <c r="B173" s="38">
        <f t="shared" si="77"/>
        <v>1</v>
      </c>
      <c r="C173" s="33" t="s">
        <v>244</v>
      </c>
      <c r="D173" s="33">
        <v>6</v>
      </c>
      <c r="E173" s="33"/>
      <c r="F173" s="33" t="str">
        <f>"rpt_"&amp;F172</f>
        <v>rpt_aid</v>
      </c>
      <c r="G173" s="32" t="s">
        <v>1961</v>
      </c>
      <c r="H173" s="32" t="s">
        <v>1962</v>
      </c>
      <c r="I173" s="32" t="s">
        <v>1962</v>
      </c>
      <c r="J173" s="30" t="str">
        <f t="shared" si="78"/>
        <v xml:space="preserve"> Aid</v>
      </c>
      <c r="K173" s="30" t="str">
        <f t="shared" si="79"/>
        <v xml:space="preserve"> Aide</v>
      </c>
      <c r="L173" s="30" t="str">
        <f t="shared" si="80"/>
        <v>Aide</v>
      </c>
      <c r="M173" s="33"/>
      <c r="N173" s="33"/>
      <c r="O173" s="33"/>
      <c r="P173" s="33"/>
      <c r="Q173" s="33"/>
      <c r="R173" s="122" t="str">
        <f>"not(selected(${"&amp;F172&amp;"},'0')) and not(selected(${"&amp;F172&amp;"},'97'))  and not(selected(${"&amp;F172&amp;"},'98'))"</f>
        <v>not(selected(${aid},'0')) and not(selected(${aid},'97'))  and not(selected(${aid},'98'))</v>
      </c>
      <c r="S173" s="33"/>
      <c r="U173" s="33"/>
      <c r="V173" s="33"/>
      <c r="X173" s="33"/>
      <c r="Y173" s="36" t="str">
        <f>"count-selected(${"&amp;F172&amp;"})"</f>
        <v>count-selected(${aid})</v>
      </c>
    </row>
    <row r="174" spans="1:25" customFormat="1" ht="20.100000000000001" customHeight="1" x14ac:dyDescent="0.25">
      <c r="A174" s="38">
        <f t="shared" si="76"/>
        <v>1</v>
      </c>
      <c r="B174" s="38">
        <f t="shared" si="77"/>
        <v>1</v>
      </c>
      <c r="C174" t="s">
        <v>44</v>
      </c>
      <c r="F174" s="146" t="str">
        <f>"this_"&amp;F172</f>
        <v>this_aid</v>
      </c>
      <c r="M174" t="str">
        <f>"selected-at(${"&amp;F172&amp;"},if(position(..)-1&lt;0,0, position(..)-1))"</f>
        <v>selected-at(${aid},if(position(..)-1&lt;0,0, position(..)-1))</v>
      </c>
    </row>
    <row r="175" spans="1:25" customFormat="1" ht="20.100000000000001" customHeight="1" x14ac:dyDescent="0.25">
      <c r="A175" s="38">
        <f t="shared" si="76"/>
        <v>1</v>
      </c>
      <c r="B175" s="38">
        <f t="shared" si="77"/>
        <v>1</v>
      </c>
      <c r="C175" t="s">
        <v>44</v>
      </c>
      <c r="F175" t="str">
        <f>F174&amp;"_label"</f>
        <v>this_aid_label</v>
      </c>
      <c r="M175" t="str">
        <f>"jr:choice-name(${"&amp;F174&amp;"}, '${"&amp;F172&amp;"}')"</f>
        <v>jr:choice-name(${this_aid}, '${aid}')</v>
      </c>
    </row>
    <row r="176" spans="1:25" s="129" customFormat="1" ht="20.100000000000001" customHeight="1" x14ac:dyDescent="0.25">
      <c r="A176" s="38">
        <f t="shared" si="76"/>
        <v>1</v>
      </c>
      <c r="B176" s="38">
        <f t="shared" si="77"/>
        <v>1</v>
      </c>
      <c r="C176" s="127" t="s">
        <v>33</v>
      </c>
      <c r="D176" s="127">
        <v>1</v>
      </c>
      <c r="E176" s="127"/>
      <c r="F176" s="127" t="str">
        <f>F172&amp;"_note"</f>
        <v>aid_note</v>
      </c>
      <c r="G176" s="128" t="str">
        <f>"${"&amp;F175&amp;"}"</f>
        <v>${this_aid_label}</v>
      </c>
      <c r="H176" s="128" t="str">
        <f>"${"&amp;F175&amp;"}"</f>
        <v>${this_aid_label}</v>
      </c>
      <c r="I176" s="128" t="str">
        <f>"${"&amp;F175&amp;"}"</f>
        <v>${this_aid_label}</v>
      </c>
      <c r="J176" s="127" t="str">
        <f>E176&amp;IF(D176="",""," ")&amp;G176</f>
        <v xml:space="preserve"> ${this_aid_label}</v>
      </c>
      <c r="K176" s="127" t="str">
        <f>E176&amp;IF(D176="",""," ")&amp;H176</f>
        <v xml:space="preserve"> ${this_aid_label}</v>
      </c>
      <c r="L176" s="127" t="str">
        <f>E176&amp;IF(E176="",""," ")&amp;I176</f>
        <v>${this_aid_label}</v>
      </c>
      <c r="M176" s="127"/>
      <c r="N176" s="127"/>
      <c r="O176" s="127"/>
      <c r="P176" s="127"/>
      <c r="Q176" s="127"/>
      <c r="R176" s="127"/>
      <c r="S176" s="127"/>
      <c r="T176" s="127"/>
      <c r="U176" s="127"/>
      <c r="V176" s="127"/>
    </row>
    <row r="177" spans="1:25" ht="20.100000000000001" customHeight="1" x14ac:dyDescent="0.25">
      <c r="A177" s="38">
        <f t="shared" si="76"/>
        <v>1</v>
      </c>
      <c r="B177" s="38">
        <f t="shared" si="77"/>
        <v>1</v>
      </c>
      <c r="C177" s="39" t="s">
        <v>34</v>
      </c>
      <c r="D177" s="39"/>
      <c r="E177" s="39"/>
      <c r="F177" s="39" t="s">
        <v>1963</v>
      </c>
      <c r="G177" s="63" t="s">
        <v>268</v>
      </c>
      <c r="H177" s="63" t="s">
        <v>591</v>
      </c>
      <c r="I177" s="63" t="s">
        <v>591</v>
      </c>
      <c r="J177" s="39" t="s">
        <v>268</v>
      </c>
      <c r="K177" s="7" t="str">
        <f t="shared" ref="K177" si="81">E177&amp;IF(E177="",""," ")&amp;H177</f>
        <v>Specifiez</v>
      </c>
      <c r="L177" s="7" t="str">
        <f t="shared" ref="L177" si="82">E177&amp;IF(E177="",""," ")&amp;I177</f>
        <v>Specifiez</v>
      </c>
      <c r="M177" s="2"/>
      <c r="N177" s="39"/>
      <c r="O177" s="39"/>
      <c r="P177" s="39"/>
      <c r="Q177" s="39"/>
      <c r="R177" s="39" t="str">
        <f>"${"&amp;F174&amp;"}='96'"</f>
        <v>${this_aid}='96'</v>
      </c>
      <c r="S177" s="39"/>
      <c r="T177" s="2"/>
      <c r="U177" s="2"/>
      <c r="V177" s="2"/>
      <c r="W177" s="2"/>
      <c r="X177" s="73" t="s">
        <v>36</v>
      </c>
      <c r="Y177" s="77"/>
    </row>
    <row r="178" spans="1:25" ht="20.100000000000001" customHeight="1" x14ac:dyDescent="0.25">
      <c r="A178" s="38">
        <f t="shared" si="76"/>
        <v>1</v>
      </c>
      <c r="B178" s="38">
        <f t="shared" si="77"/>
        <v>1</v>
      </c>
      <c r="C178" s="39" t="s">
        <v>34</v>
      </c>
      <c r="D178" s="39">
        <v>1</v>
      </c>
      <c r="E178" s="39"/>
      <c r="F178" s="39" t="s">
        <v>1935</v>
      </c>
      <c r="G178" s="63" t="s">
        <v>1934</v>
      </c>
      <c r="H178" s="63" t="s">
        <v>1937</v>
      </c>
      <c r="I178" s="65" t="str">
        <f>"Quelle quanitité de ${"&amp;F175&amp;"} est-ce que vous avez utilisé?"</f>
        <v>Quelle quanitité de ${this_aid_label} est-ce que vous avez utilisé?</v>
      </c>
      <c r="J178" s="30" t="str">
        <f t="shared" ref="J178" si="83">E178&amp;IF(D178="",""," ")&amp;G178</f>
        <v xml:space="preserve"> What was the name of the ngo?</v>
      </c>
      <c r="K178" s="30" t="str">
        <f t="shared" ref="K178" si="84">E178&amp;IF(D178="",""," ")&amp;H178</f>
        <v xml:space="preserve"> Quel est le nom de l'ONG dans ce secteur?</v>
      </c>
      <c r="L178" s="30" t="str">
        <f t="shared" ref="L178" si="85">E178&amp;IF(E178="",""," ")&amp;I178</f>
        <v>Quelle quanitité de ${this_aid_label} est-ce que vous avez utilisé?</v>
      </c>
      <c r="M178" s="2"/>
      <c r="N178" s="39"/>
      <c r="O178" s="39"/>
      <c r="P178" s="39"/>
      <c r="Q178" s="39"/>
      <c r="R178" s="39"/>
      <c r="S178" s="39"/>
      <c r="T178" s="2"/>
      <c r="U178" s="2"/>
      <c r="V178" s="2"/>
      <c r="W178" s="2"/>
      <c r="X178" s="73" t="s">
        <v>36</v>
      </c>
      <c r="Y178" s="39"/>
    </row>
    <row r="179" spans="1:25" ht="20.100000000000001" customHeight="1" x14ac:dyDescent="0.25">
      <c r="A179" s="38">
        <f t="shared" si="76"/>
        <v>1</v>
      </c>
      <c r="B179" s="38">
        <f t="shared" si="77"/>
        <v>1</v>
      </c>
      <c r="C179" s="39" t="s">
        <v>2037</v>
      </c>
      <c r="D179" s="39"/>
      <c r="E179" s="39"/>
      <c r="F179" s="39" t="s">
        <v>1936</v>
      </c>
      <c r="G179" s="13" t="s">
        <v>1939</v>
      </c>
      <c r="H179" s="63" t="s">
        <v>1938</v>
      </c>
      <c r="I179" s="63" t="s">
        <v>1938</v>
      </c>
      <c r="J179" s="30" t="str">
        <f t="shared" ref="J179:J180" si="86">E179&amp;IF(D179="",""," ")&amp;G179</f>
        <v>What did the project consist of?</v>
      </c>
      <c r="K179" s="30" t="str">
        <f t="shared" ref="K179:K180" si="87">E179&amp;IF(D179="",""," ")&amp;H179</f>
        <v>Le projet consistait en quoi?</v>
      </c>
      <c r="L179" s="30" t="str">
        <f t="shared" ref="L179:L180" si="88">E179&amp;IF(E179="",""," ")&amp;I179</f>
        <v>Le projet consistait en quoi?</v>
      </c>
      <c r="M179" s="2"/>
      <c r="N179" s="39"/>
      <c r="O179" s="39"/>
      <c r="P179" s="39"/>
      <c r="Q179" s="39"/>
      <c r="R179" s="39"/>
      <c r="S179" s="39"/>
      <c r="T179" s="2"/>
      <c r="U179" s="2"/>
      <c r="V179" s="2"/>
      <c r="W179" s="2"/>
      <c r="X179" s="73" t="s">
        <v>36</v>
      </c>
      <c r="Y179" s="39"/>
    </row>
    <row r="180" spans="1:25" ht="20.100000000000001" customHeight="1" x14ac:dyDescent="0.25">
      <c r="A180" s="38">
        <f t="shared" si="76"/>
        <v>1</v>
      </c>
      <c r="B180" s="38">
        <f t="shared" si="77"/>
        <v>1</v>
      </c>
      <c r="C180" s="39" t="s">
        <v>34</v>
      </c>
      <c r="D180" s="39"/>
      <c r="E180" s="39"/>
      <c r="F180" s="39" t="s">
        <v>1964</v>
      </c>
      <c r="G180" s="63" t="s">
        <v>268</v>
      </c>
      <c r="H180" s="63" t="s">
        <v>591</v>
      </c>
      <c r="I180" s="63" t="s">
        <v>591</v>
      </c>
      <c r="J180" s="30" t="str">
        <f t="shared" si="86"/>
        <v>specify other</v>
      </c>
      <c r="K180" s="30" t="str">
        <f t="shared" si="87"/>
        <v>Specifiez</v>
      </c>
      <c r="L180" s="30" t="str">
        <f t="shared" si="88"/>
        <v>Specifiez</v>
      </c>
      <c r="M180" s="2"/>
      <c r="N180" s="39"/>
      <c r="O180" s="39"/>
      <c r="P180" s="39"/>
      <c r="Q180" s="39"/>
      <c r="R180" s="39" t="str">
        <f>"selected(${"&amp;F179&amp;"},'96')"</f>
        <v>selected(${aid_desc},'96')</v>
      </c>
      <c r="S180" s="39"/>
      <c r="T180" s="2"/>
      <c r="U180" s="2"/>
      <c r="V180" s="2"/>
      <c r="W180" s="2"/>
      <c r="X180" s="73" t="s">
        <v>36</v>
      </c>
      <c r="Y180" s="39"/>
    </row>
    <row r="181" spans="1:25" s="40" customFormat="1" ht="20.100000000000001" customHeight="1" x14ac:dyDescent="0.25">
      <c r="A181" s="38">
        <f t="shared" si="76"/>
        <v>1</v>
      </c>
      <c r="B181" s="38">
        <f t="shared" si="77"/>
        <v>0</v>
      </c>
      <c r="C181" s="35" t="s">
        <v>287</v>
      </c>
      <c r="D181" s="35"/>
      <c r="E181" s="35"/>
      <c r="F181" s="147"/>
      <c r="G181" s="34"/>
      <c r="H181" s="34"/>
      <c r="I181" s="34"/>
      <c r="J181" s="35"/>
      <c r="K181" s="35"/>
      <c r="L181" s="35"/>
      <c r="M181" s="35"/>
      <c r="N181" s="35"/>
      <c r="O181" s="35"/>
      <c r="P181" s="35"/>
      <c r="Q181" s="35"/>
      <c r="R181" s="35"/>
      <c r="S181" s="35"/>
      <c r="T181" s="35"/>
      <c r="U181" s="35"/>
      <c r="V181" s="35"/>
      <c r="X181" s="35"/>
    </row>
    <row r="182" spans="1:25" ht="20.100000000000001" customHeight="1" x14ac:dyDescent="0.25">
      <c r="A182" s="38">
        <f t="shared" ref="A182" si="89">IF(C182="begin group",A181+1,IF(C182="end group",A181-1,A181))</f>
        <v>1</v>
      </c>
      <c r="B182" s="38">
        <f t="shared" ref="B182" si="90">IF(C182="begin repeat",B181+1,IF(C182="end repeat",B181-1,B181))</f>
        <v>0</v>
      </c>
      <c r="C182" s="30" t="s">
        <v>159</v>
      </c>
      <c r="D182" s="30"/>
      <c r="E182" s="39"/>
      <c r="F182" s="30" t="s">
        <v>2057</v>
      </c>
      <c r="G182" s="29" t="s">
        <v>2058</v>
      </c>
      <c r="H182" s="29" t="s">
        <v>2059</v>
      </c>
      <c r="I182" s="29" t="s">
        <v>2059</v>
      </c>
      <c r="J182" s="30" t="str">
        <f t="shared" ref="J182" si="91">E182&amp;IF(D182="",""," ")&amp;G182</f>
        <v>Which of the following durable goods does your household own?</v>
      </c>
      <c r="K182" s="30" t="str">
        <f t="shared" ref="K182" si="92">E182&amp;IF(D182="",""," ")&amp;H182</f>
        <v>Quels des biens suivants possede votre ménage?</v>
      </c>
      <c r="L182" s="30" t="str">
        <f t="shared" ref="L182" si="93">E182&amp;IF(E182="",""," ")&amp;I182</f>
        <v>Quels des biens suivants possede votre ménage?</v>
      </c>
      <c r="M182" s="30"/>
      <c r="N182" s="30"/>
      <c r="O182" s="30" t="s">
        <v>1477</v>
      </c>
      <c r="P182" s="30" t="s">
        <v>1427</v>
      </c>
      <c r="Q182" s="30" t="s">
        <v>1476</v>
      </c>
      <c r="R182" s="30"/>
      <c r="S182" s="30"/>
      <c r="T182" s="7" t="s">
        <v>1471</v>
      </c>
      <c r="U182" s="30"/>
      <c r="V182" s="30"/>
      <c r="X182" s="30" t="s">
        <v>36</v>
      </c>
    </row>
    <row r="183" spans="1:25" s="36" customFormat="1" ht="48.75" customHeight="1" x14ac:dyDescent="0.25">
      <c r="A183" s="38">
        <f>IF(C183="begin group",A181+1,IF(C183="end group",A181-1,A181))</f>
        <v>1</v>
      </c>
      <c r="B183" s="38">
        <f>IF(C183="begin repeat",B181+1,IF(C183="end repeat",B181-1,B181))</f>
        <v>1</v>
      </c>
      <c r="C183" s="33" t="s">
        <v>244</v>
      </c>
      <c r="D183" s="33"/>
      <c r="E183" s="33"/>
      <c r="F183" s="33" t="s">
        <v>1478</v>
      </c>
      <c r="G183" s="32" t="s">
        <v>1479</v>
      </c>
      <c r="H183" s="32" t="s">
        <v>1123</v>
      </c>
      <c r="I183" s="32" t="s">
        <v>1123</v>
      </c>
      <c r="J183" s="30" t="str">
        <f t="shared" ref="J183" si="94">E183&amp;IF(D183="",""," ")&amp;G183</f>
        <v>Durable Goods</v>
      </c>
      <c r="K183" s="30" t="str">
        <f t="shared" ref="K183" si="95">E183&amp;IF(D183="",""," ")&amp;H183</f>
        <v>Biens Durables</v>
      </c>
      <c r="L183" s="30" t="str">
        <f t="shared" ref="L183" si="96">E183&amp;IF(E183="",""," ")&amp;I183</f>
        <v>Biens Durables</v>
      </c>
      <c r="M183" s="33"/>
      <c r="N183" s="33"/>
      <c r="O183" s="33"/>
      <c r="P183" s="33"/>
      <c r="Q183" s="33"/>
      <c r="R183" s="122" t="str">
        <f>"not(selected(${"&amp;F182&amp;"},'0')) and not(selected(${"&amp;F182&amp;"},'97'))  and not(selected(${"&amp;F182&amp;"},'98'))"</f>
        <v>not(selected(${assets},'0')) and not(selected(${assets},'97'))  and not(selected(${assets},'98'))</v>
      </c>
      <c r="S183" s="33"/>
      <c r="U183" s="33"/>
      <c r="V183" s="33"/>
      <c r="X183" s="33"/>
      <c r="Y183" s="36" t="str">
        <f>"count-selected(${"&amp;F182&amp;"})"</f>
        <v>count-selected(${assets})</v>
      </c>
    </row>
    <row r="184" spans="1:25" customFormat="1" ht="20.100000000000001" customHeight="1" x14ac:dyDescent="0.25">
      <c r="A184" s="38">
        <f t="shared" si="76"/>
        <v>1</v>
      </c>
      <c r="B184" s="38">
        <f t="shared" si="77"/>
        <v>1</v>
      </c>
      <c r="C184" t="s">
        <v>44</v>
      </c>
      <c r="F184" s="146" t="s">
        <v>1480</v>
      </c>
      <c r="M184" t="str">
        <f>"selected-at(${"&amp;F182&amp;"},if(position(..)-1&lt;0,0, position(..)-1))"</f>
        <v>selected-at(${assets},if(position(..)-1&lt;0,0, position(..)-1))</v>
      </c>
    </row>
    <row r="185" spans="1:25" customFormat="1" ht="20.100000000000001" customHeight="1" x14ac:dyDescent="0.25">
      <c r="A185" s="38">
        <f t="shared" si="76"/>
        <v>1</v>
      </c>
      <c r="B185" s="38">
        <f t="shared" si="77"/>
        <v>1</v>
      </c>
      <c r="C185" t="s">
        <v>44</v>
      </c>
      <c r="F185" t="s">
        <v>1481</v>
      </c>
      <c r="M185" t="str">
        <f>"jr:choice-name(${"&amp;F184&amp;"}, '${"&amp;F182&amp;"}')"</f>
        <v>jr:choice-name(${this_asset}, '${assets}')</v>
      </c>
    </row>
    <row r="186" spans="1:25" s="129" customFormat="1" ht="20.100000000000001" customHeight="1" x14ac:dyDescent="0.25">
      <c r="A186" s="38">
        <f t="shared" si="76"/>
        <v>1</v>
      </c>
      <c r="B186" s="38">
        <f t="shared" si="77"/>
        <v>1</v>
      </c>
      <c r="C186" s="127" t="s">
        <v>33</v>
      </c>
      <c r="D186" s="127">
        <v>1</v>
      </c>
      <c r="E186" s="127"/>
      <c r="F186" s="127" t="s">
        <v>1482</v>
      </c>
      <c r="G186" s="128" t="str">
        <f>"${"&amp;F185&amp;"}"</f>
        <v>${this_asset_label}</v>
      </c>
      <c r="H186" s="128" t="str">
        <f>"${"&amp;F185&amp;"}"</f>
        <v>${this_asset_label}</v>
      </c>
      <c r="I186" s="128" t="str">
        <f>"${"&amp;F185&amp;"}"</f>
        <v>${this_asset_label}</v>
      </c>
      <c r="J186" s="127" t="str">
        <f>E186&amp;IF(D186="",""," ")&amp;G186</f>
        <v xml:space="preserve"> ${this_asset_label}</v>
      </c>
      <c r="K186" s="127" t="str">
        <f>E186&amp;IF(D186="",""," ")&amp;H186</f>
        <v xml:space="preserve"> ${this_asset_label}</v>
      </c>
      <c r="L186" s="127" t="str">
        <f>E186&amp;IF(E186="",""," ")&amp;I186</f>
        <v>${this_asset_label}</v>
      </c>
      <c r="M186" s="127"/>
      <c r="N186" s="127"/>
      <c r="O186" s="127"/>
      <c r="P186" s="127"/>
      <c r="Q186" s="127"/>
      <c r="R186" s="127"/>
      <c r="S186" s="127"/>
      <c r="T186" s="127"/>
      <c r="U186" s="127"/>
      <c r="V186" s="127"/>
    </row>
    <row r="187" spans="1:25" customFormat="1" ht="20.100000000000001" customHeight="1" x14ac:dyDescent="0.25">
      <c r="A187" s="38">
        <f t="shared" si="76"/>
        <v>1</v>
      </c>
      <c r="B187" s="38">
        <f t="shared" si="77"/>
        <v>1</v>
      </c>
      <c r="C187" s="30" t="s">
        <v>35</v>
      </c>
      <c r="D187">
        <v>1</v>
      </c>
      <c r="F187" t="s">
        <v>1483</v>
      </c>
      <c r="G187" t="str">
        <f>"How many ${"&amp;F185&amp;"} do you own?"</f>
        <v>How many ${this_asset_label} do you own?</v>
      </c>
      <c r="H187" t="str">
        <f>"Combien de ${"&amp;F185&amp;"} possède le ménage?"</f>
        <v>Combien de ${this_asset_label} possède le ménage?</v>
      </c>
      <c r="I187" t="str">
        <f>"Combien de ${"&amp;F185&amp;"} possède le ménage?"</f>
        <v>Combien de ${this_asset_label} possède le ménage?</v>
      </c>
      <c r="J187" s="30" t="str">
        <f t="shared" ref="J187:J188" si="97">E187&amp;IF(D187="",""," ")&amp;G187</f>
        <v xml:space="preserve"> How many ${this_asset_label} do you own?</v>
      </c>
      <c r="K187" s="30" t="str">
        <f t="shared" ref="K187:K188" si="98">E187&amp;IF(D187="",""," ")&amp;H187</f>
        <v xml:space="preserve"> Combien de ${this_asset_label} possède le ménage?</v>
      </c>
      <c r="L187" s="30" t="str">
        <f t="shared" ref="L187:L188" si="99">E187&amp;IF(E187="",""," ")&amp;I187</f>
        <v>Combien de ${this_asset_label} possède le ménage?</v>
      </c>
      <c r="T187" t="s">
        <v>1484</v>
      </c>
      <c r="X187" t="s">
        <v>36</v>
      </c>
    </row>
    <row r="188" spans="1:25" ht="20.100000000000001" customHeight="1" x14ac:dyDescent="0.25">
      <c r="A188" s="38">
        <f t="shared" si="76"/>
        <v>1</v>
      </c>
      <c r="B188" s="38">
        <f t="shared" si="77"/>
        <v>1</v>
      </c>
      <c r="C188" s="30" t="s">
        <v>253</v>
      </c>
      <c r="D188" s="30">
        <v>2</v>
      </c>
      <c r="E188"/>
      <c r="F188" t="s">
        <v>1485</v>
      </c>
      <c r="G188" s="29" t="str">
        <f>"What is the value of the household's (${"&amp;F185&amp;"}) if you were to replace them today?"</f>
        <v>What is the value of the household's (${this_asset_label}) if you were to replace them today?</v>
      </c>
      <c r="H188" s="29" t="str">
        <f>"Quel est le valeur de tous les ${"&amp;F185&amp;"}s du ménage si on doit acheter les remplaçants au jour d'hui?"</f>
        <v>Quel est le valeur de tous les ${this_asset_label}s du ménage si on doit acheter les remplaçants au jour d'hui?</v>
      </c>
      <c r="I188" s="29" t="str">
        <f>"Quel est le valeur de tous les ${"&amp;F185&amp;"}s du ménage si on doit acheter les remplaçants au jour d'hui?"</f>
        <v>Quel est le valeur de tous les ${this_asset_label}s du ménage si on doit acheter les remplaçants au jour d'hui?</v>
      </c>
      <c r="J188" s="30" t="str">
        <f t="shared" si="97"/>
        <v xml:space="preserve"> What is the value of the household's (${this_asset_label}) if you were to replace them today?</v>
      </c>
      <c r="K188" s="30" t="str">
        <f t="shared" si="98"/>
        <v xml:space="preserve"> Quel est le valeur de tous les ${this_asset_label}s du ménage si on doit acheter les remplaçants au jour d'hui?</v>
      </c>
      <c r="L188" s="30" t="str">
        <f t="shared" si="99"/>
        <v>Quel est le valeur de tous les ${this_asset_label}s du ménage si on doit acheter les remplaçants au jour d'hui?</v>
      </c>
      <c r="M188" s="30"/>
      <c r="N188" s="30"/>
      <c r="O188" s="30" t="s">
        <v>1658</v>
      </c>
      <c r="P188" s="30" t="s">
        <v>2038</v>
      </c>
      <c r="Q188" s="30" t="s">
        <v>2038</v>
      </c>
      <c r="R188" s="30"/>
      <c r="S188" s="30"/>
      <c r="T188" s="30" t="s">
        <v>1486</v>
      </c>
      <c r="U188" s="30"/>
      <c r="V188" s="30"/>
      <c r="X188" t="s">
        <v>36</v>
      </c>
    </row>
    <row r="189" spans="1:25" customFormat="1" ht="20.100000000000001" customHeight="1" x14ac:dyDescent="0.25">
      <c r="A189" s="38">
        <f t="shared" si="76"/>
        <v>1</v>
      </c>
      <c r="B189" s="38">
        <f t="shared" si="77"/>
        <v>1</v>
      </c>
      <c r="C189" s="72" t="s">
        <v>265</v>
      </c>
      <c r="F189" t="str">
        <f>F188&amp;"_curr"</f>
        <v>asset_value_curr</v>
      </c>
      <c r="G189" t="s">
        <v>262</v>
      </c>
      <c r="H189" t="s">
        <v>596</v>
      </c>
      <c r="I189" t="s">
        <v>596</v>
      </c>
      <c r="J189" s="30" t="str">
        <f t="shared" ref="J189" si="100">E189&amp;IF(D189="",""," ")&amp;G189</f>
        <v>Units</v>
      </c>
      <c r="K189" s="30" t="str">
        <f t="shared" ref="K189" si="101">E189&amp;IF(D189="",""," ")&amp;H189</f>
        <v>Unités</v>
      </c>
      <c r="L189" s="30" t="str">
        <f t="shared" ref="L189" si="102">E189&amp;IF(E189="",""," ")&amp;I189</f>
        <v>Unités</v>
      </c>
      <c r="O189" s="30"/>
      <c r="P189" s="30"/>
      <c r="Q189" s="30"/>
      <c r="R189" t="str">
        <f>"${"&amp;F188&amp;"}!=0 and ${"&amp;F188&amp;"}!=98"</f>
        <v>${asset_value}!=0 and ${asset_value}!=98</v>
      </c>
      <c r="T189" s="38" t="str">
        <f>"not(.='2' and ${"&amp;F188&amp;"}&lt;100)"</f>
        <v>not(.='2' and ${asset_value}&lt;100)</v>
      </c>
      <c r="X189" t="s">
        <v>36</v>
      </c>
    </row>
    <row r="190" spans="1:25" s="40" customFormat="1" ht="20.100000000000001" customHeight="1" x14ac:dyDescent="0.25">
      <c r="A190" s="38">
        <f t="shared" si="76"/>
        <v>1</v>
      </c>
      <c r="B190" s="38">
        <f t="shared" si="77"/>
        <v>0</v>
      </c>
      <c r="C190" s="35" t="s">
        <v>287</v>
      </c>
      <c r="D190" s="35"/>
      <c r="E190" s="35"/>
      <c r="F190" s="147"/>
      <c r="G190" s="34"/>
      <c r="H190" s="34"/>
      <c r="I190" s="34"/>
      <c r="J190" s="35"/>
      <c r="K190" s="35"/>
      <c r="L190" s="35"/>
      <c r="M190" s="35"/>
      <c r="N190" s="35"/>
      <c r="O190" s="35"/>
      <c r="P190" s="35"/>
      <c r="Q190" s="35"/>
      <c r="R190" s="35"/>
      <c r="S190" s="35"/>
      <c r="T190" s="35"/>
      <c r="U190" s="35"/>
      <c r="V190" s="35"/>
      <c r="X190" s="35"/>
    </row>
    <row r="191" spans="1:25" s="17" customFormat="1" ht="20.100000000000001" customHeight="1" x14ac:dyDescent="0.25">
      <c r="A191" s="38">
        <f t="shared" ref="A191:A254" si="103">IF(C191="begin group",A190+1,IF(C191="end group",A190-1,A190))</f>
        <v>2</v>
      </c>
      <c r="B191" s="38">
        <f t="shared" ref="B191:B254" si="104">IF(C191="begin repeat",B190+1,IF(C191="end repeat",B190-1,B190))</f>
        <v>0</v>
      </c>
      <c r="C191" s="122" t="s">
        <v>32</v>
      </c>
      <c r="D191" s="17" t="s">
        <v>532</v>
      </c>
      <c r="E191" s="122"/>
      <c r="F191" s="122" t="str">
        <f>LOWER(D191)&amp;"_"</f>
        <v>e_</v>
      </c>
      <c r="G191" s="123" t="s">
        <v>550</v>
      </c>
      <c r="H191" s="123" t="s">
        <v>550</v>
      </c>
      <c r="I191" s="123" t="s">
        <v>550</v>
      </c>
      <c r="J191" s="122" t="str">
        <f>E191&amp;IF(D191="",""," ")&amp;G191</f>
        <v xml:space="preserve"> Agriculture</v>
      </c>
      <c r="K191" s="122" t="str">
        <f>E191&amp;IF(D191="",""," ")&amp;H191</f>
        <v xml:space="preserve"> Agriculture</v>
      </c>
      <c r="L191" s="122" t="str">
        <f>E191&amp;IF(E191="",""," ")&amp;I191</f>
        <v>Agriculture</v>
      </c>
      <c r="M191" s="122"/>
      <c r="N191" s="122"/>
      <c r="O191" s="122"/>
      <c r="P191" s="122"/>
      <c r="Q191" s="122"/>
      <c r="R191" s="122"/>
      <c r="S191" s="122"/>
      <c r="T191" s="122"/>
      <c r="U191" s="122"/>
      <c r="V191" s="122"/>
    </row>
    <row r="192" spans="1:25" customFormat="1" ht="20.100000000000001" customHeight="1" x14ac:dyDescent="0.25">
      <c r="A192" s="38">
        <f t="shared" si="103"/>
        <v>2</v>
      </c>
      <c r="B192" s="38">
        <f t="shared" si="104"/>
        <v>0</v>
      </c>
      <c r="C192" s="72" t="s">
        <v>33</v>
      </c>
      <c r="F192" t="s">
        <v>1534</v>
      </c>
      <c r="G192" t="s">
        <v>1532</v>
      </c>
      <c r="H192" t="s">
        <v>1533</v>
      </c>
      <c r="I192" t="s">
        <v>1533</v>
      </c>
      <c r="J192" s="30" t="str">
        <f t="shared" ref="J192" si="105">E192&amp;IF(D192="",""," ")&amp;G192</f>
        <v>Now I will ask some questions about the agricultural production of your Household</v>
      </c>
      <c r="K192" s="30" t="str">
        <f t="shared" ref="K192" si="106">E192&amp;IF(D192="",""," ")&amp;H192</f>
        <v>Maintenant, je vais poser quelques questions sur la production agricole dans votre ménage.</v>
      </c>
      <c r="L192" s="30" t="str">
        <f t="shared" ref="L192" si="107">E192&amp;IF(E192="",""," ")&amp;I192</f>
        <v>Maintenant, je vais poser quelques questions sur la production agricole dans votre ménage.</v>
      </c>
    </row>
    <row r="193" spans="1:25" ht="20.100000000000001" customHeight="1" x14ac:dyDescent="0.25">
      <c r="A193" s="38">
        <f t="shared" si="103"/>
        <v>2</v>
      </c>
      <c r="B193" s="38">
        <f t="shared" si="104"/>
        <v>0</v>
      </c>
      <c r="C193" s="45" t="s">
        <v>33</v>
      </c>
      <c r="D193" s="7"/>
      <c r="F193" s="45" t="s">
        <v>240</v>
      </c>
      <c r="G193" s="64" t="s">
        <v>241</v>
      </c>
      <c r="H193" s="64" t="s">
        <v>2048</v>
      </c>
      <c r="I193" s="64" t="s">
        <v>2048</v>
      </c>
      <c r="J193" s="38" t="str">
        <f>E193&amp;IF(D193="",""," ")&amp;G193</f>
        <v>Please, put these markers on the ground to make a map of all the land your household owns, or has access to for farming</v>
      </c>
      <c r="K193" s="7" t="str">
        <f>E193&amp;IF(D193="",""," ")&amp;H193</f>
        <v>Mettez ces boules par terre: un boule pour chaque champs que votre ménage possède. Si vous voulez, vous pouvez faire une carte.</v>
      </c>
      <c r="L193" s="7" t="str">
        <f>F193&amp;IF(E193="",""," ")&amp;I193</f>
        <v>instr_plotsMettez ces boules par terre: un boule pour chaque champs que votre ménage possède. Si vous voulez, vous pouvez faire une carte.</v>
      </c>
      <c r="M193" s="46"/>
      <c r="N193" s="45"/>
      <c r="O193" s="45"/>
      <c r="P193" s="45" t="s">
        <v>1918</v>
      </c>
      <c r="Q193" s="45" t="s">
        <v>1918</v>
      </c>
      <c r="R193" s="45"/>
      <c r="S193" s="46"/>
      <c r="T193" s="45" t="s">
        <v>538</v>
      </c>
      <c r="U193" s="45"/>
      <c r="V193" s="45" t="s">
        <v>539</v>
      </c>
      <c r="W193" s="45" t="s">
        <v>539</v>
      </c>
      <c r="X193" s="44"/>
      <c r="Y193" s="74"/>
    </row>
    <row r="194" spans="1:25" ht="20.100000000000001" customHeight="1" x14ac:dyDescent="0.25">
      <c r="A194" s="38">
        <f t="shared" si="103"/>
        <v>2</v>
      </c>
      <c r="B194" s="38">
        <f t="shared" si="104"/>
        <v>0</v>
      </c>
      <c r="C194" s="39" t="s">
        <v>35</v>
      </c>
      <c r="D194" s="39">
        <v>1.1000000000000001</v>
      </c>
      <c r="E194" s="30" t="str">
        <f>IF(D194="","",D$191&amp;"."&amp;D194)</f>
        <v>E.1.1</v>
      </c>
      <c r="F194" s="39" t="s">
        <v>507</v>
      </c>
      <c r="G194" s="63" t="s">
        <v>242</v>
      </c>
      <c r="H194" s="63" t="s">
        <v>602</v>
      </c>
      <c r="I194" s="65" t="s">
        <v>683</v>
      </c>
      <c r="J194" s="38" t="str">
        <f>E194&amp;IF(D194="",""," ")&amp;G194</f>
        <v>E.1.1 How many plots do you have?</v>
      </c>
      <c r="K194" s="7" t="str">
        <f>E194&amp;IF(D194="",""," ")&amp;H194</f>
        <v>E.1.1 Combien des champs avez-vous?</v>
      </c>
      <c r="L194" s="7" t="str">
        <f>E194&amp;IF(E194="",""," ")&amp;I194</f>
        <v>E.1.1 Una shamba ngapi?</v>
      </c>
      <c r="M194" s="2"/>
      <c r="N194" s="39"/>
      <c r="O194" s="39"/>
      <c r="P194" s="39" t="s">
        <v>968</v>
      </c>
      <c r="Q194" s="39" t="s">
        <v>968</v>
      </c>
      <c r="R194" s="39"/>
      <c r="S194" s="39"/>
      <c r="T194" s="2" t="s">
        <v>243</v>
      </c>
      <c r="U194" s="2"/>
      <c r="V194" s="2"/>
      <c r="W194" s="2"/>
      <c r="X194" s="73" t="s">
        <v>36</v>
      </c>
      <c r="Y194" s="39"/>
    </row>
    <row r="195" spans="1:25" ht="20.100000000000001" customHeight="1" x14ac:dyDescent="0.25">
      <c r="A195" s="38">
        <f t="shared" si="103"/>
        <v>2</v>
      </c>
      <c r="B195" s="38">
        <f t="shared" si="104"/>
        <v>0</v>
      </c>
      <c r="C195" s="39" t="s">
        <v>44</v>
      </c>
      <c r="D195" s="39"/>
      <c r="E195" s="39"/>
      <c r="F195" s="39" t="s">
        <v>965</v>
      </c>
      <c r="G195" s="63"/>
      <c r="H195" s="63"/>
      <c r="I195" s="65"/>
      <c r="J195" s="39"/>
      <c r="M195" s="2" t="str">
        <f>"if(${"&amp;F194&amp;"}&gt;3,3,${"&amp;F194&amp;"})"</f>
        <v>if(${numberplots}&gt;3,3,${numberplots})</v>
      </c>
      <c r="N195" s="39"/>
      <c r="O195" s="39"/>
      <c r="P195" s="39"/>
      <c r="Q195" s="39"/>
      <c r="R195" s="39"/>
      <c r="S195" s="39"/>
      <c r="T195" s="2"/>
      <c r="U195" s="2"/>
      <c r="V195" s="2"/>
      <c r="W195" s="2"/>
      <c r="X195" s="73"/>
      <c r="Y195" s="39"/>
    </row>
    <row r="196" spans="1:25" ht="20.100000000000001" customHeight="1" x14ac:dyDescent="0.25">
      <c r="A196" s="38">
        <f t="shared" si="103"/>
        <v>2</v>
      </c>
      <c r="B196" s="38">
        <f t="shared" si="104"/>
        <v>0</v>
      </c>
      <c r="C196" s="39" t="s">
        <v>33</v>
      </c>
      <c r="D196" s="39"/>
      <c r="E196" s="39"/>
      <c r="F196" s="39" t="s">
        <v>669</v>
      </c>
      <c r="G196" s="63" t="s">
        <v>651</v>
      </c>
      <c r="H196" s="63" t="s">
        <v>2046</v>
      </c>
      <c r="I196" s="63" t="s">
        <v>2046</v>
      </c>
      <c r="J196" s="38" t="str">
        <f>E196&amp;IF(D196="",""," ")&amp;G196</f>
        <v>For every marker I will ask questions</v>
      </c>
      <c r="K196" s="7" t="str">
        <f>E196&amp;IF(D196="",""," ")&amp;H196</f>
        <v>Pour chaque boule je vais poser des questions. Tous les questions sont sur la saison actuel.  Je commence avec le champ principal, c'est à dire le champ le plus important pour votre ménage. Après on prende le prochaine boule, pour répeter les questions pour un autre champ.</v>
      </c>
      <c r="L196" s="7" t="str">
        <f>E196&amp;IF(E196="",""," ")&amp;I196</f>
        <v>Pour chaque boule je vais poser des questions. Tous les questions sont sur la saison actuel.  Je commence avec le champ principal, c'est à dire le champ le plus important pour votre ménage. Après on prende le prochaine boule, pour répeter les questions pour un autre champ.</v>
      </c>
      <c r="M196" s="2"/>
      <c r="N196" s="39"/>
      <c r="O196" s="39"/>
      <c r="P196" s="39"/>
      <c r="Q196" s="39"/>
      <c r="R196" s="39" t="str">
        <f>"${"&amp;F194&amp;"}&gt;0 and ${"&amp;F194&amp;"}&lt;=3"</f>
        <v>${numberplots}&gt;0 and ${numberplots}&lt;=3</v>
      </c>
      <c r="S196" s="39"/>
      <c r="T196" s="2"/>
      <c r="U196" s="2"/>
      <c r="V196" s="2"/>
      <c r="W196" s="2"/>
      <c r="X196" s="39"/>
      <c r="Y196" s="39"/>
    </row>
    <row r="197" spans="1:25" ht="20.100000000000001" customHeight="1" x14ac:dyDescent="0.25">
      <c r="A197" s="38">
        <f t="shared" si="103"/>
        <v>2</v>
      </c>
      <c r="B197" s="38">
        <f t="shared" si="104"/>
        <v>0</v>
      </c>
      <c r="C197" s="39" t="s">
        <v>33</v>
      </c>
      <c r="D197" s="39"/>
      <c r="E197" s="39"/>
      <c r="F197" s="39" t="s">
        <v>966</v>
      </c>
      <c r="G197" s="63" t="s">
        <v>1487</v>
      </c>
      <c r="H197" s="63" t="s">
        <v>1917</v>
      </c>
      <c r="I197" s="12" t="s">
        <v>967</v>
      </c>
      <c r="J197" s="38" t="str">
        <f>E197&amp;IF(D197="",""," ")&amp;G197</f>
        <v>I will ask questions about the three biggest plots</v>
      </c>
      <c r="K197" s="7" t="str">
        <f>E197&amp;IF(D197="",""," ")&amp;H197</f>
        <v>Pour chaque boule je vais poser des questions, mais je vais demander des questions plus detaillés sur les trois champs principaux; c'est à dire, les champs le plus grands. D'abord, questions sur les récoltes qui vous cultivez dans le champ. Tous les questions sont sur la saison actuel. Apres j'ai des questions sur l'access au champ, qui y travaillent et quels intrants vous utilisez sur le champ. Après on prende le prochaine boule, pour répeter les questions pour un autre champ.</v>
      </c>
      <c r="L197" s="7" t="str">
        <f>E197&amp;IF(E197="",""," ")&amp;I197</f>
        <v>Je vais demander des questions sur les trois champs principaux; c'est à dire, les champs le plus grands. D'abord, questions sur les récoltes qui vous cultivez dans le champ. Tous les questions sont sur la saison actuel. Apres j'ai des questions sur l'access au champ, qui y travaillent et quels intrants vous utilisez sur le champ. Après on prende le prochaine boule, pour répeter les questions pour un autre champ.</v>
      </c>
      <c r="M197" s="2"/>
      <c r="N197" s="39"/>
      <c r="O197" s="39"/>
      <c r="P197" s="39"/>
      <c r="Q197" s="39"/>
      <c r="R197" s="39" t="str">
        <f>"${"&amp;F194&amp;"}&gt;3"</f>
        <v>${numberplots}&gt;3</v>
      </c>
      <c r="S197" s="39"/>
      <c r="T197" s="2"/>
      <c r="U197" s="2"/>
      <c r="V197" s="2"/>
      <c r="W197" s="2"/>
      <c r="X197" s="39"/>
      <c r="Y197" s="39"/>
    </row>
    <row r="198" spans="1:25" s="36" customFormat="1" ht="20.100000000000001" customHeight="1" x14ac:dyDescent="0.25">
      <c r="A198" s="38">
        <f t="shared" si="103"/>
        <v>2</v>
      </c>
      <c r="B198" s="38">
        <f t="shared" si="104"/>
        <v>1</v>
      </c>
      <c r="C198" s="48" t="s">
        <v>244</v>
      </c>
      <c r="D198" s="48"/>
      <c r="E198" s="48"/>
      <c r="F198" s="48" t="s">
        <v>491</v>
      </c>
      <c r="G198" s="49" t="s">
        <v>245</v>
      </c>
      <c r="H198" s="49" t="s">
        <v>246</v>
      </c>
      <c r="I198" s="66" t="s">
        <v>246</v>
      </c>
      <c r="J198" s="48" t="s">
        <v>245</v>
      </c>
      <c r="K198" s="75" t="s">
        <v>246</v>
      </c>
      <c r="L198" s="36" t="str">
        <f t="shared" ref="L198:L238" si="108">E198&amp;IF(E198="",""," ")&amp;I198</f>
        <v>Champs</v>
      </c>
      <c r="M198" s="28"/>
      <c r="N198" s="48"/>
      <c r="O198" s="48"/>
      <c r="P198" s="48"/>
      <c r="Q198" s="48"/>
      <c r="R198" s="48" t="str">
        <f>"${"&amp;F194&amp;"}!=0"</f>
        <v>${numberplots}!=0</v>
      </c>
      <c r="S198" s="48"/>
      <c r="T198" s="28"/>
      <c r="U198" s="28"/>
      <c r="V198" s="28"/>
      <c r="W198" s="28"/>
      <c r="X198" s="48"/>
      <c r="Y198" s="48" t="str">
        <f>"${"&amp;F194&amp;"}"</f>
        <v>${numberplots}</v>
      </c>
    </row>
    <row r="199" spans="1:25" ht="20.100000000000001" customHeight="1" x14ac:dyDescent="0.25">
      <c r="A199" s="38">
        <f t="shared" si="103"/>
        <v>2</v>
      </c>
      <c r="B199" s="38">
        <f t="shared" si="104"/>
        <v>1</v>
      </c>
      <c r="C199" s="39" t="s">
        <v>33</v>
      </c>
      <c r="D199" s="39"/>
      <c r="E199" s="39"/>
      <c r="F199" s="39" t="s">
        <v>247</v>
      </c>
      <c r="G199" s="63" t="s">
        <v>248</v>
      </c>
      <c r="H199" s="63" t="s">
        <v>2047</v>
      </c>
      <c r="I199" s="63" t="s">
        <v>2047</v>
      </c>
      <c r="J199" s="30" t="str">
        <f t="shared" ref="J199:J219" si="109">E199&amp;IF(D199="",""," ")&amp;G199</f>
        <v>Pick up a marker, and answer all questions for the field the marker belongs to.</v>
      </c>
      <c r="K199" s="30" t="str">
        <f t="shared" ref="K199:K219" si="110">E199&amp;IF(D199="",""," ")&amp;H199</f>
        <v>Prenez la boule qui corresponde au champ le plus grand qui reste, et repondez toutes les questions sur ce champ.</v>
      </c>
      <c r="L199" s="30" t="str">
        <f t="shared" si="108"/>
        <v>Prenez la boule qui corresponde au champ le plus grand qui reste, et repondez toutes les questions sur ce champ.</v>
      </c>
      <c r="M199" s="2"/>
      <c r="N199" s="39"/>
      <c r="O199" s="39"/>
      <c r="P199" s="39"/>
      <c r="Q199" s="39"/>
      <c r="R199" s="39"/>
      <c r="S199" s="39"/>
      <c r="T199" s="2"/>
      <c r="U199" s="2"/>
      <c r="V199" s="2"/>
      <c r="W199" s="2"/>
      <c r="X199" s="39"/>
      <c r="Y199" s="39"/>
    </row>
    <row r="200" spans="1:25" ht="20.100000000000001" customHeight="1" x14ac:dyDescent="0.25">
      <c r="A200" s="38">
        <f t="shared" si="103"/>
        <v>2</v>
      </c>
      <c r="B200" s="38">
        <f t="shared" si="104"/>
        <v>1</v>
      </c>
      <c r="C200" s="39" t="s">
        <v>260</v>
      </c>
      <c r="D200" s="39"/>
      <c r="E200" s="39"/>
      <c r="F200" s="39" t="s">
        <v>1832</v>
      </c>
      <c r="G200" s="63" t="s">
        <v>1831</v>
      </c>
      <c r="H200" s="63" t="s">
        <v>2050</v>
      </c>
      <c r="I200" s="63" t="s">
        <v>2050</v>
      </c>
      <c r="J200" s="30" t="str">
        <f t="shared" ref="J200" si="111">E200&amp;IF(D200="",""," ")&amp;G200</f>
        <v>Does your household cultivate this plot, rent it to other households, or is it fallow?</v>
      </c>
      <c r="K200" s="30" t="str">
        <f t="shared" ref="K200:L207" si="112">E200&amp;IF(D200="",""," ")&amp;H200</f>
        <v>Votre ménage cultivait ce champ lors de la saison B passé , ou c'est un champ loué par quelqu'un d'autre, ou est un champ en sachere?</v>
      </c>
      <c r="L200" s="30" t="str">
        <f t="shared" ref="L200:L208" si="113">E200&amp;IF(E200="",""," ")&amp;I200</f>
        <v>Votre ménage cultivait ce champ lors de la saison B passé , ou c'est un champ loué par quelqu'un d'autre, ou est un champ en sachere?</v>
      </c>
      <c r="M200" s="2"/>
      <c r="N200" s="39"/>
      <c r="O200" s="39"/>
      <c r="P200" s="39"/>
      <c r="Q200" s="39"/>
      <c r="R200" s="39"/>
      <c r="S200" s="39"/>
      <c r="T200" s="2"/>
      <c r="U200" s="2"/>
      <c r="V200" s="2"/>
      <c r="W200" s="2"/>
      <c r="X200" s="39"/>
      <c r="Y200" s="39"/>
    </row>
    <row r="201" spans="1:25" ht="20.100000000000001" customHeight="1" x14ac:dyDescent="0.25">
      <c r="A201" s="38">
        <f t="shared" si="103"/>
        <v>2</v>
      </c>
      <c r="B201" s="38">
        <f t="shared" si="104"/>
        <v>1</v>
      </c>
      <c r="C201" s="39" t="s">
        <v>44</v>
      </c>
      <c r="D201" s="39"/>
      <c r="E201" s="39"/>
      <c r="F201" s="39" t="s">
        <v>1916</v>
      </c>
      <c r="G201" s="63"/>
      <c r="H201" s="63"/>
      <c r="I201" s="63"/>
      <c r="J201" s="30"/>
      <c r="K201" s="30"/>
      <c r="L201" s="30"/>
      <c r="M201" s="2" t="s">
        <v>1360</v>
      </c>
      <c r="N201" s="39"/>
      <c r="O201" s="39"/>
      <c r="P201" s="39"/>
      <c r="Q201" s="39"/>
      <c r="R201" s="39"/>
      <c r="S201" s="39"/>
      <c r="T201" s="2"/>
      <c r="U201" s="2"/>
      <c r="V201" s="2"/>
      <c r="W201" s="2"/>
      <c r="X201" s="39"/>
      <c r="Y201" s="39"/>
    </row>
    <row r="202" spans="1:25" s="17" customFormat="1" ht="20.100000000000001" customHeight="1" x14ac:dyDescent="0.25">
      <c r="A202" s="38">
        <f t="shared" si="103"/>
        <v>3</v>
      </c>
      <c r="B202" s="38">
        <f t="shared" si="104"/>
        <v>1</v>
      </c>
      <c r="C202" s="53" t="s">
        <v>32</v>
      </c>
      <c r="D202" s="53">
        <v>4</v>
      </c>
      <c r="E202" s="53"/>
      <c r="F202" s="17" t="s">
        <v>1833</v>
      </c>
      <c r="G202" s="10" t="s">
        <v>517</v>
      </c>
      <c r="H202" s="10" t="s">
        <v>518</v>
      </c>
      <c r="I202" s="10" t="s">
        <v>689</v>
      </c>
      <c r="J202" s="17" t="str">
        <f>E202&amp;IF(D202="",""," ")&amp;G202</f>
        <v xml:space="preserve"> Payments for acces</v>
      </c>
      <c r="K202" s="17" t="str">
        <f t="shared" si="112"/>
        <v xml:space="preserve"> Paiements pour l'access</v>
      </c>
      <c r="L202" s="17" t="str">
        <f t="shared" si="113"/>
        <v>Malipo juu ya kutumikisha udongo</v>
      </c>
      <c r="R202" s="17" t="str">
        <f>"${"&amp;F200&amp;"}='3'"</f>
        <v>${plot_landuse}='3'</v>
      </c>
      <c r="S202" s="51"/>
      <c r="T202" s="19"/>
      <c r="U202" s="19"/>
      <c r="V202" s="19"/>
      <c r="W202" s="19"/>
      <c r="X202" s="51" t="s">
        <v>36</v>
      </c>
      <c r="Y202" s="51"/>
    </row>
    <row r="203" spans="1:25" ht="20.100000000000001" customHeight="1" x14ac:dyDescent="0.25">
      <c r="A203" s="38">
        <f t="shared" si="103"/>
        <v>3</v>
      </c>
      <c r="B203" s="38">
        <f t="shared" si="104"/>
        <v>1</v>
      </c>
      <c r="C203" s="1" t="s">
        <v>936</v>
      </c>
      <c r="D203" s="1">
        <v>1</v>
      </c>
      <c r="E203" s="39" t="str">
        <f>D$191&amp;"."&amp;D$244&amp;"."&amp;D203</f>
        <v>E.4.1</v>
      </c>
      <c r="F203" s="1" t="s">
        <v>1840</v>
      </c>
      <c r="G203" s="69" t="s">
        <v>1835</v>
      </c>
      <c r="H203" s="69" t="s">
        <v>2049</v>
      </c>
      <c r="I203" s="69" t="s">
        <v>1834</v>
      </c>
      <c r="J203" s="1" t="s">
        <v>956</v>
      </c>
      <c r="K203" s="7" t="str">
        <f t="shared" si="112"/>
        <v>E.4.1 Est-ce que vous avez reçu de l'argent  pour ce champ dans quelqu'un de ces manieres lors de la saison passé?</v>
      </c>
      <c r="L203" s="7" t="str">
        <f t="shared" si="112"/>
        <v>plot_rent Est-ce que vous recevez de l'argent  pour ce champ dans quelqu'un de ces manieres?</v>
      </c>
      <c r="M203" s="1"/>
      <c r="N203" s="1"/>
      <c r="O203" s="1" t="s">
        <v>1498</v>
      </c>
      <c r="P203" s="1" t="s">
        <v>1498</v>
      </c>
      <c r="Q203" s="1" t="s">
        <v>1498</v>
      </c>
      <c r="R203" s="1"/>
      <c r="S203" s="39"/>
      <c r="T203" s="7" t="s">
        <v>1471</v>
      </c>
      <c r="U203" s="2"/>
      <c r="V203" s="2"/>
      <c r="W203" s="2"/>
      <c r="X203" s="73" t="s">
        <v>36</v>
      </c>
      <c r="Y203" s="2"/>
    </row>
    <row r="204" spans="1:25" ht="20.100000000000001" customHeight="1" x14ac:dyDescent="0.25">
      <c r="A204" s="38">
        <f t="shared" si="103"/>
        <v>3</v>
      </c>
      <c r="B204" s="38">
        <f t="shared" si="104"/>
        <v>1</v>
      </c>
      <c r="C204" s="1" t="s">
        <v>35</v>
      </c>
      <c r="D204" s="1">
        <v>2</v>
      </c>
      <c r="E204" s="39" t="str">
        <f>D$191&amp;"."&amp;D$244&amp;"."&amp;D204</f>
        <v>E.4.2</v>
      </c>
      <c r="F204" s="1" t="s">
        <v>1841</v>
      </c>
      <c r="G204" s="69" t="s">
        <v>957</v>
      </c>
      <c r="H204" s="69" t="s">
        <v>1836</v>
      </c>
      <c r="I204" s="13" t="s">
        <v>940</v>
      </c>
      <c r="J204" s="1" t="s">
        <v>957</v>
      </c>
      <c r="K204" s="7" t="str">
        <f t="shared" si="112"/>
        <v>E.4.2 Combien de dollar est-que vous recevez par année pour l'access?</v>
      </c>
      <c r="L204" s="7" t="str">
        <f t="shared" si="112"/>
        <v>plotrent_dollar Combien de dollar est-que vous paiez par année pour l'access?</v>
      </c>
      <c r="M204" s="1"/>
      <c r="N204" s="1"/>
      <c r="O204" s="1"/>
      <c r="P204" s="1"/>
      <c r="Q204" s="1"/>
      <c r="R204" s="1" t="str">
        <f>"selected(${"&amp;F203&amp;"},'1')"</f>
        <v>selected(${plot_rent},'1')</v>
      </c>
      <c r="S204" s="39"/>
      <c r="T204" s="2" t="s">
        <v>1499</v>
      </c>
      <c r="U204" s="2"/>
      <c r="V204" s="2"/>
      <c r="W204" s="2"/>
      <c r="X204" s="73" t="s">
        <v>36</v>
      </c>
      <c r="Y204" s="2"/>
    </row>
    <row r="205" spans="1:25" ht="20.100000000000001" customHeight="1" x14ac:dyDescent="0.25">
      <c r="A205" s="38">
        <f t="shared" si="103"/>
        <v>3</v>
      </c>
      <c r="B205" s="38">
        <f t="shared" si="104"/>
        <v>1</v>
      </c>
      <c r="C205" s="1" t="s">
        <v>35</v>
      </c>
      <c r="D205" s="1">
        <v>3</v>
      </c>
      <c r="E205" s="39" t="str">
        <f>D$191&amp;"."&amp;D$244&amp;"."&amp;D205</f>
        <v>E.4.3</v>
      </c>
      <c r="F205" s="1" t="s">
        <v>1842</v>
      </c>
      <c r="G205" s="69" t="s">
        <v>958</v>
      </c>
      <c r="H205" s="69" t="s">
        <v>1837</v>
      </c>
      <c r="I205" s="13" t="s">
        <v>941</v>
      </c>
      <c r="J205" s="1" t="s">
        <v>958</v>
      </c>
      <c r="K205" s="7" t="str">
        <f t="shared" si="112"/>
        <v>E.4.3 Combien de Franc Congolais est-que vous recevez par année pour l'access?</v>
      </c>
      <c r="L205" s="7" t="str">
        <f t="shared" si="112"/>
        <v>plotrent_franc Combien de Franc Congolais est-que vous paiez par année pour l'access?</v>
      </c>
      <c r="M205" s="1"/>
      <c r="N205" s="1"/>
      <c r="O205" s="1"/>
      <c r="P205" s="1"/>
      <c r="Q205" s="1"/>
      <c r="R205" s="1" t="str">
        <f>"selected(${"&amp;F203&amp;"},'2')"</f>
        <v>selected(${plot_rent},'2')</v>
      </c>
      <c r="S205" s="39"/>
      <c r="T205" s="2" t="s">
        <v>1500</v>
      </c>
      <c r="U205" s="2"/>
      <c r="V205" s="2"/>
      <c r="W205" s="2"/>
      <c r="X205" s="73" t="s">
        <v>36</v>
      </c>
      <c r="Y205" s="2"/>
    </row>
    <row r="206" spans="1:25" ht="20.100000000000001" customHeight="1" x14ac:dyDescent="0.25">
      <c r="A206" s="38">
        <f t="shared" si="103"/>
        <v>3</v>
      </c>
      <c r="B206" s="38">
        <f t="shared" si="104"/>
        <v>1</v>
      </c>
      <c r="C206" s="1" t="s">
        <v>35</v>
      </c>
      <c r="D206" s="1">
        <v>4</v>
      </c>
      <c r="E206" s="39" t="str">
        <f>D$191&amp;"."&amp;D$244&amp;"."&amp;D206</f>
        <v>E.4.4</v>
      </c>
      <c r="F206" s="1" t="s">
        <v>1843</v>
      </c>
      <c r="G206" s="69" t="s">
        <v>959</v>
      </c>
      <c r="H206" s="69" t="s">
        <v>1838</v>
      </c>
      <c r="I206" s="13" t="s">
        <v>942</v>
      </c>
      <c r="J206" s="1" t="s">
        <v>959</v>
      </c>
      <c r="K206" s="7" t="str">
        <f t="shared" si="112"/>
        <v>E.4.4 Quel partie de récolte recevez vous pour l'access?</v>
      </c>
      <c r="L206" s="7" t="str">
        <f t="shared" si="112"/>
        <v>plotrent_share Quel partie de récolte contribuez vous pour l'access?</v>
      </c>
      <c r="M206" s="1"/>
      <c r="N206" s="1"/>
      <c r="O206" s="1" t="s">
        <v>943</v>
      </c>
      <c r="P206" s="1" t="s">
        <v>943</v>
      </c>
      <c r="Q206" s="1" t="s">
        <v>943</v>
      </c>
      <c r="R206" s="1" t="str">
        <f>"selected(${"&amp;F203&amp;"},'3')"</f>
        <v>selected(${plot_rent},'3')</v>
      </c>
      <c r="S206" s="39"/>
      <c r="T206" s="2" t="s">
        <v>1501</v>
      </c>
      <c r="U206" s="2"/>
      <c r="V206" s="2"/>
      <c r="W206" s="2"/>
      <c r="X206" s="73" t="s">
        <v>36</v>
      </c>
      <c r="Y206" s="2"/>
    </row>
    <row r="207" spans="1:25" ht="20.100000000000001" customHeight="1" x14ac:dyDescent="0.25">
      <c r="A207" s="38">
        <f t="shared" si="103"/>
        <v>3</v>
      </c>
      <c r="B207" s="38">
        <f t="shared" si="104"/>
        <v>1</v>
      </c>
      <c r="C207" s="1" t="s">
        <v>34</v>
      </c>
      <c r="D207" s="1">
        <v>5</v>
      </c>
      <c r="E207" s="39" t="str">
        <f>D$191&amp;"."&amp;D$244&amp;"."&amp;D207</f>
        <v>E.4.5</v>
      </c>
      <c r="F207" s="1" t="s">
        <v>1844</v>
      </c>
      <c r="G207" s="69" t="s">
        <v>960</v>
      </c>
      <c r="H207" s="69" t="s">
        <v>1839</v>
      </c>
      <c r="I207" s="13" t="s">
        <v>945</v>
      </c>
      <c r="J207" s="1" t="s">
        <v>960</v>
      </c>
      <c r="K207" s="7" t="str">
        <f t="shared" si="112"/>
        <v>E.4.5 Décrivez l'autre manière dans laquelle vous recevez le paiement</v>
      </c>
      <c r="L207" s="7" t="str">
        <f t="shared" si="112"/>
        <v>plotrent_other Décrivez l'autre manière dans laquelle vous payez</v>
      </c>
      <c r="M207" s="1"/>
      <c r="N207" s="1"/>
      <c r="O207" s="1"/>
      <c r="P207" s="1"/>
      <c r="Q207" s="1"/>
      <c r="R207" s="1" t="str">
        <f>"selected(${"&amp;F203&amp;"},'96')"</f>
        <v>selected(${plot_rent},'96')</v>
      </c>
      <c r="S207" s="39"/>
      <c r="T207" s="2"/>
      <c r="U207" s="2"/>
      <c r="V207" s="2"/>
      <c r="W207" s="2"/>
      <c r="X207" s="73" t="s">
        <v>36</v>
      </c>
      <c r="Y207" s="2"/>
    </row>
    <row r="208" spans="1:25" s="21" customFormat="1" ht="20.100000000000001" customHeight="1" x14ac:dyDescent="0.25">
      <c r="A208" s="38">
        <f t="shared" si="103"/>
        <v>2</v>
      </c>
      <c r="B208" s="38">
        <f t="shared" si="104"/>
        <v>1</v>
      </c>
      <c r="C208" s="54" t="s">
        <v>40</v>
      </c>
      <c r="D208" s="54"/>
      <c r="E208" s="54"/>
      <c r="G208" s="11"/>
      <c r="H208" s="11" t="s">
        <v>587</v>
      </c>
      <c r="I208" s="11"/>
      <c r="L208" s="21" t="str">
        <f t="shared" si="113"/>
        <v/>
      </c>
      <c r="S208" s="56"/>
      <c r="T208" s="18"/>
      <c r="U208" s="18"/>
      <c r="V208" s="18"/>
      <c r="W208" s="18"/>
      <c r="X208" s="56"/>
      <c r="Y208" s="56"/>
    </row>
    <row r="209" spans="1:25" s="17" customFormat="1" ht="20.100000000000001" customHeight="1" x14ac:dyDescent="0.25">
      <c r="A209" s="38">
        <f t="shared" si="103"/>
        <v>3</v>
      </c>
      <c r="B209" s="38">
        <f t="shared" si="104"/>
        <v>1</v>
      </c>
      <c r="C209" s="51" t="s">
        <v>32</v>
      </c>
      <c r="D209" s="51">
        <v>2</v>
      </c>
      <c r="E209" s="51"/>
      <c r="F209" s="51" t="s">
        <v>508</v>
      </c>
      <c r="G209" s="20" t="s">
        <v>505</v>
      </c>
      <c r="H209" s="20" t="s">
        <v>505</v>
      </c>
      <c r="I209" s="67"/>
      <c r="J209" s="51" t="s">
        <v>505</v>
      </c>
      <c r="K209" s="17" t="str">
        <f t="shared" ref="K209:K215" si="114">E209&amp;IF(D209="",""," ")&amp;H209</f>
        <v xml:space="preserve"> Dimensions</v>
      </c>
      <c r="L209" s="17" t="str">
        <f t="shared" ref="L209:L216" si="115">E209&amp;IF(E209="",""," ")&amp;I209</f>
        <v/>
      </c>
      <c r="M209" s="19"/>
      <c r="N209" s="51"/>
      <c r="O209" s="51"/>
      <c r="P209" s="51"/>
      <c r="Q209" s="51"/>
      <c r="R209" s="51"/>
      <c r="S209" s="51"/>
      <c r="T209" s="19"/>
      <c r="U209" s="19"/>
      <c r="V209" s="19"/>
      <c r="W209" s="19"/>
      <c r="X209" s="51"/>
      <c r="Y209" s="51"/>
    </row>
    <row r="210" spans="1:25" ht="20.100000000000001" customHeight="1" x14ac:dyDescent="0.25">
      <c r="A210" s="38">
        <f t="shared" si="103"/>
        <v>3</v>
      </c>
      <c r="B210" s="38">
        <f t="shared" si="104"/>
        <v>1</v>
      </c>
      <c r="C210" s="83" t="s">
        <v>35</v>
      </c>
      <c r="D210" s="83">
        <v>1</v>
      </c>
      <c r="E210" s="39" t="str">
        <f t="shared" ref="E210:E215" si="116">D$191&amp;"."&amp;D$209&amp;"."&amp;D210</f>
        <v>E.2.1</v>
      </c>
      <c r="F210" s="39" t="s">
        <v>509</v>
      </c>
      <c r="G210" s="63" t="s">
        <v>249</v>
      </c>
      <c r="H210" s="63" t="s">
        <v>603</v>
      </c>
      <c r="I210" s="65" t="s">
        <v>684</v>
      </c>
      <c r="J210" s="39" t="s">
        <v>249</v>
      </c>
      <c r="K210" s="7" t="str">
        <f t="shared" si="114"/>
        <v>E.2.1 Quelle est la distance du champ de votre maison?</v>
      </c>
      <c r="L210" s="7" t="str">
        <f t="shared" si="115"/>
        <v>E.2.1 Kutoka ku nyumba yako mpaka ku shamba ku na umbali gani?</v>
      </c>
      <c r="M210" s="2"/>
      <c r="N210" s="39"/>
      <c r="O210" s="39" t="s">
        <v>250</v>
      </c>
      <c r="P210" s="39" t="s">
        <v>251</v>
      </c>
      <c r="Q210" s="39" t="s">
        <v>251</v>
      </c>
      <c r="R210" s="39"/>
      <c r="S210" s="39"/>
      <c r="T210" s="2" t="s">
        <v>252</v>
      </c>
      <c r="U210" s="2"/>
      <c r="V210" s="2"/>
      <c r="W210" s="2"/>
      <c r="X210" s="73" t="s">
        <v>36</v>
      </c>
      <c r="Y210" s="39"/>
    </row>
    <row r="211" spans="1:25" ht="20.100000000000001" customHeight="1" x14ac:dyDescent="0.25">
      <c r="A211" s="38">
        <f t="shared" si="103"/>
        <v>3</v>
      </c>
      <c r="B211" s="38">
        <f t="shared" si="104"/>
        <v>1</v>
      </c>
      <c r="C211" s="83" t="s">
        <v>540</v>
      </c>
      <c r="D211" s="83">
        <v>2</v>
      </c>
      <c r="E211" s="39" t="str">
        <f t="shared" si="116"/>
        <v>E.2.2</v>
      </c>
      <c r="F211" s="39" t="s">
        <v>562</v>
      </c>
      <c r="G211" s="63" t="s">
        <v>548</v>
      </c>
      <c r="H211" s="63" t="s">
        <v>604</v>
      </c>
      <c r="I211" s="65" t="s">
        <v>685</v>
      </c>
      <c r="J211" s="39" t="s">
        <v>548</v>
      </c>
      <c r="K211" s="7" t="str">
        <f t="shared" si="114"/>
        <v>E.2.2 Quelle est la taille du champ?</v>
      </c>
      <c r="L211" s="7" t="str">
        <f t="shared" si="115"/>
        <v xml:space="preserve">E.2.2 Hii shamba ina ukabwa gani? </v>
      </c>
      <c r="M211" s="2"/>
      <c r="N211" s="39"/>
      <c r="O211" s="39" t="s">
        <v>542</v>
      </c>
      <c r="P211" s="39" t="s">
        <v>541</v>
      </c>
      <c r="Q211" s="39" t="s">
        <v>541</v>
      </c>
      <c r="R211" s="39"/>
      <c r="S211" s="39"/>
      <c r="T211" s="2"/>
      <c r="U211" s="2"/>
      <c r="V211" s="2"/>
      <c r="W211" s="2"/>
      <c r="X211" s="73" t="s">
        <v>36</v>
      </c>
      <c r="Y211" s="39"/>
    </row>
    <row r="212" spans="1:25" ht="20.100000000000001" customHeight="1" x14ac:dyDescent="0.25">
      <c r="A212" s="38">
        <f t="shared" si="103"/>
        <v>3</v>
      </c>
      <c r="B212" s="38">
        <f t="shared" si="104"/>
        <v>1</v>
      </c>
      <c r="C212" s="1" t="s">
        <v>253</v>
      </c>
      <c r="D212" s="1">
        <v>3</v>
      </c>
      <c r="E212" s="39" t="str">
        <f t="shared" si="116"/>
        <v>E.2.3</v>
      </c>
      <c r="F212" s="1" t="s">
        <v>510</v>
      </c>
      <c r="G212" s="69" t="s">
        <v>254</v>
      </c>
      <c r="H212" s="69" t="s">
        <v>605</v>
      </c>
      <c r="I212" s="13" t="s">
        <v>686</v>
      </c>
      <c r="J212" s="1" t="s">
        <v>254</v>
      </c>
      <c r="K212" s="7" t="str">
        <f t="shared" si="114"/>
        <v>E.2.3 Quelle est la longeur du champs?</v>
      </c>
      <c r="L212" s="7" t="str">
        <f t="shared" si="115"/>
        <v>E.2.3 Hii shamba ina urefu gani?</v>
      </c>
      <c r="M212" s="1"/>
      <c r="N212" s="1"/>
      <c r="O212" s="1" t="s">
        <v>255</v>
      </c>
      <c r="P212" s="1" t="s">
        <v>256</v>
      </c>
      <c r="Q212" s="1" t="s">
        <v>256</v>
      </c>
      <c r="R212" s="1" t="str">
        <f>"${"&amp;F211&amp;"}='1'"</f>
        <v>${surfaceformat}='1'</v>
      </c>
      <c r="S212" s="39"/>
      <c r="T212" s="2" t="s">
        <v>1497</v>
      </c>
      <c r="U212" s="2"/>
      <c r="V212" s="2"/>
      <c r="W212" s="2"/>
      <c r="X212" s="73" t="s">
        <v>36</v>
      </c>
      <c r="Y212" s="39"/>
    </row>
    <row r="213" spans="1:25" ht="20.100000000000001" customHeight="1" x14ac:dyDescent="0.25">
      <c r="A213" s="38">
        <f t="shared" si="103"/>
        <v>3</v>
      </c>
      <c r="B213" s="38">
        <f t="shared" si="104"/>
        <v>1</v>
      </c>
      <c r="C213" s="1" t="s">
        <v>253</v>
      </c>
      <c r="D213" s="1">
        <v>4</v>
      </c>
      <c r="E213" s="39" t="str">
        <f t="shared" si="116"/>
        <v>E.2.4</v>
      </c>
      <c r="F213" s="1" t="s">
        <v>511</v>
      </c>
      <c r="G213" s="69" t="s">
        <v>257</v>
      </c>
      <c r="H213" s="69" t="s">
        <v>606</v>
      </c>
      <c r="I213" s="13" t="s">
        <v>902</v>
      </c>
      <c r="J213" s="1" t="s">
        <v>257</v>
      </c>
      <c r="K213" s="7" t="str">
        <f t="shared" si="114"/>
        <v>E.2.4 Quelle est la largeur du champs?</v>
      </c>
      <c r="L213" s="7" t="str">
        <f t="shared" si="115"/>
        <v>E.2.4 Hii shamba ina upanda gani?</v>
      </c>
      <c r="M213" s="1"/>
      <c r="N213" s="1"/>
      <c r="O213" s="1" t="s">
        <v>258</v>
      </c>
      <c r="P213" s="1" t="s">
        <v>259</v>
      </c>
      <c r="Q213" s="1" t="s">
        <v>259</v>
      </c>
      <c r="R213" s="1" t="str">
        <f>"${"&amp;F211&amp;"}='1'"</f>
        <v>${surfaceformat}='1'</v>
      </c>
      <c r="S213" s="39"/>
      <c r="T213" s="2" t="s">
        <v>1497</v>
      </c>
      <c r="U213" s="2"/>
      <c r="V213" s="2"/>
      <c r="W213" s="2"/>
      <c r="X213" s="73" t="s">
        <v>36</v>
      </c>
      <c r="Y213" s="39"/>
    </row>
    <row r="214" spans="1:25" ht="20.100000000000001" customHeight="1" x14ac:dyDescent="0.25">
      <c r="A214" s="38">
        <f t="shared" si="103"/>
        <v>3</v>
      </c>
      <c r="B214" s="38">
        <f t="shared" si="104"/>
        <v>1</v>
      </c>
      <c r="C214" s="1" t="s">
        <v>253</v>
      </c>
      <c r="D214" s="1">
        <v>5</v>
      </c>
      <c r="E214" s="39" t="str">
        <f t="shared" si="116"/>
        <v>E.2.5</v>
      </c>
      <c r="F214" s="1" t="s">
        <v>543</v>
      </c>
      <c r="G214" s="69" t="s">
        <v>547</v>
      </c>
      <c r="H214" s="69" t="s">
        <v>607</v>
      </c>
      <c r="I214" s="65" t="s">
        <v>903</v>
      </c>
      <c r="J214" s="1" t="s">
        <v>547</v>
      </c>
      <c r="K214" s="7" t="str">
        <f t="shared" si="114"/>
        <v>E.2.5 Quelle est la superficie du champ?</v>
      </c>
      <c r="L214" s="7" t="str">
        <f t="shared" si="115"/>
        <v xml:space="preserve">E.2.5 Ukichanga urefu na upanda, shamba lako ni la ukubwa gani? </v>
      </c>
      <c r="M214" s="1"/>
      <c r="N214" s="1"/>
      <c r="O214" s="1"/>
      <c r="P214" s="1" t="s">
        <v>544</v>
      </c>
      <c r="Q214" s="1" t="s">
        <v>544</v>
      </c>
      <c r="R214" s="1" t="str">
        <f>"${"&amp;F211&amp;"}='2'"</f>
        <v>${surfaceformat}='2'</v>
      </c>
      <c r="S214" s="39"/>
      <c r="T214" s="2" t="s">
        <v>1494</v>
      </c>
      <c r="U214" s="2"/>
      <c r="V214" s="2"/>
      <c r="W214" s="2"/>
      <c r="X214" s="73" t="s">
        <v>36</v>
      </c>
      <c r="Y214" s="39"/>
    </row>
    <row r="215" spans="1:25" ht="20.100000000000001" customHeight="1" x14ac:dyDescent="0.25">
      <c r="A215" s="38">
        <f t="shared" si="103"/>
        <v>3</v>
      </c>
      <c r="B215" s="38">
        <f t="shared" si="104"/>
        <v>1</v>
      </c>
      <c r="C215" s="1" t="s">
        <v>545</v>
      </c>
      <c r="D215" s="1">
        <v>6</v>
      </c>
      <c r="E215" s="39" t="str">
        <f t="shared" si="116"/>
        <v>E.2.6</v>
      </c>
      <c r="F215" s="1" t="s">
        <v>546</v>
      </c>
      <c r="G215" s="69" t="s">
        <v>549</v>
      </c>
      <c r="H215" s="69" t="s">
        <v>608</v>
      </c>
      <c r="I215" s="13" t="s">
        <v>687</v>
      </c>
      <c r="J215" s="1" t="s">
        <v>549</v>
      </c>
      <c r="K215" s="7" t="str">
        <f t="shared" si="114"/>
        <v>E.2.6 Quelle est l'unité de mesure?</v>
      </c>
      <c r="L215" s="7" t="str">
        <f t="shared" si="115"/>
        <v>E.2.6 munatumikisha kipimo gani?</v>
      </c>
      <c r="M215" s="1"/>
      <c r="N215" s="1"/>
      <c r="O215" s="1"/>
      <c r="P215" s="1"/>
      <c r="Q215" s="1"/>
      <c r="R215" s="1" t="str">
        <f>"${"&amp;F211&amp;"}='2'"</f>
        <v>${surfaceformat}='2'</v>
      </c>
      <c r="S215" s="39"/>
      <c r="T215" s="2"/>
      <c r="U215" s="2"/>
      <c r="V215" s="2"/>
      <c r="W215" s="2"/>
      <c r="X215" s="73" t="s">
        <v>36</v>
      </c>
      <c r="Y215" s="39"/>
    </row>
    <row r="216" spans="1:25" s="21" customFormat="1" ht="20.100000000000001" customHeight="1" x14ac:dyDescent="0.25">
      <c r="A216" s="38">
        <f t="shared" si="103"/>
        <v>2</v>
      </c>
      <c r="B216" s="38">
        <f t="shared" si="104"/>
        <v>1</v>
      </c>
      <c r="C216" s="21" t="s">
        <v>40</v>
      </c>
      <c r="G216" s="11"/>
      <c r="H216" s="11" t="s">
        <v>587</v>
      </c>
      <c r="I216" s="11"/>
      <c r="L216" s="21" t="str">
        <f t="shared" si="115"/>
        <v/>
      </c>
      <c r="S216" s="56"/>
      <c r="T216" s="18"/>
      <c r="U216" s="18"/>
      <c r="V216" s="18"/>
      <c r="W216" s="18"/>
      <c r="X216" s="56"/>
      <c r="Y216" s="56"/>
    </row>
    <row r="217" spans="1:25" s="17" customFormat="1" ht="20.100000000000001" customHeight="1" x14ac:dyDescent="0.25">
      <c r="A217" s="38">
        <f t="shared" si="103"/>
        <v>3</v>
      </c>
      <c r="B217" s="38">
        <f t="shared" si="104"/>
        <v>1</v>
      </c>
      <c r="C217" s="53" t="s">
        <v>32</v>
      </c>
      <c r="D217" s="53">
        <v>4</v>
      </c>
      <c r="E217" s="53"/>
      <c r="F217" s="17" t="s">
        <v>1845</v>
      </c>
      <c r="G217" s="10" t="s">
        <v>1915</v>
      </c>
      <c r="H217" s="10" t="s">
        <v>1915</v>
      </c>
      <c r="I217" s="10" t="s">
        <v>1915</v>
      </c>
      <c r="J217" s="17" t="str">
        <f>E217&amp;IF(D217="",""," ")&amp;G217</f>
        <v xml:space="preserve"> Cultivation</v>
      </c>
      <c r="K217" s="17" t="str">
        <f t="shared" ref="K217" si="117">E217&amp;IF(D217="",""," ")&amp;H217</f>
        <v xml:space="preserve"> Cultivation</v>
      </c>
      <c r="L217" s="17" t="str">
        <f t="shared" ref="L217" si="118">E217&amp;IF(E217="",""," ")&amp;I217</f>
        <v>Cultivation</v>
      </c>
      <c r="R217" s="17" t="str">
        <f>"${"&amp;F200&amp;"}='1' and ${"&amp;F201&amp;"}&lt;4"</f>
        <v>${plot_landuse}='1' and ${plot_count}&lt;4</v>
      </c>
      <c r="S217" s="51"/>
      <c r="T217" s="19"/>
      <c r="U217" s="19"/>
      <c r="V217" s="19"/>
      <c r="W217" s="19"/>
      <c r="X217" s="51" t="s">
        <v>36</v>
      </c>
      <c r="Y217" s="51"/>
    </row>
    <row r="218" spans="1:25" ht="20.100000000000001" customHeight="1" x14ac:dyDescent="0.25">
      <c r="A218" s="38">
        <f t="shared" si="103"/>
        <v>3</v>
      </c>
      <c r="B218" s="38">
        <f t="shared" si="104"/>
        <v>1</v>
      </c>
      <c r="C218" s="30" t="s">
        <v>1488</v>
      </c>
      <c r="D218" s="30">
        <v>2</v>
      </c>
      <c r="E218" s="30" t="str">
        <f>IF(D218="","",D$191&amp;"."&amp;D218)</f>
        <v>E.2</v>
      </c>
      <c r="F218" s="30" t="s">
        <v>1489</v>
      </c>
      <c r="G218" s="29" t="s">
        <v>1490</v>
      </c>
      <c r="H218" s="29" t="s">
        <v>2051</v>
      </c>
      <c r="I218" s="29" t="s">
        <v>2051</v>
      </c>
      <c r="J218" s="30" t="str">
        <f t="shared" si="109"/>
        <v>E.2 Which crops do you grow on this plot?</v>
      </c>
      <c r="K218" s="30" t="str">
        <f t="shared" si="110"/>
        <v>E.2 Quelles sont les cultures principaux cultivés dans ce champ la saison passée?</v>
      </c>
      <c r="L218" s="30" t="str">
        <f t="shared" si="108"/>
        <v>E.2 Quelles sont les cultures principaux cultivés dans ce champ la saison passée?</v>
      </c>
      <c r="M218" s="30"/>
      <c r="N218" s="30"/>
      <c r="O218" s="30" t="s">
        <v>2052</v>
      </c>
      <c r="P218" s="30" t="s">
        <v>2052</v>
      </c>
      <c r="Q218" s="30" t="s">
        <v>2052</v>
      </c>
      <c r="R218" s="30"/>
      <c r="S218" s="30"/>
      <c r="T218" s="7" t="s">
        <v>2053</v>
      </c>
      <c r="U218" s="30"/>
      <c r="V218" s="30"/>
      <c r="X218" s="30" t="s">
        <v>36</v>
      </c>
    </row>
    <row r="219" spans="1:25" s="36" customFormat="1" ht="18.75" customHeight="1" x14ac:dyDescent="0.25">
      <c r="A219" s="38">
        <f t="shared" si="103"/>
        <v>3</v>
      </c>
      <c r="B219" s="38">
        <f t="shared" si="104"/>
        <v>2</v>
      </c>
      <c r="C219" s="33" t="s">
        <v>244</v>
      </c>
      <c r="D219" s="33"/>
      <c r="E219" s="33"/>
      <c r="F219" s="33" t="str">
        <f>"rpt_"&amp;F218</f>
        <v>rpt_crops_grown</v>
      </c>
      <c r="G219" s="32" t="s">
        <v>1021</v>
      </c>
      <c r="H219" s="32" t="s">
        <v>1491</v>
      </c>
      <c r="I219" s="32" t="s">
        <v>1491</v>
      </c>
      <c r="J219" s="30" t="str">
        <f t="shared" si="109"/>
        <v>Crops</v>
      </c>
      <c r="K219" s="30" t="str">
        <f t="shared" si="110"/>
        <v>Cultures</v>
      </c>
      <c r="L219" s="30" t="str">
        <f t="shared" si="108"/>
        <v>Cultures</v>
      </c>
      <c r="M219" s="33"/>
      <c r="N219" s="33"/>
      <c r="O219" s="33"/>
      <c r="P219" s="33"/>
      <c r="Q219" s="33"/>
      <c r="R219" s="122" t="str">
        <f>"not(selected(${"&amp;F218&amp;"},'0')) and not(selected(${"&amp;F218&amp;"},'97'))  and not(selected(${"&amp;F218&amp;"},'98'))"</f>
        <v>not(selected(${crops_grown},'0')) and not(selected(${crops_grown},'97'))  and not(selected(${crops_grown},'98'))</v>
      </c>
      <c r="S219" s="33"/>
      <c r="U219" s="33"/>
      <c r="V219" s="33"/>
      <c r="X219" s="33"/>
      <c r="Y219" s="36" t="str">
        <f>"count-selected(${"&amp;F218&amp;"})"</f>
        <v>count-selected(${crops_grown})</v>
      </c>
    </row>
    <row r="220" spans="1:25" customFormat="1" ht="20.100000000000001" customHeight="1" x14ac:dyDescent="0.25">
      <c r="A220" s="38">
        <f t="shared" si="103"/>
        <v>3</v>
      </c>
      <c r="B220" s="38">
        <f t="shared" si="104"/>
        <v>2</v>
      </c>
      <c r="C220" t="s">
        <v>44</v>
      </c>
      <c r="F220" s="146" t="s">
        <v>1492</v>
      </c>
      <c r="M220" t="str">
        <f>"selected-at(${"&amp;F218&amp;"},if(position(..)-1&lt;0,0, position(..)-1))"</f>
        <v>selected-at(${crops_grown},if(position(..)-1&lt;0,0, position(..)-1))</v>
      </c>
    </row>
    <row r="221" spans="1:25" customFormat="1" ht="20.100000000000001" customHeight="1" x14ac:dyDescent="0.25">
      <c r="A221" s="38">
        <f t="shared" si="103"/>
        <v>3</v>
      </c>
      <c r="B221" s="38">
        <f t="shared" si="104"/>
        <v>2</v>
      </c>
      <c r="C221" t="s">
        <v>44</v>
      </c>
      <c r="F221" t="s">
        <v>1493</v>
      </c>
      <c r="M221" t="str">
        <f>"jr:choice-name(${"&amp;F220&amp;"}, '${"&amp;F218&amp;"}')"</f>
        <v>jr:choice-name(${this_crop}, '${crops_grown}')</v>
      </c>
    </row>
    <row r="222" spans="1:25" s="129" customFormat="1" ht="20.100000000000001" customHeight="1" x14ac:dyDescent="0.25">
      <c r="A222" s="38">
        <f t="shared" si="103"/>
        <v>3</v>
      </c>
      <c r="B222" s="38">
        <f t="shared" si="104"/>
        <v>2</v>
      </c>
      <c r="C222" s="127" t="s">
        <v>33</v>
      </c>
      <c r="D222" s="127"/>
      <c r="E222" s="127"/>
      <c r="F222" s="127" t="s">
        <v>1914</v>
      </c>
      <c r="G222" s="128" t="str">
        <f>"${"&amp;F221&amp;"}"</f>
        <v>${this_crop_label}</v>
      </c>
      <c r="H222" s="128" t="str">
        <f>"${"&amp;F221&amp;"}"</f>
        <v>${this_crop_label}</v>
      </c>
      <c r="I222" s="128" t="str">
        <f>"${"&amp;F221&amp;"}"</f>
        <v>${this_crop_label}</v>
      </c>
      <c r="J222" s="127" t="str">
        <f>E222&amp;IF(D222="",""," ")&amp;G222</f>
        <v>${this_crop_label}</v>
      </c>
      <c r="K222" s="127" t="str">
        <f>E222&amp;IF(D222="",""," ")&amp;H222</f>
        <v>${this_crop_label}</v>
      </c>
      <c r="L222" s="127" t="str">
        <f>E222&amp;IF(E222="",""," ")&amp;I222</f>
        <v>${this_crop_label}</v>
      </c>
      <c r="M222" s="127"/>
      <c r="N222" s="127"/>
      <c r="O222" s="127"/>
      <c r="P222" s="127"/>
      <c r="Q222" s="127"/>
      <c r="R222" s="127"/>
      <c r="S222" s="127"/>
      <c r="T222" s="127"/>
      <c r="U222" s="127"/>
      <c r="V222" s="127"/>
    </row>
    <row r="223" spans="1:25" ht="20.100000000000001" customHeight="1" x14ac:dyDescent="0.25">
      <c r="A223" s="38">
        <f t="shared" si="103"/>
        <v>3</v>
      </c>
      <c r="B223" s="38">
        <f t="shared" si="104"/>
        <v>2</v>
      </c>
      <c r="C223" s="39" t="s">
        <v>34</v>
      </c>
      <c r="D223" s="39"/>
      <c r="E223" s="39"/>
      <c r="F223" s="39" t="s">
        <v>1035</v>
      </c>
      <c r="G223" s="63" t="s">
        <v>268</v>
      </c>
      <c r="H223" s="63" t="s">
        <v>1280</v>
      </c>
      <c r="I223" s="63" t="s">
        <v>1280</v>
      </c>
      <c r="J223" s="39" t="s">
        <v>268</v>
      </c>
      <c r="K223" s="7" t="str">
        <f t="shared" ref="K223:K238" si="119">E223&amp;IF(E223="",""," ")&amp;H223</f>
        <v>Specifiez autre</v>
      </c>
      <c r="L223" s="7" t="str">
        <f t="shared" si="108"/>
        <v>Specifiez autre</v>
      </c>
      <c r="M223" s="2"/>
      <c r="N223" s="39"/>
      <c r="O223" s="39"/>
      <c r="P223" s="39"/>
      <c r="Q223" s="39"/>
      <c r="R223" s="39" t="str">
        <f>"${"&amp;F220&amp;"}='16' or ${"&amp;F220&amp;"}='26'"</f>
        <v>${this_crop}='16' or ${this_crop}='26'</v>
      </c>
      <c r="S223" s="39"/>
      <c r="T223" s="2"/>
      <c r="U223" s="2"/>
      <c r="V223" s="2"/>
      <c r="W223" s="2"/>
      <c r="X223" s="73" t="s">
        <v>36</v>
      </c>
      <c r="Y223" s="77"/>
    </row>
    <row r="224" spans="1:25" ht="20.100000000000001" customHeight="1" x14ac:dyDescent="0.25">
      <c r="A224" s="38">
        <f t="shared" si="103"/>
        <v>3</v>
      </c>
      <c r="B224" s="38">
        <f t="shared" si="104"/>
        <v>2</v>
      </c>
      <c r="C224" s="39" t="s">
        <v>35</v>
      </c>
      <c r="D224" s="39"/>
      <c r="E224" s="39"/>
      <c r="F224" s="39" t="s">
        <v>1919</v>
      </c>
      <c r="G224" s="63" t="s">
        <v>1920</v>
      </c>
      <c r="H224" s="63" t="s">
        <v>1925</v>
      </c>
      <c r="I224" s="63" t="s">
        <v>1926</v>
      </c>
      <c r="J224" s="39" t="s">
        <v>268</v>
      </c>
      <c r="K224" s="7" t="str">
        <f t="shared" ref="K224" si="120">E224&amp;IF(E224="",""," ")&amp;H224</f>
        <v>Combien des arbres avez-vous sur ce champ??</v>
      </c>
      <c r="L224" s="7" t="str">
        <f t="shared" ref="L224" si="121">E224&amp;IF(E224="",""," ")&amp;I224</f>
        <v>Combien des arbres avez-vous dans ce champ?</v>
      </c>
      <c r="M224" s="2"/>
      <c r="N224" s="39"/>
      <c r="O224" s="39"/>
      <c r="P224" s="39"/>
      <c r="Q224" s="39"/>
      <c r="R224" s="39" t="str">
        <f>"number(${"&amp;F220&amp;"}&gt;20)"</f>
        <v>number(${this_crop}&gt;20)</v>
      </c>
      <c r="S224" s="39"/>
      <c r="T224" s="2" t="s">
        <v>1494</v>
      </c>
      <c r="U224" s="2"/>
      <c r="V224" s="2"/>
      <c r="W224" s="2"/>
      <c r="X224" s="73"/>
      <c r="Y224" s="77"/>
    </row>
    <row r="225" spans="1:25" ht="20.100000000000001" customHeight="1" x14ac:dyDescent="0.25">
      <c r="A225" s="38">
        <f t="shared" si="103"/>
        <v>3</v>
      </c>
      <c r="B225" s="38">
        <f t="shared" si="104"/>
        <v>2</v>
      </c>
      <c r="C225" s="39" t="s">
        <v>35</v>
      </c>
      <c r="D225" s="39">
        <v>1</v>
      </c>
      <c r="E225" s="39" t="str">
        <f>E$218&amp;"."&amp;D225</f>
        <v>E.2.1</v>
      </c>
      <c r="F225" s="39" t="s">
        <v>1022</v>
      </c>
      <c r="G225" s="63" t="s">
        <v>269</v>
      </c>
      <c r="H225" s="63" t="s">
        <v>1927</v>
      </c>
      <c r="I225" s="63" t="s">
        <v>1927</v>
      </c>
      <c r="J225" s="39" t="s">
        <v>269</v>
      </c>
      <c r="K225" s="7" t="str">
        <f t="shared" si="119"/>
        <v>E.2.1 Quelle quantité est-ce que vous avez planté/semé dans ce champs lors de la saison passée?</v>
      </c>
      <c r="L225" s="7" t="str">
        <f t="shared" si="108"/>
        <v>E.2.1 Quelle quantité est-ce que vous avez planté/semé dans ce champs lors de la saison passée?</v>
      </c>
      <c r="M225" s="2"/>
      <c r="N225" s="39"/>
      <c r="O225" s="39"/>
      <c r="P225" s="39" t="s">
        <v>2062</v>
      </c>
      <c r="Q225" s="39" t="s">
        <v>2062</v>
      </c>
      <c r="R225" s="39" t="str">
        <f>"number(${"&amp;F220&amp;"}&lt;20)"</f>
        <v>number(${this_crop}&lt;20)</v>
      </c>
      <c r="S225" s="39"/>
      <c r="T225" s="2" t="s">
        <v>1494</v>
      </c>
      <c r="U225" s="2"/>
      <c r="V225" s="2"/>
      <c r="W225" s="2"/>
      <c r="X225" s="73" t="s">
        <v>36</v>
      </c>
      <c r="Y225" s="77"/>
    </row>
    <row r="226" spans="1:25" ht="20.100000000000001" customHeight="1" x14ac:dyDescent="0.25">
      <c r="A226" s="38">
        <f t="shared" si="103"/>
        <v>3</v>
      </c>
      <c r="B226" s="38">
        <f t="shared" si="104"/>
        <v>2</v>
      </c>
      <c r="C226" s="39" t="s">
        <v>270</v>
      </c>
      <c r="D226" s="39">
        <v>2</v>
      </c>
      <c r="E226" s="39" t="str">
        <f>E$218&amp;"."&amp;D226</f>
        <v>E.2.2</v>
      </c>
      <c r="F226" s="39" t="s">
        <v>1023</v>
      </c>
      <c r="G226" s="63" t="s">
        <v>271</v>
      </c>
      <c r="H226" s="63" t="s">
        <v>612</v>
      </c>
      <c r="I226" s="65" t="s">
        <v>692</v>
      </c>
      <c r="J226" s="39" t="s">
        <v>271</v>
      </c>
      <c r="K226" s="7" t="str">
        <f t="shared" si="119"/>
        <v>E.2.2 Unité</v>
      </c>
      <c r="L226" s="7" t="str">
        <f t="shared" si="108"/>
        <v>E.2.2 Kipimo</v>
      </c>
      <c r="M226" s="2"/>
      <c r="N226" s="39"/>
      <c r="O226" s="39"/>
      <c r="P226" s="39"/>
      <c r="Q226" s="39"/>
      <c r="R226" s="39" t="str">
        <f>R225</f>
        <v>number(${this_crop}&lt;20)</v>
      </c>
      <c r="S226" s="39"/>
      <c r="T226" s="2"/>
      <c r="U226" s="2"/>
      <c r="V226" s="2"/>
      <c r="W226" s="2"/>
      <c r="X226" s="73" t="s">
        <v>36</v>
      </c>
      <c r="Y226" s="77"/>
    </row>
    <row r="227" spans="1:25" ht="20.100000000000001" customHeight="1" x14ac:dyDescent="0.25">
      <c r="A227" s="38">
        <f t="shared" si="103"/>
        <v>3</v>
      </c>
      <c r="B227" s="38">
        <f t="shared" si="104"/>
        <v>2</v>
      </c>
      <c r="C227" s="39" t="s">
        <v>658</v>
      </c>
      <c r="D227" s="39">
        <v>6</v>
      </c>
      <c r="E227" s="39" t="str">
        <f>E$218&amp;"."&amp;D227</f>
        <v>E.2.6</v>
      </c>
      <c r="F227" s="39" t="s">
        <v>1024</v>
      </c>
      <c r="G227" s="63" t="s">
        <v>660</v>
      </c>
      <c r="H227" s="63" t="s">
        <v>661</v>
      </c>
      <c r="I227" s="12" t="s">
        <v>901</v>
      </c>
      <c r="J227" s="39" t="s">
        <v>660</v>
      </c>
      <c r="K227" s="7" t="str">
        <f t="shared" si="119"/>
        <v>E.2.6 Est que vous avez déja fini la récolte de cette culture?</v>
      </c>
      <c r="L227" s="7" t="str">
        <f t="shared" si="108"/>
        <v xml:space="preserve">E.2.6 Umekwisha maliza kuvuna mbegu hiyi? </v>
      </c>
      <c r="M227" s="2"/>
      <c r="N227" s="39"/>
      <c r="O227" s="39"/>
      <c r="P227" s="39"/>
      <c r="Q227" s="39"/>
      <c r="R227" s="39"/>
      <c r="S227" s="39"/>
      <c r="T227" s="2"/>
      <c r="U227" s="2"/>
      <c r="V227" s="2"/>
      <c r="W227" s="2"/>
      <c r="X227" s="73" t="s">
        <v>36</v>
      </c>
      <c r="Y227" s="77"/>
    </row>
    <row r="228" spans="1:25" ht="20.100000000000001" customHeight="1" x14ac:dyDescent="0.25">
      <c r="A228" s="38">
        <f t="shared" si="103"/>
        <v>3</v>
      </c>
      <c r="B228" s="38">
        <f t="shared" si="104"/>
        <v>2</v>
      </c>
      <c r="C228" s="39" t="s">
        <v>33</v>
      </c>
      <c r="D228" s="39"/>
      <c r="E228" s="39"/>
      <c r="F228" s="39" t="s">
        <v>1872</v>
      </c>
      <c r="G228" s="63" t="s">
        <v>1873</v>
      </c>
      <c r="H228" s="63" t="s">
        <v>1874</v>
      </c>
      <c r="I228" s="63" t="s">
        <v>1874</v>
      </c>
      <c r="J228" s="39" t="s">
        <v>660</v>
      </c>
      <c r="K228" s="7" t="str">
        <f t="shared" ref="K228" si="122">E228&amp;IF(E228="",""," ")&amp;H228</f>
        <v>Vous n'avez pas encore récolte, mais j'ai des questions sur votre récolte. Est-ce que vous pouvez me donner des estimations?</v>
      </c>
      <c r="L228" s="7" t="str">
        <f t="shared" ref="L228" si="123">E228&amp;IF(E228="",""," ")&amp;I228</f>
        <v>Vous n'avez pas encore récolte, mais j'ai des questions sur votre récolte. Est-ce que vous pouvez me donner des estimations?</v>
      </c>
      <c r="M228" s="2"/>
      <c r="N228" s="39"/>
      <c r="O228" s="39"/>
      <c r="P228" s="39"/>
      <c r="Q228" s="39"/>
      <c r="R228" s="2" t="str">
        <f>"not(${"&amp;F227&amp;"}='3')"</f>
        <v>not(${harvestyn}='3')</v>
      </c>
      <c r="S228" s="39"/>
      <c r="U228" s="2"/>
      <c r="V228" s="2"/>
      <c r="W228" s="2"/>
      <c r="X228" s="73"/>
      <c r="Y228" s="77"/>
    </row>
    <row r="229" spans="1:25" ht="20.100000000000001" customHeight="1" x14ac:dyDescent="0.25">
      <c r="A229" s="38">
        <f t="shared" si="103"/>
        <v>3</v>
      </c>
      <c r="B229" s="38">
        <f t="shared" si="104"/>
        <v>2</v>
      </c>
      <c r="C229" s="39" t="s">
        <v>253</v>
      </c>
      <c r="D229" s="39">
        <v>7</v>
      </c>
      <c r="E229" s="39" t="str">
        <f t="shared" ref="E229:E238" si="124">E$218&amp;"."&amp;D229</f>
        <v>E.2.7</v>
      </c>
      <c r="F229" s="39" t="s">
        <v>1025</v>
      </c>
      <c r="G229" s="63" t="s">
        <v>272</v>
      </c>
      <c r="H229" s="63" t="s">
        <v>1495</v>
      </c>
      <c r="I229" s="65" t="s">
        <v>693</v>
      </c>
      <c r="J229" s="39" t="s">
        <v>272</v>
      </c>
      <c r="K229" s="7" t="str">
        <f t="shared" si="119"/>
        <v>E.2.7 Quelle quantité est-ce que vous avez récolté?</v>
      </c>
      <c r="L229" s="7" t="str">
        <f t="shared" si="108"/>
        <v>E.2.7 Ulipata mavuno kiasi gani?</v>
      </c>
      <c r="M229" s="39"/>
      <c r="N229" s="39"/>
      <c r="O229" s="39"/>
      <c r="P229" s="39" t="s">
        <v>652</v>
      </c>
      <c r="Q229" s="39" t="s">
        <v>652</v>
      </c>
      <c r="R229" s="39"/>
      <c r="S229" s="39"/>
      <c r="T229" s="2"/>
      <c r="U229" s="2"/>
      <c r="V229" s="2"/>
      <c r="W229" s="2"/>
      <c r="X229" s="73" t="s">
        <v>36</v>
      </c>
      <c r="Y229" s="77"/>
    </row>
    <row r="230" spans="1:25" ht="20.100000000000001" customHeight="1" x14ac:dyDescent="0.25">
      <c r="A230" s="38">
        <f t="shared" si="103"/>
        <v>3</v>
      </c>
      <c r="B230" s="38">
        <f t="shared" si="104"/>
        <v>2</v>
      </c>
      <c r="C230" s="39" t="s">
        <v>270</v>
      </c>
      <c r="D230" s="39">
        <v>8</v>
      </c>
      <c r="E230" s="39" t="str">
        <f t="shared" si="124"/>
        <v>E.2.8</v>
      </c>
      <c r="F230" s="39" t="s">
        <v>1026</v>
      </c>
      <c r="G230" s="63" t="s">
        <v>271</v>
      </c>
      <c r="H230" s="63" t="s">
        <v>612</v>
      </c>
      <c r="I230" s="65" t="s">
        <v>694</v>
      </c>
      <c r="J230" s="39" t="s">
        <v>271</v>
      </c>
      <c r="K230" s="7" t="str">
        <f t="shared" si="119"/>
        <v>E.2.8 Unité</v>
      </c>
      <c r="L230" s="7" t="str">
        <f t="shared" si="108"/>
        <v>E.2.8 kipimo</v>
      </c>
      <c r="M230" s="2"/>
      <c r="N230" s="39"/>
      <c r="O230" s="39"/>
      <c r="P230" s="39"/>
      <c r="Q230" s="39"/>
      <c r="R230" s="39"/>
      <c r="S230" s="39"/>
      <c r="T230" s="2"/>
      <c r="U230" s="2"/>
      <c r="V230" s="2"/>
      <c r="W230" s="2"/>
      <c r="X230" s="73" t="s">
        <v>36</v>
      </c>
      <c r="Y230" s="77"/>
    </row>
    <row r="231" spans="1:25" ht="20.100000000000001" customHeight="1" x14ac:dyDescent="0.25">
      <c r="A231" s="38">
        <f t="shared" si="103"/>
        <v>3</v>
      </c>
      <c r="B231" s="38">
        <f t="shared" si="104"/>
        <v>2</v>
      </c>
      <c r="C231" s="39" t="s">
        <v>253</v>
      </c>
      <c r="D231" s="39">
        <v>9</v>
      </c>
      <c r="E231" s="39" t="str">
        <f t="shared" si="124"/>
        <v>E.2.9</v>
      </c>
      <c r="F231" s="39" t="s">
        <v>1027</v>
      </c>
      <c r="G231" s="63" t="s">
        <v>273</v>
      </c>
      <c r="H231" s="63" t="s">
        <v>1496</v>
      </c>
      <c r="I231" s="65" t="s">
        <v>695</v>
      </c>
      <c r="J231" s="39" t="s">
        <v>273</v>
      </c>
      <c r="K231" s="7" t="str">
        <f t="shared" si="119"/>
        <v>E.2.9 Quelle quantité est-ce que vous avez vendu?</v>
      </c>
      <c r="L231" s="7" t="str">
        <f t="shared" si="108"/>
        <v>E.2.9 Uliuzisha mavuno kiasi gani?</v>
      </c>
      <c r="M231" s="39"/>
      <c r="N231" s="39"/>
      <c r="O231" s="39" t="s">
        <v>521</v>
      </c>
      <c r="P231" s="39" t="s">
        <v>533</v>
      </c>
      <c r="Q231" s="39" t="s">
        <v>533</v>
      </c>
      <c r="R231" s="39"/>
      <c r="S231" s="39"/>
      <c r="T231" s="2"/>
      <c r="U231" s="2"/>
      <c r="V231" s="2"/>
      <c r="W231" s="2"/>
      <c r="X231" s="73" t="s">
        <v>36</v>
      </c>
      <c r="Y231" s="77"/>
    </row>
    <row r="232" spans="1:25" ht="20.100000000000001" customHeight="1" x14ac:dyDescent="0.25">
      <c r="A232" s="38">
        <f t="shared" si="103"/>
        <v>3</v>
      </c>
      <c r="B232" s="38">
        <f t="shared" si="104"/>
        <v>2</v>
      </c>
      <c r="C232" s="39" t="s">
        <v>270</v>
      </c>
      <c r="D232" s="39">
        <v>10</v>
      </c>
      <c r="E232" s="39" t="str">
        <f t="shared" si="124"/>
        <v>E.2.10</v>
      </c>
      <c r="F232" s="39" t="s">
        <v>1028</v>
      </c>
      <c r="G232" s="63" t="s">
        <v>271</v>
      </c>
      <c r="H232" s="63" t="s">
        <v>612</v>
      </c>
      <c r="I232" s="65" t="s">
        <v>692</v>
      </c>
      <c r="J232" s="39" t="s">
        <v>271</v>
      </c>
      <c r="K232" s="7" t="str">
        <f t="shared" si="119"/>
        <v>E.2.10 Unité</v>
      </c>
      <c r="L232" s="7" t="str">
        <f t="shared" si="108"/>
        <v>E.2.10 Kipimo</v>
      </c>
      <c r="M232" s="2"/>
      <c r="N232" s="39"/>
      <c r="O232" s="39"/>
      <c r="P232" s="39" t="s">
        <v>522</v>
      </c>
      <c r="Q232" s="39" t="s">
        <v>522</v>
      </c>
      <c r="R232" s="39" t="str">
        <f>"${"&amp;F231&amp;"}&gt;0 and ${"&amp;F231&amp;"}!=98"</f>
        <v>${cropsell}&gt;0 and ${cropsell}!=98</v>
      </c>
      <c r="S232" s="39"/>
      <c r="T232" s="2" t="str">
        <f>"not(.=${"&amp;F230&amp;"} and ${"&amp;F229&amp;"}&lt;${"&amp;F231&amp;"})"</f>
        <v>not(.=${harvestunit} and ${harvest}&lt;${cropsell})</v>
      </c>
      <c r="U232" s="2" t="s">
        <v>1875</v>
      </c>
      <c r="V232" s="2" t="s">
        <v>1876</v>
      </c>
      <c r="W232" s="2" t="s">
        <v>1876</v>
      </c>
      <c r="X232" s="73" t="s">
        <v>36</v>
      </c>
      <c r="Y232" s="77"/>
    </row>
    <row r="233" spans="1:25" ht="20.100000000000001" customHeight="1" x14ac:dyDescent="0.25">
      <c r="A233" s="38">
        <f t="shared" si="103"/>
        <v>3</v>
      </c>
      <c r="B233" s="38">
        <f t="shared" si="104"/>
        <v>2</v>
      </c>
      <c r="C233" s="39" t="s">
        <v>253</v>
      </c>
      <c r="D233" s="39">
        <v>11</v>
      </c>
      <c r="E233" s="39" t="str">
        <f t="shared" si="124"/>
        <v>E.2.11</v>
      </c>
      <c r="F233" s="39" t="s">
        <v>1029</v>
      </c>
      <c r="G233" s="63" t="s">
        <v>274</v>
      </c>
      <c r="H233" s="63" t="s">
        <v>613</v>
      </c>
      <c r="I233" s="65" t="s">
        <v>696</v>
      </c>
      <c r="J233" s="39" t="s">
        <v>274</v>
      </c>
      <c r="K233" s="7" t="str">
        <f t="shared" si="119"/>
        <v>E.2.11 Pour quel prix avez-vous vendu la récolte?</v>
      </c>
      <c r="L233" s="7" t="str">
        <f t="shared" si="108"/>
        <v>E.2.11 Uliuzisha mavuno kwa bei gani?</v>
      </c>
      <c r="M233" s="39"/>
      <c r="N233" s="39"/>
      <c r="O233" s="39" t="s">
        <v>275</v>
      </c>
      <c r="P233" s="39" t="s">
        <v>536</v>
      </c>
      <c r="Q233" s="39" t="s">
        <v>536</v>
      </c>
      <c r="R233" s="39" t="str">
        <f>"${"&amp;F231&amp;"}&gt;0 and ${"&amp;F231&amp;"}!=98"</f>
        <v>${cropsell}&gt;0 and ${cropsell}!=98</v>
      </c>
      <c r="S233" s="39"/>
      <c r="T233" s="2"/>
      <c r="U233" s="2"/>
      <c r="V233" s="2"/>
      <c r="W233" s="2"/>
      <c r="X233" s="73" t="s">
        <v>36</v>
      </c>
      <c r="Y233" s="77"/>
    </row>
    <row r="234" spans="1:25" ht="20.100000000000001" customHeight="1" x14ac:dyDescent="0.25">
      <c r="A234" s="38">
        <f t="shared" si="103"/>
        <v>3</v>
      </c>
      <c r="B234" s="38">
        <f t="shared" si="104"/>
        <v>2</v>
      </c>
      <c r="C234" s="39" t="s">
        <v>265</v>
      </c>
      <c r="D234" s="39">
        <v>12</v>
      </c>
      <c r="E234" s="39" t="str">
        <f t="shared" si="124"/>
        <v>E.2.12</v>
      </c>
      <c r="F234" s="39" t="s">
        <v>1030</v>
      </c>
      <c r="G234" s="63" t="s">
        <v>276</v>
      </c>
      <c r="H234" s="63" t="s">
        <v>614</v>
      </c>
      <c r="I234" s="65" t="s">
        <v>697</v>
      </c>
      <c r="J234" s="39" t="s">
        <v>276</v>
      </c>
      <c r="K234" s="7" t="str">
        <f t="shared" si="119"/>
        <v>E.2.12 Monnaie</v>
      </c>
      <c r="L234" s="7" t="str">
        <f t="shared" si="108"/>
        <v>E.2.12 Pesa gani</v>
      </c>
      <c r="M234" s="39"/>
      <c r="N234" s="39"/>
      <c r="O234" s="39"/>
      <c r="P234" s="39" t="s">
        <v>534</v>
      </c>
      <c r="Q234" s="39" t="s">
        <v>534</v>
      </c>
      <c r="R234" s="39" t="str">
        <f>"${"&amp;F231&amp;"}&gt;0 and ${"&amp;F231&amp;"}!=98"</f>
        <v>${cropsell}&gt;0 and ${cropsell}!=98</v>
      </c>
      <c r="S234" s="39"/>
      <c r="T234" s="2"/>
      <c r="U234" s="2"/>
      <c r="V234" s="2"/>
      <c r="W234" s="2"/>
      <c r="X234" s="73" t="s">
        <v>36</v>
      </c>
      <c r="Y234" s="77"/>
    </row>
    <row r="235" spans="1:25" ht="20.100000000000001" customHeight="1" x14ac:dyDescent="0.25">
      <c r="A235" s="38">
        <f t="shared" si="103"/>
        <v>3</v>
      </c>
      <c r="B235" s="38">
        <f t="shared" si="104"/>
        <v>2</v>
      </c>
      <c r="C235" s="39" t="s">
        <v>270</v>
      </c>
      <c r="D235" s="39">
        <v>13</v>
      </c>
      <c r="E235" s="39" t="str">
        <f t="shared" si="124"/>
        <v>E.2.13</v>
      </c>
      <c r="F235" s="39" t="s">
        <v>1031</v>
      </c>
      <c r="G235" s="63" t="s">
        <v>277</v>
      </c>
      <c r="H235" s="63" t="s">
        <v>612</v>
      </c>
      <c r="I235" s="65" t="s">
        <v>698</v>
      </c>
      <c r="J235" s="39" t="s">
        <v>277</v>
      </c>
      <c r="K235" s="7" t="str">
        <f t="shared" si="119"/>
        <v>E.2.13 Unité</v>
      </c>
      <c r="L235" s="7" t="str">
        <f t="shared" si="108"/>
        <v>E.2.13 Uliuzisha kwa kipimo gani?</v>
      </c>
      <c r="M235" s="39"/>
      <c r="N235" s="39"/>
      <c r="O235" s="39"/>
      <c r="P235" s="39" t="s">
        <v>535</v>
      </c>
      <c r="Q235" s="39" t="s">
        <v>535</v>
      </c>
      <c r="R235" s="39" t="str">
        <f>"${"&amp;F231&amp;"}&gt;0 and ${"&amp;F231&amp;"}!=98"</f>
        <v>${cropsell}&gt;0 and ${cropsell}!=98</v>
      </c>
      <c r="S235" s="39"/>
      <c r="T235" s="2"/>
      <c r="U235" s="2"/>
      <c r="V235" s="2"/>
      <c r="W235" s="2"/>
      <c r="X235" s="73" t="s">
        <v>36</v>
      </c>
      <c r="Y235" s="77"/>
    </row>
    <row r="236" spans="1:25" ht="20.100000000000001" customHeight="1" x14ac:dyDescent="0.25">
      <c r="A236" s="38">
        <f t="shared" si="103"/>
        <v>3</v>
      </c>
      <c r="B236" s="38">
        <f t="shared" si="104"/>
        <v>2</v>
      </c>
      <c r="C236" s="39" t="s">
        <v>278</v>
      </c>
      <c r="D236" s="39">
        <v>14</v>
      </c>
      <c r="E236" s="39" t="str">
        <f t="shared" si="124"/>
        <v>E.2.14</v>
      </c>
      <c r="F236" s="39" t="s">
        <v>1032</v>
      </c>
      <c r="G236" s="63" t="s">
        <v>279</v>
      </c>
      <c r="H236" s="63" t="s">
        <v>615</v>
      </c>
      <c r="I236" s="65" t="s">
        <v>699</v>
      </c>
      <c r="J236" s="39" t="s">
        <v>279</v>
      </c>
      <c r="K236" s="7" t="str">
        <f t="shared" si="119"/>
        <v>E.2.14 Quand est-ce que vous avez vendu la récolte?</v>
      </c>
      <c r="L236" s="7" t="str">
        <f t="shared" si="108"/>
        <v>E.2.14 Uliuzisha hii mavuno wakati gani?</v>
      </c>
      <c r="M236" s="39"/>
      <c r="N236" s="39"/>
      <c r="O236" s="39"/>
      <c r="P236" s="39"/>
      <c r="Q236" s="39"/>
      <c r="R236" s="39" t="str">
        <f>"${"&amp;F231&amp;"}&gt;0"</f>
        <v>${cropsell}&gt;0</v>
      </c>
      <c r="S236" s="39"/>
      <c r="T236" s="2"/>
      <c r="U236" s="2"/>
      <c r="V236" s="2"/>
      <c r="W236" s="2"/>
      <c r="X236" s="73" t="s">
        <v>36</v>
      </c>
      <c r="Y236" s="77"/>
    </row>
    <row r="237" spans="1:25" ht="20.100000000000001" customHeight="1" x14ac:dyDescent="0.25">
      <c r="A237" s="38">
        <f t="shared" si="103"/>
        <v>3</v>
      </c>
      <c r="B237" s="38">
        <f t="shared" si="104"/>
        <v>2</v>
      </c>
      <c r="C237" s="39" t="s">
        <v>280</v>
      </c>
      <c r="D237" s="39">
        <v>15</v>
      </c>
      <c r="E237" s="39" t="str">
        <f t="shared" si="124"/>
        <v>E.2.15</v>
      </c>
      <c r="F237" s="39" t="s">
        <v>1033</v>
      </c>
      <c r="G237" s="63" t="s">
        <v>281</v>
      </c>
      <c r="H237" s="63" t="s">
        <v>616</v>
      </c>
      <c r="I237" s="65" t="s">
        <v>700</v>
      </c>
      <c r="J237" s="39" t="s">
        <v>281</v>
      </c>
      <c r="K237" s="7" t="str">
        <f t="shared" si="119"/>
        <v>E.2.15 Ou est-ce que vous avez vendu la récolte?</v>
      </c>
      <c r="L237" s="7" t="str">
        <f t="shared" si="108"/>
        <v>E.2.15 Uliuzisha hii mavuno wapi?</v>
      </c>
      <c r="M237" s="2"/>
      <c r="N237" s="39"/>
      <c r="O237" s="39"/>
      <c r="P237" s="39"/>
      <c r="Q237" s="39"/>
      <c r="R237" s="39" t="str">
        <f>"${"&amp;F231&amp;"}&gt;0"</f>
        <v>${cropsell}&gt;0</v>
      </c>
      <c r="S237" s="39"/>
      <c r="T237" s="2"/>
      <c r="U237" s="2"/>
      <c r="V237" s="2"/>
      <c r="W237" s="2"/>
      <c r="X237" s="73" t="s">
        <v>36</v>
      </c>
      <c r="Y237" s="77"/>
    </row>
    <row r="238" spans="1:25" ht="20.100000000000001" customHeight="1" x14ac:dyDescent="0.25">
      <c r="A238" s="38">
        <f t="shared" si="103"/>
        <v>3</v>
      </c>
      <c r="B238" s="38">
        <f t="shared" si="104"/>
        <v>2</v>
      </c>
      <c r="C238" s="39" t="s">
        <v>34</v>
      </c>
      <c r="D238" s="39">
        <v>16</v>
      </c>
      <c r="E238" s="39" t="str">
        <f t="shared" si="124"/>
        <v>E.2.16</v>
      </c>
      <c r="F238" s="39" t="s">
        <v>1034</v>
      </c>
      <c r="G238" s="63" t="s">
        <v>261</v>
      </c>
      <c r="H238" s="63" t="s">
        <v>591</v>
      </c>
      <c r="I238" s="65" t="s">
        <v>680</v>
      </c>
      <c r="J238" s="39" t="s">
        <v>261</v>
      </c>
      <c r="K238" s="7" t="str">
        <f t="shared" si="119"/>
        <v>E.2.16 Specifiez</v>
      </c>
      <c r="L238" s="7" t="str">
        <f t="shared" si="108"/>
        <v>E.2.16 Pana mwangaza (Fafanuwa)</v>
      </c>
      <c r="M238" s="2"/>
      <c r="N238" s="39"/>
      <c r="O238" s="39"/>
      <c r="P238" s="39"/>
      <c r="Q238" s="39"/>
      <c r="R238" s="39" t="str">
        <f>"${"&amp;F231&amp;"}&gt;0 and ${"&amp;F237&amp;"} = '5'"</f>
        <v>${cropsell}&gt;0 and ${cropmarket} = '5'</v>
      </c>
      <c r="S238" s="39"/>
      <c r="T238" s="2"/>
      <c r="U238" s="2"/>
      <c r="V238" s="2"/>
      <c r="W238" s="2"/>
      <c r="X238" s="73" t="s">
        <v>36</v>
      </c>
      <c r="Y238" s="77"/>
    </row>
    <row r="239" spans="1:25" s="40" customFormat="1" ht="20.100000000000001" customHeight="1" x14ac:dyDescent="0.25">
      <c r="A239" s="38">
        <f t="shared" si="103"/>
        <v>3</v>
      </c>
      <c r="B239" s="38">
        <f t="shared" si="104"/>
        <v>1</v>
      </c>
      <c r="C239" s="116" t="s">
        <v>287</v>
      </c>
      <c r="D239" s="116"/>
      <c r="E239" s="116"/>
      <c r="F239" s="116"/>
      <c r="G239" s="117"/>
      <c r="H239" s="117"/>
      <c r="I239" s="118"/>
      <c r="J239" s="116"/>
      <c r="M239" s="119"/>
      <c r="N239" s="116"/>
      <c r="O239" s="116"/>
      <c r="P239" s="116"/>
      <c r="Q239" s="116"/>
      <c r="R239" s="116"/>
      <c r="S239" s="116"/>
      <c r="T239" s="119"/>
      <c r="U239" s="119"/>
      <c r="V239" s="119"/>
      <c r="W239" s="119"/>
      <c r="X239" s="120"/>
      <c r="Y239" s="121"/>
    </row>
    <row r="240" spans="1:25" s="7" customFormat="1" ht="20.100000000000001" customHeight="1" x14ac:dyDescent="0.25">
      <c r="A240" s="38">
        <f t="shared" si="103"/>
        <v>3</v>
      </c>
      <c r="B240" s="38">
        <f t="shared" si="104"/>
        <v>1</v>
      </c>
      <c r="C240" s="82" t="s">
        <v>33</v>
      </c>
      <c r="D240" s="82"/>
      <c r="E240" s="82"/>
      <c r="F240" s="52" t="s">
        <v>666</v>
      </c>
      <c r="G240" s="16" t="s">
        <v>667</v>
      </c>
      <c r="H240" s="16" t="s">
        <v>668</v>
      </c>
      <c r="I240" s="12" t="s">
        <v>668</v>
      </c>
      <c r="J240" s="52" t="s">
        <v>667</v>
      </c>
      <c r="K240" s="7" t="str">
        <f t="shared" ref="K240" si="125">E240&amp;IF(D240="",""," ")&amp;H240</f>
        <v>D'abord, je vais vous poser questions sur les dimensions du champ, sur l'access au champ, sur qui a travaille sur ce champ, et quelle intrants sont utilisé sur ce champ.</v>
      </c>
      <c r="L240" s="7" t="str">
        <f t="shared" ref="L240:L241" si="126">E240&amp;IF(E240="",""," ")&amp;I240</f>
        <v>D'abord, je vais vous poser questions sur les dimensions du champ, sur l'access au champ, sur qui a travaille sur ce champ, et quelle intrants sont utilisé sur ce champ.</v>
      </c>
      <c r="M240" s="52"/>
      <c r="N240" s="52"/>
      <c r="O240" s="52"/>
      <c r="P240" s="52"/>
      <c r="Q240" s="52"/>
      <c r="R240" s="52"/>
      <c r="S240" s="52"/>
      <c r="T240" s="14"/>
      <c r="U240" s="14"/>
      <c r="V240" s="14"/>
      <c r="W240" s="14"/>
      <c r="X240" s="52"/>
      <c r="Y240" s="71"/>
    </row>
    <row r="241" spans="1:25" s="17" customFormat="1" ht="20.100000000000001" customHeight="1" x14ac:dyDescent="0.25">
      <c r="A241" s="38">
        <f t="shared" si="103"/>
        <v>4</v>
      </c>
      <c r="B241" s="38">
        <f t="shared" si="104"/>
        <v>1</v>
      </c>
      <c r="C241" s="17" t="s">
        <v>32</v>
      </c>
      <c r="D241" s="17">
        <v>3</v>
      </c>
      <c r="F241" s="17" t="s">
        <v>512</v>
      </c>
      <c r="G241" s="10" t="s">
        <v>513</v>
      </c>
      <c r="H241" s="10" t="s">
        <v>514</v>
      </c>
      <c r="I241" s="10" t="s">
        <v>688</v>
      </c>
      <c r="J241" s="17" t="s">
        <v>513</v>
      </c>
      <c r="K241" s="17" t="str">
        <f t="shared" ref="K241:K242" si="127">E241&amp;IF(D241="",""," ")&amp;H241</f>
        <v xml:space="preserve"> Utilisation et access de champ</v>
      </c>
      <c r="L241" s="17" t="str">
        <f t="shared" si="126"/>
        <v>Matumizi ya  udongo na namna ya kuupata</v>
      </c>
      <c r="S241" s="51"/>
      <c r="T241" s="19"/>
      <c r="U241" s="19"/>
      <c r="V241" s="19"/>
      <c r="W241" s="19"/>
      <c r="X241" s="51"/>
      <c r="Y241" s="51"/>
    </row>
    <row r="242" spans="1:25" ht="20.100000000000001" customHeight="1" x14ac:dyDescent="0.25">
      <c r="A242" s="38">
        <f t="shared" si="103"/>
        <v>4</v>
      </c>
      <c r="B242" s="38">
        <f t="shared" si="104"/>
        <v>1</v>
      </c>
      <c r="C242" s="1" t="s">
        <v>94</v>
      </c>
      <c r="D242" s="1">
        <v>3</v>
      </c>
      <c r="E242" s="39" t="str">
        <f>D$191&amp;"."&amp;D$241&amp;"."&amp;D242</f>
        <v>E.3.3</v>
      </c>
      <c r="F242" s="1" t="s">
        <v>648</v>
      </c>
      <c r="G242" s="69" t="s">
        <v>649</v>
      </c>
      <c r="H242" s="69" t="s">
        <v>650</v>
      </c>
      <c r="I242" s="43" t="s">
        <v>650</v>
      </c>
      <c r="J242" s="1" t="s">
        <v>649</v>
      </c>
      <c r="K242" s="7" t="str">
        <f t="shared" si="127"/>
        <v>E.3.3 Quel membre de ménage a le pouvoir des decisions plus grande concernant ce champ?</v>
      </c>
      <c r="L242" s="7" t="e">
        <f>E242&amp;IF(E242="",""," ")&amp;#REF!</f>
        <v>#REF!</v>
      </c>
      <c r="M242" s="1"/>
      <c r="N242" s="1"/>
      <c r="O242" s="1"/>
      <c r="P242" s="1"/>
      <c r="Q242" s="1"/>
      <c r="R242" s="1"/>
      <c r="S242" s="39"/>
      <c r="T242" s="2" t="s">
        <v>1877</v>
      </c>
      <c r="U242" s="2"/>
      <c r="V242" s="2"/>
      <c r="W242" s="2"/>
      <c r="X242" s="73" t="s">
        <v>36</v>
      </c>
      <c r="Y242" s="2"/>
    </row>
    <row r="243" spans="1:25" s="21" customFormat="1" ht="20.100000000000001" customHeight="1" x14ac:dyDescent="0.25">
      <c r="A243" s="38">
        <f t="shared" si="103"/>
        <v>3</v>
      </c>
      <c r="B243" s="38">
        <f t="shared" si="104"/>
        <v>1</v>
      </c>
      <c r="C243" s="21" t="s">
        <v>40</v>
      </c>
      <c r="G243" s="11"/>
      <c r="H243" s="11" t="s">
        <v>587</v>
      </c>
      <c r="I243" s="11"/>
      <c r="L243" s="21" t="str">
        <f t="shared" ref="L243:L267" si="128">E243&amp;IF(E243="",""," ")&amp;I243</f>
        <v/>
      </c>
      <c r="S243" s="56"/>
      <c r="T243" s="18"/>
      <c r="U243" s="18"/>
      <c r="V243" s="18"/>
      <c r="W243" s="18"/>
      <c r="X243" s="56"/>
      <c r="Y243" s="56"/>
    </row>
    <row r="244" spans="1:25" s="17" customFormat="1" ht="20.100000000000001" customHeight="1" x14ac:dyDescent="0.25">
      <c r="A244" s="38">
        <f t="shared" si="103"/>
        <v>4</v>
      </c>
      <c r="B244" s="38">
        <f t="shared" si="104"/>
        <v>1</v>
      </c>
      <c r="C244" s="53" t="s">
        <v>32</v>
      </c>
      <c r="D244" s="53">
        <v>4</v>
      </c>
      <c r="E244" s="53"/>
      <c r="F244" s="17" t="s">
        <v>515</v>
      </c>
      <c r="G244" s="10" t="s">
        <v>517</v>
      </c>
      <c r="H244" s="10" t="s">
        <v>518</v>
      </c>
      <c r="I244" s="10" t="s">
        <v>689</v>
      </c>
      <c r="J244" s="17" t="s">
        <v>517</v>
      </c>
      <c r="K244" s="17" t="str">
        <f t="shared" ref="K244:K249" si="129">E244&amp;IF(D244="",""," ")&amp;H244</f>
        <v xml:space="preserve"> Paiements pour l'access</v>
      </c>
      <c r="L244" s="17" t="str">
        <f t="shared" si="128"/>
        <v>Malipo juu ya kutumikisha udongo</v>
      </c>
      <c r="S244" s="51"/>
      <c r="T244" s="19"/>
      <c r="U244" s="19"/>
      <c r="V244" s="19"/>
      <c r="W244" s="19"/>
      <c r="X244" s="51" t="s">
        <v>36</v>
      </c>
      <c r="Y244" s="51"/>
    </row>
    <row r="245" spans="1:25" ht="20.100000000000001" customHeight="1" x14ac:dyDescent="0.25">
      <c r="A245" s="38">
        <f t="shared" si="103"/>
        <v>4</v>
      </c>
      <c r="B245" s="38">
        <f t="shared" si="104"/>
        <v>1</v>
      </c>
      <c r="C245" s="1" t="s">
        <v>936</v>
      </c>
      <c r="D245" s="1">
        <v>1</v>
      </c>
      <c r="E245" s="39" t="str">
        <f>D$191&amp;"."&amp;D$244&amp;"."&amp;D245</f>
        <v>E.4.1</v>
      </c>
      <c r="F245" s="1" t="s">
        <v>516</v>
      </c>
      <c r="G245" s="69" t="s">
        <v>956</v>
      </c>
      <c r="H245" s="69" t="s">
        <v>928</v>
      </c>
      <c r="I245" s="13" t="s">
        <v>928</v>
      </c>
      <c r="J245" s="1" t="s">
        <v>956</v>
      </c>
      <c r="K245" s="7" t="str">
        <f t="shared" si="129"/>
        <v>E.4.1 Est-ce que vous paiez pour l'access a votre champs dans quelqu'un de ces manieres?</v>
      </c>
      <c r="L245" s="7" t="str">
        <f t="shared" si="128"/>
        <v>E.4.1 Est-ce que vous paiez pour l'access a votre champs dans quelqu'un de ces manieres?</v>
      </c>
      <c r="M245" s="1"/>
      <c r="N245" s="1"/>
      <c r="O245" s="1" t="s">
        <v>2039</v>
      </c>
      <c r="P245" s="1" t="s">
        <v>2039</v>
      </c>
      <c r="Q245" s="1" t="s">
        <v>2039</v>
      </c>
      <c r="R245" s="1"/>
      <c r="S245" s="39"/>
      <c r="T245" s="7" t="s">
        <v>1471</v>
      </c>
      <c r="U245" s="2"/>
      <c r="V245" s="2"/>
      <c r="W245" s="2"/>
      <c r="X245" s="73" t="s">
        <v>36</v>
      </c>
      <c r="Y245" s="2"/>
    </row>
    <row r="246" spans="1:25" ht="20.100000000000001" customHeight="1" x14ac:dyDescent="0.25">
      <c r="A246" s="38">
        <f t="shared" si="103"/>
        <v>4</v>
      </c>
      <c r="B246" s="38">
        <f t="shared" si="104"/>
        <v>1</v>
      </c>
      <c r="C246" s="1" t="s">
        <v>35</v>
      </c>
      <c r="D246" s="1">
        <v>2</v>
      </c>
      <c r="E246" s="39" t="str">
        <f>D$191&amp;"."&amp;D$244&amp;"."&amp;D246</f>
        <v>E.4.2</v>
      </c>
      <c r="F246" s="1" t="s">
        <v>937</v>
      </c>
      <c r="G246" s="69" t="s">
        <v>957</v>
      </c>
      <c r="H246" s="69" t="s">
        <v>940</v>
      </c>
      <c r="I246" s="13" t="s">
        <v>940</v>
      </c>
      <c r="J246" s="1" t="s">
        <v>957</v>
      </c>
      <c r="K246" s="7" t="str">
        <f t="shared" si="129"/>
        <v>E.4.2 Combien de dollar est-que vous paiez par année pour l'access?</v>
      </c>
      <c r="L246" s="7" t="str">
        <f t="shared" si="128"/>
        <v>E.4.2 Combien de dollar est-que vous paiez par année pour l'access?</v>
      </c>
      <c r="M246" s="1"/>
      <c r="N246" s="1"/>
      <c r="O246" s="1"/>
      <c r="P246" s="1"/>
      <c r="Q246" s="1"/>
      <c r="R246" s="1" t="str">
        <f>"selected(${"&amp;F245&amp;"},'1')"</f>
        <v>selected(${plotpay},'1')</v>
      </c>
      <c r="S246" s="39"/>
      <c r="T246" s="2" t="s">
        <v>1499</v>
      </c>
      <c r="U246" s="2"/>
      <c r="V246" s="2"/>
      <c r="W246" s="2"/>
      <c r="X246" s="73" t="s">
        <v>36</v>
      </c>
      <c r="Y246" s="2"/>
    </row>
    <row r="247" spans="1:25" ht="20.100000000000001" customHeight="1" x14ac:dyDescent="0.25">
      <c r="A247" s="38">
        <f t="shared" si="103"/>
        <v>4</v>
      </c>
      <c r="B247" s="38">
        <f t="shared" si="104"/>
        <v>1</v>
      </c>
      <c r="C247" s="1" t="s">
        <v>35</v>
      </c>
      <c r="D247" s="1">
        <v>3</v>
      </c>
      <c r="E247" s="39" t="str">
        <f>D$191&amp;"."&amp;D$244&amp;"."&amp;D247</f>
        <v>E.4.3</v>
      </c>
      <c r="F247" s="1" t="s">
        <v>938</v>
      </c>
      <c r="G247" s="69" t="s">
        <v>958</v>
      </c>
      <c r="H247" s="69" t="s">
        <v>941</v>
      </c>
      <c r="I247" s="13" t="s">
        <v>941</v>
      </c>
      <c r="J247" s="1" t="s">
        <v>958</v>
      </c>
      <c r="K247" s="7" t="str">
        <f t="shared" si="129"/>
        <v>E.4.3 Combien de Franc Congolais est-que vous paiez par année pour l'access?</v>
      </c>
      <c r="L247" s="7" t="str">
        <f t="shared" si="128"/>
        <v>E.4.3 Combien de Franc Congolais est-que vous paiez par année pour l'access?</v>
      </c>
      <c r="M247" s="1"/>
      <c r="N247" s="1"/>
      <c r="O247" s="1"/>
      <c r="P247" s="1"/>
      <c r="Q247" s="1"/>
      <c r="R247" s="1" t="str">
        <f>"selected(${"&amp;F245&amp;"},'2')"</f>
        <v>selected(${plotpay},'2')</v>
      </c>
      <c r="S247" s="39"/>
      <c r="T247" s="2" t="s">
        <v>1500</v>
      </c>
      <c r="U247" s="2"/>
      <c r="V247" s="2"/>
      <c r="W247" s="2"/>
      <c r="X247" s="73" t="s">
        <v>36</v>
      </c>
      <c r="Y247" s="2"/>
    </row>
    <row r="248" spans="1:25" ht="20.100000000000001" customHeight="1" x14ac:dyDescent="0.25">
      <c r="A248" s="38">
        <f t="shared" si="103"/>
        <v>4</v>
      </c>
      <c r="B248" s="38">
        <f t="shared" si="104"/>
        <v>1</v>
      </c>
      <c r="C248" s="1" t="s">
        <v>35</v>
      </c>
      <c r="D248" s="1">
        <v>4</v>
      </c>
      <c r="E248" s="39" t="str">
        <f>D$191&amp;"."&amp;D$244&amp;"."&amp;D248</f>
        <v>E.4.4</v>
      </c>
      <c r="F248" s="1" t="s">
        <v>939</v>
      </c>
      <c r="G248" s="69" t="s">
        <v>959</v>
      </c>
      <c r="H248" s="69" t="s">
        <v>942</v>
      </c>
      <c r="I248" s="13" t="s">
        <v>942</v>
      </c>
      <c r="J248" s="1" t="s">
        <v>959</v>
      </c>
      <c r="K248" s="7" t="str">
        <f t="shared" si="129"/>
        <v>E.4.4 Quel partie de récolte contribuez vous pour l'access?</v>
      </c>
      <c r="L248" s="7" t="str">
        <f t="shared" si="128"/>
        <v>E.4.4 Quel partie de récolte contribuez vous pour l'access?</v>
      </c>
      <c r="M248" s="1"/>
      <c r="N248" s="1"/>
      <c r="O248" s="1"/>
      <c r="P248" s="1" t="s">
        <v>943</v>
      </c>
      <c r="Q248" s="1" t="s">
        <v>943</v>
      </c>
      <c r="R248" s="1" t="str">
        <f>"selected(${"&amp;F245&amp;"},'3')"</f>
        <v>selected(${plotpay},'3')</v>
      </c>
      <c r="S248" s="39"/>
      <c r="T248" s="2" t="s">
        <v>1501</v>
      </c>
      <c r="U248" s="2"/>
      <c r="V248" s="2"/>
      <c r="W248" s="2"/>
      <c r="X248" s="73" t="s">
        <v>36</v>
      </c>
      <c r="Y248" s="2"/>
    </row>
    <row r="249" spans="1:25" ht="20.100000000000001" customHeight="1" x14ac:dyDescent="0.25">
      <c r="A249" s="38">
        <f t="shared" si="103"/>
        <v>4</v>
      </c>
      <c r="B249" s="38">
        <f t="shared" si="104"/>
        <v>1</v>
      </c>
      <c r="C249" s="1" t="s">
        <v>34</v>
      </c>
      <c r="D249" s="1">
        <v>5</v>
      </c>
      <c r="E249" s="39" t="str">
        <f>D$191&amp;"."&amp;D$244&amp;"."&amp;D249</f>
        <v>E.4.5</v>
      </c>
      <c r="F249" s="1" t="s">
        <v>946</v>
      </c>
      <c r="G249" s="69" t="s">
        <v>960</v>
      </c>
      <c r="H249" s="69" t="s">
        <v>945</v>
      </c>
      <c r="I249" s="13" t="s">
        <v>945</v>
      </c>
      <c r="J249" s="1" t="s">
        <v>960</v>
      </c>
      <c r="K249" s="7" t="str">
        <f t="shared" si="129"/>
        <v>E.4.5 Décrivez l'autre manière dans laquelle vous payez</v>
      </c>
      <c r="L249" s="7" t="str">
        <f t="shared" si="128"/>
        <v>E.4.5 Décrivez l'autre manière dans laquelle vous payez</v>
      </c>
      <c r="M249" s="1"/>
      <c r="N249" s="1"/>
      <c r="O249" s="1"/>
      <c r="P249" s="1"/>
      <c r="Q249" s="1"/>
      <c r="R249" s="1" t="str">
        <f>"selected(${"&amp;F245&amp;"},'96')"</f>
        <v>selected(${plotpay},'96')</v>
      </c>
      <c r="S249" s="39"/>
      <c r="T249" s="2"/>
      <c r="U249" s="2"/>
      <c r="V249" s="2"/>
      <c r="W249" s="2"/>
      <c r="X249" s="73" t="s">
        <v>36</v>
      </c>
      <c r="Y249" s="2"/>
    </row>
    <row r="250" spans="1:25" s="21" customFormat="1" ht="20.100000000000001" customHeight="1" x14ac:dyDescent="0.25">
      <c r="A250" s="38">
        <f t="shared" si="103"/>
        <v>3</v>
      </c>
      <c r="B250" s="38">
        <f t="shared" si="104"/>
        <v>1</v>
      </c>
      <c r="C250" s="54" t="s">
        <v>40</v>
      </c>
      <c r="D250" s="54"/>
      <c r="E250" s="54"/>
      <c r="G250" s="11"/>
      <c r="H250" s="11" t="s">
        <v>587</v>
      </c>
      <c r="I250" s="11"/>
      <c r="L250" s="21" t="str">
        <f t="shared" si="128"/>
        <v/>
      </c>
      <c r="S250" s="56"/>
      <c r="T250" s="18"/>
      <c r="U250" s="18"/>
      <c r="V250" s="18"/>
      <c r="W250" s="18"/>
      <c r="X250" s="56"/>
      <c r="Y250" s="56"/>
    </row>
    <row r="251" spans="1:25" s="17" customFormat="1" ht="20.100000000000001" customHeight="1" x14ac:dyDescent="0.25">
      <c r="A251" s="38">
        <f t="shared" si="103"/>
        <v>4</v>
      </c>
      <c r="B251" s="38">
        <f t="shared" si="104"/>
        <v>1</v>
      </c>
      <c r="C251" s="17" t="s">
        <v>32</v>
      </c>
      <c r="D251" s="17">
        <v>5</v>
      </c>
      <c r="E251" s="39" t="str">
        <f>D$191&amp;"."&amp;D$251</f>
        <v>E.5</v>
      </c>
      <c r="F251" s="17" t="s">
        <v>487</v>
      </c>
      <c r="G251" s="10" t="s">
        <v>488</v>
      </c>
      <c r="H251" s="10" t="s">
        <v>489</v>
      </c>
      <c r="I251" s="10"/>
      <c r="J251" s="17" t="s">
        <v>488</v>
      </c>
      <c r="K251" s="17" t="str">
        <f t="shared" ref="K251:K259" si="130">E251&amp;IF(D251="",""," ")&amp;H251</f>
        <v>E.5 Travail</v>
      </c>
      <c r="L251" s="17" t="str">
        <f t="shared" si="128"/>
        <v xml:space="preserve">E.5 </v>
      </c>
      <c r="S251" s="51"/>
      <c r="T251" s="19"/>
      <c r="U251" s="19"/>
      <c r="V251" s="19"/>
      <c r="W251" s="19"/>
      <c r="X251" s="51"/>
      <c r="Y251" s="51"/>
    </row>
    <row r="252" spans="1:25" ht="20.100000000000001" customHeight="1" x14ac:dyDescent="0.25">
      <c r="A252" s="38">
        <f t="shared" si="103"/>
        <v>4</v>
      </c>
      <c r="B252" s="38">
        <f t="shared" si="104"/>
        <v>1</v>
      </c>
      <c r="C252" s="1" t="s">
        <v>1846</v>
      </c>
      <c r="D252" s="1">
        <v>1</v>
      </c>
      <c r="E252" s="39" t="str">
        <f t="shared" ref="E252:E264" si="131">D$191&amp;"."&amp;D$251&amp;"."&amp;D252</f>
        <v>E.5.1</v>
      </c>
      <c r="F252" s="1" t="s">
        <v>1871</v>
      </c>
      <c r="G252" s="69" t="s">
        <v>609</v>
      </c>
      <c r="H252" s="69" t="s">
        <v>610</v>
      </c>
      <c r="I252" s="13" t="s">
        <v>690</v>
      </c>
      <c r="J252" s="1" t="s">
        <v>609</v>
      </c>
      <c r="K252" s="7" t="str">
        <f t="shared" si="130"/>
        <v>E.5.1 Quels membres ont travaillé sur le champ?</v>
      </c>
      <c r="L252" s="7" t="str">
        <f t="shared" si="128"/>
        <v>E.5.1 Wanamembe gani wa jamaa ambao walitumika ndani ya shamba</v>
      </c>
      <c r="M252" s="1"/>
      <c r="N252" s="1"/>
      <c r="O252" s="1"/>
      <c r="P252" s="1"/>
      <c r="Q252" s="1"/>
      <c r="R252" s="1"/>
      <c r="S252" s="39"/>
      <c r="T252" s="2" t="s">
        <v>1929</v>
      </c>
      <c r="U252" s="2"/>
      <c r="V252" s="2"/>
      <c r="W252" s="2"/>
      <c r="X252" s="73" t="s">
        <v>36</v>
      </c>
      <c r="Y252" s="39"/>
    </row>
    <row r="253" spans="1:25" ht="20.100000000000001" customHeight="1" x14ac:dyDescent="0.25">
      <c r="A253" s="38">
        <f t="shared" si="103"/>
        <v>4</v>
      </c>
      <c r="B253" s="38">
        <f t="shared" si="104"/>
        <v>1</v>
      </c>
      <c r="C253" s="1" t="s">
        <v>35</v>
      </c>
      <c r="D253" s="1">
        <v>3</v>
      </c>
      <c r="E253" s="39" t="str">
        <f t="shared" si="131"/>
        <v>E.5.3</v>
      </c>
      <c r="F253" s="1" t="s">
        <v>519</v>
      </c>
      <c r="G253" s="69" t="s">
        <v>264</v>
      </c>
      <c r="H253" s="69" t="s">
        <v>1870</v>
      </c>
      <c r="I253" s="13" t="s">
        <v>691</v>
      </c>
      <c r="J253" s="1" t="s">
        <v>264</v>
      </c>
      <c r="K253" s="7" t="str">
        <f t="shared" si="130"/>
        <v>E.5.3 Combien des hommes-jours avez-vous utilisé le travailleur journailliere?</v>
      </c>
      <c r="L253" s="7" t="str">
        <f t="shared" si="128"/>
        <v>E.5.3 Ulitumikisha mfanyakazi kwa siku ngapi?</v>
      </c>
      <c r="M253" s="1"/>
      <c r="N253" s="1"/>
      <c r="O253" s="1" t="s">
        <v>1878</v>
      </c>
      <c r="P253" s="1" t="s">
        <v>1878</v>
      </c>
      <c r="Q253" s="1" t="s">
        <v>1878</v>
      </c>
      <c r="R253" s="1" t="str">
        <f>"selected(${"&amp;F252&amp;"},'1')"</f>
        <v>selected(${work_who},'1')</v>
      </c>
      <c r="S253" s="39"/>
      <c r="T253" s="2" t="s">
        <v>1930</v>
      </c>
      <c r="U253" s="2"/>
      <c r="V253" s="2"/>
      <c r="W253" s="2"/>
      <c r="X253" s="73" t="s">
        <v>36</v>
      </c>
      <c r="Y253" s="39"/>
    </row>
    <row r="254" spans="1:25" ht="20.100000000000001" customHeight="1" x14ac:dyDescent="0.25">
      <c r="A254" s="38">
        <f t="shared" si="103"/>
        <v>4</v>
      </c>
      <c r="B254" s="38">
        <f t="shared" si="104"/>
        <v>1</v>
      </c>
      <c r="C254" s="1" t="s">
        <v>936</v>
      </c>
      <c r="D254" s="1">
        <v>4</v>
      </c>
      <c r="E254" s="39" t="str">
        <f t="shared" si="131"/>
        <v>E.5.4</v>
      </c>
      <c r="F254" s="1" t="s">
        <v>952</v>
      </c>
      <c r="G254" s="69" t="s">
        <v>956</v>
      </c>
      <c r="H254" s="69" t="s">
        <v>947</v>
      </c>
      <c r="I254" s="13" t="s">
        <v>947</v>
      </c>
      <c r="J254" s="1" t="s">
        <v>956</v>
      </c>
      <c r="K254" s="7" t="str">
        <f t="shared" si="130"/>
        <v>E.5.4 Comment vous paiez c'est travailleur?</v>
      </c>
      <c r="L254" s="7" t="str">
        <f t="shared" si="128"/>
        <v>E.5.4 Comment vous paiez c'est travailleur?</v>
      </c>
      <c r="M254" s="1"/>
      <c r="N254" s="1"/>
      <c r="O254" s="1" t="s">
        <v>520</v>
      </c>
      <c r="P254" s="1" t="s">
        <v>520</v>
      </c>
      <c r="Q254" s="1" t="s">
        <v>520</v>
      </c>
      <c r="R254" s="1" t="str">
        <f>"selected(${"&amp;F252&amp;"},'1')"</f>
        <v>selected(${work_who},'1')</v>
      </c>
      <c r="S254" s="39"/>
      <c r="T254" s="2"/>
      <c r="U254" s="2"/>
      <c r="V254" s="2"/>
      <c r="W254" s="2"/>
      <c r="X254" s="73" t="s">
        <v>36</v>
      </c>
      <c r="Y254" s="39"/>
    </row>
    <row r="255" spans="1:25" ht="20.100000000000001" customHeight="1" x14ac:dyDescent="0.25">
      <c r="A255" s="38">
        <f t="shared" ref="A255:A318" si="132">IF(C255="begin group",A254+1,IF(C255="end group",A254-1,A254))</f>
        <v>4</v>
      </c>
      <c r="B255" s="38">
        <f t="shared" ref="B255:B318" si="133">IF(C255="begin repeat",B254+1,IF(C255="end repeat",B254-1,B254))</f>
        <v>1</v>
      </c>
      <c r="C255" s="1" t="s">
        <v>35</v>
      </c>
      <c r="D255" s="1">
        <v>5</v>
      </c>
      <c r="E255" s="39" t="str">
        <f t="shared" si="131"/>
        <v>E.5.5</v>
      </c>
      <c r="F255" s="1" t="s">
        <v>948</v>
      </c>
      <c r="G255" s="69" t="s">
        <v>957</v>
      </c>
      <c r="H255" s="69" t="s">
        <v>953</v>
      </c>
      <c r="I255" s="13" t="s">
        <v>953</v>
      </c>
      <c r="J255" s="1" t="s">
        <v>957</v>
      </c>
      <c r="K255" s="7" t="str">
        <f t="shared" si="130"/>
        <v>E.5.5 Combien de dollar est-que vous paiez par jour pour le travailleur?</v>
      </c>
      <c r="L255" s="7" t="str">
        <f t="shared" si="128"/>
        <v>E.5.5 Combien de dollar est-que vous paiez par jour pour le travailleur?</v>
      </c>
      <c r="M255" s="1"/>
      <c r="N255" s="1"/>
      <c r="O255" s="1"/>
      <c r="P255" s="1"/>
      <c r="Q255" s="1"/>
      <c r="R255" s="1" t="str">
        <f>"selected(${"&amp;F254&amp;"},'1')"</f>
        <v>selected(${workpay},'1')</v>
      </c>
      <c r="S255" s="39"/>
      <c r="T255" s="2" t="s">
        <v>1932</v>
      </c>
      <c r="U255" s="2"/>
      <c r="V255" s="2"/>
      <c r="W255" s="2"/>
      <c r="X255" s="73" t="s">
        <v>36</v>
      </c>
      <c r="Y255" s="2"/>
    </row>
    <row r="256" spans="1:25" ht="20.100000000000001" customHeight="1" x14ac:dyDescent="0.25">
      <c r="A256" s="38">
        <f t="shared" si="132"/>
        <v>4</v>
      </c>
      <c r="B256" s="38">
        <f t="shared" si="133"/>
        <v>1</v>
      </c>
      <c r="C256" s="1" t="s">
        <v>35</v>
      </c>
      <c r="D256" s="1">
        <v>6</v>
      </c>
      <c r="E256" s="39" t="str">
        <f t="shared" si="131"/>
        <v>E.5.6</v>
      </c>
      <c r="F256" s="1" t="s">
        <v>949</v>
      </c>
      <c r="G256" s="69" t="s">
        <v>958</v>
      </c>
      <c r="H256" s="69" t="s">
        <v>964</v>
      </c>
      <c r="I256" s="13" t="s">
        <v>964</v>
      </c>
      <c r="J256" s="1" t="s">
        <v>958</v>
      </c>
      <c r="K256" s="7" t="str">
        <f t="shared" si="130"/>
        <v>E.5.6 Combien de Franc Congolais est-que vous paiez par jour pour le travailleur?</v>
      </c>
      <c r="L256" s="7" t="str">
        <f t="shared" si="128"/>
        <v>E.5.6 Combien de Franc Congolais est-que vous paiez par jour pour le travailleur?</v>
      </c>
      <c r="M256" s="1"/>
      <c r="N256" s="1"/>
      <c r="O256" s="1"/>
      <c r="P256" s="1"/>
      <c r="Q256" s="1"/>
      <c r="R256" s="1" t="str">
        <f>"selected(${"&amp;F254&amp;"},'2')"</f>
        <v>selected(${workpay},'2')</v>
      </c>
      <c r="S256" s="39"/>
      <c r="T256" s="2" t="s">
        <v>1931</v>
      </c>
      <c r="U256" s="2"/>
      <c r="V256" s="2"/>
      <c r="W256" s="2"/>
      <c r="X256" s="73" t="s">
        <v>36</v>
      </c>
      <c r="Y256" s="2"/>
    </row>
    <row r="257" spans="1:25" ht="20.100000000000001" customHeight="1" x14ac:dyDescent="0.25">
      <c r="A257" s="38">
        <f t="shared" si="132"/>
        <v>4</v>
      </c>
      <c r="B257" s="38">
        <f t="shared" si="133"/>
        <v>1</v>
      </c>
      <c r="C257" s="1" t="s">
        <v>35</v>
      </c>
      <c r="D257" s="1">
        <v>7</v>
      </c>
      <c r="E257" s="39" t="str">
        <f t="shared" si="131"/>
        <v>E.5.7</v>
      </c>
      <c r="F257" s="1" t="s">
        <v>950</v>
      </c>
      <c r="G257" s="69" t="s">
        <v>959</v>
      </c>
      <c r="H257" s="69" t="s">
        <v>954</v>
      </c>
      <c r="I257" s="13" t="s">
        <v>954</v>
      </c>
      <c r="J257" s="1" t="s">
        <v>959</v>
      </c>
      <c r="K257" s="7" t="str">
        <f t="shared" si="130"/>
        <v>E.5.7 Quel partie de récolte contribuez vous pour le travailleur?</v>
      </c>
      <c r="L257" s="7" t="str">
        <f t="shared" si="128"/>
        <v>E.5.7 Quel partie de récolte contribuez vous pour le travailleur?</v>
      </c>
      <c r="M257" s="1"/>
      <c r="N257" s="1"/>
      <c r="O257" s="1" t="s">
        <v>943</v>
      </c>
      <c r="P257" s="1" t="s">
        <v>943</v>
      </c>
      <c r="Q257" s="1" t="s">
        <v>943</v>
      </c>
      <c r="R257" s="1" t="str">
        <f>"selected(${"&amp;F254&amp;"},'3')"</f>
        <v>selected(${workpay},'3')</v>
      </c>
      <c r="S257" s="39"/>
      <c r="T257" s="2" t="s">
        <v>944</v>
      </c>
      <c r="U257" s="2"/>
      <c r="V257" s="2"/>
      <c r="W257" s="2"/>
      <c r="X257" s="73" t="s">
        <v>36</v>
      </c>
      <c r="Y257" s="2"/>
    </row>
    <row r="258" spans="1:25" ht="20.100000000000001" customHeight="1" x14ac:dyDescent="0.25">
      <c r="A258" s="38">
        <f t="shared" si="132"/>
        <v>4</v>
      </c>
      <c r="B258" s="38">
        <f t="shared" si="133"/>
        <v>1</v>
      </c>
      <c r="C258" s="1" t="s">
        <v>34</v>
      </c>
      <c r="D258" s="1">
        <v>8</v>
      </c>
      <c r="E258" s="39" t="str">
        <f t="shared" si="131"/>
        <v>E.5.8</v>
      </c>
      <c r="F258" s="1" t="s">
        <v>951</v>
      </c>
      <c r="G258" s="69" t="s">
        <v>960</v>
      </c>
      <c r="H258" s="69" t="s">
        <v>955</v>
      </c>
      <c r="I258" s="13" t="s">
        <v>955</v>
      </c>
      <c r="J258" s="1" t="s">
        <v>960</v>
      </c>
      <c r="K258" s="7" t="str">
        <f t="shared" si="130"/>
        <v>E.5.8 Décrivez l'autre manière dans laquelle vous payez le travailleur</v>
      </c>
      <c r="L258" s="7" t="str">
        <f t="shared" si="128"/>
        <v>E.5.8 Décrivez l'autre manière dans laquelle vous payez le travailleur</v>
      </c>
      <c r="M258" s="1"/>
      <c r="N258" s="1"/>
      <c r="O258" s="1"/>
      <c r="P258" s="1"/>
      <c r="Q258" s="1"/>
      <c r="R258" s="1" t="str">
        <f>"selected(${"&amp;F254&amp;"},'4')"</f>
        <v>selected(${workpay},'4')</v>
      </c>
      <c r="S258" s="39"/>
      <c r="T258" s="2"/>
      <c r="U258" s="2"/>
      <c r="V258" s="2"/>
      <c r="W258" s="2"/>
      <c r="X258" s="73" t="s">
        <v>36</v>
      </c>
      <c r="Y258" s="2"/>
    </row>
    <row r="259" spans="1:25" ht="20.100000000000001" customHeight="1" x14ac:dyDescent="0.25">
      <c r="A259" s="38">
        <f t="shared" si="132"/>
        <v>4</v>
      </c>
      <c r="B259" s="38">
        <f t="shared" si="133"/>
        <v>1</v>
      </c>
      <c r="C259" s="1" t="s">
        <v>35</v>
      </c>
      <c r="D259" s="1">
        <v>10</v>
      </c>
      <c r="E259" s="39" t="str">
        <f t="shared" si="131"/>
        <v>E.5.10</v>
      </c>
      <c r="F259" s="1" t="s">
        <v>1880</v>
      </c>
      <c r="G259" s="69" t="s">
        <v>267</v>
      </c>
      <c r="H259" s="69" t="s">
        <v>1879</v>
      </c>
      <c r="I259" s="69" t="s">
        <v>1879</v>
      </c>
      <c r="J259" s="1" t="s">
        <v>267</v>
      </c>
      <c r="K259" s="7" t="str">
        <f t="shared" si="130"/>
        <v>E.5.10 Combien des hommes-jours avez-vous utilisé l'association?</v>
      </c>
      <c r="L259" s="7" t="str">
        <f t="shared" si="128"/>
        <v>E.5.10 Combien des hommes-jours avez-vous utilisé l'association?</v>
      </c>
      <c r="M259" s="77"/>
      <c r="N259" s="1"/>
      <c r="O259" s="1" t="s">
        <v>1878</v>
      </c>
      <c r="P259" s="1" t="s">
        <v>1878</v>
      </c>
      <c r="Q259" s="1" t="s">
        <v>1878</v>
      </c>
      <c r="R259" s="1" t="str">
        <f>"selected(${"&amp;F252&amp;"},'2')"</f>
        <v>selected(${work_who},'2')</v>
      </c>
      <c r="S259" s="77"/>
      <c r="T259" s="77" t="s">
        <v>252</v>
      </c>
      <c r="U259" s="77"/>
      <c r="V259" s="77"/>
      <c r="W259" s="77"/>
      <c r="X259" s="73" t="s">
        <v>36</v>
      </c>
      <c r="Y259" s="77"/>
    </row>
    <row r="260" spans="1:25" ht="20.100000000000001" customHeight="1" x14ac:dyDescent="0.25">
      <c r="A260" s="38">
        <f t="shared" si="132"/>
        <v>4</v>
      </c>
      <c r="B260" s="38">
        <f t="shared" si="133"/>
        <v>1</v>
      </c>
      <c r="C260" s="1" t="s">
        <v>936</v>
      </c>
      <c r="D260" s="1">
        <v>4</v>
      </c>
      <c r="E260" s="39" t="str">
        <f t="shared" si="131"/>
        <v>E.5.4</v>
      </c>
      <c r="F260" s="1" t="s">
        <v>1885</v>
      </c>
      <c r="G260" s="69" t="s">
        <v>956</v>
      </c>
      <c r="H260" s="69" t="s">
        <v>1886</v>
      </c>
      <c r="I260" s="69" t="s">
        <v>1886</v>
      </c>
      <c r="J260" s="1" t="s">
        <v>956</v>
      </c>
      <c r="K260" s="7" t="str">
        <f t="shared" ref="K260:K264" si="134">E260&amp;IF(D260="",""," ")&amp;H260</f>
        <v>E.5.4 Paiez-vous pour le travaille de l'assocation?</v>
      </c>
      <c r="L260" s="7" t="str">
        <f t="shared" ref="L260:L264" si="135">E260&amp;IF(E260="",""," ")&amp;I260</f>
        <v>E.5.4 Paiez-vous pour le travaille de l'assocation?</v>
      </c>
      <c r="M260" s="1"/>
      <c r="N260" s="1"/>
      <c r="O260" s="1" t="s">
        <v>520</v>
      </c>
      <c r="P260" s="1" t="s">
        <v>520</v>
      </c>
      <c r="Q260" s="1" t="s">
        <v>520</v>
      </c>
      <c r="R260" s="1" t="str">
        <f>"selected(${"&amp;F258&amp;"},'1')"</f>
        <v>selected(${workpay_other},'1')</v>
      </c>
      <c r="S260" s="39"/>
      <c r="T260" s="2"/>
      <c r="U260" s="2"/>
      <c r="V260" s="2"/>
      <c r="W260" s="2"/>
      <c r="X260" s="73" t="s">
        <v>36</v>
      </c>
      <c r="Y260" s="39"/>
    </row>
    <row r="261" spans="1:25" ht="20.100000000000001" customHeight="1" x14ac:dyDescent="0.25">
      <c r="A261" s="38">
        <f t="shared" si="132"/>
        <v>4</v>
      </c>
      <c r="B261" s="38">
        <f t="shared" si="133"/>
        <v>1</v>
      </c>
      <c r="C261" s="1" t="s">
        <v>35</v>
      </c>
      <c r="D261" s="1">
        <v>5</v>
      </c>
      <c r="E261" s="39" t="str">
        <f t="shared" si="131"/>
        <v>E.5.5</v>
      </c>
      <c r="F261" s="1" t="s">
        <v>1881</v>
      </c>
      <c r="G261" s="69" t="s">
        <v>957</v>
      </c>
      <c r="H261" s="69" t="s">
        <v>1887</v>
      </c>
      <c r="I261" s="69" t="s">
        <v>1887</v>
      </c>
      <c r="J261" s="1" t="s">
        <v>957</v>
      </c>
      <c r="K261" s="7" t="str">
        <f t="shared" si="134"/>
        <v>E.5.5 Combien de dollar est-que vous paiez par jour pour l'association?</v>
      </c>
      <c r="L261" s="7" t="str">
        <f t="shared" si="135"/>
        <v>E.5.5 Combien de dollar est-que vous paiez par jour pour l'association?</v>
      </c>
      <c r="M261" s="1"/>
      <c r="N261" s="1"/>
      <c r="O261" s="1"/>
      <c r="P261" s="1"/>
      <c r="Q261" s="1"/>
      <c r="R261" s="1" t="str">
        <f>"selected(${"&amp;F260&amp;"},'1')"</f>
        <v>selected(${assopay},'1')</v>
      </c>
      <c r="S261" s="39"/>
      <c r="T261" s="2" t="s">
        <v>1932</v>
      </c>
      <c r="U261" s="2"/>
      <c r="V261" s="2"/>
      <c r="W261" s="2"/>
      <c r="X261" s="73" t="s">
        <v>36</v>
      </c>
      <c r="Y261" s="2"/>
    </row>
    <row r="262" spans="1:25" ht="20.100000000000001" customHeight="1" x14ac:dyDescent="0.25">
      <c r="A262" s="38">
        <f t="shared" si="132"/>
        <v>4</v>
      </c>
      <c r="B262" s="38">
        <f t="shared" si="133"/>
        <v>1</v>
      </c>
      <c r="C262" s="1" t="s">
        <v>35</v>
      </c>
      <c r="D262" s="1">
        <v>6</v>
      </c>
      <c r="E262" s="39" t="str">
        <f t="shared" si="131"/>
        <v>E.5.6</v>
      </c>
      <c r="F262" s="1" t="s">
        <v>1882</v>
      </c>
      <c r="G262" s="69" t="s">
        <v>958</v>
      </c>
      <c r="H262" s="69" t="s">
        <v>1888</v>
      </c>
      <c r="I262" s="69" t="s">
        <v>1888</v>
      </c>
      <c r="J262" s="1" t="s">
        <v>958</v>
      </c>
      <c r="K262" s="7" t="str">
        <f t="shared" si="134"/>
        <v>E.5.6 Combien de Franc Congolais est-que vous paiez par jour pour l'association?</v>
      </c>
      <c r="L262" s="7" t="str">
        <f t="shared" si="135"/>
        <v>E.5.6 Combien de Franc Congolais est-que vous paiez par jour pour l'association?</v>
      </c>
      <c r="M262" s="1"/>
      <c r="N262" s="1"/>
      <c r="O262" s="1"/>
      <c r="P262" s="1"/>
      <c r="Q262" s="1"/>
      <c r="R262" s="1" t="str">
        <f>"selected(${"&amp;F260&amp;"},'2')"</f>
        <v>selected(${assopay},'2')</v>
      </c>
      <c r="S262" s="39"/>
      <c r="T262" s="2" t="s">
        <v>1931</v>
      </c>
      <c r="U262" s="2"/>
      <c r="V262" s="2"/>
      <c r="W262" s="2"/>
      <c r="X262" s="73" t="s">
        <v>36</v>
      </c>
      <c r="Y262" s="2"/>
    </row>
    <row r="263" spans="1:25" ht="20.100000000000001" customHeight="1" x14ac:dyDescent="0.25">
      <c r="A263" s="38">
        <f t="shared" si="132"/>
        <v>4</v>
      </c>
      <c r="B263" s="38">
        <f t="shared" si="133"/>
        <v>1</v>
      </c>
      <c r="C263" s="1" t="s">
        <v>35</v>
      </c>
      <c r="D263" s="1">
        <v>7</v>
      </c>
      <c r="E263" s="39" t="str">
        <f t="shared" si="131"/>
        <v>E.5.7</v>
      </c>
      <c r="F263" s="1" t="s">
        <v>1883</v>
      </c>
      <c r="G263" s="69" t="s">
        <v>959</v>
      </c>
      <c r="H263" s="69" t="s">
        <v>1889</v>
      </c>
      <c r="I263" s="69" t="s">
        <v>1889</v>
      </c>
      <c r="J263" s="1" t="s">
        <v>959</v>
      </c>
      <c r="K263" s="7" t="str">
        <f t="shared" si="134"/>
        <v>E.5.7 Quel partie de récolte contribuez vous pour l'association?</v>
      </c>
      <c r="L263" s="7" t="str">
        <f t="shared" si="135"/>
        <v>E.5.7 Quel partie de récolte contribuez vous pour l'association?</v>
      </c>
      <c r="M263" s="1"/>
      <c r="N263" s="1"/>
      <c r="O263" s="1" t="s">
        <v>943</v>
      </c>
      <c r="P263" s="1" t="s">
        <v>943</v>
      </c>
      <c r="Q263" s="1" t="s">
        <v>943</v>
      </c>
      <c r="R263" s="1" t="str">
        <f>"selected(${"&amp;F260&amp;"},'3')"</f>
        <v>selected(${assopay},'3')</v>
      </c>
      <c r="S263" s="39"/>
      <c r="T263" s="2" t="s">
        <v>944</v>
      </c>
      <c r="U263" s="2"/>
      <c r="V263" s="2"/>
      <c r="W263" s="2"/>
      <c r="X263" s="73" t="s">
        <v>36</v>
      </c>
      <c r="Y263" s="2"/>
    </row>
    <row r="264" spans="1:25" ht="20.100000000000001" customHeight="1" x14ac:dyDescent="0.25">
      <c r="A264" s="38">
        <f t="shared" si="132"/>
        <v>4</v>
      </c>
      <c r="B264" s="38">
        <f t="shared" si="133"/>
        <v>1</v>
      </c>
      <c r="C264" s="1" t="s">
        <v>34</v>
      </c>
      <c r="D264" s="1">
        <v>8</v>
      </c>
      <c r="E264" s="39" t="str">
        <f t="shared" si="131"/>
        <v>E.5.8</v>
      </c>
      <c r="F264" s="1" t="s">
        <v>1884</v>
      </c>
      <c r="G264" s="69" t="s">
        <v>960</v>
      </c>
      <c r="H264" s="69" t="s">
        <v>1890</v>
      </c>
      <c r="I264" s="69" t="s">
        <v>1890</v>
      </c>
      <c r="J264" s="1" t="s">
        <v>960</v>
      </c>
      <c r="K264" s="7" t="str">
        <f t="shared" si="134"/>
        <v>E.5.8 Décrivez l'autre manière dans laquelle vous payez l'association</v>
      </c>
      <c r="L264" s="7" t="str">
        <f t="shared" si="135"/>
        <v>E.5.8 Décrivez l'autre manière dans laquelle vous payez l'association</v>
      </c>
      <c r="M264" s="1"/>
      <c r="N264" s="1"/>
      <c r="O264" s="1"/>
      <c r="P264" s="1"/>
      <c r="Q264" s="1"/>
      <c r="R264" s="1" t="str">
        <f>"selected(${"&amp;F260&amp;"},'4')"</f>
        <v>selected(${assopay},'4')</v>
      </c>
      <c r="S264" s="39"/>
      <c r="T264" s="2"/>
      <c r="U264" s="2"/>
      <c r="V264" s="2"/>
      <c r="W264" s="2"/>
      <c r="X264" s="73" t="s">
        <v>36</v>
      </c>
      <c r="Y264" s="2"/>
    </row>
    <row r="265" spans="1:25" s="21" customFormat="1" ht="20.100000000000001" customHeight="1" x14ac:dyDescent="0.25">
      <c r="A265" s="38">
        <f t="shared" si="132"/>
        <v>3</v>
      </c>
      <c r="B265" s="38">
        <f t="shared" si="133"/>
        <v>1</v>
      </c>
      <c r="C265" s="84" t="s">
        <v>40</v>
      </c>
      <c r="D265" s="84"/>
      <c r="E265" s="84"/>
      <c r="F265" s="21" t="s">
        <v>487</v>
      </c>
      <c r="G265" s="11"/>
      <c r="H265" s="11" t="s">
        <v>587</v>
      </c>
      <c r="I265" s="55"/>
      <c r="L265" s="21" t="str">
        <f t="shared" si="128"/>
        <v/>
      </c>
      <c r="M265" s="81"/>
      <c r="S265" s="81"/>
      <c r="T265" s="81"/>
      <c r="U265" s="81"/>
      <c r="V265" s="81"/>
      <c r="W265" s="81"/>
      <c r="X265" s="81"/>
      <c r="Y265" s="81"/>
    </row>
    <row r="266" spans="1:25" ht="20.100000000000001" customHeight="1" x14ac:dyDescent="0.25">
      <c r="A266" s="38">
        <f t="shared" si="132"/>
        <v>3</v>
      </c>
      <c r="B266" s="38">
        <f t="shared" si="133"/>
        <v>1</v>
      </c>
      <c r="C266" s="30" t="s">
        <v>1502</v>
      </c>
      <c r="D266" s="30"/>
      <c r="E266" s="39" t="str">
        <f>D$191&amp;"."&amp;D267</f>
        <v>E.6</v>
      </c>
      <c r="F266" s="30" t="s">
        <v>1503</v>
      </c>
      <c r="G266" s="29" t="s">
        <v>1504</v>
      </c>
      <c r="H266" s="29" t="s">
        <v>1505</v>
      </c>
      <c r="I266" s="29" t="s">
        <v>1505</v>
      </c>
      <c r="J266" s="30" t="str">
        <f t="shared" ref="J266:J267" si="136">E266&amp;IF(D266="",""," ")&amp;G266</f>
        <v>E.6Which inputs do you use on this plot?</v>
      </c>
      <c r="K266" s="30" t="str">
        <f t="shared" ref="K266:K267" si="137">E266&amp;IF(D266="",""," ")&amp;H266</f>
        <v>E.6Quels des entrants suivants utilisez vous pour ce champ?</v>
      </c>
      <c r="L266" s="30" t="str">
        <f t="shared" si="128"/>
        <v>E.6 Quels des entrants suivants utilisez vous pour ce champ?</v>
      </c>
      <c r="M266" s="30"/>
      <c r="N266" s="30"/>
      <c r="O266" s="30" t="s">
        <v>1477</v>
      </c>
      <c r="P266" s="30" t="s">
        <v>1427</v>
      </c>
      <c r="Q266" s="30" t="s">
        <v>1427</v>
      </c>
      <c r="R266" s="30"/>
      <c r="S266" s="30"/>
      <c r="T266" s="7" t="s">
        <v>1471</v>
      </c>
      <c r="U266" s="30"/>
      <c r="V266" s="30"/>
      <c r="X266" s="30" t="s">
        <v>36</v>
      </c>
    </row>
    <row r="267" spans="1:25" s="36" customFormat="1" ht="20.100000000000001" customHeight="1" x14ac:dyDescent="0.25">
      <c r="A267" s="38">
        <f t="shared" si="132"/>
        <v>3</v>
      </c>
      <c r="B267" s="38">
        <f t="shared" si="133"/>
        <v>2</v>
      </c>
      <c r="C267" s="33" t="s">
        <v>244</v>
      </c>
      <c r="D267" s="33">
        <v>6</v>
      </c>
      <c r="E267" s="33"/>
      <c r="F267" s="33" t="str">
        <f>"rpt_"&amp;F266</f>
        <v>rpt_input_use</v>
      </c>
      <c r="G267" s="32" t="s">
        <v>1506</v>
      </c>
      <c r="H267" s="32" t="s">
        <v>1507</v>
      </c>
      <c r="I267" s="32" t="s">
        <v>1508</v>
      </c>
      <c r="J267" s="30" t="str">
        <f t="shared" si="136"/>
        <v xml:space="preserve"> Input Use</v>
      </c>
      <c r="K267" s="30" t="str">
        <f t="shared" si="137"/>
        <v xml:space="preserve"> Entrant</v>
      </c>
      <c r="L267" s="30" t="str">
        <f t="shared" si="128"/>
        <v>Entrants</v>
      </c>
      <c r="M267" s="33"/>
      <c r="N267" s="33"/>
      <c r="O267" s="33"/>
      <c r="P267" s="33"/>
      <c r="Q267" s="33"/>
      <c r="R267" s="122" t="str">
        <f>"not(selected(${"&amp;F266&amp;"},'0')) and not(selected(${"&amp;F266&amp;"},'97'))  and not(selected(${"&amp;F266&amp;"},'98'))"</f>
        <v>not(selected(${input_use},'0')) and not(selected(${input_use},'97'))  and not(selected(${input_use},'98'))</v>
      </c>
      <c r="S267" s="33"/>
      <c r="U267" s="33"/>
      <c r="V267" s="33"/>
      <c r="X267" s="33"/>
      <c r="Y267" s="36" t="str">
        <f>"count-selected(${"&amp;F266&amp;"})"</f>
        <v>count-selected(${input_use})</v>
      </c>
    </row>
    <row r="268" spans="1:25" customFormat="1" ht="20.100000000000001" customHeight="1" x14ac:dyDescent="0.25">
      <c r="A268" s="38">
        <f t="shared" si="132"/>
        <v>3</v>
      </c>
      <c r="B268" s="38">
        <f t="shared" si="133"/>
        <v>2</v>
      </c>
      <c r="C268" t="s">
        <v>44</v>
      </c>
      <c r="F268" s="146" t="str">
        <f>"this_"&amp;F266</f>
        <v>this_input_use</v>
      </c>
      <c r="M268" t="str">
        <f>"selected-at(${"&amp;F266&amp;"},if(position(..)-1&lt;0,0, position(..)-1))"</f>
        <v>selected-at(${input_use},if(position(..)-1&lt;0,0, position(..)-1))</v>
      </c>
    </row>
    <row r="269" spans="1:25" customFormat="1" ht="20.100000000000001" customHeight="1" x14ac:dyDescent="0.25">
      <c r="A269" s="38">
        <f t="shared" si="132"/>
        <v>3</v>
      </c>
      <c r="B269" s="38">
        <f t="shared" si="133"/>
        <v>2</v>
      </c>
      <c r="C269" t="s">
        <v>44</v>
      </c>
      <c r="F269" t="str">
        <f>F268&amp;"_label"</f>
        <v>this_input_use_label</v>
      </c>
      <c r="M269" t="str">
        <f>"jr:choice-name(${"&amp;F268&amp;"}, '${"&amp;F266&amp;"}')"</f>
        <v>jr:choice-name(${this_input_use}, '${input_use}')</v>
      </c>
    </row>
    <row r="270" spans="1:25" s="129" customFormat="1" ht="20.100000000000001" customHeight="1" x14ac:dyDescent="0.25">
      <c r="A270" s="38">
        <f t="shared" si="132"/>
        <v>3</v>
      </c>
      <c r="B270" s="38">
        <f t="shared" si="133"/>
        <v>2</v>
      </c>
      <c r="C270" s="127" t="s">
        <v>33</v>
      </c>
      <c r="D270" s="127">
        <v>1</v>
      </c>
      <c r="E270" s="127"/>
      <c r="F270" s="127" t="str">
        <f>F266&amp;"_note"</f>
        <v>input_use_note</v>
      </c>
      <c r="G270" s="128" t="str">
        <f>"${"&amp;F269&amp;"}"</f>
        <v>${this_input_use_label}</v>
      </c>
      <c r="H270" s="128" t="str">
        <f>"${"&amp;F269&amp;"}"</f>
        <v>${this_input_use_label}</v>
      </c>
      <c r="I270" s="128" t="str">
        <f>"${"&amp;F269&amp;"}"</f>
        <v>${this_input_use_label}</v>
      </c>
      <c r="J270" s="127" t="str">
        <f>E270&amp;IF(D270="",""," ")&amp;G270</f>
        <v xml:space="preserve"> ${this_input_use_label}</v>
      </c>
      <c r="K270" s="127" t="str">
        <f>E270&amp;IF(D270="",""," ")&amp;H270</f>
        <v xml:space="preserve"> ${this_input_use_label}</v>
      </c>
      <c r="L270" s="127" t="str">
        <f>E270&amp;IF(E270="",""," ")&amp;I270</f>
        <v>${this_input_use_label}</v>
      </c>
      <c r="M270" s="127"/>
      <c r="N270" s="127"/>
      <c r="O270" s="127"/>
      <c r="P270" s="127"/>
      <c r="Q270" s="127"/>
      <c r="R270" s="127"/>
      <c r="S270" s="127"/>
      <c r="T270" s="127"/>
      <c r="U270" s="127"/>
      <c r="V270" s="127"/>
    </row>
    <row r="271" spans="1:25" ht="20.100000000000001" customHeight="1" x14ac:dyDescent="0.25">
      <c r="A271" s="38">
        <f t="shared" si="132"/>
        <v>3</v>
      </c>
      <c r="B271" s="38">
        <f t="shared" si="133"/>
        <v>2</v>
      </c>
      <c r="C271" s="39" t="s">
        <v>35</v>
      </c>
      <c r="D271" s="39">
        <v>1</v>
      </c>
      <c r="E271" s="39" t="str">
        <f>E$266&amp;"."&amp;D271</f>
        <v>E.6.1</v>
      </c>
      <c r="F271" s="39" t="s">
        <v>1509</v>
      </c>
      <c r="G271" s="63" t="str">
        <f>"How much ${"&amp;F269&amp;"} did you use?"</f>
        <v>How much ${this_input_use_label} did you use?</v>
      </c>
      <c r="H271" s="63" t="str">
        <f>"Combien de ${"&amp;F269&amp;"} est-ce que vous avez utilisé?"</f>
        <v>Combien de ${this_input_use_label} est-ce que vous avez utilisé?</v>
      </c>
      <c r="I271" s="65" t="str">
        <f>"Quelle quanitité de ${"&amp;F269&amp;"} est-ce que vous avez utilisé?"</f>
        <v>Quelle quanitité de ${this_input_use_label} est-ce que vous avez utilisé?</v>
      </c>
      <c r="J271" s="30" t="str">
        <f t="shared" ref="J271:J278" si="138">E271&amp;IF(D271="",""," ")&amp;G271</f>
        <v>E.6.1 How much ${this_input_use_label} did you use?</v>
      </c>
      <c r="K271" s="30" t="str">
        <f t="shared" ref="K271:K278" si="139">E271&amp;IF(D271="",""," ")&amp;H271</f>
        <v>E.6.1 Combien de ${this_input_use_label} est-ce que vous avez utilisé?</v>
      </c>
      <c r="L271" s="30" t="str">
        <f t="shared" ref="L271:L278" si="140">E271&amp;IF(E271="",""," ")&amp;I271</f>
        <v>E.6.1 Quelle quanitité de ${this_input_use_label} est-ce que vous avez utilisé?</v>
      </c>
      <c r="M271" s="2"/>
      <c r="N271" s="39"/>
      <c r="O271" s="39" t="s">
        <v>1510</v>
      </c>
      <c r="P271" s="39" t="s">
        <v>1511</v>
      </c>
      <c r="Q271" s="39" t="s">
        <v>1511</v>
      </c>
      <c r="R271" s="39"/>
      <c r="S271" s="39"/>
      <c r="T271" s="2" t="s">
        <v>1494</v>
      </c>
      <c r="U271" s="2"/>
      <c r="V271" s="2"/>
      <c r="W271" s="2"/>
      <c r="X271" s="73" t="s">
        <v>36</v>
      </c>
      <c r="Y271" s="39"/>
    </row>
    <row r="272" spans="1:25" ht="20.100000000000001" customHeight="1" x14ac:dyDescent="0.25">
      <c r="A272" s="38">
        <f t="shared" si="132"/>
        <v>3</v>
      </c>
      <c r="B272" s="38">
        <f t="shared" si="133"/>
        <v>2</v>
      </c>
      <c r="C272" s="39" t="s">
        <v>270</v>
      </c>
      <c r="D272" s="39">
        <v>2</v>
      </c>
      <c r="E272" s="39" t="str">
        <f t="shared" ref="E272:E278" si="141">E$266&amp;"."&amp;D272</f>
        <v>E.6.2</v>
      </c>
      <c r="F272" s="39" t="s">
        <v>1512</v>
      </c>
      <c r="G272" s="63" t="s">
        <v>266</v>
      </c>
      <c r="H272" s="63" t="s">
        <v>617</v>
      </c>
      <c r="I272" s="65" t="s">
        <v>692</v>
      </c>
      <c r="J272" s="30" t="str">
        <f t="shared" si="138"/>
        <v>E.6.2 Unit</v>
      </c>
      <c r="K272" s="30" t="str">
        <f t="shared" si="139"/>
        <v>E.6.2 Unité de mesure</v>
      </c>
      <c r="L272" s="30" t="str">
        <f t="shared" si="140"/>
        <v>E.6.2 Kipimo</v>
      </c>
      <c r="M272" s="2"/>
      <c r="N272" s="39"/>
      <c r="O272" s="39"/>
      <c r="P272" s="39"/>
      <c r="Q272" s="39"/>
      <c r="R272" s="39"/>
      <c r="S272" s="39"/>
      <c r="T272" s="2"/>
      <c r="U272" s="2"/>
      <c r="V272" s="2"/>
      <c r="W272" s="2"/>
      <c r="X272" s="73" t="s">
        <v>36</v>
      </c>
      <c r="Y272" s="39"/>
    </row>
    <row r="273" spans="1:25" ht="20.100000000000001" customHeight="1" x14ac:dyDescent="0.25">
      <c r="A273" s="38">
        <f t="shared" si="132"/>
        <v>3</v>
      </c>
      <c r="B273" s="38">
        <f t="shared" si="133"/>
        <v>2</v>
      </c>
      <c r="C273" s="39" t="s">
        <v>563</v>
      </c>
      <c r="D273" s="39">
        <v>3</v>
      </c>
      <c r="E273" s="39" t="str">
        <f t="shared" si="141"/>
        <v>E.6.3</v>
      </c>
      <c r="F273" s="39" t="s">
        <v>1513</v>
      </c>
      <c r="G273" s="63" t="str">
        <f>"How did you get the${"&amp;F269&amp;"}?"</f>
        <v>How did you get the${this_input_use_label}?</v>
      </c>
      <c r="H273" s="63" t="str">
        <f>"Comment avez-vous obtenu le/la ${"&amp;F269&amp;"}?"</f>
        <v>Comment avez-vous obtenu le/la ${this_input_use_label}?</v>
      </c>
      <c r="I273" s="65" t="str">
        <f>"Comment avez-vous obtenu le/la ${"&amp;F269&amp;"}?"</f>
        <v>Comment avez-vous obtenu le/la ${this_input_use_label}?</v>
      </c>
      <c r="J273" s="30" t="str">
        <f t="shared" si="138"/>
        <v>E.6.3 How did you get the${this_input_use_label}?</v>
      </c>
      <c r="K273" s="30" t="str">
        <f t="shared" si="139"/>
        <v>E.6.3 Comment avez-vous obtenu le/la ${this_input_use_label}?</v>
      </c>
      <c r="L273" s="30" t="str">
        <f t="shared" si="140"/>
        <v>E.6.3 Comment avez-vous obtenu le/la ${this_input_use_label}?</v>
      </c>
      <c r="M273" s="2"/>
      <c r="N273" s="39"/>
      <c r="O273" s="39"/>
      <c r="P273" s="39"/>
      <c r="Q273" s="39"/>
      <c r="R273" s="39"/>
      <c r="S273" s="39"/>
      <c r="T273" s="2"/>
      <c r="U273" s="2"/>
      <c r="V273" s="2"/>
      <c r="W273" s="2"/>
      <c r="X273" s="73" t="s">
        <v>36</v>
      </c>
      <c r="Y273" s="39"/>
    </row>
    <row r="274" spans="1:25" ht="20.100000000000001" customHeight="1" x14ac:dyDescent="0.25">
      <c r="A274" s="38">
        <f t="shared" si="132"/>
        <v>3</v>
      </c>
      <c r="B274" s="38">
        <f t="shared" si="133"/>
        <v>2</v>
      </c>
      <c r="C274" s="39" t="s">
        <v>34</v>
      </c>
      <c r="D274" s="39">
        <v>4</v>
      </c>
      <c r="E274" s="39" t="str">
        <f t="shared" si="141"/>
        <v>E.6.4</v>
      </c>
      <c r="F274" s="39" t="s">
        <v>1514</v>
      </c>
      <c r="G274" s="63" t="s">
        <v>663</v>
      </c>
      <c r="H274" s="63" t="s">
        <v>664</v>
      </c>
      <c r="I274" s="12" t="s">
        <v>906</v>
      </c>
      <c r="J274" s="30" t="str">
        <f t="shared" si="138"/>
        <v>E.6.4 What is the name of the NGO?</v>
      </c>
      <c r="K274" s="30" t="str">
        <f t="shared" si="139"/>
        <v>E.6.4 Quel est le nom d'ONG?</v>
      </c>
      <c r="L274" s="30" t="str">
        <f t="shared" si="140"/>
        <v>E.6.4 Jina ya shirika (ONG) ni gani?</v>
      </c>
      <c r="M274" s="2"/>
      <c r="N274" s="39"/>
      <c r="O274" s="39"/>
      <c r="P274" s="39"/>
      <c r="Q274" s="39"/>
      <c r="R274" s="39" t="str">
        <f>"${"&amp;F273&amp;"}='6'"</f>
        <v>${input_access}='6'</v>
      </c>
      <c r="S274" s="39"/>
      <c r="T274" s="2"/>
      <c r="U274" s="2"/>
      <c r="V274" s="2"/>
      <c r="W274" s="2"/>
      <c r="X274" s="73" t="s">
        <v>36</v>
      </c>
      <c r="Y274" s="77"/>
    </row>
    <row r="275" spans="1:25" ht="20.100000000000001" customHeight="1" x14ac:dyDescent="0.25">
      <c r="A275" s="38">
        <f t="shared" si="132"/>
        <v>3</v>
      </c>
      <c r="B275" s="38">
        <f t="shared" si="133"/>
        <v>2</v>
      </c>
      <c r="C275" s="39" t="s">
        <v>34</v>
      </c>
      <c r="D275" s="39">
        <v>5</v>
      </c>
      <c r="E275" s="39" t="str">
        <f t="shared" si="141"/>
        <v>E.6.5</v>
      </c>
      <c r="F275" s="39" t="s">
        <v>1515</v>
      </c>
      <c r="G275" s="63" t="s">
        <v>662</v>
      </c>
      <c r="H275" s="63" t="s">
        <v>665</v>
      </c>
      <c r="I275" s="12" t="s">
        <v>905</v>
      </c>
      <c r="J275" s="30" t="str">
        <f t="shared" si="138"/>
        <v>E.6.5 What is the name of the person?</v>
      </c>
      <c r="K275" s="30" t="str">
        <f t="shared" si="139"/>
        <v>E.6.5 Quel est le nom de personne?</v>
      </c>
      <c r="L275" s="30" t="str">
        <f t="shared" si="140"/>
        <v>E.6.5 Jina la mtu ni nani?</v>
      </c>
      <c r="M275" s="2"/>
      <c r="N275" s="39"/>
      <c r="O275" s="39"/>
      <c r="P275" s="39"/>
      <c r="Q275" s="39"/>
      <c r="R275" s="39" t="str">
        <f>"${"&amp;F273&amp;"}='3' or ${"&amp;F273&amp;"}='4' or ${"&amp;F273&amp;"}='5'"</f>
        <v>${input_access}='3' or ${input_access}='4' or ${input_access}='5'</v>
      </c>
      <c r="S275" s="39"/>
      <c r="T275" s="2"/>
      <c r="U275" s="2"/>
      <c r="V275" s="2"/>
      <c r="W275" s="2"/>
      <c r="X275" s="73" t="s">
        <v>36</v>
      </c>
      <c r="Y275" s="77"/>
    </row>
    <row r="276" spans="1:25" ht="20.100000000000001" customHeight="1" x14ac:dyDescent="0.25">
      <c r="A276" s="38">
        <f t="shared" si="132"/>
        <v>3</v>
      </c>
      <c r="B276" s="38">
        <f t="shared" si="133"/>
        <v>2</v>
      </c>
      <c r="C276" s="39" t="s">
        <v>35</v>
      </c>
      <c r="D276" s="39">
        <v>6</v>
      </c>
      <c r="E276" s="39" t="str">
        <f t="shared" si="141"/>
        <v>E.6.6</v>
      </c>
      <c r="F276" s="39" t="s">
        <v>1516</v>
      </c>
      <c r="G276" s="63" t="str">
        <f>"What is the price of ${"&amp;F269&amp;"}?"</f>
        <v>What is the price of ${this_input_use_label}?</v>
      </c>
      <c r="H276" s="63" t="str">
        <f>"Quel est le prix de ${"&amp;F269&amp;"}?"</f>
        <v>Quel est le prix de ${this_input_use_label}?</v>
      </c>
      <c r="I276" s="65" t="str">
        <f>"Quel est le prix de ${"&amp;F269&amp;"}?"</f>
        <v>Quel est le prix de ${this_input_use_label}?</v>
      </c>
      <c r="J276" s="30" t="str">
        <f t="shared" si="138"/>
        <v>E.6.6 What is the price of ${this_input_use_label}?</v>
      </c>
      <c r="K276" s="30" t="str">
        <f t="shared" si="139"/>
        <v>E.6.6 Quel est le prix de ${this_input_use_label}?</v>
      </c>
      <c r="L276" s="30" t="str">
        <f t="shared" si="140"/>
        <v>E.6.6 Quel est le prix de ${this_input_use_label}?</v>
      </c>
      <c r="M276" s="2"/>
      <c r="N276" s="39"/>
      <c r="O276" s="39" t="s">
        <v>283</v>
      </c>
      <c r="P276" s="39" t="s">
        <v>807</v>
      </c>
      <c r="Q276" s="39" t="s">
        <v>807</v>
      </c>
      <c r="R276" s="39"/>
      <c r="S276" s="39"/>
      <c r="T276" s="2"/>
      <c r="U276" s="2"/>
      <c r="V276" s="2"/>
      <c r="W276" s="2"/>
      <c r="X276" s="73" t="s">
        <v>36</v>
      </c>
      <c r="Y276" s="39"/>
    </row>
    <row r="277" spans="1:25" ht="20.100000000000001" customHeight="1" x14ac:dyDescent="0.25">
      <c r="A277" s="38">
        <f t="shared" si="132"/>
        <v>3</v>
      </c>
      <c r="B277" s="38">
        <f t="shared" si="133"/>
        <v>2</v>
      </c>
      <c r="C277" s="39" t="s">
        <v>265</v>
      </c>
      <c r="D277" s="39">
        <v>7</v>
      </c>
      <c r="E277" s="39" t="str">
        <f t="shared" si="141"/>
        <v>E.6.7</v>
      </c>
      <c r="F277" s="39" t="s">
        <v>1517</v>
      </c>
      <c r="G277" s="63" t="s">
        <v>284</v>
      </c>
      <c r="H277" s="63" t="s">
        <v>611</v>
      </c>
      <c r="I277" s="65" t="s">
        <v>701</v>
      </c>
      <c r="J277" s="30" t="str">
        <f t="shared" si="138"/>
        <v>E.6.7 Currcency</v>
      </c>
      <c r="K277" s="30" t="str">
        <f t="shared" si="139"/>
        <v>E.6.7 Unité de monnaie</v>
      </c>
      <c r="L277" s="30" t="str">
        <f t="shared" si="140"/>
        <v>E.6.7 Kipimo ya pesa (franga)</v>
      </c>
      <c r="M277" s="39"/>
      <c r="N277" s="39"/>
      <c r="O277" s="39"/>
      <c r="P277" s="39"/>
      <c r="Q277" s="39"/>
      <c r="R277" s="39" t="str">
        <f>"${"&amp;F276&amp;"}!=98"</f>
        <v>${input_price}!=98</v>
      </c>
      <c r="S277" s="39"/>
      <c r="T277" s="2"/>
      <c r="U277" s="2"/>
      <c r="V277" s="2"/>
      <c r="W277" s="2"/>
      <c r="X277" s="73" t="s">
        <v>36</v>
      </c>
      <c r="Y277" s="39"/>
    </row>
    <row r="278" spans="1:25" ht="20.100000000000001" customHeight="1" x14ac:dyDescent="0.25">
      <c r="A278" s="38">
        <f t="shared" si="132"/>
        <v>3</v>
      </c>
      <c r="B278" s="38">
        <f t="shared" si="133"/>
        <v>2</v>
      </c>
      <c r="C278" s="39" t="s">
        <v>270</v>
      </c>
      <c r="D278" s="39">
        <v>8</v>
      </c>
      <c r="E278" s="39" t="str">
        <f t="shared" si="141"/>
        <v>E.6.8</v>
      </c>
      <c r="F278" s="39" t="s">
        <v>1518</v>
      </c>
      <c r="G278" s="63" t="s">
        <v>266</v>
      </c>
      <c r="H278" s="63" t="s">
        <v>617</v>
      </c>
      <c r="I278" s="65" t="s">
        <v>692</v>
      </c>
      <c r="J278" s="30" t="str">
        <f t="shared" si="138"/>
        <v>E.6.8 Unit</v>
      </c>
      <c r="K278" s="30" t="str">
        <f t="shared" si="139"/>
        <v>E.6.8 Unité de mesure</v>
      </c>
      <c r="L278" s="30" t="str">
        <f t="shared" si="140"/>
        <v>E.6.8 Kipimo</v>
      </c>
      <c r="M278" s="2"/>
      <c r="N278" s="39"/>
      <c r="O278" s="39"/>
      <c r="P278" s="39"/>
      <c r="Q278" s="39"/>
      <c r="R278" s="39" t="str">
        <f>"${"&amp;F276&amp;"}!=98"</f>
        <v>${input_price}!=98</v>
      </c>
      <c r="S278" s="39"/>
      <c r="T278" s="2"/>
      <c r="U278" s="2"/>
      <c r="V278" s="2"/>
      <c r="W278" s="2"/>
      <c r="X278" s="73" t="s">
        <v>36</v>
      </c>
      <c r="Y278" s="77"/>
    </row>
    <row r="279" spans="1:25" s="40" customFormat="1" ht="20.100000000000001" customHeight="1" x14ac:dyDescent="0.25">
      <c r="A279" s="38">
        <f t="shared" si="132"/>
        <v>3</v>
      </c>
      <c r="B279" s="38">
        <f t="shared" si="133"/>
        <v>1</v>
      </c>
      <c r="C279" s="35" t="s">
        <v>287</v>
      </c>
      <c r="D279" s="35"/>
      <c r="E279" s="35"/>
      <c r="F279" s="147"/>
      <c r="G279" s="34"/>
      <c r="H279" s="34"/>
      <c r="I279" s="34"/>
      <c r="J279" s="35"/>
      <c r="K279" s="35"/>
      <c r="L279" s="35"/>
      <c r="M279" s="35"/>
      <c r="N279" s="35"/>
      <c r="O279" s="35"/>
      <c r="P279" s="35"/>
      <c r="Q279" s="35"/>
      <c r="R279" s="35"/>
      <c r="S279" s="35"/>
      <c r="T279" s="35"/>
      <c r="U279" s="35"/>
      <c r="V279" s="35"/>
      <c r="X279" s="35"/>
    </row>
    <row r="280" spans="1:25" ht="20.100000000000001" customHeight="1" x14ac:dyDescent="0.25">
      <c r="A280" s="38">
        <f t="shared" si="132"/>
        <v>3</v>
      </c>
      <c r="B280" s="38">
        <f t="shared" si="133"/>
        <v>1</v>
      </c>
      <c r="C280" s="30" t="s">
        <v>1519</v>
      </c>
      <c r="D280" s="30"/>
      <c r="E280" s="39" t="str">
        <f>D$191&amp;"."&amp;D281</f>
        <v>E.7</v>
      </c>
      <c r="F280" s="30" t="s">
        <v>1520</v>
      </c>
      <c r="G280" s="29" t="s">
        <v>1504</v>
      </c>
      <c r="H280" s="29" t="s">
        <v>1521</v>
      </c>
      <c r="I280" s="29" t="s">
        <v>1521</v>
      </c>
      <c r="J280" s="30" t="str">
        <f t="shared" ref="J280:J281" si="142">E280&amp;IF(D280="",""," ")&amp;G280</f>
        <v>E.7Which inputs do you use on this plot?</v>
      </c>
      <c r="K280" s="30" t="str">
        <f t="shared" ref="K280:K281" si="143">E280&amp;IF(D280="",""," ")&amp;H280</f>
        <v>E.7Quels des facilités suivants utilisez vous pour ce champ?</v>
      </c>
      <c r="L280" s="30" t="str">
        <f t="shared" ref="L280:L281" si="144">E280&amp;IF(E280="",""," ")&amp;I280</f>
        <v>E.7 Quels des facilités suivants utilisez vous pour ce champ?</v>
      </c>
      <c r="M280" s="30"/>
      <c r="N280" s="30"/>
      <c r="O280" s="30" t="s">
        <v>1477</v>
      </c>
      <c r="P280" s="30" t="s">
        <v>1427</v>
      </c>
      <c r="Q280" s="30" t="s">
        <v>1427</v>
      </c>
      <c r="R280" s="30"/>
      <c r="S280" s="30"/>
      <c r="T280" s="7" t="s">
        <v>1471</v>
      </c>
      <c r="U280" s="30"/>
      <c r="V280" s="30"/>
      <c r="X280" s="30" t="s">
        <v>36</v>
      </c>
    </row>
    <row r="281" spans="1:25" s="36" customFormat="1" ht="20.100000000000001" customHeight="1" x14ac:dyDescent="0.25">
      <c r="A281" s="38">
        <f t="shared" si="132"/>
        <v>3</v>
      </c>
      <c r="B281" s="38">
        <f t="shared" si="133"/>
        <v>2</v>
      </c>
      <c r="C281" s="33" t="s">
        <v>244</v>
      </c>
      <c r="D281" s="33">
        <v>7</v>
      </c>
      <c r="E281" s="33"/>
      <c r="F281" s="33" t="str">
        <f>"rpt_"&amp;F280</f>
        <v>rpt_facility_use</v>
      </c>
      <c r="G281" s="32" t="s">
        <v>1522</v>
      </c>
      <c r="H281" s="32" t="s">
        <v>1522</v>
      </c>
      <c r="I281" s="32" t="s">
        <v>1522</v>
      </c>
      <c r="J281" s="30" t="str">
        <f t="shared" si="142"/>
        <v xml:space="preserve"> Facilities</v>
      </c>
      <c r="K281" s="30" t="str">
        <f t="shared" si="143"/>
        <v xml:space="preserve"> Facilities</v>
      </c>
      <c r="L281" s="30" t="str">
        <f t="shared" si="144"/>
        <v>Facilities</v>
      </c>
      <c r="M281" s="33"/>
      <c r="N281" s="33"/>
      <c r="O281" s="33"/>
      <c r="P281" s="33"/>
      <c r="Q281" s="33"/>
      <c r="R281" s="122" t="str">
        <f>"not(selected(${"&amp;F280&amp;"},'0')) and not(selected(${"&amp;F280&amp;"},'97'))  and not(selected(${"&amp;F280&amp;"},'98'))"</f>
        <v>not(selected(${facility_use},'0')) and not(selected(${facility_use},'97'))  and not(selected(${facility_use},'98'))</v>
      </c>
      <c r="S281" s="33"/>
      <c r="U281" s="33"/>
      <c r="V281" s="33"/>
      <c r="X281" s="33"/>
      <c r="Y281" s="36" t="str">
        <f>"count-selected(${"&amp;F280&amp;"})"</f>
        <v>count-selected(${facility_use})</v>
      </c>
    </row>
    <row r="282" spans="1:25" customFormat="1" ht="20.100000000000001" customHeight="1" x14ac:dyDescent="0.25">
      <c r="A282" s="38">
        <f t="shared" si="132"/>
        <v>3</v>
      </c>
      <c r="B282" s="38">
        <f t="shared" si="133"/>
        <v>2</v>
      </c>
      <c r="C282" t="s">
        <v>44</v>
      </c>
      <c r="F282" s="146" t="str">
        <f>"this_"&amp;F280</f>
        <v>this_facility_use</v>
      </c>
      <c r="M282" t="str">
        <f>"selected-at(${"&amp;F280&amp;"},if(position(..)-1&lt;0,0, position(..)-1))"</f>
        <v>selected-at(${facility_use},if(position(..)-1&lt;0,0, position(..)-1))</v>
      </c>
    </row>
    <row r="283" spans="1:25" customFormat="1" ht="20.100000000000001" customHeight="1" x14ac:dyDescent="0.25">
      <c r="A283" s="38">
        <f t="shared" si="132"/>
        <v>3</v>
      </c>
      <c r="B283" s="38">
        <f t="shared" si="133"/>
        <v>2</v>
      </c>
      <c r="C283" t="s">
        <v>44</v>
      </c>
      <c r="F283" t="str">
        <f>F282&amp;"_label"</f>
        <v>this_facility_use_label</v>
      </c>
      <c r="M283" t="str">
        <f>"jr:choice-name(${"&amp;F282&amp;"}, '${"&amp;F280&amp;"}')"</f>
        <v>jr:choice-name(${this_facility_use}, '${facility_use}')</v>
      </c>
    </row>
    <row r="284" spans="1:25" s="129" customFormat="1" ht="20.100000000000001" customHeight="1" x14ac:dyDescent="0.25">
      <c r="A284" s="38">
        <f t="shared" si="132"/>
        <v>3</v>
      </c>
      <c r="B284" s="38">
        <f t="shared" si="133"/>
        <v>2</v>
      </c>
      <c r="C284" s="127" t="s">
        <v>33</v>
      </c>
      <c r="D284" s="127"/>
      <c r="E284" s="127"/>
      <c r="F284" s="127" t="str">
        <f>F280&amp;"_note"</f>
        <v>facility_use_note</v>
      </c>
      <c r="G284" s="128" t="str">
        <f>"${"&amp;F283&amp;"}"</f>
        <v>${this_facility_use_label}</v>
      </c>
      <c r="H284" s="128" t="str">
        <f>"${"&amp;F283&amp;"}"</f>
        <v>${this_facility_use_label}</v>
      </c>
      <c r="I284" s="128" t="str">
        <f>"${"&amp;F283&amp;"}"</f>
        <v>${this_facility_use_label}</v>
      </c>
      <c r="J284" s="127" t="str">
        <f>E284&amp;IF(D284="",""," ")&amp;G284</f>
        <v>${this_facility_use_label}</v>
      </c>
      <c r="K284" s="127" t="str">
        <f>E284&amp;IF(D284="",""," ")&amp;H284</f>
        <v>${this_facility_use_label}</v>
      </c>
      <c r="L284" s="127" t="str">
        <f>E284&amp;IF(E284="",""," ")&amp;I284</f>
        <v>${this_facility_use_label}</v>
      </c>
      <c r="M284" s="127"/>
      <c r="N284" s="127"/>
      <c r="O284" s="127"/>
      <c r="P284" s="127"/>
      <c r="Q284" s="127"/>
      <c r="R284" s="127"/>
      <c r="S284" s="127"/>
      <c r="T284" s="127"/>
      <c r="U284" s="127"/>
      <c r="V284" s="127"/>
    </row>
    <row r="285" spans="1:25" ht="20.100000000000001" customHeight="1" x14ac:dyDescent="0.25">
      <c r="A285" s="38">
        <f t="shared" si="132"/>
        <v>3</v>
      </c>
      <c r="B285" s="38">
        <f t="shared" si="133"/>
        <v>2</v>
      </c>
      <c r="C285" s="39" t="s">
        <v>1523</v>
      </c>
      <c r="D285" s="39">
        <v>1</v>
      </c>
      <c r="E285" s="39" t="str">
        <f>E$280&amp;"."&amp;D285</f>
        <v>E.7.1</v>
      </c>
      <c r="F285" s="39" t="s">
        <v>1524</v>
      </c>
      <c r="G285" s="63" t="str">
        <f>"How did you get access to the${"&amp;F283&amp;"}?"</f>
        <v>How did you get access to the${this_facility_use_label}?</v>
      </c>
      <c r="H285" s="63" t="str">
        <f>"Comment avez-vous obtenu le/la ${"&amp;F283&amp;"}?"</f>
        <v>Comment avez-vous obtenu le/la ${this_facility_use_label}?</v>
      </c>
      <c r="I285" s="65" t="str">
        <f>"Comment avez-vous obtenu le/la ${"&amp;F283&amp;"}?"</f>
        <v>Comment avez-vous obtenu le/la ${this_facility_use_label}?</v>
      </c>
      <c r="J285" s="30" t="str">
        <f>E285&amp;IF(D285="",""," ")&amp;G285</f>
        <v>E.7.1 How did you get access to the${this_facility_use_label}?</v>
      </c>
      <c r="K285" s="30" t="str">
        <f>E285&amp;IF(D285="",""," ")&amp;H285</f>
        <v>E.7.1 Comment avez-vous obtenu le/la ${this_facility_use_label}?</v>
      </c>
      <c r="L285" s="30" t="str">
        <f>E285&amp;IF(E285="",""," ")&amp;I285</f>
        <v>E.7.1 Comment avez-vous obtenu le/la ${this_facility_use_label}?</v>
      </c>
      <c r="M285" s="2"/>
      <c r="N285" s="39"/>
      <c r="O285" s="39"/>
      <c r="P285" s="39"/>
      <c r="Q285" s="39"/>
      <c r="R285" s="39"/>
      <c r="S285" s="39"/>
      <c r="T285" s="2"/>
      <c r="U285" s="2"/>
      <c r="V285" s="2"/>
      <c r="W285" s="2"/>
      <c r="X285" s="73" t="s">
        <v>36</v>
      </c>
      <c r="Y285" s="39"/>
    </row>
    <row r="286" spans="1:25" ht="20.100000000000001" customHeight="1" x14ac:dyDescent="0.25">
      <c r="A286" s="38">
        <f t="shared" si="132"/>
        <v>3</v>
      </c>
      <c r="B286" s="38">
        <f t="shared" si="133"/>
        <v>2</v>
      </c>
      <c r="C286" s="39" t="s">
        <v>34</v>
      </c>
      <c r="D286" s="39">
        <v>2</v>
      </c>
      <c r="E286" s="39" t="str">
        <f t="shared" ref="E286:E288" si="145">E$280&amp;"."&amp;D286</f>
        <v>E.7.2</v>
      </c>
      <c r="F286" s="39" t="s">
        <v>1525</v>
      </c>
      <c r="G286" s="63" t="s">
        <v>82</v>
      </c>
      <c r="H286" s="63" t="s">
        <v>1526</v>
      </c>
      <c r="I286" s="12" t="s">
        <v>1526</v>
      </c>
      <c r="J286" s="30" t="str">
        <f>E286&amp;IF(D286="",""," ")&amp;G286</f>
        <v>E.7.2 Specify</v>
      </c>
      <c r="K286" s="30" t="str">
        <f>E286&amp;IF(D286="",""," ")&amp;H286</f>
        <v>E.7.2 Spécifiez</v>
      </c>
      <c r="L286" s="30" t="str">
        <f>E286&amp;IF(E286="",""," ")&amp;I286</f>
        <v>E.7.2 Spécifiez</v>
      </c>
      <c r="M286" s="2"/>
      <c r="N286" s="39"/>
      <c r="O286" s="39"/>
      <c r="P286" s="39"/>
      <c r="Q286" s="39"/>
      <c r="R286" s="39" t="str">
        <f>"${"&amp;F285&amp;"}='96'"</f>
        <v>${fac_access}='96'</v>
      </c>
      <c r="S286" s="39"/>
      <c r="T286" s="2"/>
      <c r="U286" s="2"/>
      <c r="V286" s="2"/>
      <c r="W286" s="2"/>
      <c r="X286" s="73" t="s">
        <v>36</v>
      </c>
      <c r="Y286" s="77"/>
    </row>
    <row r="287" spans="1:25" ht="20.100000000000001" customHeight="1" x14ac:dyDescent="0.25">
      <c r="A287" s="38">
        <f t="shared" si="132"/>
        <v>3</v>
      </c>
      <c r="B287" s="38">
        <f t="shared" si="133"/>
        <v>2</v>
      </c>
      <c r="C287" s="39" t="s">
        <v>35</v>
      </c>
      <c r="D287" s="39">
        <v>3</v>
      </c>
      <c r="E287" s="39" t="str">
        <f t="shared" si="145"/>
        <v>E.7.3</v>
      </c>
      <c r="F287" s="39" t="s">
        <v>1527</v>
      </c>
      <c r="G287" s="63" t="str">
        <f>"How much did you pay for  access to ${"&amp;F283&amp;"} for last season?"</f>
        <v>How much did you pay for  access to ${this_facility_use_label} for last season?</v>
      </c>
      <c r="H287" s="63" t="str">
        <f>"Combien est-ce que vous paiez la saison passé pour l'access à ${"&amp;F283&amp;"}?"</f>
        <v>Combien est-ce que vous paiez la saison passé pour l'access à ${this_facility_use_label}?</v>
      </c>
      <c r="I287" s="65" t="str">
        <f>"Combien est-ce que vous paiez la saison passé pour l'access à ${"&amp;F283&amp;"}?"</f>
        <v>Combien est-ce que vous paiez la saison passé pour l'access à ${this_facility_use_label}?</v>
      </c>
      <c r="J287" s="30" t="str">
        <f>E287&amp;IF(D287="",""," ")&amp;G287</f>
        <v>E.7.3 How much did you pay for  access to ${this_facility_use_label} for last season?</v>
      </c>
      <c r="K287" s="30" t="str">
        <f>E287&amp;IF(D287="",""," ")&amp;H287</f>
        <v>E.7.3 Combien est-ce que vous paiez la saison passé pour l'access à ${this_facility_use_label}?</v>
      </c>
      <c r="L287" s="30" t="str">
        <f>E287&amp;IF(E287="",""," ")&amp;I287</f>
        <v>E.7.3 Combien est-ce que vous paiez la saison passé pour l'access à ${this_facility_use_label}?</v>
      </c>
      <c r="M287" s="2"/>
      <c r="N287" s="39"/>
      <c r="O287" s="39" t="s">
        <v>283</v>
      </c>
      <c r="P287" s="39" t="s">
        <v>1528</v>
      </c>
      <c r="Q287" s="39" t="s">
        <v>1528</v>
      </c>
      <c r="R287" s="39"/>
      <c r="S287" s="39"/>
      <c r="T287" s="2"/>
      <c r="U287" s="2"/>
      <c r="V287" s="2"/>
      <c r="W287" s="2"/>
      <c r="X287" s="73" t="s">
        <v>36</v>
      </c>
      <c r="Y287" s="39"/>
    </row>
    <row r="288" spans="1:25" ht="20.100000000000001" customHeight="1" x14ac:dyDescent="0.25">
      <c r="A288" s="38">
        <f t="shared" si="132"/>
        <v>3</v>
      </c>
      <c r="B288" s="38">
        <f t="shared" si="133"/>
        <v>2</v>
      </c>
      <c r="C288" s="39" t="s">
        <v>265</v>
      </c>
      <c r="D288" s="39">
        <v>4</v>
      </c>
      <c r="E288" s="39" t="str">
        <f t="shared" si="145"/>
        <v>E.7.4</v>
      </c>
      <c r="F288" s="39" t="s">
        <v>1529</v>
      </c>
      <c r="G288" s="63" t="s">
        <v>1530</v>
      </c>
      <c r="H288" s="63" t="s">
        <v>611</v>
      </c>
      <c r="I288" s="65" t="s">
        <v>701</v>
      </c>
      <c r="J288" s="30" t="str">
        <f>E288&amp;IF(D288="",""," ")&amp;G288</f>
        <v>E.7.4 Currency</v>
      </c>
      <c r="K288" s="30" t="str">
        <f>E288&amp;IF(D288="",""," ")&amp;H288</f>
        <v>E.7.4 Unité de monnaie</v>
      </c>
      <c r="L288" s="30" t="str">
        <f>E288&amp;IF(E288="",""," ")&amp;I288</f>
        <v>E.7.4 Kipimo ya pesa (franga)</v>
      </c>
      <c r="M288" s="39"/>
      <c r="N288" s="39"/>
      <c r="O288" s="39"/>
      <c r="P288" s="39"/>
      <c r="Q288" s="39"/>
      <c r="R288" s="39" t="str">
        <f>"${"&amp;F287&amp;"}!=98 and ${"&amp;F287&amp;"}!=0"</f>
        <v>${fac_price}!=98 and ${fac_price}!=0</v>
      </c>
      <c r="S288" s="39"/>
      <c r="T288" s="2"/>
      <c r="U288" s="2"/>
      <c r="V288" s="2"/>
      <c r="W288" s="2"/>
      <c r="X288" s="73" t="s">
        <v>36</v>
      </c>
      <c r="Y288" s="39"/>
    </row>
    <row r="289" spans="1:25" s="40" customFormat="1" ht="20.100000000000001" customHeight="1" x14ac:dyDescent="0.25">
      <c r="A289" s="38">
        <f t="shared" si="132"/>
        <v>3</v>
      </c>
      <c r="B289" s="38">
        <f t="shared" si="133"/>
        <v>1</v>
      </c>
      <c r="C289" s="35" t="s">
        <v>287</v>
      </c>
      <c r="D289" s="35"/>
      <c r="E289" s="35"/>
      <c r="F289" s="147"/>
      <c r="G289" s="34"/>
      <c r="H289" s="34"/>
      <c r="I289" s="34"/>
      <c r="J289" s="35"/>
      <c r="K289" s="35"/>
      <c r="L289" s="35"/>
      <c r="M289" s="35"/>
      <c r="N289" s="35"/>
      <c r="O289" s="35"/>
      <c r="P289" s="35"/>
      <c r="Q289" s="35"/>
      <c r="R289" s="35"/>
      <c r="S289" s="35"/>
      <c r="T289" s="35"/>
      <c r="U289" s="35"/>
      <c r="V289" s="35"/>
      <c r="X289" s="35"/>
    </row>
    <row r="290" spans="1:25" s="21" customFormat="1" ht="20.100000000000001" customHeight="1" x14ac:dyDescent="0.25">
      <c r="A290" s="38">
        <f t="shared" si="132"/>
        <v>2</v>
      </c>
      <c r="B290" s="38">
        <f t="shared" si="133"/>
        <v>1</v>
      </c>
      <c r="C290" s="54" t="s">
        <v>40</v>
      </c>
      <c r="D290" s="54"/>
      <c r="E290" s="54"/>
      <c r="G290" s="11"/>
      <c r="H290" s="11" t="s">
        <v>587</v>
      </c>
      <c r="I290" s="11"/>
      <c r="L290" s="21" t="str">
        <f t="shared" ref="L290:L291" si="146">E290&amp;IF(E290="",""," ")&amp;I290</f>
        <v/>
      </c>
      <c r="S290" s="56"/>
      <c r="T290" s="18"/>
      <c r="U290" s="18"/>
      <c r="V290" s="18"/>
      <c r="W290" s="18"/>
      <c r="X290" s="56"/>
      <c r="Y290" s="56"/>
    </row>
    <row r="291" spans="1:25" s="36" customFormat="1" ht="20.100000000000001" customHeight="1" x14ac:dyDescent="0.25">
      <c r="A291" s="38">
        <f t="shared" si="132"/>
        <v>2</v>
      </c>
      <c r="B291" s="38">
        <f t="shared" si="133"/>
        <v>0</v>
      </c>
      <c r="C291" s="85" t="s">
        <v>287</v>
      </c>
      <c r="D291" s="85"/>
      <c r="E291" s="85"/>
      <c r="F291" s="86"/>
      <c r="G291" s="57" t="s">
        <v>587</v>
      </c>
      <c r="H291" s="57" t="s">
        <v>587</v>
      </c>
      <c r="I291" s="66"/>
      <c r="J291" s="86"/>
      <c r="K291" s="86"/>
      <c r="L291" s="36" t="str">
        <f t="shared" si="146"/>
        <v/>
      </c>
      <c r="M291" s="86"/>
      <c r="N291" s="86"/>
      <c r="O291" s="86"/>
      <c r="P291" s="86"/>
      <c r="Q291" s="86"/>
      <c r="R291" s="86"/>
      <c r="S291" s="86"/>
      <c r="T291" s="86"/>
      <c r="U291" s="86"/>
      <c r="V291" s="86"/>
      <c r="W291" s="86"/>
      <c r="X291" s="86"/>
      <c r="Y291" s="86"/>
    </row>
    <row r="292" spans="1:25" s="21" customFormat="1" ht="20.100000000000001" customHeight="1" x14ac:dyDescent="0.25">
      <c r="A292" s="38">
        <f t="shared" si="132"/>
        <v>1</v>
      </c>
      <c r="B292" s="38">
        <f t="shared" si="133"/>
        <v>0</v>
      </c>
      <c r="C292" s="79" t="s">
        <v>40</v>
      </c>
      <c r="D292" s="79"/>
      <c r="E292" s="79"/>
      <c r="F292" s="56"/>
      <c r="G292" s="15" t="s">
        <v>587</v>
      </c>
      <c r="H292" s="15" t="s">
        <v>587</v>
      </c>
      <c r="I292" s="68"/>
      <c r="J292" s="56"/>
      <c r="K292" s="80"/>
      <c r="L292" s="21" t="str">
        <f t="shared" ref="L292:L294" si="147">E292&amp;IF(E292="",""," ")&amp;I292</f>
        <v/>
      </c>
      <c r="M292" s="18"/>
      <c r="N292" s="56"/>
      <c r="O292" s="56"/>
      <c r="P292" s="56"/>
      <c r="Q292" s="56"/>
      <c r="R292" s="56"/>
      <c r="S292" s="56"/>
      <c r="T292" s="18"/>
      <c r="U292" s="18"/>
      <c r="V292" s="18"/>
      <c r="W292" s="18"/>
      <c r="X292" s="56"/>
      <c r="Y292" s="56"/>
    </row>
    <row r="293" spans="1:25" ht="20.100000000000001" customHeight="1" x14ac:dyDescent="0.25">
      <c r="A293" s="38">
        <f t="shared" si="132"/>
        <v>1</v>
      </c>
      <c r="B293" s="38">
        <f t="shared" si="133"/>
        <v>0</v>
      </c>
      <c r="C293" s="30" t="s">
        <v>1965</v>
      </c>
      <c r="D293" s="30"/>
      <c r="E293" s="39" t="str">
        <f>D$191&amp;"."&amp;D294</f>
        <v>E.6</v>
      </c>
      <c r="F293" s="30" t="s">
        <v>1124</v>
      </c>
      <c r="G293" s="38" t="s">
        <v>1967</v>
      </c>
      <c r="H293" s="29" t="s">
        <v>1966</v>
      </c>
      <c r="I293" s="29" t="s">
        <v>1966</v>
      </c>
      <c r="J293" s="7" t="str">
        <f t="shared" ref="J293" si="148">D293&amp;IF(D293="",""," ")&amp;G293</f>
        <v>Which of the following animals does your household own?</v>
      </c>
      <c r="K293" s="7" t="str">
        <f t="shared" ref="K293" si="149">E293&amp;IF(E293="",""," ")&amp;H293</f>
        <v>E.6 Quels des animaux suivants possède votre ménage?</v>
      </c>
      <c r="L293" s="30" t="str">
        <f t="shared" si="147"/>
        <v>E.6 Quels des animaux suivants possède votre ménage?</v>
      </c>
      <c r="M293" s="30"/>
      <c r="N293" s="30"/>
      <c r="O293" s="30" t="s">
        <v>1477</v>
      </c>
      <c r="P293" s="30" t="s">
        <v>1427</v>
      </c>
      <c r="Q293" s="30" t="s">
        <v>1427</v>
      </c>
      <c r="R293" s="30"/>
      <c r="S293" s="30"/>
      <c r="T293" s="7" t="s">
        <v>1471</v>
      </c>
      <c r="U293" s="30"/>
      <c r="V293" s="30"/>
      <c r="X293" s="30" t="s">
        <v>36</v>
      </c>
    </row>
    <row r="294" spans="1:25" s="36" customFormat="1" ht="20.100000000000001" customHeight="1" x14ac:dyDescent="0.25">
      <c r="A294" s="38">
        <f t="shared" si="132"/>
        <v>1</v>
      </c>
      <c r="B294" s="38">
        <f t="shared" si="133"/>
        <v>1</v>
      </c>
      <c r="C294" s="33" t="s">
        <v>244</v>
      </c>
      <c r="D294" s="33">
        <v>6</v>
      </c>
      <c r="E294" s="33"/>
      <c r="F294" s="33" t="str">
        <f>"rpt_"&amp;F293</f>
        <v>rpt_livestock</v>
      </c>
      <c r="G294" s="32" t="s">
        <v>1125</v>
      </c>
      <c r="H294" s="32" t="s">
        <v>1531</v>
      </c>
      <c r="I294" s="32" t="s">
        <v>1531</v>
      </c>
      <c r="J294" s="30" t="str">
        <f t="shared" ref="J294" si="150">E294&amp;IF(D294="",""," ")&amp;G294</f>
        <v xml:space="preserve"> Livestock</v>
      </c>
      <c r="K294" s="30" t="str">
        <f t="shared" ref="K294" si="151">E294&amp;IF(D294="",""," ")&amp;H294</f>
        <v xml:space="preserve"> Betail</v>
      </c>
      <c r="L294" s="30" t="str">
        <f t="shared" si="147"/>
        <v>Betail</v>
      </c>
      <c r="M294" s="33"/>
      <c r="N294" s="33"/>
      <c r="O294" s="33"/>
      <c r="P294" s="33"/>
      <c r="Q294" s="33"/>
      <c r="R294" s="122" t="str">
        <f>"not(selected(${"&amp;F293&amp;"},'0')) and not(selected(${"&amp;F293&amp;"},'97'))  and not(selected(${"&amp;F293&amp;"},'98'))"</f>
        <v>not(selected(${livestock},'0')) and not(selected(${livestock},'97'))  and not(selected(${livestock},'98'))</v>
      </c>
      <c r="S294" s="33"/>
      <c r="U294" s="33"/>
      <c r="V294" s="33"/>
      <c r="X294" s="33"/>
      <c r="Y294" s="36" t="str">
        <f>"count-selected(${"&amp;F293&amp;"})"</f>
        <v>count-selected(${livestock})</v>
      </c>
    </row>
    <row r="295" spans="1:25" customFormat="1" ht="20.100000000000001" customHeight="1" x14ac:dyDescent="0.25">
      <c r="A295" s="38">
        <f t="shared" si="132"/>
        <v>1</v>
      </c>
      <c r="B295" s="38">
        <f t="shared" si="133"/>
        <v>1</v>
      </c>
      <c r="C295" t="s">
        <v>44</v>
      </c>
      <c r="F295" s="146" t="str">
        <f>"this_"&amp;F293</f>
        <v>this_livestock</v>
      </c>
      <c r="M295" t="str">
        <f>"selected-at(${"&amp;F293&amp;"},if(position(..)-1&lt;0,0, position(..)-1))"</f>
        <v>selected-at(${livestock},if(position(..)-1&lt;0,0, position(..)-1))</v>
      </c>
    </row>
    <row r="296" spans="1:25" customFormat="1" ht="20.100000000000001" customHeight="1" x14ac:dyDescent="0.25">
      <c r="A296" s="38">
        <f t="shared" si="132"/>
        <v>1</v>
      </c>
      <c r="B296" s="38">
        <f t="shared" si="133"/>
        <v>1</v>
      </c>
      <c r="C296" t="s">
        <v>44</v>
      </c>
      <c r="F296" t="str">
        <f>F295&amp;"_label"</f>
        <v>this_livestock_label</v>
      </c>
      <c r="M296" t="str">
        <f>"jr:choice-name(${"&amp;F295&amp;"}, '${"&amp;F293&amp;"}')"</f>
        <v>jr:choice-name(${this_livestock}, '${livestock}')</v>
      </c>
    </row>
    <row r="297" spans="1:25" s="129" customFormat="1" ht="20.100000000000001" customHeight="1" x14ac:dyDescent="0.25">
      <c r="A297" s="38">
        <f t="shared" si="132"/>
        <v>1</v>
      </c>
      <c r="B297" s="38">
        <f t="shared" si="133"/>
        <v>1</v>
      </c>
      <c r="C297" s="127" t="s">
        <v>33</v>
      </c>
      <c r="D297" s="127">
        <v>1</v>
      </c>
      <c r="E297" s="127"/>
      <c r="F297" s="127" t="str">
        <f>F293&amp;"_note"</f>
        <v>livestock_note</v>
      </c>
      <c r="G297" s="128" t="str">
        <f>"${"&amp;F296&amp;"}"</f>
        <v>${this_livestock_label}</v>
      </c>
      <c r="H297" s="128" t="str">
        <f>"${"&amp;F296&amp;"}"</f>
        <v>${this_livestock_label}</v>
      </c>
      <c r="I297" s="128" t="str">
        <f>"${"&amp;F296&amp;"}"</f>
        <v>${this_livestock_label}</v>
      </c>
      <c r="J297" s="127" t="str">
        <f>E297&amp;IF(D297="",""," ")&amp;G297</f>
        <v xml:space="preserve"> ${this_livestock_label}</v>
      </c>
      <c r="K297" s="127" t="str">
        <f>E297&amp;IF(D297="",""," ")&amp;H297</f>
        <v xml:space="preserve"> ${this_livestock_label}</v>
      </c>
      <c r="L297" s="127" t="str">
        <f>E297&amp;IF(E297="",""," ")&amp;I297</f>
        <v>${this_livestock_label}</v>
      </c>
      <c r="M297" s="127"/>
      <c r="N297" s="127"/>
      <c r="O297" s="127"/>
      <c r="P297" s="127"/>
      <c r="Q297" s="127"/>
      <c r="R297" s="127"/>
      <c r="S297" s="127"/>
      <c r="T297" s="127"/>
      <c r="U297" s="127"/>
      <c r="V297" s="127"/>
    </row>
    <row r="298" spans="1:25" ht="20.100000000000001" customHeight="1" x14ac:dyDescent="0.25">
      <c r="A298" s="38">
        <f t="shared" si="132"/>
        <v>1</v>
      </c>
      <c r="B298" s="38">
        <f t="shared" si="133"/>
        <v>1</v>
      </c>
      <c r="C298" s="39" t="s">
        <v>34</v>
      </c>
      <c r="D298" s="39"/>
      <c r="E298" s="39"/>
      <c r="F298" s="39" t="str">
        <f>F293&amp;"_other"</f>
        <v>livestock_other</v>
      </c>
      <c r="G298" s="63" t="s">
        <v>261</v>
      </c>
      <c r="H298" s="63" t="s">
        <v>591</v>
      </c>
      <c r="I298" s="63" t="s">
        <v>591</v>
      </c>
      <c r="J298" s="39" t="s">
        <v>268</v>
      </c>
      <c r="K298" s="7" t="str">
        <f t="shared" ref="K298" si="152">E298&amp;IF(E298="",""," ")&amp;H298</f>
        <v>Specifiez</v>
      </c>
      <c r="L298" s="7" t="str">
        <f t="shared" ref="L298:L299" si="153">E298&amp;IF(E298="",""," ")&amp;I298</f>
        <v>Specifiez</v>
      </c>
      <c r="M298" s="2"/>
      <c r="N298" s="39"/>
      <c r="O298" s="39"/>
      <c r="P298" s="39"/>
      <c r="Q298" s="39"/>
      <c r="R298" s="39" t="str">
        <f>"${"&amp;F295&amp;"}='96' or ${"&amp;F295&amp;"}='95' "</f>
        <v xml:space="preserve">${this_livestock}='96' or ${this_livestock}='95' </v>
      </c>
      <c r="S298" s="39"/>
      <c r="T298" s="2"/>
      <c r="U298" s="2"/>
      <c r="V298" s="2"/>
      <c r="W298" s="2"/>
      <c r="X298" s="73" t="s">
        <v>36</v>
      </c>
      <c r="Y298" s="77"/>
    </row>
    <row r="299" spans="1:25" ht="20.100000000000001" customHeight="1" x14ac:dyDescent="0.25">
      <c r="A299" s="38">
        <f t="shared" si="132"/>
        <v>1</v>
      </c>
      <c r="B299" s="38">
        <f t="shared" si="133"/>
        <v>1</v>
      </c>
      <c r="C299" s="39" t="s">
        <v>35</v>
      </c>
      <c r="D299" s="39">
        <v>1</v>
      </c>
      <c r="E299" s="39"/>
      <c r="F299" s="39" t="s">
        <v>1981</v>
      </c>
      <c r="G299" s="63" t="str">
        <f>"How many ${"&amp;F296&amp;"} do you own?"</f>
        <v>How many ${this_livestock_label} do you own?</v>
      </c>
      <c r="H299" s="63" t="str">
        <f>"Combien des ${"&amp;F296&amp;"} a votre ménage?"</f>
        <v>Combien des ${this_livestock_label} a votre ménage?</v>
      </c>
      <c r="I299" s="65" t="str">
        <f>"Combien des ${"&amp;F296&amp;"} a votre ménage?"</f>
        <v>Combien des ${this_livestock_label} a votre ménage?</v>
      </c>
      <c r="J299" s="30" t="str">
        <f t="shared" ref="J299" si="154">E299&amp;IF(D299="",""," ")&amp;G299</f>
        <v xml:space="preserve"> How many ${this_livestock_label} do you own?</v>
      </c>
      <c r="K299" s="30" t="str">
        <f t="shared" ref="K299" si="155">E299&amp;IF(D299="",""," ")&amp;H299</f>
        <v xml:space="preserve"> Combien des ${this_livestock_label} a votre ménage?</v>
      </c>
      <c r="L299" s="30" t="str">
        <f t="shared" si="153"/>
        <v>Combien des ${this_livestock_label} a votre ménage?</v>
      </c>
      <c r="M299" s="2"/>
      <c r="N299" s="39"/>
      <c r="O299" s="39"/>
      <c r="P299" s="39"/>
      <c r="Q299" s="39"/>
      <c r="R299" s="39"/>
      <c r="S299" s="39"/>
      <c r="T299" s="2" t="s">
        <v>1494</v>
      </c>
      <c r="U299" s="2"/>
      <c r="V299" s="2"/>
      <c r="W299" s="2"/>
      <c r="X299" s="73" t="s">
        <v>36</v>
      </c>
      <c r="Y299" s="39"/>
    </row>
    <row r="300" spans="1:25" s="40" customFormat="1" ht="20.100000000000001" customHeight="1" x14ac:dyDescent="0.25">
      <c r="A300" s="38">
        <f t="shared" si="132"/>
        <v>1</v>
      </c>
      <c r="B300" s="38">
        <f t="shared" si="133"/>
        <v>0</v>
      </c>
      <c r="C300" s="116" t="s">
        <v>287</v>
      </c>
      <c r="D300" s="116"/>
      <c r="E300" s="116"/>
      <c r="F300" s="116"/>
      <c r="G300" s="117"/>
      <c r="H300" s="117"/>
      <c r="I300" s="118"/>
      <c r="J300" s="35"/>
      <c r="K300" s="35"/>
      <c r="L300" s="35"/>
      <c r="M300" s="119"/>
      <c r="N300" s="116"/>
      <c r="O300" s="116"/>
      <c r="P300" s="116"/>
      <c r="Q300" s="116"/>
      <c r="R300" s="116"/>
      <c r="S300" s="116"/>
      <c r="T300" s="119"/>
      <c r="U300" s="119"/>
      <c r="V300" s="119"/>
      <c r="W300" s="119"/>
      <c r="X300" s="120"/>
      <c r="Y300" s="116"/>
    </row>
    <row r="301" spans="1:25" s="17" customFormat="1" ht="20.100000000000001" customHeight="1" x14ac:dyDescent="0.25">
      <c r="A301" s="38">
        <f t="shared" si="132"/>
        <v>2</v>
      </c>
      <c r="B301" s="38">
        <f t="shared" si="133"/>
        <v>0</v>
      </c>
      <c r="C301" s="78" t="s">
        <v>32</v>
      </c>
      <c r="D301" s="78" t="s">
        <v>1535</v>
      </c>
      <c r="E301" s="78"/>
      <c r="F301" s="76" t="s">
        <v>1114</v>
      </c>
      <c r="G301" s="136" t="s">
        <v>1249</v>
      </c>
      <c r="H301" s="136" t="s">
        <v>1250</v>
      </c>
      <c r="I301" s="136" t="s">
        <v>1250</v>
      </c>
      <c r="J301" s="76" t="str">
        <f t="shared" ref="J301:K315" si="156">D301&amp;IF(D301="",""," ")&amp;G301</f>
        <v>G Credit</v>
      </c>
      <c r="K301" s="76" t="str">
        <f t="shared" si="156"/>
        <v>Credit et épargne</v>
      </c>
      <c r="L301" s="17" t="str">
        <f t="shared" ref="L301:L315" si="157">E301&amp;IF(E301="",""," ")&amp;I301</f>
        <v>Credit et épargne</v>
      </c>
      <c r="M301" s="76"/>
      <c r="N301" s="76"/>
      <c r="O301" s="76"/>
      <c r="P301" s="76"/>
      <c r="Q301" s="76"/>
      <c r="R301" s="76"/>
      <c r="S301" s="76"/>
      <c r="T301" s="76"/>
      <c r="U301" s="76"/>
      <c r="V301" s="76"/>
      <c r="W301" s="76"/>
      <c r="X301" s="76"/>
      <c r="Y301" s="76"/>
    </row>
    <row r="302" spans="1:25" ht="20.100000000000001" customHeight="1" x14ac:dyDescent="0.25">
      <c r="A302" s="38">
        <f t="shared" si="132"/>
        <v>2</v>
      </c>
      <c r="B302" s="38">
        <f t="shared" si="133"/>
        <v>0</v>
      </c>
      <c r="C302" s="7" t="s">
        <v>33</v>
      </c>
      <c r="D302" s="7"/>
      <c r="E302" s="7"/>
      <c r="F302" s="7" t="s">
        <v>523</v>
      </c>
      <c r="G302" s="13" t="s">
        <v>1216</v>
      </c>
      <c r="H302" s="13" t="s">
        <v>618</v>
      </c>
      <c r="I302" s="13" t="s">
        <v>703</v>
      </c>
      <c r="J302" s="7" t="str">
        <f t="shared" si="156"/>
        <v>Some questions on credit</v>
      </c>
      <c r="K302" s="7" t="str">
        <f t="shared" si="156"/>
        <v>Je vais poser quelques question sur le credit et epargne de votre ménage</v>
      </c>
      <c r="L302" s="7" t="str">
        <f t="shared" si="157"/>
        <v>Ninataka kuuliza maswali machache kuhusu mikopo na akiba ya jamaa yako?</v>
      </c>
      <c r="M302" s="7"/>
      <c r="S302" s="7"/>
      <c r="T302" s="7"/>
      <c r="U302" s="7"/>
      <c r="V302" s="7"/>
      <c r="W302" s="7"/>
      <c r="X302" s="7"/>
      <c r="Y302" s="7"/>
    </row>
    <row r="303" spans="1:25" ht="20.100000000000001" customHeight="1" x14ac:dyDescent="0.25">
      <c r="A303" s="38">
        <f t="shared" si="132"/>
        <v>2</v>
      </c>
      <c r="B303" s="38">
        <f t="shared" si="133"/>
        <v>0</v>
      </c>
      <c r="C303" s="45" t="s">
        <v>148</v>
      </c>
      <c r="D303" s="45">
        <v>1</v>
      </c>
      <c r="E303" s="45" t="str">
        <f>D$301&amp;"."&amp;D303</f>
        <v>G.1</v>
      </c>
      <c r="F303" s="45" t="s">
        <v>524</v>
      </c>
      <c r="G303" s="64" t="s">
        <v>405</v>
      </c>
      <c r="H303" s="64" t="s">
        <v>619</v>
      </c>
      <c r="I303" s="70" t="s">
        <v>704</v>
      </c>
      <c r="J303" s="7" t="str">
        <f t="shared" si="156"/>
        <v>1 Did your household take a loan or credit in the last 12 months?</v>
      </c>
      <c r="K303" s="7" t="str">
        <f t="shared" si="156"/>
        <v>G.1 Est- ce que votre ménage a emprunté l’argent oú pris un credit pendant les 12 mois passé ?</v>
      </c>
      <c r="L303" s="7" t="str">
        <f t="shared" si="157"/>
        <v>G.1 Je! jamaa yako ilikopa franga (pesa) ama ilikamata mkopo mu myezi kumi na mbili iliyo pita?</v>
      </c>
      <c r="M303" s="46"/>
      <c r="N303" s="45"/>
      <c r="O303" s="45"/>
      <c r="P303" s="45"/>
      <c r="Q303" s="45"/>
      <c r="R303" s="45"/>
      <c r="S303" s="46"/>
      <c r="T303" s="44"/>
      <c r="U303" s="44"/>
      <c r="V303" s="44"/>
      <c r="W303" s="44"/>
      <c r="X303" s="73" t="s">
        <v>36</v>
      </c>
      <c r="Y303" s="74"/>
    </row>
    <row r="304" spans="1:25" ht="20.100000000000001" customHeight="1" x14ac:dyDescent="0.25">
      <c r="A304" s="38">
        <f t="shared" si="132"/>
        <v>2</v>
      </c>
      <c r="B304" s="38">
        <f t="shared" si="133"/>
        <v>0</v>
      </c>
      <c r="C304" s="39" t="s">
        <v>406</v>
      </c>
      <c r="D304" s="39">
        <v>2</v>
      </c>
      <c r="E304" s="45" t="str">
        <f t="shared" ref="E304:E315" si="158">D$301&amp;"."&amp;D304</f>
        <v>G.2</v>
      </c>
      <c r="F304" s="39" t="s">
        <v>525</v>
      </c>
      <c r="G304" s="63" t="s">
        <v>407</v>
      </c>
      <c r="H304" s="63" t="s">
        <v>620</v>
      </c>
      <c r="I304" s="65" t="s">
        <v>705</v>
      </c>
      <c r="J304" s="7" t="str">
        <f t="shared" si="156"/>
        <v>2 Why not?</v>
      </c>
      <c r="K304" s="7" t="str">
        <f t="shared" si="156"/>
        <v>G.2 Pourquoi pas</v>
      </c>
      <c r="L304" s="7" t="str">
        <f t="shared" si="157"/>
        <v>G.2 Juu ya nini apana?</v>
      </c>
      <c r="M304" s="2"/>
      <c r="N304" s="39"/>
      <c r="O304" s="39"/>
      <c r="P304" s="39"/>
      <c r="Q304" s="39"/>
      <c r="R304" s="39" t="str">
        <f>"${"&amp;F303&amp;"}='0'"</f>
        <v>${credityn}='0'</v>
      </c>
      <c r="S304" s="39"/>
      <c r="T304" s="7"/>
      <c r="U304" s="2"/>
      <c r="V304" s="2"/>
      <c r="W304" s="2"/>
      <c r="X304" s="73" t="s">
        <v>36</v>
      </c>
      <c r="Y304" s="39"/>
    </row>
    <row r="305" spans="1:25" ht="20.100000000000001" customHeight="1" x14ac:dyDescent="0.25">
      <c r="A305" s="38">
        <f t="shared" si="132"/>
        <v>2</v>
      </c>
      <c r="B305" s="38">
        <f t="shared" si="133"/>
        <v>0</v>
      </c>
      <c r="C305" s="38" t="s">
        <v>34</v>
      </c>
      <c r="D305" s="38">
        <v>4</v>
      </c>
      <c r="E305" s="45" t="str">
        <f t="shared" si="158"/>
        <v>G.4</v>
      </c>
      <c r="F305" s="38" t="str">
        <f>F304&amp;"_oth"</f>
        <v>creditrestr_oth</v>
      </c>
      <c r="G305" s="41" t="s">
        <v>82</v>
      </c>
      <c r="H305" s="41" t="s">
        <v>591</v>
      </c>
      <c r="I305" s="13" t="s">
        <v>680</v>
      </c>
      <c r="J305" s="7" t="str">
        <f t="shared" si="156"/>
        <v>4 Specify</v>
      </c>
      <c r="K305" s="7" t="str">
        <f t="shared" si="156"/>
        <v>G.4 Specifiez</v>
      </c>
      <c r="L305" s="7" t="str">
        <f t="shared" si="157"/>
        <v>G.4 Pana mwangaza (Fafanuwa)</v>
      </c>
      <c r="N305" s="38"/>
      <c r="O305" s="38"/>
      <c r="P305" s="38"/>
      <c r="Q305" s="38"/>
      <c r="R305" s="38" t="str">
        <f>"selected(${"&amp;F304&amp;"},'96')"</f>
        <v>selected(${creditrestr},'96')</v>
      </c>
      <c r="X305" s="73" t="s">
        <v>36</v>
      </c>
    </row>
    <row r="306" spans="1:25" ht="20.100000000000001" customHeight="1" x14ac:dyDescent="0.25">
      <c r="A306" s="38">
        <f t="shared" si="132"/>
        <v>2</v>
      </c>
      <c r="B306" s="38">
        <f t="shared" si="133"/>
        <v>0</v>
      </c>
      <c r="C306" s="39" t="s">
        <v>408</v>
      </c>
      <c r="D306" s="39">
        <v>3</v>
      </c>
      <c r="E306" s="45" t="str">
        <f t="shared" si="158"/>
        <v>G.3</v>
      </c>
      <c r="F306" s="39" t="s">
        <v>526</v>
      </c>
      <c r="G306" s="63" t="s">
        <v>409</v>
      </c>
      <c r="H306" s="63" t="s">
        <v>621</v>
      </c>
      <c r="I306" s="65" t="s">
        <v>706</v>
      </c>
      <c r="J306" s="7" t="str">
        <f t="shared" si="156"/>
        <v>3 Who did you borrow from?</v>
      </c>
      <c r="K306" s="7" t="str">
        <f t="shared" si="156"/>
        <v>G.3 De qui vous avez emprunté?</v>
      </c>
      <c r="L306" s="7" t="str">
        <f t="shared" si="157"/>
        <v>G.3 Ulikopa kwa nani?</v>
      </c>
      <c r="M306" s="2"/>
      <c r="N306" s="39"/>
      <c r="O306" s="39"/>
      <c r="P306" s="39"/>
      <c r="Q306" s="39"/>
      <c r="R306" s="39" t="str">
        <f>"${"&amp;F303&amp;"}='1'"</f>
        <v>${credityn}='1'</v>
      </c>
      <c r="S306" s="39"/>
      <c r="T306" s="7"/>
      <c r="U306" s="2"/>
      <c r="V306" s="2"/>
      <c r="W306" s="2"/>
      <c r="X306" s="73" t="s">
        <v>36</v>
      </c>
      <c r="Y306" s="39"/>
    </row>
    <row r="307" spans="1:25" ht="20.100000000000001" customHeight="1" x14ac:dyDescent="0.25">
      <c r="A307" s="38">
        <f t="shared" si="132"/>
        <v>2</v>
      </c>
      <c r="B307" s="38">
        <f t="shared" si="133"/>
        <v>0</v>
      </c>
      <c r="C307" s="38" t="s">
        <v>34</v>
      </c>
      <c r="D307" s="38">
        <v>4</v>
      </c>
      <c r="E307" s="45" t="str">
        <f t="shared" si="158"/>
        <v>G.4</v>
      </c>
      <c r="F307" s="38" t="str">
        <f>F306&amp;"_oth"</f>
        <v>creditwho_oth</v>
      </c>
      <c r="G307" s="41" t="s">
        <v>82</v>
      </c>
      <c r="H307" s="41" t="s">
        <v>591</v>
      </c>
      <c r="I307" s="13" t="s">
        <v>680</v>
      </c>
      <c r="J307" s="7" t="str">
        <f t="shared" si="156"/>
        <v>4 Specify</v>
      </c>
      <c r="K307" s="7" t="str">
        <f t="shared" si="156"/>
        <v>G.4 Specifiez</v>
      </c>
      <c r="L307" s="7" t="str">
        <f t="shared" si="157"/>
        <v>G.4 Pana mwangaza (Fafanuwa)</v>
      </c>
      <c r="N307" s="38"/>
      <c r="O307" s="38"/>
      <c r="P307" s="38"/>
      <c r="Q307" s="38"/>
      <c r="R307" s="38" t="str">
        <f>"selected(${"&amp;F306&amp;"},'96')"</f>
        <v>selected(${creditwho},'96')</v>
      </c>
      <c r="X307" s="73" t="s">
        <v>36</v>
      </c>
    </row>
    <row r="308" spans="1:25" ht="20.100000000000001" customHeight="1" x14ac:dyDescent="0.25">
      <c r="A308" s="38">
        <f t="shared" si="132"/>
        <v>2</v>
      </c>
      <c r="B308" s="38">
        <f t="shared" si="133"/>
        <v>0</v>
      </c>
      <c r="C308" s="39" t="s">
        <v>410</v>
      </c>
      <c r="D308" s="45">
        <v>5</v>
      </c>
      <c r="E308" s="45" t="str">
        <f t="shared" si="158"/>
        <v>G.5</v>
      </c>
      <c r="F308" s="39" t="s">
        <v>527</v>
      </c>
      <c r="G308" s="63" t="s">
        <v>411</v>
      </c>
      <c r="H308" s="63" t="s">
        <v>622</v>
      </c>
      <c r="I308" s="65" t="s">
        <v>707</v>
      </c>
      <c r="J308" s="7" t="str">
        <f t="shared" si="156"/>
        <v>5 What have you taken a loan for?</v>
      </c>
      <c r="K308" s="7" t="str">
        <f t="shared" si="156"/>
        <v>G.5 Pour quel objective(s)?</v>
      </c>
      <c r="L308" s="7" t="str">
        <f t="shared" si="157"/>
        <v>G.5 Juu ya nini unatumia mkopo?</v>
      </c>
      <c r="M308" s="2"/>
      <c r="N308" s="39"/>
      <c r="O308" s="39"/>
      <c r="P308" s="39"/>
      <c r="Q308" s="39"/>
      <c r="R308" s="39" t="str">
        <f>"${"&amp;F303&amp;"}='1'"</f>
        <v>${credityn}='1'</v>
      </c>
      <c r="S308" s="39"/>
      <c r="T308" s="7"/>
      <c r="U308" s="2"/>
      <c r="V308" s="2"/>
      <c r="W308" s="2"/>
      <c r="X308" s="73" t="s">
        <v>36</v>
      </c>
      <c r="Y308" s="39"/>
    </row>
    <row r="309" spans="1:25" ht="20.100000000000001" customHeight="1" x14ac:dyDescent="0.25">
      <c r="A309" s="38">
        <f t="shared" si="132"/>
        <v>2</v>
      </c>
      <c r="B309" s="38">
        <f t="shared" si="133"/>
        <v>0</v>
      </c>
      <c r="C309" s="38" t="s">
        <v>34</v>
      </c>
      <c r="D309" s="38">
        <v>6</v>
      </c>
      <c r="E309" s="45" t="str">
        <f t="shared" ref="E309" si="159">D$301&amp;"."&amp;D309</f>
        <v>G.6</v>
      </c>
      <c r="F309" s="38" t="str">
        <f>F308&amp;"_oth"</f>
        <v>creditwhy_oth</v>
      </c>
      <c r="G309" s="41" t="s">
        <v>82</v>
      </c>
      <c r="H309" s="41" t="s">
        <v>591</v>
      </c>
      <c r="I309" s="13" t="s">
        <v>680</v>
      </c>
      <c r="J309" s="7" t="str">
        <f t="shared" ref="J309" si="160">D309&amp;IF(D309="",""," ")&amp;G309</f>
        <v>6 Specify</v>
      </c>
      <c r="K309" s="7" t="str">
        <f t="shared" ref="K309" si="161">E309&amp;IF(E309="",""," ")&amp;H309</f>
        <v>G.6 Specifiez</v>
      </c>
      <c r="L309" s="7" t="str">
        <f t="shared" ref="L309" si="162">E309&amp;IF(E309="",""," ")&amp;I309</f>
        <v>G.6 Pana mwangaza (Fafanuwa)</v>
      </c>
      <c r="N309" s="38"/>
      <c r="O309" s="38"/>
      <c r="P309" s="38"/>
      <c r="Q309" s="38"/>
      <c r="R309" s="38" t="str">
        <f>"selected(${"&amp;F308&amp;"},'96')"</f>
        <v>selected(${creditwhy},'96')</v>
      </c>
      <c r="X309" s="73" t="s">
        <v>36</v>
      </c>
    </row>
    <row r="310" spans="1:25" ht="20.100000000000001" customHeight="1" x14ac:dyDescent="0.25">
      <c r="A310" s="38">
        <f t="shared" si="132"/>
        <v>2</v>
      </c>
      <c r="B310" s="38">
        <f t="shared" si="133"/>
        <v>0</v>
      </c>
      <c r="C310" s="39" t="s">
        <v>148</v>
      </c>
      <c r="D310" s="39">
        <v>7</v>
      </c>
      <c r="E310" s="45" t="str">
        <f t="shared" si="158"/>
        <v>G.7</v>
      </c>
      <c r="F310" s="39" t="s">
        <v>528</v>
      </c>
      <c r="G310" s="63" t="s">
        <v>904</v>
      </c>
      <c r="H310" s="63" t="s">
        <v>1891</v>
      </c>
      <c r="I310" s="65" t="s">
        <v>708</v>
      </c>
      <c r="J310" s="7" t="str">
        <f t="shared" si="156"/>
        <v>7 Has your householdlent money to any one else?</v>
      </c>
      <c r="K310" s="7" t="str">
        <f t="shared" si="156"/>
        <v>G.7 Est-ce que votre ménage a prêté d'argent à quelq'un d'autre?</v>
      </c>
      <c r="L310" s="7" t="str">
        <f t="shared" si="157"/>
        <v>G.7 Je! jamaa yako ilikopesha franga (pesa) kwa mtu mwengine?</v>
      </c>
      <c r="M310" s="2"/>
      <c r="N310" s="39"/>
      <c r="O310" s="39"/>
      <c r="P310" s="39"/>
      <c r="Q310" s="39"/>
      <c r="R310" s="39"/>
      <c r="S310" s="39"/>
      <c r="T310" s="2"/>
      <c r="U310" s="2"/>
      <c r="V310" s="2"/>
      <c r="W310" s="2"/>
      <c r="X310" s="73" t="s">
        <v>36</v>
      </c>
      <c r="Y310" s="39"/>
    </row>
    <row r="311" spans="1:25" ht="20.100000000000001" customHeight="1" x14ac:dyDescent="0.25">
      <c r="A311" s="38">
        <f t="shared" si="132"/>
        <v>2</v>
      </c>
      <c r="B311" s="38">
        <f t="shared" si="133"/>
        <v>0</v>
      </c>
      <c r="C311" s="39" t="s">
        <v>412</v>
      </c>
      <c r="D311" s="39">
        <v>8</v>
      </c>
      <c r="E311" s="45" t="str">
        <f t="shared" si="158"/>
        <v>G.8</v>
      </c>
      <c r="F311" s="39" t="s">
        <v>529</v>
      </c>
      <c r="G311" s="63" t="s">
        <v>413</v>
      </c>
      <c r="H311" s="63" t="s">
        <v>623</v>
      </c>
      <c r="I311" s="65" t="s">
        <v>709</v>
      </c>
      <c r="J311" s="7" t="str">
        <f t="shared" si="156"/>
        <v>8 To whom?</v>
      </c>
      <c r="K311" s="7" t="str">
        <f t="shared" si="156"/>
        <v>G.8 À qui?</v>
      </c>
      <c r="L311" s="7" t="str">
        <f t="shared" si="157"/>
        <v>G.8 Nani?</v>
      </c>
      <c r="M311" s="2"/>
      <c r="N311" s="39"/>
      <c r="O311" s="39"/>
      <c r="P311" s="39"/>
      <c r="Q311" s="39"/>
      <c r="R311" s="39" t="str">
        <f>"${"&amp;F310&amp;"}='1'"</f>
        <v>${borrowyn}='1'</v>
      </c>
      <c r="S311" s="39"/>
      <c r="T311" s="7"/>
      <c r="U311" s="2"/>
      <c r="V311" s="2"/>
      <c r="W311" s="2"/>
      <c r="X311" s="73" t="s">
        <v>36</v>
      </c>
      <c r="Y311" s="39"/>
    </row>
    <row r="312" spans="1:25" ht="20.100000000000001" customHeight="1" x14ac:dyDescent="0.25">
      <c r="A312" s="38">
        <f t="shared" si="132"/>
        <v>2</v>
      </c>
      <c r="B312" s="38">
        <f t="shared" si="133"/>
        <v>0</v>
      </c>
      <c r="C312" s="38" t="s">
        <v>34</v>
      </c>
      <c r="D312" s="38">
        <v>9</v>
      </c>
      <c r="E312" s="45" t="str">
        <f t="shared" si="158"/>
        <v>G.9</v>
      </c>
      <c r="F312" s="38" t="str">
        <f>F311&amp;"_oth"</f>
        <v>borrowwho_oth</v>
      </c>
      <c r="G312" s="41" t="s">
        <v>82</v>
      </c>
      <c r="H312" s="41" t="s">
        <v>591</v>
      </c>
      <c r="I312" s="13" t="s">
        <v>680</v>
      </c>
      <c r="J312" s="7" t="str">
        <f t="shared" si="156"/>
        <v>9 Specify</v>
      </c>
      <c r="K312" s="7" t="str">
        <f t="shared" si="156"/>
        <v>G.9 Specifiez</v>
      </c>
      <c r="L312" s="7" t="str">
        <f t="shared" si="157"/>
        <v>G.9 Pana mwangaza (Fafanuwa)</v>
      </c>
      <c r="N312" s="38"/>
      <c r="O312" s="38"/>
      <c r="P312" s="38"/>
      <c r="Q312" s="38"/>
      <c r="R312" s="38" t="str">
        <f>"selected(${"&amp;F311&amp;"},'96')"</f>
        <v>selected(${borrowwho},'96')</v>
      </c>
      <c r="X312" s="73" t="s">
        <v>36</v>
      </c>
    </row>
    <row r="313" spans="1:25" ht="20.100000000000001" customHeight="1" x14ac:dyDescent="0.25">
      <c r="A313" s="38">
        <f t="shared" si="132"/>
        <v>2</v>
      </c>
      <c r="B313" s="38">
        <f t="shared" si="133"/>
        <v>0</v>
      </c>
      <c r="C313" s="1" t="s">
        <v>148</v>
      </c>
      <c r="D313" s="45">
        <v>10</v>
      </c>
      <c r="E313" s="45" t="str">
        <f t="shared" si="158"/>
        <v>G.10</v>
      </c>
      <c r="F313" s="1" t="s">
        <v>530</v>
      </c>
      <c r="G313" s="69" t="s">
        <v>414</v>
      </c>
      <c r="H313" s="69" t="s">
        <v>624</v>
      </c>
      <c r="I313" s="13" t="s">
        <v>710</v>
      </c>
      <c r="J313" s="7" t="str">
        <f t="shared" si="156"/>
        <v>10 Does your household have a savings account or another form of savings?</v>
      </c>
      <c r="K313" s="7" t="str">
        <f t="shared" si="156"/>
        <v>G.10 Est-ce que votre ménage a un compte bancaire ou un autre forme d'epargne?</v>
      </c>
      <c r="L313" s="7" t="str">
        <f t="shared" si="157"/>
        <v>G.10 Je, jamaa yako ina akaunti kwenye benki (Banque)  au aina nyingine ya kuekesha (kuchunga) pesa?</v>
      </c>
      <c r="M313" s="1"/>
      <c r="N313" s="1"/>
      <c r="O313" s="1"/>
      <c r="P313" s="1"/>
      <c r="Q313" s="1"/>
      <c r="R313" s="1"/>
      <c r="S313" s="39"/>
      <c r="T313" s="2"/>
      <c r="U313" s="2"/>
      <c r="V313" s="2"/>
      <c r="W313" s="2"/>
      <c r="X313" s="73" t="s">
        <v>36</v>
      </c>
      <c r="Y313" s="39"/>
    </row>
    <row r="314" spans="1:25" ht="20.100000000000001" customHeight="1" x14ac:dyDescent="0.25">
      <c r="A314" s="38">
        <f t="shared" si="132"/>
        <v>2</v>
      </c>
      <c r="B314" s="38">
        <f t="shared" si="133"/>
        <v>0</v>
      </c>
      <c r="C314" s="1" t="s">
        <v>415</v>
      </c>
      <c r="D314" s="39">
        <v>11</v>
      </c>
      <c r="E314" s="45" t="str">
        <f t="shared" si="158"/>
        <v>G.11</v>
      </c>
      <c r="F314" s="1" t="s">
        <v>531</v>
      </c>
      <c r="G314" s="69" t="s">
        <v>416</v>
      </c>
      <c r="H314" s="69" t="s">
        <v>625</v>
      </c>
      <c r="I314" s="13" t="s">
        <v>711</v>
      </c>
      <c r="J314" s="7" t="str">
        <f t="shared" si="156"/>
        <v>11 What type?</v>
      </c>
      <c r="K314" s="7" t="str">
        <f t="shared" si="156"/>
        <v>G.11 Quel type(s)?</v>
      </c>
      <c r="L314" s="7" t="str">
        <f t="shared" si="157"/>
        <v>G.11 Aina gani?</v>
      </c>
      <c r="M314" s="1"/>
      <c r="N314" s="1"/>
      <c r="O314" s="1"/>
      <c r="P314" s="1"/>
      <c r="Q314" s="1"/>
      <c r="R314" s="1" t="str">
        <f>"${"&amp;F313&amp;"}='1'"</f>
        <v>${savingyn}='1'</v>
      </c>
      <c r="S314" s="39"/>
      <c r="T314" s="2"/>
      <c r="U314" s="2"/>
      <c r="V314" s="2"/>
      <c r="W314" s="2"/>
      <c r="X314" s="73" t="s">
        <v>36</v>
      </c>
      <c r="Y314" s="39"/>
    </row>
    <row r="315" spans="1:25" ht="20.100000000000001" customHeight="1" x14ac:dyDescent="0.25">
      <c r="A315" s="38">
        <f t="shared" si="132"/>
        <v>2</v>
      </c>
      <c r="B315" s="38">
        <f t="shared" si="133"/>
        <v>0</v>
      </c>
      <c r="C315" s="38" t="s">
        <v>34</v>
      </c>
      <c r="D315" s="39">
        <v>12</v>
      </c>
      <c r="E315" s="45" t="str">
        <f t="shared" si="158"/>
        <v>G.12</v>
      </c>
      <c r="F315" s="38" t="str">
        <f>F314&amp;"_oth"</f>
        <v>savingtype_oth</v>
      </c>
      <c r="G315" s="41" t="s">
        <v>82</v>
      </c>
      <c r="H315" s="41" t="s">
        <v>591</v>
      </c>
      <c r="I315" s="13" t="s">
        <v>680</v>
      </c>
      <c r="J315" s="7" t="str">
        <f t="shared" si="156"/>
        <v>12 Specify</v>
      </c>
      <c r="K315" s="7" t="str">
        <f t="shared" si="156"/>
        <v>G.12 Specifiez</v>
      </c>
      <c r="L315" s="7" t="str">
        <f t="shared" si="157"/>
        <v>G.12 Pana mwangaza (Fafanuwa)</v>
      </c>
      <c r="N315" s="38"/>
      <c r="O315" s="38"/>
      <c r="P315" s="38"/>
      <c r="Q315" s="38"/>
      <c r="R315" s="38" t="str">
        <f>"selected(${"&amp;F314&amp;"},'96')"</f>
        <v>selected(${savingtype},'96')</v>
      </c>
      <c r="X315" s="73" t="s">
        <v>36</v>
      </c>
    </row>
    <row r="316" spans="1:25" s="21" customFormat="1" ht="20.100000000000001" customHeight="1" x14ac:dyDescent="0.25">
      <c r="A316" s="38">
        <f t="shared" si="132"/>
        <v>1</v>
      </c>
      <c r="B316" s="38">
        <f t="shared" si="133"/>
        <v>0</v>
      </c>
      <c r="C316" s="21" t="s">
        <v>40</v>
      </c>
      <c r="G316" s="11"/>
      <c r="H316" s="11"/>
      <c r="I316" s="11"/>
    </row>
    <row r="317" spans="1:25" s="137" customFormat="1" ht="20.100000000000001" customHeight="1" x14ac:dyDescent="0.25">
      <c r="A317" s="38">
        <f t="shared" si="132"/>
        <v>2</v>
      </c>
      <c r="B317" s="38">
        <f t="shared" si="133"/>
        <v>0</v>
      </c>
      <c r="C317" s="137" t="s">
        <v>32</v>
      </c>
      <c r="D317" s="137" t="s">
        <v>1573</v>
      </c>
      <c r="F317" s="137" t="s">
        <v>1215</v>
      </c>
      <c r="G317" s="137" t="s">
        <v>437</v>
      </c>
      <c r="H317" s="137" t="s">
        <v>438</v>
      </c>
      <c r="I317" s="137" t="s">
        <v>438</v>
      </c>
      <c r="J317" s="17" t="s">
        <v>82</v>
      </c>
      <c r="K317" s="17" t="str">
        <f t="shared" ref="K317:K324" si="163">E317&amp;IF(E317="",""," ")&amp;H317</f>
        <v>Nourriture</v>
      </c>
      <c r="L317" s="17" t="str">
        <f t="shared" ref="L317:L324" si="164">E317&amp;IF(E317="",""," ")&amp;I317</f>
        <v>Nourriture</v>
      </c>
    </row>
    <row r="318" spans="1:25" customFormat="1" ht="20.100000000000001" customHeight="1" x14ac:dyDescent="0.25">
      <c r="A318" s="38">
        <f t="shared" si="132"/>
        <v>2</v>
      </c>
      <c r="B318" s="38">
        <f t="shared" si="133"/>
        <v>0</v>
      </c>
      <c r="C318" t="s">
        <v>33</v>
      </c>
      <c r="D318">
        <v>1</v>
      </c>
      <c r="E318" s="45" t="str">
        <f t="shared" ref="E318:E324" si="165">D$301&amp;"."&amp;D318</f>
        <v>G.1</v>
      </c>
      <c r="F318" t="s">
        <v>1572</v>
      </c>
      <c r="G318" s="13" t="s">
        <v>1571</v>
      </c>
      <c r="H318" t="s">
        <v>1570</v>
      </c>
      <c r="I318" t="s">
        <v>1570</v>
      </c>
      <c r="J318" s="7" t="str">
        <f t="shared" ref="J318" si="166">D318&amp;IF(D318="",""," ")&amp;G318</f>
        <v>1 Now I will have some questions about food in your household.</v>
      </c>
      <c r="K318" s="7" t="str">
        <f t="shared" ref="K318" si="167">E318&amp;IF(E318="",""," ")&amp;H318</f>
        <v>G.1 Maintenant, j'ai des questions sur la nourriture dans votre ménage</v>
      </c>
      <c r="L318" s="7" t="str">
        <f t="shared" ref="L318" si="168">E318&amp;IF(E318="",""," ")&amp;I318</f>
        <v>G.1 Maintenant, j'ai des questions sur la nourriture dans votre ménage</v>
      </c>
    </row>
    <row r="319" spans="1:25" customFormat="1" ht="20.100000000000001" customHeight="1" x14ac:dyDescent="0.25">
      <c r="A319" s="38">
        <f t="shared" ref="A319:A382" si="169">IF(C319="begin group",A318+1,IF(C319="end group",A318-1,A318))</f>
        <v>2</v>
      </c>
      <c r="B319" s="38">
        <f t="shared" ref="B319:B382" si="170">IF(C319="begin repeat",B318+1,IF(C319="end repeat",B318-1,B318))</f>
        <v>0</v>
      </c>
      <c r="C319" t="s">
        <v>1235</v>
      </c>
      <c r="D319">
        <v>1</v>
      </c>
      <c r="E319" s="45" t="str">
        <f t="shared" si="165"/>
        <v>G.1</v>
      </c>
      <c r="F319" t="s">
        <v>1236</v>
      </c>
      <c r="G319" t="s">
        <v>1242</v>
      </c>
      <c r="H319" t="s">
        <v>1230</v>
      </c>
      <c r="I319" t="s">
        <v>1230</v>
      </c>
      <c r="J319" s="7" t="str">
        <f t="shared" ref="J319:J324" si="171">D319&amp;IF(D319="",""," ")&amp;G319</f>
        <v>1 In the course of the past 12 months, how often have you (or someone in your household) faced a situation in which you could not eat enough?</v>
      </c>
      <c r="K319" s="7" t="str">
        <f t="shared" si="163"/>
        <v>G.1 Au cours des 12 derniers mois, combien de fois est-ce que vous (où un membre de votre famille) avez dû faire face  a nourriture insuffisante pour manger à sa faim ?</v>
      </c>
      <c r="L319" s="7" t="str">
        <f t="shared" si="164"/>
        <v>G.1 Au cours des 12 derniers mois, combien de fois est-ce que vous (où un membre de votre famille) avez dû faire face  a nourriture insuffisante pour manger à sa faim ?</v>
      </c>
      <c r="X319" t="s">
        <v>36</v>
      </c>
    </row>
    <row r="320" spans="1:25" customFormat="1" ht="20.100000000000001" customHeight="1" x14ac:dyDescent="0.25">
      <c r="A320" s="38">
        <f t="shared" si="169"/>
        <v>2</v>
      </c>
      <c r="B320" s="38">
        <f t="shared" si="170"/>
        <v>0</v>
      </c>
      <c r="C320" t="s">
        <v>1235</v>
      </c>
      <c r="D320">
        <v>2</v>
      </c>
      <c r="E320" s="45" t="str">
        <f t="shared" si="165"/>
        <v>G.2</v>
      </c>
      <c r="F320" t="s">
        <v>1237</v>
      </c>
      <c r="G320" t="s">
        <v>1243</v>
      </c>
      <c r="H320" t="s">
        <v>1231</v>
      </c>
      <c r="I320" t="s">
        <v>1231</v>
      </c>
      <c r="J320" s="7" t="str">
        <f t="shared" si="171"/>
        <v>2 In the course of the past 12 months, how often have you (or someone in your household) faced a shortage of drinking water?</v>
      </c>
      <c r="K320" s="7" t="str">
        <f t="shared" si="163"/>
        <v>G.2 Au cours des 12 derniers mois, combien de fois est-ce que vous (où un membre de votre famille) avez dû faire face à un manque d’eau potable pour les besoins domestiques?</v>
      </c>
      <c r="L320" s="7" t="str">
        <f t="shared" si="164"/>
        <v>G.2 Au cours des 12 derniers mois, combien de fois est-ce que vous (où un membre de votre famille) avez dû faire face à un manque d’eau potable pour les besoins domestiques?</v>
      </c>
      <c r="X320" t="s">
        <v>36</v>
      </c>
    </row>
    <row r="321" spans="1:25" customFormat="1" ht="20.100000000000001" customHeight="1" x14ac:dyDescent="0.25">
      <c r="A321" s="38">
        <f t="shared" si="169"/>
        <v>2</v>
      </c>
      <c r="B321" s="38">
        <f t="shared" si="170"/>
        <v>0</v>
      </c>
      <c r="C321" t="s">
        <v>1235</v>
      </c>
      <c r="D321">
        <v>3</v>
      </c>
      <c r="E321" s="45" t="str">
        <f t="shared" si="165"/>
        <v>G.3</v>
      </c>
      <c r="F321" t="s">
        <v>1238</v>
      </c>
      <c r="G321" t="s">
        <v>1244</v>
      </c>
      <c r="H321" t="s">
        <v>1232</v>
      </c>
      <c r="I321" t="s">
        <v>1232</v>
      </c>
      <c r="J321" s="7" t="str">
        <f t="shared" si="171"/>
        <v>3 In the course of the past 12 months, how often have you (or someone in your household) faced a shortage of medical care?</v>
      </c>
      <c r="K321" s="7" t="str">
        <f t="shared" si="163"/>
        <v>G.3 Au cours des 12 derniers mois, combien de fois est-ce que vous (où un membre de votre famille) avez dû faire face  un manque de médicaments ou de soins médicaux ?</v>
      </c>
      <c r="L321" s="7" t="str">
        <f t="shared" si="164"/>
        <v>G.3 Au cours des 12 derniers mois, combien de fois est-ce que vous (où un membre de votre famille) avez dû faire face  un manque de médicaments ou de soins médicaux ?</v>
      </c>
      <c r="X321" t="s">
        <v>36</v>
      </c>
    </row>
    <row r="322" spans="1:25" customFormat="1" ht="20.100000000000001" customHeight="1" x14ac:dyDescent="0.25">
      <c r="A322" s="38">
        <f t="shared" si="169"/>
        <v>2</v>
      </c>
      <c r="B322" s="38">
        <f t="shared" si="170"/>
        <v>0</v>
      </c>
      <c r="C322" t="s">
        <v>1235</v>
      </c>
      <c r="D322">
        <v>4</v>
      </c>
      <c r="E322" s="45" t="str">
        <f t="shared" si="165"/>
        <v>G.4</v>
      </c>
      <c r="F322" t="s">
        <v>1239</v>
      </c>
      <c r="G322" t="s">
        <v>1245</v>
      </c>
      <c r="H322" t="s">
        <v>1233</v>
      </c>
      <c r="I322" t="s">
        <v>1233</v>
      </c>
      <c r="J322" s="7" t="str">
        <f t="shared" si="171"/>
        <v>4 In the course of the past 12 months, how often have you (or someone in your household) faced a shortage of firewood or other fuel?</v>
      </c>
      <c r="K322" s="7" t="str">
        <f t="shared" si="163"/>
        <v>G.4 Au cours des 12 derniers mois, combien de fois est-ce que vous (où un membre de votre famille) avez dû faire face  un manque de combustible pour la cuisson des repas ?</v>
      </c>
      <c r="L322" s="7" t="str">
        <f t="shared" si="164"/>
        <v>G.4 Au cours des 12 derniers mois, combien de fois est-ce que vous (où un membre de votre famille) avez dû faire face  un manque de combustible pour la cuisson des repas ?</v>
      </c>
      <c r="X322" t="s">
        <v>36</v>
      </c>
    </row>
    <row r="323" spans="1:25" customFormat="1" ht="20.100000000000001" customHeight="1" x14ac:dyDescent="0.25">
      <c r="A323" s="38">
        <f t="shared" si="169"/>
        <v>2</v>
      </c>
      <c r="B323" s="38">
        <f t="shared" si="170"/>
        <v>0</v>
      </c>
      <c r="C323" t="s">
        <v>1235</v>
      </c>
      <c r="D323">
        <v>5</v>
      </c>
      <c r="E323" s="45" t="str">
        <f t="shared" si="165"/>
        <v>G.5</v>
      </c>
      <c r="F323" t="s">
        <v>1240</v>
      </c>
      <c r="G323" t="s">
        <v>1246</v>
      </c>
      <c r="H323" t="s">
        <v>1234</v>
      </c>
      <c r="I323" t="s">
        <v>1234</v>
      </c>
      <c r="J323" s="7" t="str">
        <f t="shared" si="171"/>
        <v>5 In the course of the past 12 months, how often have you (or someone in your household) faced a shortage of money?</v>
      </c>
      <c r="K323" s="7" t="str">
        <f t="shared" si="163"/>
        <v>G.5 Au cours des 12 derniers mois, combien de fois est-ce que vous (où un membre de votre famille) avez dû faire face manque d’argent?</v>
      </c>
      <c r="L323" s="7" t="str">
        <f t="shared" si="164"/>
        <v>G.5 Au cours des 12 derniers mois, combien de fois est-ce que vous (où un membre de votre famille) avez dû faire face manque d’argent?</v>
      </c>
      <c r="X323" t="s">
        <v>36</v>
      </c>
    </row>
    <row r="324" spans="1:25" customFormat="1" ht="20.100000000000001" customHeight="1" x14ac:dyDescent="0.25">
      <c r="A324" s="38">
        <f t="shared" si="169"/>
        <v>2</v>
      </c>
      <c r="B324" s="38">
        <f t="shared" si="170"/>
        <v>0</v>
      </c>
      <c r="C324" t="s">
        <v>35</v>
      </c>
      <c r="D324">
        <v>6</v>
      </c>
      <c r="E324" s="45" t="str">
        <f t="shared" si="165"/>
        <v>G.6</v>
      </c>
      <c r="F324" t="s">
        <v>1241</v>
      </c>
      <c r="G324" t="s">
        <v>1247</v>
      </c>
      <c r="H324" t="s">
        <v>1229</v>
      </c>
      <c r="I324" t="s">
        <v>1229</v>
      </c>
      <c r="J324" s="7" t="str">
        <f t="shared" si="171"/>
        <v>6 How many people eat in your household?</v>
      </c>
      <c r="K324" s="7" t="str">
        <f t="shared" si="163"/>
        <v>G.6 Pendant les dernier 14 jours, combien de personnes (en moyen) ont mangé dans ce ménage chaque jour?</v>
      </c>
      <c r="L324" s="7" t="str">
        <f t="shared" si="164"/>
        <v>G.6 Pendant les dernier 14 jours, combien de personnes (en moyen) ont mangé dans ce ménage chaque jour?</v>
      </c>
      <c r="T324" t="s">
        <v>1536</v>
      </c>
      <c r="X324" t="s">
        <v>36</v>
      </c>
    </row>
    <row r="325" spans="1:25" s="21" customFormat="1" ht="20.100000000000001" customHeight="1" x14ac:dyDescent="0.25">
      <c r="A325" s="38">
        <f t="shared" si="169"/>
        <v>1</v>
      </c>
      <c r="B325" s="38">
        <f t="shared" si="170"/>
        <v>0</v>
      </c>
      <c r="C325" s="21" t="s">
        <v>40</v>
      </c>
      <c r="G325" s="11"/>
      <c r="H325" s="11"/>
      <c r="I325" s="11"/>
    </row>
    <row r="326" spans="1:25" ht="20.100000000000001" customHeight="1" x14ac:dyDescent="0.25">
      <c r="A326" s="38">
        <f t="shared" si="169"/>
        <v>1</v>
      </c>
      <c r="B326" s="38">
        <f t="shared" si="170"/>
        <v>0</v>
      </c>
      <c r="C326" s="52" t="s">
        <v>1213</v>
      </c>
      <c r="D326" s="30">
        <v>2</v>
      </c>
      <c r="E326" s="30" t="str">
        <f>D$317&amp;"."&amp;D326</f>
        <v>H.2</v>
      </c>
      <c r="F326" s="30" t="s">
        <v>1173</v>
      </c>
      <c r="G326" t="s">
        <v>1176</v>
      </c>
      <c r="H326" t="s">
        <v>1537</v>
      </c>
      <c r="I326" t="s">
        <v>1537</v>
      </c>
      <c r="J326" s="30" t="str">
        <f>E326&amp;IF(D326="",""," ")&amp;G326</f>
        <v>H.2 Which of the following items did you consume in the past 14 days?</v>
      </c>
      <c r="K326" s="30" t="str">
        <f>E326&amp;IF(D326="",""," ")&amp;H326</f>
        <v>H.2 Quels des produits suivants avez-vous et votre ménage consommé les 14 jours passée?</v>
      </c>
      <c r="L326" s="30" t="str">
        <f>E326&amp;IF(E326="",""," ")&amp;I326</f>
        <v>H.2 Quels des produits suivants avez-vous et votre ménage consommé les 14 jours passée?</v>
      </c>
      <c r="M326" s="30"/>
      <c r="N326" s="30"/>
      <c r="O326" s="30" t="s">
        <v>1477</v>
      </c>
      <c r="P326" s="30" t="s">
        <v>1427</v>
      </c>
      <c r="Q326" s="30" t="s">
        <v>1427</v>
      </c>
      <c r="R326" s="30"/>
      <c r="S326" s="30"/>
      <c r="T326" s="7" t="s">
        <v>1471</v>
      </c>
      <c r="U326" s="30"/>
      <c r="V326" s="30"/>
      <c r="X326" s="30" t="s">
        <v>36</v>
      </c>
    </row>
    <row r="327" spans="1:25" s="36" customFormat="1" ht="20.100000000000001" customHeight="1" x14ac:dyDescent="0.25">
      <c r="A327" s="38">
        <f t="shared" si="169"/>
        <v>1</v>
      </c>
      <c r="B327" s="38">
        <f t="shared" si="170"/>
        <v>1</v>
      </c>
      <c r="C327" s="33" t="s">
        <v>244</v>
      </c>
      <c r="D327" s="33"/>
      <c r="E327" s="33"/>
      <c r="F327" s="33" t="str">
        <f>"rpt_"&amp;F326</f>
        <v>rpt_consume</v>
      </c>
      <c r="G327" s="32" t="s">
        <v>1174</v>
      </c>
      <c r="H327" s="32" t="s">
        <v>1175</v>
      </c>
      <c r="I327" s="32" t="s">
        <v>1175</v>
      </c>
      <c r="J327" s="30" t="str">
        <f>E327&amp;IF(D327="",""," ")&amp;G327</f>
        <v>Consumption</v>
      </c>
      <c r="K327" s="30" t="str">
        <f>E327&amp;IF(D327="",""," ")&amp;H327</f>
        <v>Consommation</v>
      </c>
      <c r="L327" s="30" t="str">
        <f>E327&amp;IF(E327="",""," ")&amp;I327</f>
        <v>Consommation</v>
      </c>
      <c r="M327" s="33"/>
      <c r="N327" s="33"/>
      <c r="O327" s="33"/>
      <c r="P327" s="33"/>
      <c r="Q327" s="33"/>
      <c r="R327" s="122" t="str">
        <f>"not(selected(${"&amp;F326&amp;"},'0')) and not(selected(${"&amp;F326&amp;"},'97'))  and not(selected(${"&amp;F326&amp;"},'98'))"</f>
        <v>not(selected(${consume},'0')) and not(selected(${consume},'97'))  and not(selected(${consume},'98'))</v>
      </c>
      <c r="S327" s="33"/>
      <c r="U327" s="33"/>
      <c r="V327" s="33"/>
      <c r="X327" s="33"/>
      <c r="Y327" s="36" t="str">
        <f>"count-selected(${"&amp;F326&amp;"})"</f>
        <v>count-selected(${consume})</v>
      </c>
    </row>
    <row r="328" spans="1:25" customFormat="1" ht="20.100000000000001" customHeight="1" x14ac:dyDescent="0.25">
      <c r="A328" s="38">
        <f t="shared" si="169"/>
        <v>1</v>
      </c>
      <c r="B328" s="38">
        <f t="shared" si="170"/>
        <v>1</v>
      </c>
      <c r="C328" t="s">
        <v>44</v>
      </c>
      <c r="F328" s="146" t="str">
        <f>"this_"&amp;F326</f>
        <v>this_consume</v>
      </c>
      <c r="M328" t="str">
        <f>"selected-at(${"&amp;F326&amp;"},if(position(..)-1&lt;0,0, position(..)-1))"</f>
        <v>selected-at(${consume},if(position(..)-1&lt;0,0, position(..)-1))</v>
      </c>
    </row>
    <row r="329" spans="1:25" customFormat="1" ht="20.100000000000001" customHeight="1" x14ac:dyDescent="0.25">
      <c r="A329" s="38">
        <f t="shared" si="169"/>
        <v>1</v>
      </c>
      <c r="B329" s="38">
        <f t="shared" si="170"/>
        <v>1</v>
      </c>
      <c r="C329" t="s">
        <v>44</v>
      </c>
      <c r="F329" t="str">
        <f>F328&amp;"_label"</f>
        <v>this_consume_label</v>
      </c>
      <c r="M329" t="str">
        <f>"jr:choice-name(${"&amp;F328&amp;"}, '${"&amp;F326&amp;"}')"</f>
        <v>jr:choice-name(${this_consume}, '${consume}')</v>
      </c>
    </row>
    <row r="330" spans="1:25" s="129" customFormat="1" ht="20.100000000000001" customHeight="1" x14ac:dyDescent="0.25">
      <c r="A330" s="38">
        <f t="shared" si="169"/>
        <v>1</v>
      </c>
      <c r="B330" s="38">
        <f t="shared" si="170"/>
        <v>1</v>
      </c>
      <c r="C330" s="127" t="s">
        <v>33</v>
      </c>
      <c r="D330" s="127">
        <v>1</v>
      </c>
      <c r="E330" s="127"/>
      <c r="F330" s="127" t="str">
        <f>F326&amp;"_note"</f>
        <v>consume_note</v>
      </c>
      <c r="G330" s="128" t="str">
        <f>"${"&amp;F329&amp;"}"</f>
        <v>${this_consume_label}</v>
      </c>
      <c r="H330" s="128" t="str">
        <f>"${"&amp;F329&amp;"}"</f>
        <v>${this_consume_label}</v>
      </c>
      <c r="I330" s="128" t="str">
        <f>"${"&amp;F329&amp;"}"</f>
        <v>${this_consume_label}</v>
      </c>
      <c r="J330" s="127" t="str">
        <f>E330&amp;IF(D330="",""," ")&amp;G330</f>
        <v xml:space="preserve"> ${this_consume_label}</v>
      </c>
      <c r="K330" s="127" t="str">
        <f>E330&amp;IF(D330="",""," ")&amp;H330</f>
        <v xml:space="preserve"> ${this_consume_label}</v>
      </c>
      <c r="L330" s="127" t="str">
        <f>E330&amp;IF(E330="",""," ")&amp;I330</f>
        <v>${this_consume_label}</v>
      </c>
      <c r="M330" s="127"/>
      <c r="N330" s="127"/>
      <c r="O330" s="127"/>
      <c r="P330" s="127"/>
      <c r="Q330" s="127"/>
      <c r="R330" s="127"/>
      <c r="S330" s="127"/>
      <c r="T330" s="127"/>
      <c r="U330" s="127"/>
      <c r="V330" s="127"/>
    </row>
    <row r="331" spans="1:25" customFormat="1" ht="20.100000000000001" customHeight="1" x14ac:dyDescent="0.25">
      <c r="A331" s="38">
        <f t="shared" si="169"/>
        <v>1</v>
      </c>
      <c r="B331" s="38">
        <f t="shared" si="170"/>
        <v>1</v>
      </c>
      <c r="C331" t="s">
        <v>148</v>
      </c>
      <c r="D331">
        <v>1</v>
      </c>
      <c r="E331" t="str">
        <f>E$326&amp;"."&amp;D331</f>
        <v>H.2.1</v>
      </c>
      <c r="F331" t="str">
        <f>F326&amp;"buy_yn"</f>
        <v>consumebuy_yn</v>
      </c>
      <c r="G331" t="str">
        <f>"When you consumed ${"&amp;F329&amp;"} the past 14 days, did you ever buy it?"</f>
        <v>When you consumed ${this_consume_label} the past 14 days, did you ever buy it?</v>
      </c>
      <c r="H331" s="133" t="str">
        <f>"Quand vous avez consommé ${"&amp;F329&amp;"} lors des 14 jours passées, avez-vous acheté ceci ?"</f>
        <v>Quand vous avez consommé ${this_consume_label} lors des 14 jours passées, avez-vous acheté ceci ?</v>
      </c>
      <c r="I331" s="133" t="str">
        <f>"Quand vous avez consommé ${"&amp;F329&amp;"} lors des 14 jours passées, avez-vous acheté ceci ?"</f>
        <v>Quand vous avez consommé ${this_consume_label} lors des 14 jours passées, avez-vous acheté ceci ?</v>
      </c>
      <c r="J331" s="7" t="str">
        <f t="shared" ref="J331:K339" si="172">D331&amp;IF(D331="",""," ")&amp;G331</f>
        <v>1 When you consumed ${this_consume_label} the past 14 days, did you ever buy it?</v>
      </c>
      <c r="K331" s="7" t="str">
        <f t="shared" si="172"/>
        <v>H.2.1 Quand vous avez consommé ${this_consume_label} lors des 14 jours passées, avez-vous acheté ceci ?</v>
      </c>
      <c r="L331" s="7" t="str">
        <f t="shared" ref="L331:L339" si="173">E331&amp;IF(E331="",""," ")&amp;I331</f>
        <v>H.2.1 Quand vous avez consommé ${this_consume_label} lors des 14 jours passées, avez-vous acheté ceci ?</v>
      </c>
      <c r="X331" t="s">
        <v>36</v>
      </c>
    </row>
    <row r="332" spans="1:25" customFormat="1" ht="20.100000000000001" customHeight="1" x14ac:dyDescent="0.25">
      <c r="A332" s="38">
        <f t="shared" si="169"/>
        <v>1</v>
      </c>
      <c r="B332" s="38">
        <f t="shared" si="170"/>
        <v>1</v>
      </c>
      <c r="C332" t="s">
        <v>35</v>
      </c>
      <c r="D332">
        <v>2</v>
      </c>
      <c r="E332" t="str">
        <f t="shared" ref="E332:E339" si="174">E$326&amp;"."&amp;D332</f>
        <v>H.2.2</v>
      </c>
      <c r="F332" t="str">
        <f>F326&amp;"buy_am"</f>
        <v>consumebuy_am</v>
      </c>
      <c r="G332" t="s">
        <v>1208</v>
      </c>
      <c r="H332" s="133" t="s">
        <v>1177</v>
      </c>
      <c r="I332" s="133" t="s">
        <v>1177</v>
      </c>
      <c r="J332" s="7" t="str">
        <f t="shared" si="172"/>
        <v>2 How much have you spent?</v>
      </c>
      <c r="K332" s="7" t="str">
        <f t="shared" si="172"/>
        <v>H.2.2 Combien avez-vous dépensé pour ceci ?</v>
      </c>
      <c r="L332" s="7" t="str">
        <f t="shared" si="173"/>
        <v>H.2.2 Combien avez-vous dépensé pour ceci ?</v>
      </c>
      <c r="O332" t="s">
        <v>2054</v>
      </c>
      <c r="P332" t="s">
        <v>2055</v>
      </c>
      <c r="Q332" t="s">
        <v>2055</v>
      </c>
      <c r="R332" t="str">
        <f>"${"&amp;F331&amp;"} ='1'"</f>
        <v>${consumebuy_yn} ='1'</v>
      </c>
      <c r="T332" t="s">
        <v>1494</v>
      </c>
      <c r="X332" t="s">
        <v>36</v>
      </c>
    </row>
    <row r="333" spans="1:25" customFormat="1" ht="20.100000000000001" customHeight="1" x14ac:dyDescent="0.25">
      <c r="A333" s="38">
        <f t="shared" si="169"/>
        <v>1</v>
      </c>
      <c r="B333" s="38">
        <f t="shared" si="170"/>
        <v>1</v>
      </c>
      <c r="C333" s="72" t="s">
        <v>265</v>
      </c>
      <c r="F333" t="str">
        <f>F332&amp;"_curr"</f>
        <v>consumebuy_am_curr</v>
      </c>
      <c r="G333" t="s">
        <v>262</v>
      </c>
      <c r="H333" t="s">
        <v>596</v>
      </c>
      <c r="I333" t="s">
        <v>596</v>
      </c>
      <c r="J333" s="30" t="str">
        <f t="shared" ref="J333" si="175">E333&amp;IF(D333="",""," ")&amp;G333</f>
        <v>Units</v>
      </c>
      <c r="K333" s="30" t="str">
        <f t="shared" ref="K333" si="176">E333&amp;IF(D333="",""," ")&amp;H333</f>
        <v>Unités</v>
      </c>
      <c r="L333" s="30" t="str">
        <f t="shared" si="173"/>
        <v>Unités</v>
      </c>
      <c r="O333" s="30"/>
      <c r="P333" s="30"/>
      <c r="Q333" s="30"/>
      <c r="R333" t="str">
        <f>"${"&amp;F332&amp;"}!=98 and ${"&amp;F331&amp;"} ='1'"</f>
        <v>${consumebuy_am}!=98 and ${consumebuy_yn} ='1'</v>
      </c>
      <c r="T333" s="38" t="str">
        <f>"not(.='2' and ${"&amp;F332&amp;"}&lt;100)"</f>
        <v>not(.='2' and ${consumebuy_am}&lt;100)</v>
      </c>
      <c r="X333" t="s">
        <v>36</v>
      </c>
    </row>
    <row r="334" spans="1:25" customFormat="1" ht="20.100000000000001" customHeight="1" x14ac:dyDescent="0.25">
      <c r="A334" s="38">
        <f t="shared" si="169"/>
        <v>1</v>
      </c>
      <c r="B334" s="38">
        <f t="shared" si="170"/>
        <v>1</v>
      </c>
      <c r="C334" t="s">
        <v>148</v>
      </c>
      <c r="D334">
        <v>3</v>
      </c>
      <c r="E334" t="str">
        <f t="shared" si="174"/>
        <v>H.2.3</v>
      </c>
      <c r="F334" t="str">
        <f>F326&amp;"stock_yn"</f>
        <v>consumestock_yn</v>
      </c>
      <c r="G334" t="s">
        <v>1209</v>
      </c>
      <c r="H334" s="133" t="s">
        <v>1178</v>
      </c>
      <c r="I334" s="133" t="s">
        <v>1178</v>
      </c>
      <c r="J334" s="7" t="str">
        <f t="shared" si="172"/>
        <v>3 Did you use own production or stock?</v>
      </c>
      <c r="K334" s="7" t="str">
        <f t="shared" si="172"/>
        <v xml:space="preserve">H.2.3 Avez-vous utilisé votre propre production ou votre stock pour la consommation de ceci ? </v>
      </c>
      <c r="L334" s="7" t="str">
        <f t="shared" si="173"/>
        <v xml:space="preserve">H.2.3 Avez-vous utilisé votre propre production ou votre stock pour la consommation de ceci ? </v>
      </c>
      <c r="X334" t="s">
        <v>36</v>
      </c>
    </row>
    <row r="335" spans="1:25" customFormat="1" ht="20.100000000000001" customHeight="1" x14ac:dyDescent="0.25">
      <c r="A335" s="38">
        <f t="shared" si="169"/>
        <v>1</v>
      </c>
      <c r="B335" s="38">
        <f t="shared" si="170"/>
        <v>1</v>
      </c>
      <c r="C335" t="s">
        <v>253</v>
      </c>
      <c r="D335">
        <v>4</v>
      </c>
      <c r="E335" t="str">
        <f t="shared" si="174"/>
        <v>H.2.4</v>
      </c>
      <c r="F335" t="str">
        <f>F326&amp;"stock_qt"</f>
        <v>consumestock_qt</v>
      </c>
      <c r="G335" t="s">
        <v>1210</v>
      </c>
      <c r="H335" s="133" t="s">
        <v>1538</v>
      </c>
      <c r="I335" s="133" t="s">
        <v>1538</v>
      </c>
      <c r="J335" s="7" t="str">
        <f t="shared" si="172"/>
        <v>4 How muh did you use from own stock?</v>
      </c>
      <c r="K335" s="7" t="str">
        <f t="shared" si="172"/>
        <v>H.2.4 Combien avez-vous utilisé de votre production/stock?</v>
      </c>
      <c r="L335" s="7" t="str">
        <f t="shared" si="173"/>
        <v>H.2.4 Combien avez-vous utilisé de votre production/stock?</v>
      </c>
      <c r="O335" t="s">
        <v>1180</v>
      </c>
      <c r="P335" t="s">
        <v>1181</v>
      </c>
      <c r="Q335" t="s">
        <v>1181</v>
      </c>
      <c r="R335" t="str">
        <f>"${"&amp;F334&amp;"}='1'"</f>
        <v>${consumestock_yn}='1'</v>
      </c>
      <c r="T335" t="s">
        <v>1494</v>
      </c>
      <c r="X335" t="s">
        <v>36</v>
      </c>
    </row>
    <row r="336" spans="1:25" customFormat="1" ht="20.100000000000001" customHeight="1" x14ac:dyDescent="0.25">
      <c r="A336" s="38">
        <f t="shared" si="169"/>
        <v>1</v>
      </c>
      <c r="B336" s="38">
        <f t="shared" si="170"/>
        <v>1</v>
      </c>
      <c r="C336" t="s">
        <v>270</v>
      </c>
      <c r="D336">
        <v>5</v>
      </c>
      <c r="E336" t="str">
        <f t="shared" si="174"/>
        <v>H.2.5</v>
      </c>
      <c r="F336" t="str">
        <f>F326&amp;"stock_un"</f>
        <v>consumestock_un</v>
      </c>
      <c r="G336" t="s">
        <v>262</v>
      </c>
      <c r="H336" s="133" t="s">
        <v>596</v>
      </c>
      <c r="I336" s="133" t="s">
        <v>596</v>
      </c>
      <c r="J336" s="7" t="str">
        <f t="shared" si="172"/>
        <v>5 Units</v>
      </c>
      <c r="K336" s="7" t="str">
        <f t="shared" si="172"/>
        <v>H.2.5 Unités</v>
      </c>
      <c r="L336" s="7" t="str">
        <f t="shared" si="173"/>
        <v>H.2.5 Unités</v>
      </c>
      <c r="R336" t="str">
        <f>"${"&amp;F334&amp;"}='1'"</f>
        <v>${consumestock_yn}='1'</v>
      </c>
      <c r="X336" t="s">
        <v>36</v>
      </c>
    </row>
    <row r="337" spans="1:25" customFormat="1" ht="20.100000000000001" customHeight="1" x14ac:dyDescent="0.25">
      <c r="A337" s="38">
        <f t="shared" si="169"/>
        <v>1</v>
      </c>
      <c r="B337" s="38">
        <f t="shared" si="170"/>
        <v>1</v>
      </c>
      <c r="C337" t="s">
        <v>148</v>
      </c>
      <c r="D337">
        <v>6</v>
      </c>
      <c r="E337" t="str">
        <f t="shared" si="174"/>
        <v>H.2.6</v>
      </c>
      <c r="F337" t="str">
        <f>F326&amp;"free_yn"</f>
        <v>consumefree_yn</v>
      </c>
      <c r="G337" t="s">
        <v>1211</v>
      </c>
      <c r="H337" s="133" t="s">
        <v>1179</v>
      </c>
      <c r="I337" s="133" t="s">
        <v>1179</v>
      </c>
      <c r="J337" s="7" t="str">
        <f t="shared" si="172"/>
        <v>6 Have you received any for free?</v>
      </c>
      <c r="K337" s="7" t="str">
        <f t="shared" si="172"/>
        <v xml:space="preserve">H.2.6 Avez-vous reçu une certaine quantité gratuitement? </v>
      </c>
      <c r="L337" s="7" t="str">
        <f t="shared" si="173"/>
        <v xml:space="preserve">H.2.6 Avez-vous reçu une certaine quantité gratuitement? </v>
      </c>
      <c r="T337" t="str">
        <f>"not(${"&amp;F331&amp;"}='0' and ${"&amp;F334&amp;"}='0' and . ='0')"</f>
        <v>not(${consumebuy_yn}='0' and ${consumestock_yn}='0' and . ='0')</v>
      </c>
      <c r="U337" t="s">
        <v>1539</v>
      </c>
      <c r="V337" t="s">
        <v>1540</v>
      </c>
      <c r="W337" t="s">
        <v>1540</v>
      </c>
      <c r="X337" t="s">
        <v>36</v>
      </c>
    </row>
    <row r="338" spans="1:25" customFormat="1" ht="20.100000000000001" customHeight="1" x14ac:dyDescent="0.25">
      <c r="A338" s="38">
        <f t="shared" si="169"/>
        <v>1</v>
      </c>
      <c r="B338" s="38">
        <f t="shared" si="170"/>
        <v>1</v>
      </c>
      <c r="C338" t="s">
        <v>253</v>
      </c>
      <c r="D338">
        <v>7</v>
      </c>
      <c r="E338" t="str">
        <f t="shared" si="174"/>
        <v>H.2.7</v>
      </c>
      <c r="F338" t="str">
        <f>F326&amp;"free_qt"</f>
        <v>consumefree_qt</v>
      </c>
      <c r="G338" t="s">
        <v>1212</v>
      </c>
      <c r="H338" s="133" t="s">
        <v>1541</v>
      </c>
      <c r="I338" s="133" t="s">
        <v>1541</v>
      </c>
      <c r="J338" s="7" t="str">
        <f t="shared" si="172"/>
        <v>7 How much did you receive for free?</v>
      </c>
      <c r="K338" s="7" t="str">
        <f t="shared" si="172"/>
        <v>H.2.7 Combien avez-vous reçu gratuitment?</v>
      </c>
      <c r="L338" s="7" t="str">
        <f t="shared" si="173"/>
        <v>H.2.7 Combien avez-vous reçu gratuitment?</v>
      </c>
      <c r="O338" t="s">
        <v>1180</v>
      </c>
      <c r="P338" t="s">
        <v>1181</v>
      </c>
      <c r="Q338" t="s">
        <v>1181</v>
      </c>
      <c r="R338" t="str">
        <f>"${"&amp;F337&amp;"}='1'"</f>
        <v>${consumefree_yn}='1'</v>
      </c>
      <c r="T338" t="s">
        <v>1494</v>
      </c>
      <c r="X338" t="s">
        <v>36</v>
      </c>
    </row>
    <row r="339" spans="1:25" customFormat="1" ht="20.100000000000001" customHeight="1" x14ac:dyDescent="0.25">
      <c r="A339" s="38">
        <f t="shared" si="169"/>
        <v>1</v>
      </c>
      <c r="B339" s="38">
        <f t="shared" si="170"/>
        <v>1</v>
      </c>
      <c r="C339" t="s">
        <v>270</v>
      </c>
      <c r="D339">
        <v>8</v>
      </c>
      <c r="E339" t="str">
        <f t="shared" si="174"/>
        <v>H.2.8</v>
      </c>
      <c r="F339" t="str">
        <f>F326&amp;"free_un"</f>
        <v>consumefree_un</v>
      </c>
      <c r="G339" t="s">
        <v>262</v>
      </c>
      <c r="H339" s="133" t="s">
        <v>596</v>
      </c>
      <c r="I339" s="133" t="s">
        <v>596</v>
      </c>
      <c r="J339" s="7" t="str">
        <f t="shared" si="172"/>
        <v>8 Units</v>
      </c>
      <c r="K339" s="7" t="str">
        <f t="shared" si="172"/>
        <v>H.2.8 Unités</v>
      </c>
      <c r="L339" s="7" t="str">
        <f t="shared" si="173"/>
        <v>H.2.8 Unités</v>
      </c>
      <c r="R339" t="str">
        <f>"${"&amp;F337&amp;"}='1'"</f>
        <v>${consumefree_yn}='1'</v>
      </c>
      <c r="X339" t="s">
        <v>36</v>
      </c>
    </row>
    <row r="340" spans="1:25" s="147" customFormat="1" ht="20.100000000000001" customHeight="1" x14ac:dyDescent="0.25">
      <c r="A340" s="38">
        <f t="shared" si="169"/>
        <v>1</v>
      </c>
      <c r="B340" s="38">
        <f t="shared" si="170"/>
        <v>0</v>
      </c>
      <c r="C340" s="147" t="s">
        <v>287</v>
      </c>
    </row>
    <row r="341" spans="1:25" s="137" customFormat="1" ht="20.100000000000001" customHeight="1" x14ac:dyDescent="0.25">
      <c r="A341" s="38">
        <f t="shared" si="169"/>
        <v>2</v>
      </c>
      <c r="B341" s="38">
        <f t="shared" si="170"/>
        <v>0</v>
      </c>
      <c r="C341" s="137" t="s">
        <v>32</v>
      </c>
      <c r="D341" s="137" t="s">
        <v>788</v>
      </c>
      <c r="F341" s="137" t="s">
        <v>1260</v>
      </c>
      <c r="G341" s="137" t="s">
        <v>1261</v>
      </c>
      <c r="H341" s="137" t="s">
        <v>1262</v>
      </c>
      <c r="I341" s="137" t="s">
        <v>1262</v>
      </c>
      <c r="J341" s="17" t="str">
        <f t="shared" ref="J341:K346" si="177">D341&amp;IF(D341="",""," ")&amp;G341</f>
        <v>I Security</v>
      </c>
      <c r="K341" s="17" t="str">
        <f t="shared" si="177"/>
        <v>Sécurité</v>
      </c>
      <c r="L341" s="17" t="str">
        <f t="shared" ref="L341:L345" si="178">E341&amp;IF(E341="",""," ")&amp;I341</f>
        <v>Sécurité</v>
      </c>
    </row>
    <row r="342" spans="1:25" customFormat="1" ht="20.100000000000001" customHeight="1" x14ac:dyDescent="0.25">
      <c r="A342" s="38">
        <f t="shared" si="169"/>
        <v>2</v>
      </c>
      <c r="B342" s="38">
        <f t="shared" si="170"/>
        <v>0</v>
      </c>
      <c r="C342" t="s">
        <v>33</v>
      </c>
      <c r="D342">
        <v>1</v>
      </c>
      <c r="E342" s="45" t="str">
        <f>D$341&amp;"."&amp;D342</f>
        <v>I.1</v>
      </c>
      <c r="F342" t="s">
        <v>1576</v>
      </c>
      <c r="G342" s="13" t="s">
        <v>1575</v>
      </c>
      <c r="H342" t="s">
        <v>1574</v>
      </c>
      <c r="I342" t="s">
        <v>1574</v>
      </c>
      <c r="J342" s="7" t="str">
        <f t="shared" si="177"/>
        <v>1 Now, I would like to ask some quesitons about the security in your community.</v>
      </c>
      <c r="K342" s="7" t="str">
        <f t="shared" si="177"/>
        <v>I.1 Maintenant, je veux vous poser des questions sur la securtié dans votre village.</v>
      </c>
      <c r="L342" s="7" t="str">
        <f t="shared" si="178"/>
        <v>I.1 Maintenant, je veux vous poser des questions sur la securtié dans votre village.</v>
      </c>
    </row>
    <row r="343" spans="1:25" customFormat="1" ht="20.100000000000001" customHeight="1" x14ac:dyDescent="0.25">
      <c r="A343" s="38">
        <f t="shared" si="169"/>
        <v>2</v>
      </c>
      <c r="B343" s="38">
        <f t="shared" si="170"/>
        <v>0</v>
      </c>
      <c r="C343" t="s">
        <v>1235</v>
      </c>
      <c r="D343">
        <v>2</v>
      </c>
      <c r="E343" s="45" t="str">
        <f t="shared" ref="E343:E345" si="179">D$341&amp;"."&amp;D343</f>
        <v>I.2</v>
      </c>
      <c r="F343" t="s">
        <v>1263</v>
      </c>
      <c r="G343" t="s">
        <v>1256</v>
      </c>
      <c r="H343" t="s">
        <v>1251</v>
      </c>
      <c r="I343" t="s">
        <v>1251</v>
      </c>
      <c r="J343" s="7" t="str">
        <f t="shared" si="177"/>
        <v>2 In the course of the past three month, have you gone out at night in your village?</v>
      </c>
      <c r="K343" s="7" t="str">
        <f t="shared" si="177"/>
        <v>I.2 Au cours des trois mois passées, etes-vous sorti seul le soir ou la nuit dans votre village?</v>
      </c>
      <c r="L343" s="7" t="str">
        <f t="shared" si="178"/>
        <v>I.2 Au cours des trois mois passées, etes-vous sorti seul le soir ou la nuit dans votre village?</v>
      </c>
      <c r="X343" t="s">
        <v>36</v>
      </c>
    </row>
    <row r="344" spans="1:25" customFormat="1" ht="20.100000000000001" customHeight="1" x14ac:dyDescent="0.25">
      <c r="A344" s="38">
        <f t="shared" si="169"/>
        <v>2</v>
      </c>
      <c r="B344" s="38">
        <f t="shared" si="170"/>
        <v>0</v>
      </c>
      <c r="C344" t="s">
        <v>1235</v>
      </c>
      <c r="D344">
        <v>3</v>
      </c>
      <c r="E344" s="45" t="str">
        <f t="shared" si="179"/>
        <v>I.3</v>
      </c>
      <c r="F344" t="s">
        <v>1264</v>
      </c>
      <c r="G344" t="s">
        <v>1257</v>
      </c>
      <c r="H344" t="s">
        <v>1252</v>
      </c>
      <c r="I344" t="s">
        <v>1252</v>
      </c>
      <c r="J344" s="7" t="str">
        <f t="shared" si="177"/>
        <v>3 In the course of the past three month, have you gone out at night outside your village?</v>
      </c>
      <c r="K344" s="7" t="str">
        <f t="shared" si="177"/>
        <v>I.3 Au cours des trois mois passées, etes-vous sorti seul le soir ou la nuit en dehors de votre village?</v>
      </c>
      <c r="L344" s="7" t="str">
        <f t="shared" si="178"/>
        <v>I.3 Au cours des trois mois passées, etes-vous sorti seul le soir ou la nuit en dehors de votre village?</v>
      </c>
      <c r="X344" t="s">
        <v>36</v>
      </c>
    </row>
    <row r="345" spans="1:25" customFormat="1" ht="20.100000000000001" customHeight="1" x14ac:dyDescent="0.25">
      <c r="A345" s="38">
        <f t="shared" si="169"/>
        <v>2</v>
      </c>
      <c r="B345" s="38">
        <f t="shared" si="170"/>
        <v>0</v>
      </c>
      <c r="C345" t="s">
        <v>1235</v>
      </c>
      <c r="D345">
        <v>4</v>
      </c>
      <c r="E345" s="45" t="str">
        <f t="shared" si="179"/>
        <v>I.4</v>
      </c>
      <c r="F345" t="s">
        <v>1265</v>
      </c>
      <c r="G345" t="s">
        <v>1258</v>
      </c>
      <c r="H345" t="s">
        <v>1253</v>
      </c>
      <c r="I345" t="s">
        <v>1253</v>
      </c>
      <c r="J345" s="7" t="str">
        <f t="shared" si="177"/>
        <v>4 In the course of the past three month, have your children gone out at night in your village?</v>
      </c>
      <c r="K345" s="7" t="str">
        <f t="shared" si="177"/>
        <v>I.4 Au cours des trois mois passées, est-ce que vos enfants sont sortis le soir ou la nuit?</v>
      </c>
      <c r="L345" s="7" t="str">
        <f t="shared" si="178"/>
        <v>I.4 Au cours des trois mois passées, est-ce que vos enfants sont sortis le soir ou la nuit?</v>
      </c>
      <c r="O345" s="133" t="s">
        <v>1254</v>
      </c>
      <c r="P345" s="133" t="s">
        <v>1255</v>
      </c>
      <c r="Q345" s="133" t="s">
        <v>1255</v>
      </c>
      <c r="X345" t="s">
        <v>36</v>
      </c>
    </row>
    <row r="346" spans="1:25" ht="20.100000000000001" customHeight="1" x14ac:dyDescent="0.25">
      <c r="A346" s="38">
        <f t="shared" si="169"/>
        <v>2</v>
      </c>
      <c r="B346" s="38">
        <f t="shared" si="170"/>
        <v>0</v>
      </c>
      <c r="C346" s="52" t="s">
        <v>1542</v>
      </c>
      <c r="D346" s="30">
        <v>5</v>
      </c>
      <c r="E346" s="45" t="str">
        <f>D$341&amp;"."&amp;D346</f>
        <v>I.5</v>
      </c>
      <c r="F346" s="30" t="s">
        <v>1259</v>
      </c>
      <c r="G346" s="13" t="s">
        <v>1543</v>
      </c>
      <c r="H346" t="s">
        <v>1544</v>
      </c>
      <c r="I346" t="s">
        <v>1545</v>
      </c>
      <c r="J346" s="30" t="str">
        <f>E346&amp;IF(D346="",""," ")&amp;H346</f>
        <v>I.5 Je vais lire un liste des incidents. Je voulais savoir si quelqu'un de votre communauté a fait face avec ces incidents. Pendant les derniers 12 mois, est-ce que quelqu'un dans votre village a ete...</v>
      </c>
      <c r="K346" s="7" t="str">
        <f t="shared" si="177"/>
        <v>I.5 Je vais lire un liste des incidents. Je voulais savoir si quelqu'un de votre communauté a fait face avec ces incidents. Pendant les derniers 12 mois, est-ce que quelqu'un dans votre village a ete...</v>
      </c>
      <c r="L346" s="30" t="str">
        <f>E346&amp;IF(E346="",""," ")&amp;I346</f>
        <v>I.5 Je vais lire un liste des incidents. Je voulais savoir si quelqu'un de votre communauté a fait face avec ces incidents?</v>
      </c>
      <c r="M346" s="30"/>
      <c r="N346" s="30"/>
      <c r="O346" s="30" t="s">
        <v>1477</v>
      </c>
      <c r="P346" s="30" t="s">
        <v>1427</v>
      </c>
      <c r="Q346" s="30" t="s">
        <v>1427</v>
      </c>
      <c r="R346" s="30"/>
      <c r="S346" s="30"/>
      <c r="T346" s="7" t="s">
        <v>1471</v>
      </c>
      <c r="U346" s="30"/>
      <c r="V346" s="30"/>
      <c r="X346" s="30" t="s">
        <v>36</v>
      </c>
    </row>
    <row r="347" spans="1:25" s="36" customFormat="1" ht="20.100000000000001" customHeight="1" x14ac:dyDescent="0.25">
      <c r="A347" s="38">
        <f t="shared" si="169"/>
        <v>2</v>
      </c>
      <c r="B347" s="38">
        <f t="shared" si="170"/>
        <v>1</v>
      </c>
      <c r="C347" s="33" t="s">
        <v>244</v>
      </c>
      <c r="D347" s="33"/>
      <c r="E347" s="33"/>
      <c r="F347" s="33" t="str">
        <f>"rpt_"&amp;F346</f>
        <v>rpt_incident</v>
      </c>
      <c r="G347" s="32" t="s">
        <v>1546</v>
      </c>
      <c r="H347" s="32" t="s">
        <v>1546</v>
      </c>
      <c r="I347" s="32" t="s">
        <v>1546</v>
      </c>
      <c r="J347" s="30" t="str">
        <f>E347&amp;IF(D347="",""," ")&amp;G347</f>
        <v>Incidents</v>
      </c>
      <c r="K347" s="30" t="str">
        <f>E347&amp;IF(D347="",""," ")&amp;H347</f>
        <v>Incidents</v>
      </c>
      <c r="L347" s="30" t="str">
        <f>E347&amp;IF(E347="",""," ")&amp;I347</f>
        <v>Incidents</v>
      </c>
      <c r="M347" s="33"/>
      <c r="N347" s="33"/>
      <c r="O347" s="33"/>
      <c r="P347" s="33"/>
      <c r="Q347" s="33"/>
      <c r="R347" s="122" t="str">
        <f>"not(selected(${"&amp;F346&amp;"},'0')) and not(selected(${"&amp;F346&amp;"},'97'))  and not(selected(${"&amp;F346&amp;"},'98'))"</f>
        <v>not(selected(${incident},'0')) and not(selected(${incident},'97'))  and not(selected(${incident},'98'))</v>
      </c>
      <c r="S347" s="33"/>
      <c r="U347" s="33"/>
      <c r="V347" s="33"/>
      <c r="X347" s="33"/>
      <c r="Y347" s="36" t="str">
        <f>"count-selected(${"&amp;F346&amp;"})"</f>
        <v>count-selected(${incident})</v>
      </c>
    </row>
    <row r="348" spans="1:25" customFormat="1" ht="20.100000000000001" customHeight="1" x14ac:dyDescent="0.25">
      <c r="A348" s="38">
        <f t="shared" si="169"/>
        <v>2</v>
      </c>
      <c r="B348" s="38">
        <f t="shared" si="170"/>
        <v>1</v>
      </c>
      <c r="C348" t="s">
        <v>44</v>
      </c>
      <c r="F348" s="146" t="str">
        <f>"this_"&amp;F346</f>
        <v>this_incident</v>
      </c>
      <c r="M348" t="str">
        <f>"selected-at(${"&amp;F346&amp;"},if(position(..)-1&lt;0,0, position(..)-1))"</f>
        <v>selected-at(${incident},if(position(..)-1&lt;0,0, position(..)-1))</v>
      </c>
    </row>
    <row r="349" spans="1:25" customFormat="1" ht="20.100000000000001" customHeight="1" x14ac:dyDescent="0.25">
      <c r="A349" s="38">
        <f t="shared" si="169"/>
        <v>2</v>
      </c>
      <c r="B349" s="38">
        <f t="shared" si="170"/>
        <v>1</v>
      </c>
      <c r="C349" t="s">
        <v>44</v>
      </c>
      <c r="F349" t="str">
        <f>F348&amp;"_label"</f>
        <v>this_incident_label</v>
      </c>
      <c r="M349" t="str">
        <f>"jr:choice-name(${"&amp;F348&amp;"}, '${"&amp;F346&amp;"}')"</f>
        <v>jr:choice-name(${this_incident}, '${incident}')</v>
      </c>
    </row>
    <row r="350" spans="1:25" s="129" customFormat="1" ht="20.100000000000001" customHeight="1" x14ac:dyDescent="0.25">
      <c r="A350" s="38">
        <f t="shared" si="169"/>
        <v>2</v>
      </c>
      <c r="B350" s="38">
        <f t="shared" si="170"/>
        <v>1</v>
      </c>
      <c r="C350" s="127" t="s">
        <v>33</v>
      </c>
      <c r="D350" s="127">
        <v>1</v>
      </c>
      <c r="E350" s="127"/>
      <c r="F350" s="127" t="str">
        <f>F346&amp;"_note"</f>
        <v>incident_note</v>
      </c>
      <c r="G350" s="128" t="str">
        <f>"${"&amp;F349&amp;"}"</f>
        <v>${this_incident_label}</v>
      </c>
      <c r="H350" s="128" t="str">
        <f>"${"&amp;F349&amp;"}"</f>
        <v>${this_incident_label}</v>
      </c>
      <c r="I350" s="128" t="str">
        <f>"${"&amp;F349&amp;"}"</f>
        <v>${this_incident_label}</v>
      </c>
      <c r="J350" s="127" t="str">
        <f>E350&amp;IF(D350="",""," ")&amp;G350</f>
        <v xml:space="preserve"> ${this_incident_label}</v>
      </c>
      <c r="K350" s="127" t="str">
        <f>E350&amp;IF(D350="",""," ")&amp;H350</f>
        <v xml:space="preserve"> ${this_incident_label}</v>
      </c>
      <c r="L350" s="127" t="str">
        <f>E350&amp;IF(E350="",""," ")&amp;I350</f>
        <v>${this_incident_label}</v>
      </c>
      <c r="M350" s="127"/>
      <c r="N350" s="127"/>
      <c r="O350" s="127"/>
      <c r="P350" s="127"/>
      <c r="Q350" s="127"/>
      <c r="R350" s="127"/>
      <c r="S350" s="127"/>
      <c r="T350" s="127"/>
      <c r="U350" s="127"/>
      <c r="V350" s="127"/>
    </row>
    <row r="351" spans="1:25" customFormat="1" ht="20.100000000000001" customHeight="1" x14ac:dyDescent="0.25">
      <c r="A351" s="38">
        <f t="shared" si="169"/>
        <v>2</v>
      </c>
      <c r="B351" s="38">
        <f t="shared" si="170"/>
        <v>1</v>
      </c>
      <c r="C351" t="s">
        <v>1547</v>
      </c>
      <c r="D351">
        <v>1</v>
      </c>
      <c r="E351" t="str">
        <f>E$346&amp;"."&amp;D351</f>
        <v>I.5.1</v>
      </c>
      <c r="F351" t="str">
        <f>F346&amp;"_times"</f>
        <v>incident_times</v>
      </c>
      <c r="G351" t="s">
        <v>1548</v>
      </c>
      <c r="H351" s="134" t="s">
        <v>1549</v>
      </c>
      <c r="I351" s="134" t="s">
        <v>1549</v>
      </c>
      <c r="J351" s="7" t="str">
        <f>D351&amp;IF(D351="",""," ")&amp;G351</f>
        <v>1 Over the course of the past 12 months how often did this happen to someone in your community?</v>
      </c>
      <c r="K351" s="7" t="str">
        <f>E351&amp;IF(E351="",""," ")&amp;H351</f>
        <v>I.5.1 Pendant les 12 mois passés, combien de fois quelqu'un dans la communauté a fait face avec cá?</v>
      </c>
      <c r="L351" s="7" t="str">
        <f>E351&amp;IF(E351="",""," ")&amp;I351</f>
        <v>I.5.1 Pendant les 12 mois passés, combien de fois quelqu'un dans la communauté a fait face avec cá?</v>
      </c>
      <c r="X351" t="s">
        <v>36</v>
      </c>
    </row>
    <row r="352" spans="1:25" customFormat="1" ht="20.100000000000001" customHeight="1" x14ac:dyDescent="0.25">
      <c r="A352" s="38">
        <f t="shared" si="169"/>
        <v>2</v>
      </c>
      <c r="B352" s="38">
        <f t="shared" si="170"/>
        <v>1</v>
      </c>
      <c r="C352" t="s">
        <v>83</v>
      </c>
      <c r="D352">
        <v>2</v>
      </c>
      <c r="E352" t="str">
        <f t="shared" ref="E352:E354" si="180">E$346&amp;"."&amp;D352</f>
        <v>I.5.2</v>
      </c>
      <c r="F352" t="str">
        <f>F346&amp;"_resolve"</f>
        <v>incident_resolve</v>
      </c>
      <c r="G352" t="s">
        <v>1266</v>
      </c>
      <c r="H352" s="134" t="s">
        <v>1279</v>
      </c>
      <c r="I352" s="134" t="s">
        <v>1279</v>
      </c>
      <c r="J352" s="7" t="str">
        <f t="shared" ref="J352:K354" si="181">D352&amp;IF(D352="",""," ")&amp;G352</f>
        <v>2 How many of these are resolved?</v>
      </c>
      <c r="K352" s="7" t="str">
        <f t="shared" si="181"/>
        <v>I.5.2 Combien des ces cas ont été resolu?</v>
      </c>
      <c r="L352" s="7" t="str">
        <f t="shared" ref="L352:L354" si="182">E352&amp;IF(E352="",""," ")&amp;I352</f>
        <v>I.5.2 Combien des ces cas ont été resolu?</v>
      </c>
      <c r="R352" t="str">
        <f>"${"&amp;F351&amp;"}!='1'"</f>
        <v>${incident_times}!='1'</v>
      </c>
      <c r="X352" t="s">
        <v>36</v>
      </c>
    </row>
    <row r="353" spans="1:24" customFormat="1" ht="20.100000000000001" customHeight="1" x14ac:dyDescent="0.25">
      <c r="A353" s="38">
        <f t="shared" si="169"/>
        <v>2</v>
      </c>
      <c r="B353" s="38">
        <f t="shared" si="170"/>
        <v>1</v>
      </c>
      <c r="C353" t="s">
        <v>1267</v>
      </c>
      <c r="D353">
        <v>3</v>
      </c>
      <c r="E353" t="str">
        <f t="shared" si="180"/>
        <v>I.5.3</v>
      </c>
      <c r="F353" t="str">
        <f>F346&amp;"_arbit"</f>
        <v>incident_arbit</v>
      </c>
      <c r="G353" t="s">
        <v>1278</v>
      </c>
      <c r="H353" s="134" t="s">
        <v>1550</v>
      </c>
      <c r="I353" s="134" t="s">
        <v>1550</v>
      </c>
      <c r="J353" s="7" t="str">
        <f t="shared" si="181"/>
        <v>3 How are these conflicts generally resolved?</v>
      </c>
      <c r="K353" s="7" t="str">
        <f t="shared" si="181"/>
        <v>I.5.3 Generalement, qui intervient pour résoudre ce type de conflits?</v>
      </c>
      <c r="L353" s="7" t="str">
        <f t="shared" si="182"/>
        <v>I.5.3 Generalement, qui intervient pour résoudre ce type de conflits?</v>
      </c>
      <c r="O353" t="s">
        <v>1551</v>
      </c>
      <c r="P353" t="s">
        <v>1552</v>
      </c>
      <c r="Q353" t="s">
        <v>1552</v>
      </c>
      <c r="R353" t="str">
        <f>"${"&amp;F352&amp;"}!='0'"</f>
        <v>${incident_resolve}!='0'</v>
      </c>
      <c r="X353" t="s">
        <v>36</v>
      </c>
    </row>
    <row r="354" spans="1:24" customFormat="1" ht="20.100000000000001" customHeight="1" x14ac:dyDescent="0.25">
      <c r="A354" s="38">
        <f t="shared" si="169"/>
        <v>2</v>
      </c>
      <c r="B354" s="38">
        <f t="shared" si="170"/>
        <v>1</v>
      </c>
      <c r="C354" t="s">
        <v>34</v>
      </c>
      <c r="D354">
        <v>4</v>
      </c>
      <c r="E354" t="str">
        <f t="shared" si="180"/>
        <v>I.5.4</v>
      </c>
      <c r="F354" t="str">
        <f>F353&amp;"_oth"</f>
        <v>incident_arbit_oth</v>
      </c>
      <c r="G354" t="s">
        <v>261</v>
      </c>
      <c r="H354" s="134" t="s">
        <v>1280</v>
      </c>
      <c r="I354" s="134" t="s">
        <v>1280</v>
      </c>
      <c r="J354" s="7" t="str">
        <f t="shared" si="181"/>
        <v>4 Specify other</v>
      </c>
      <c r="K354" s="7" t="str">
        <f t="shared" si="181"/>
        <v>I.5.4 Specifiez autre</v>
      </c>
      <c r="L354" s="7" t="str">
        <f t="shared" si="182"/>
        <v>I.5.4 Specifiez autre</v>
      </c>
      <c r="R354" t="str">
        <f>"${"&amp;F353&amp;"}='96'"</f>
        <v>${incident_arbit}='96'</v>
      </c>
      <c r="X354" t="s">
        <v>36</v>
      </c>
    </row>
    <row r="355" spans="1:24" s="147" customFormat="1" ht="20.100000000000001" customHeight="1" x14ac:dyDescent="0.25">
      <c r="A355" s="38">
        <f t="shared" si="169"/>
        <v>2</v>
      </c>
      <c r="B355" s="38">
        <f t="shared" si="170"/>
        <v>0</v>
      </c>
      <c r="C355" s="147" t="s">
        <v>287</v>
      </c>
    </row>
    <row r="356" spans="1:24" s="21" customFormat="1" ht="20.100000000000001" customHeight="1" x14ac:dyDescent="0.25">
      <c r="A356" s="38">
        <f t="shared" si="169"/>
        <v>1</v>
      </c>
      <c r="B356" s="38">
        <f t="shared" si="170"/>
        <v>0</v>
      </c>
      <c r="C356" s="21" t="s">
        <v>40</v>
      </c>
      <c r="G356" s="11"/>
      <c r="H356" s="11"/>
      <c r="I356" s="11"/>
    </row>
    <row r="357" spans="1:24" s="137" customFormat="1" ht="20.100000000000001" customHeight="1" x14ac:dyDescent="0.25">
      <c r="A357" s="38">
        <f t="shared" si="169"/>
        <v>2</v>
      </c>
      <c r="B357" s="38">
        <f t="shared" si="170"/>
        <v>0</v>
      </c>
      <c r="C357" s="137" t="s">
        <v>32</v>
      </c>
      <c r="D357" s="137" t="s">
        <v>1579</v>
      </c>
      <c r="F357" s="137" t="s">
        <v>1580</v>
      </c>
      <c r="G357" s="137" t="s">
        <v>1577</v>
      </c>
      <c r="H357" s="137" t="s">
        <v>1578</v>
      </c>
      <c r="I357" s="137" t="s">
        <v>1578</v>
      </c>
      <c r="J357" s="17" t="str">
        <f t="shared" ref="J357:K369" si="183">D357&amp;IF(D357="",""," ")&amp;G357</f>
        <v>J Governance</v>
      </c>
      <c r="K357" s="17" t="str">
        <f t="shared" si="183"/>
        <v>Gouvernance</v>
      </c>
      <c r="L357" s="17" t="str">
        <f t="shared" ref="L357:L369" si="184">E357&amp;IF(E357="",""," ")&amp;I357</f>
        <v>Gouvernance</v>
      </c>
    </row>
    <row r="358" spans="1:24" customFormat="1" ht="20.100000000000001" customHeight="1" x14ac:dyDescent="0.25">
      <c r="A358" s="38">
        <f t="shared" si="169"/>
        <v>2</v>
      </c>
      <c r="B358" s="38">
        <f t="shared" si="170"/>
        <v>0</v>
      </c>
      <c r="C358" t="s">
        <v>33</v>
      </c>
      <c r="F358" t="s">
        <v>1581</v>
      </c>
      <c r="G358" t="s">
        <v>1582</v>
      </c>
      <c r="H358" t="s">
        <v>1583</v>
      </c>
      <c r="I358" t="s">
        <v>1583</v>
      </c>
      <c r="J358" s="7" t="str">
        <f t="shared" ref="J358" si="185">D358&amp;IF(D358="",""," ")&amp;G358</f>
        <v>Now I will ask some questions about the governance in your village</v>
      </c>
      <c r="K358" s="7" t="str">
        <f t="shared" ref="K358" si="186">E358&amp;IF(E358="",""," ")&amp;H358</f>
        <v>Maintenant, j'ai des questions sur la gouvernance dans votre village</v>
      </c>
      <c r="L358" s="7" t="str">
        <f t="shared" ref="L358" si="187">E358&amp;IF(E358="",""," ")&amp;I358</f>
        <v>Maintenant, j'ai des questions sur la gouvernance dans votre village</v>
      </c>
    </row>
    <row r="359" spans="1:24" customFormat="1" ht="20.100000000000001" customHeight="1" x14ac:dyDescent="0.25">
      <c r="A359" s="38">
        <f t="shared" si="169"/>
        <v>2</v>
      </c>
      <c r="B359" s="38">
        <f t="shared" si="170"/>
        <v>0</v>
      </c>
      <c r="C359" t="s">
        <v>148</v>
      </c>
      <c r="D359">
        <v>1</v>
      </c>
      <c r="E359" s="45" t="str">
        <f>D$357&amp;"."&amp;D359</f>
        <v>J.1</v>
      </c>
      <c r="F359" t="s">
        <v>1284</v>
      </c>
      <c r="G359" t="s">
        <v>1306</v>
      </c>
      <c r="H359" s="133" t="s">
        <v>1281</v>
      </c>
      <c r="I359" s="133" t="s">
        <v>1281</v>
      </c>
      <c r="J359" s="7" t="str">
        <f t="shared" si="183"/>
        <v>1 Over the course of the past 12 month, have you met with members of your community to discuss the problems that you face?</v>
      </c>
      <c r="K359" s="7" t="str">
        <f t="shared" si="183"/>
        <v>J.1 Au cours des 12 mois passés, est-ce que vous vous êtes mis ensemble avec d’autres membres de la communauté pour adresser un problème quelconque ?</v>
      </c>
      <c r="L359" s="7" t="str">
        <f t="shared" si="184"/>
        <v>J.1 Au cours des 12 mois passés, est-ce que vous vous êtes mis ensemble avec d’autres membres de la communauté pour adresser un problème quelconque ?</v>
      </c>
      <c r="X359" t="s">
        <v>36</v>
      </c>
    </row>
    <row r="360" spans="1:24" customFormat="1" ht="20.100000000000001" customHeight="1" x14ac:dyDescent="0.25">
      <c r="A360" s="38">
        <f t="shared" si="169"/>
        <v>2</v>
      </c>
      <c r="B360" s="38">
        <f t="shared" si="170"/>
        <v>0</v>
      </c>
      <c r="C360" t="s">
        <v>35</v>
      </c>
      <c r="D360">
        <v>2</v>
      </c>
      <c r="E360" s="45" t="str">
        <f t="shared" ref="E360:E371" si="188">D$357&amp;"."&amp;D360</f>
        <v>J.2</v>
      </c>
      <c r="F360" t="str">
        <f>F359&amp;"_times"</f>
        <v>talk_comm_times</v>
      </c>
      <c r="G360" t="s">
        <v>1305</v>
      </c>
      <c r="H360" s="133" t="s">
        <v>1287</v>
      </c>
      <c r="I360" s="133" t="s">
        <v>1287</v>
      </c>
      <c r="J360" s="7" t="str">
        <f t="shared" si="183"/>
        <v>2 How often?</v>
      </c>
      <c r="K360" s="7" t="str">
        <f t="shared" si="183"/>
        <v>J.2 Combien de fois</v>
      </c>
      <c r="L360" s="7" t="str">
        <f t="shared" si="184"/>
        <v>J.2 Combien de fois</v>
      </c>
      <c r="R360" t="str">
        <f>" ${"&amp;F359&amp;"}='1' "</f>
        <v xml:space="preserve"> ${talk_comm}='1' </v>
      </c>
      <c r="T360" t="s">
        <v>1484</v>
      </c>
      <c r="X360" t="s">
        <v>36</v>
      </c>
    </row>
    <row r="361" spans="1:24" customFormat="1" ht="20.100000000000001" customHeight="1" x14ac:dyDescent="0.25">
      <c r="A361" s="38">
        <f t="shared" si="169"/>
        <v>2</v>
      </c>
      <c r="B361" s="38">
        <f t="shared" si="170"/>
        <v>0</v>
      </c>
      <c r="C361" t="s">
        <v>1310</v>
      </c>
      <c r="D361">
        <v>3</v>
      </c>
      <c r="E361" s="45" t="str">
        <f t="shared" si="188"/>
        <v>J.3</v>
      </c>
      <c r="F361" t="str">
        <f>F359&amp;"_topics"</f>
        <v>talk_comm_topics</v>
      </c>
      <c r="G361" t="s">
        <v>1309</v>
      </c>
      <c r="H361" s="134" t="s">
        <v>1288</v>
      </c>
      <c r="I361" s="134" t="s">
        <v>1288</v>
      </c>
      <c r="J361" s="7" t="str">
        <f t="shared" si="183"/>
        <v>3 Which topics did you discuss?</v>
      </c>
      <c r="K361" s="7" t="str">
        <f t="shared" si="183"/>
        <v>J.3 Sur quel(s) sujet(s) ?</v>
      </c>
      <c r="L361" s="7" t="str">
        <f t="shared" si="184"/>
        <v>J.3 Sur quel(s) sujet(s) ?</v>
      </c>
      <c r="R361" t="str">
        <f>" ${"&amp;F359&amp;"}='1'"</f>
        <v xml:space="preserve"> ${talk_comm}='1'</v>
      </c>
      <c r="X361" t="s">
        <v>36</v>
      </c>
    </row>
    <row r="362" spans="1:24" ht="20.100000000000001" customHeight="1" x14ac:dyDescent="0.25">
      <c r="A362" s="38">
        <f t="shared" si="169"/>
        <v>2</v>
      </c>
      <c r="B362" s="38">
        <f t="shared" si="170"/>
        <v>0</v>
      </c>
      <c r="C362" s="38" t="s">
        <v>34</v>
      </c>
      <c r="D362" s="38">
        <v>4</v>
      </c>
      <c r="E362" s="45" t="str">
        <f t="shared" si="188"/>
        <v>J.4</v>
      </c>
      <c r="F362" s="38" t="str">
        <f>F361&amp;"_oth"</f>
        <v>talk_comm_topics_oth</v>
      </c>
      <c r="G362" s="41" t="s">
        <v>82</v>
      </c>
      <c r="H362" s="41" t="s">
        <v>591</v>
      </c>
      <c r="I362" s="13" t="s">
        <v>680</v>
      </c>
      <c r="J362" s="7" t="str">
        <f t="shared" si="183"/>
        <v>4 Specify</v>
      </c>
      <c r="K362" s="7" t="str">
        <f t="shared" si="183"/>
        <v>J.4 Specifiez</v>
      </c>
      <c r="L362" s="7" t="str">
        <f t="shared" si="184"/>
        <v>J.4 Pana mwangaza (Fafanuwa)</v>
      </c>
      <c r="N362" s="38"/>
      <c r="O362" s="38"/>
      <c r="P362" s="38"/>
      <c r="Q362" s="38"/>
      <c r="R362" s="38" t="str">
        <f>"selected(${"&amp;F361&amp;"},'96')"</f>
        <v>selected(${talk_comm_topics},'96')</v>
      </c>
      <c r="X362" s="73" t="s">
        <v>36</v>
      </c>
    </row>
    <row r="363" spans="1:24" customFormat="1" ht="20.100000000000001" customHeight="1" x14ac:dyDescent="0.25">
      <c r="A363" s="38">
        <f t="shared" si="169"/>
        <v>2</v>
      </c>
      <c r="B363" s="38">
        <f t="shared" si="170"/>
        <v>0</v>
      </c>
      <c r="C363" t="s">
        <v>148</v>
      </c>
      <c r="D363">
        <v>5</v>
      </c>
      <c r="E363" s="45" t="str">
        <f t="shared" si="188"/>
        <v>J.5</v>
      </c>
      <c r="F363" t="s">
        <v>1285</v>
      </c>
      <c r="G363" t="s">
        <v>1307</v>
      </c>
      <c r="H363" s="133" t="s">
        <v>1282</v>
      </c>
      <c r="I363" s="133" t="s">
        <v>1282</v>
      </c>
      <c r="J363" s="7" t="str">
        <f t="shared" si="183"/>
        <v>5 Over the course of the past 12 month, have you met with NGOs to discuss the problems that you face?</v>
      </c>
      <c r="K363" s="7" t="str">
        <f t="shared" si="183"/>
        <v>J.5 Au cours des 12 mois passés, est-ce que vous avez parlé avec une ONG ou avec une autre organisation sur les problèmes dans la communauté ?</v>
      </c>
      <c r="L363" s="7" t="str">
        <f t="shared" si="184"/>
        <v>J.5 Au cours des 12 mois passés, est-ce que vous avez parlé avec une ONG ou avec une autre organisation sur les problèmes dans la communauté ?</v>
      </c>
      <c r="X363" t="s">
        <v>36</v>
      </c>
    </row>
    <row r="364" spans="1:24" customFormat="1" ht="20.100000000000001" customHeight="1" x14ac:dyDescent="0.25">
      <c r="A364" s="38">
        <f t="shared" si="169"/>
        <v>2</v>
      </c>
      <c r="B364" s="38">
        <f t="shared" si="170"/>
        <v>0</v>
      </c>
      <c r="C364" t="s">
        <v>35</v>
      </c>
      <c r="D364">
        <v>6</v>
      </c>
      <c r="E364" s="45" t="str">
        <f t="shared" si="188"/>
        <v>J.6</v>
      </c>
      <c r="F364" t="str">
        <f>F363&amp;"_times"</f>
        <v>talk_ngo_times</v>
      </c>
      <c r="G364" t="s">
        <v>1305</v>
      </c>
      <c r="H364" s="133" t="s">
        <v>1287</v>
      </c>
      <c r="I364" s="133" t="s">
        <v>1287</v>
      </c>
      <c r="J364" s="7" t="str">
        <f t="shared" si="183"/>
        <v>6 How often?</v>
      </c>
      <c r="K364" s="7" t="str">
        <f t="shared" si="183"/>
        <v>J.6 Combien de fois</v>
      </c>
      <c r="L364" s="7" t="str">
        <f t="shared" si="184"/>
        <v>J.6 Combien de fois</v>
      </c>
      <c r="R364" t="str">
        <f>" ${"&amp;F363&amp;"}='1' "</f>
        <v xml:space="preserve"> ${talk_ngo}='1' </v>
      </c>
      <c r="T364" t="s">
        <v>1484</v>
      </c>
      <c r="X364" t="s">
        <v>36</v>
      </c>
    </row>
    <row r="365" spans="1:24" customFormat="1" ht="20.100000000000001" customHeight="1" x14ac:dyDescent="0.25">
      <c r="A365" s="38">
        <f t="shared" si="169"/>
        <v>2</v>
      </c>
      <c r="B365" s="38">
        <f t="shared" si="170"/>
        <v>0</v>
      </c>
      <c r="C365" t="s">
        <v>1310</v>
      </c>
      <c r="D365">
        <v>7</v>
      </c>
      <c r="E365" s="45" t="str">
        <f t="shared" si="188"/>
        <v>J.7</v>
      </c>
      <c r="F365" t="str">
        <f>F363&amp;"_topics"</f>
        <v>talk_ngo_topics</v>
      </c>
      <c r="G365" t="s">
        <v>1309</v>
      </c>
      <c r="H365" s="134" t="s">
        <v>1288</v>
      </c>
      <c r="I365" s="134" t="s">
        <v>1288</v>
      </c>
      <c r="J365" s="7" t="str">
        <f t="shared" si="183"/>
        <v>7 Which topics did you discuss?</v>
      </c>
      <c r="K365" s="7" t="str">
        <f t="shared" si="183"/>
        <v>J.7 Sur quel(s) sujet(s) ?</v>
      </c>
      <c r="L365" s="7" t="str">
        <f t="shared" si="184"/>
        <v>J.7 Sur quel(s) sujet(s) ?</v>
      </c>
      <c r="R365" t="str">
        <f>" ${"&amp;F363&amp;"}='1'"</f>
        <v xml:space="preserve"> ${talk_ngo}='1'</v>
      </c>
      <c r="X365" t="s">
        <v>36</v>
      </c>
    </row>
    <row r="366" spans="1:24" ht="20.100000000000001" customHeight="1" x14ac:dyDescent="0.25">
      <c r="A366" s="38">
        <f t="shared" si="169"/>
        <v>2</v>
      </c>
      <c r="B366" s="38">
        <f t="shared" si="170"/>
        <v>0</v>
      </c>
      <c r="C366" s="38" t="s">
        <v>34</v>
      </c>
      <c r="D366" s="38">
        <v>8</v>
      </c>
      <c r="E366" s="45" t="str">
        <f t="shared" si="188"/>
        <v>J.8</v>
      </c>
      <c r="F366" s="38" t="str">
        <f>F365&amp;"_oth"</f>
        <v>talk_ngo_topics_oth</v>
      </c>
      <c r="G366" s="41" t="s">
        <v>82</v>
      </c>
      <c r="H366" s="41" t="s">
        <v>591</v>
      </c>
      <c r="I366" s="13" t="s">
        <v>680</v>
      </c>
      <c r="J366" s="7" t="str">
        <f t="shared" ref="J366" si="189">D366&amp;IF(D366="",""," ")&amp;G366</f>
        <v>8 Specify</v>
      </c>
      <c r="K366" s="7" t="str">
        <f t="shared" ref="K366" si="190">E366&amp;IF(E366="",""," ")&amp;H366</f>
        <v>J.8 Specifiez</v>
      </c>
      <c r="L366" s="7" t="str">
        <f t="shared" ref="L366" si="191">E366&amp;IF(E366="",""," ")&amp;I366</f>
        <v>J.8 Pana mwangaza (Fafanuwa)</v>
      </c>
      <c r="N366" s="38"/>
      <c r="O366" s="38"/>
      <c r="P366" s="38"/>
      <c r="Q366" s="38"/>
      <c r="R366" s="38" t="str">
        <f>"selected(${"&amp;F365&amp;"},'96')"</f>
        <v>selected(${talk_ngo_topics},'96')</v>
      </c>
      <c r="X366" s="73" t="s">
        <v>36</v>
      </c>
    </row>
    <row r="367" spans="1:24" customFormat="1" ht="20.100000000000001" customHeight="1" x14ac:dyDescent="0.25">
      <c r="A367" s="38">
        <f t="shared" si="169"/>
        <v>2</v>
      </c>
      <c r="B367" s="38">
        <f t="shared" si="170"/>
        <v>0</v>
      </c>
      <c r="C367" t="s">
        <v>148</v>
      </c>
      <c r="D367">
        <v>9</v>
      </c>
      <c r="E367" s="45" t="str">
        <f t="shared" si="188"/>
        <v>J.9</v>
      </c>
      <c r="F367" t="s">
        <v>1286</v>
      </c>
      <c r="G367" t="s">
        <v>1308</v>
      </c>
      <c r="H367" s="133" t="s">
        <v>1283</v>
      </c>
      <c r="I367" s="133" t="s">
        <v>1283</v>
      </c>
      <c r="J367" s="7" t="str">
        <f t="shared" si="183"/>
        <v>9 Over the course of the past 12 month, have you met with the authories to discuss the problems that you face?</v>
      </c>
      <c r="K367" s="7" t="str">
        <f t="shared" si="183"/>
        <v>J.9 Au cours des 12 mois passes, est-ce que vous avez parlé avec une autorité locale ou une agence gouvernementale sur les problèmes dans la communauté?</v>
      </c>
      <c r="L367" s="7" t="str">
        <f t="shared" si="184"/>
        <v>J.9 Au cours des 12 mois passes, est-ce que vous avez parlé avec une autorité locale ou une agence gouvernementale sur les problèmes dans la communauté?</v>
      </c>
      <c r="X367" t="s">
        <v>36</v>
      </c>
    </row>
    <row r="368" spans="1:24" customFormat="1" ht="20.100000000000001" customHeight="1" x14ac:dyDescent="0.25">
      <c r="A368" s="38">
        <f t="shared" si="169"/>
        <v>2</v>
      </c>
      <c r="B368" s="38">
        <f t="shared" si="170"/>
        <v>0</v>
      </c>
      <c r="C368" t="s">
        <v>35</v>
      </c>
      <c r="D368">
        <v>10</v>
      </c>
      <c r="E368" s="45" t="str">
        <f t="shared" si="188"/>
        <v>J.10</v>
      </c>
      <c r="F368" t="str">
        <f>F367&amp;"_times"</f>
        <v>talk_auth_times</v>
      </c>
      <c r="G368" t="s">
        <v>1305</v>
      </c>
      <c r="H368" s="133" t="s">
        <v>1287</v>
      </c>
      <c r="I368" s="133" t="s">
        <v>1287</v>
      </c>
      <c r="J368" s="7" t="str">
        <f t="shared" si="183"/>
        <v>10 How often?</v>
      </c>
      <c r="K368" s="7" t="str">
        <f t="shared" si="183"/>
        <v>J.10 Combien de fois</v>
      </c>
      <c r="L368" s="7" t="str">
        <f t="shared" si="184"/>
        <v>J.10 Combien de fois</v>
      </c>
      <c r="R368" t="str">
        <f>" ${"&amp;F367&amp;"}='1' "</f>
        <v xml:space="preserve"> ${talk_auth}='1' </v>
      </c>
      <c r="T368" t="s">
        <v>1484</v>
      </c>
      <c r="X368" t="s">
        <v>36</v>
      </c>
    </row>
    <row r="369" spans="1:25" customFormat="1" ht="20.100000000000001" customHeight="1" x14ac:dyDescent="0.25">
      <c r="A369" s="38">
        <f t="shared" si="169"/>
        <v>2</v>
      </c>
      <c r="B369" s="38">
        <f t="shared" si="170"/>
        <v>0</v>
      </c>
      <c r="C369" t="s">
        <v>1310</v>
      </c>
      <c r="D369">
        <v>11</v>
      </c>
      <c r="E369" s="45" t="str">
        <f t="shared" si="188"/>
        <v>J.11</v>
      </c>
      <c r="F369" t="str">
        <f>F367&amp;"_topics"</f>
        <v>talk_auth_topics</v>
      </c>
      <c r="G369" t="s">
        <v>1309</v>
      </c>
      <c r="H369" s="134" t="s">
        <v>1288</v>
      </c>
      <c r="I369" s="134" t="s">
        <v>1288</v>
      </c>
      <c r="J369" s="7" t="str">
        <f t="shared" si="183"/>
        <v>11 Which topics did you discuss?</v>
      </c>
      <c r="K369" s="7" t="str">
        <f t="shared" si="183"/>
        <v>J.11 Sur quel(s) sujet(s) ?</v>
      </c>
      <c r="L369" s="7" t="str">
        <f t="shared" si="184"/>
        <v>J.11 Sur quel(s) sujet(s) ?</v>
      </c>
      <c r="R369" t="str">
        <f>" ${"&amp;F367&amp;"}='1'"</f>
        <v xml:space="preserve"> ${talk_auth}='1'</v>
      </c>
      <c r="X369" t="s">
        <v>36</v>
      </c>
    </row>
    <row r="370" spans="1:25" ht="20.100000000000001" customHeight="1" x14ac:dyDescent="0.25">
      <c r="A370" s="38">
        <f t="shared" si="169"/>
        <v>2</v>
      </c>
      <c r="B370" s="38">
        <f t="shared" si="170"/>
        <v>0</v>
      </c>
      <c r="C370" s="38" t="s">
        <v>34</v>
      </c>
      <c r="D370" s="38">
        <v>12</v>
      </c>
      <c r="E370" s="45" t="str">
        <f t="shared" si="188"/>
        <v>J.12</v>
      </c>
      <c r="F370" s="38" t="str">
        <f>F369&amp;"_oth"</f>
        <v>talk_auth_topics_oth</v>
      </c>
      <c r="G370" s="41" t="s">
        <v>82</v>
      </c>
      <c r="H370" s="41" t="s">
        <v>591</v>
      </c>
      <c r="I370" s="13" t="s">
        <v>680</v>
      </c>
      <c r="J370" s="7" t="str">
        <f t="shared" ref="J370" si="192">D370&amp;IF(D370="",""," ")&amp;G370</f>
        <v>12 Specify</v>
      </c>
      <c r="K370" s="7" t="str">
        <f t="shared" ref="K370" si="193">E370&amp;IF(E370="",""," ")&amp;H370</f>
        <v>J.12 Specifiez</v>
      </c>
      <c r="L370" s="7" t="str">
        <f t="shared" ref="L370" si="194">E370&amp;IF(E370="",""," ")&amp;I370</f>
        <v>J.12 Pana mwangaza (Fafanuwa)</v>
      </c>
      <c r="N370" s="38"/>
      <c r="O370" s="38"/>
      <c r="P370" s="38"/>
      <c r="Q370" s="38"/>
      <c r="R370" s="38" t="str">
        <f>"selected(${"&amp;F369&amp;"},'96')"</f>
        <v>selected(${talk_auth_topics},'96')</v>
      </c>
      <c r="X370" s="73" t="s">
        <v>36</v>
      </c>
    </row>
    <row r="371" spans="1:25" ht="20.100000000000001" customHeight="1" x14ac:dyDescent="0.25">
      <c r="A371" s="38">
        <f t="shared" si="169"/>
        <v>2</v>
      </c>
      <c r="B371" s="38">
        <f t="shared" si="170"/>
        <v>0</v>
      </c>
      <c r="C371" s="52" t="s">
        <v>1553</v>
      </c>
      <c r="D371" s="30">
        <v>13</v>
      </c>
      <c r="E371" s="45" t="str">
        <f t="shared" si="188"/>
        <v>J.13</v>
      </c>
      <c r="F371" s="30" t="s">
        <v>1554</v>
      </c>
      <c r="G371" s="13" t="s">
        <v>1555</v>
      </c>
      <c r="H371" s="13" t="s">
        <v>1556</v>
      </c>
      <c r="I371" s="13" t="s">
        <v>1556</v>
      </c>
      <c r="J371" s="30" t="str">
        <f>E371&amp;IF(D371="",""," ")&amp;H371</f>
        <v>J.13 Est-ce que quelqu'un de votre ménage membre d'un des organisations suivants?</v>
      </c>
      <c r="K371" s="7" t="str">
        <f>E371&amp;IF(E371="",""," ")&amp;H371</f>
        <v>J.13 Est-ce que quelqu'un de votre ménage membre d'un des organisations suivants?</v>
      </c>
      <c r="L371" s="30" t="str">
        <f>E371&amp;IF(E371="",""," ")&amp;I371</f>
        <v>J.13 Est-ce que quelqu'un de votre ménage membre d'un des organisations suivants?</v>
      </c>
      <c r="M371" s="30"/>
      <c r="N371" s="30"/>
      <c r="O371" s="30" t="s">
        <v>1477</v>
      </c>
      <c r="P371" s="30" t="s">
        <v>1427</v>
      </c>
      <c r="Q371" s="30" t="s">
        <v>1427</v>
      </c>
      <c r="R371" s="30"/>
      <c r="S371" s="30"/>
      <c r="T371" s="7" t="s">
        <v>1471</v>
      </c>
      <c r="U371" s="30"/>
      <c r="V371" s="30"/>
      <c r="X371" s="30" t="s">
        <v>36</v>
      </c>
    </row>
    <row r="372" spans="1:25" s="36" customFormat="1" ht="20.100000000000001" customHeight="1" x14ac:dyDescent="0.25">
      <c r="A372" s="38">
        <f t="shared" si="169"/>
        <v>2</v>
      </c>
      <c r="B372" s="38">
        <f t="shared" si="170"/>
        <v>1</v>
      </c>
      <c r="C372" s="33" t="s">
        <v>244</v>
      </c>
      <c r="D372" s="33"/>
      <c r="E372" s="33"/>
      <c r="F372" s="33" t="str">
        <f>"rpt_"&amp;F371</f>
        <v>rpt_member</v>
      </c>
      <c r="G372" s="32" t="s">
        <v>1557</v>
      </c>
      <c r="H372" s="32" t="s">
        <v>1557</v>
      </c>
      <c r="I372" s="32" t="s">
        <v>1557</v>
      </c>
      <c r="J372" s="30" t="str">
        <f>E372&amp;IF(D372="",""," ")&amp;G372</f>
        <v>Organisations</v>
      </c>
      <c r="K372" s="30" t="str">
        <f>E372&amp;IF(D372="",""," ")&amp;H372</f>
        <v>Organisations</v>
      </c>
      <c r="L372" s="30" t="str">
        <f>E372&amp;IF(E372="",""," ")&amp;I372</f>
        <v>Organisations</v>
      </c>
      <c r="M372" s="33"/>
      <c r="N372" s="33"/>
      <c r="O372" s="33"/>
      <c r="P372" s="33"/>
      <c r="Q372" s="33"/>
      <c r="R372" s="122" t="str">
        <f>"not(selected(${"&amp;F371&amp;"},'0')) and not(selected(${"&amp;F371&amp;"},'97'))  and not(selected(${"&amp;F371&amp;"},'98'))"</f>
        <v>not(selected(${member},'0')) and not(selected(${member},'97'))  and not(selected(${member},'98'))</v>
      </c>
      <c r="S372" s="33"/>
      <c r="U372" s="33"/>
      <c r="V372" s="33"/>
      <c r="X372" s="33"/>
      <c r="Y372" s="36" t="str">
        <f>"count-selected(${"&amp;F371&amp;"})"</f>
        <v>count-selected(${member})</v>
      </c>
    </row>
    <row r="373" spans="1:25" customFormat="1" ht="20.100000000000001" customHeight="1" x14ac:dyDescent="0.25">
      <c r="A373" s="38">
        <f t="shared" si="169"/>
        <v>2</v>
      </c>
      <c r="B373" s="38">
        <f t="shared" si="170"/>
        <v>1</v>
      </c>
      <c r="C373" t="s">
        <v>44</v>
      </c>
      <c r="F373" s="146" t="str">
        <f>"this_"&amp;F371</f>
        <v>this_member</v>
      </c>
      <c r="M373" t="str">
        <f>"selected-at(${"&amp;F371&amp;"},if(position(..)-1&lt;0,0, position(..)-1))"</f>
        <v>selected-at(${member},if(position(..)-1&lt;0,0, position(..)-1))</v>
      </c>
    </row>
    <row r="374" spans="1:25" customFormat="1" ht="20.100000000000001" customHeight="1" x14ac:dyDescent="0.25">
      <c r="A374" s="38">
        <f t="shared" si="169"/>
        <v>2</v>
      </c>
      <c r="B374" s="38">
        <f t="shared" si="170"/>
        <v>1</v>
      </c>
      <c r="C374" t="s">
        <v>44</v>
      </c>
      <c r="F374" t="str">
        <f>F373&amp;"_label"</f>
        <v>this_member_label</v>
      </c>
      <c r="M374" t="str">
        <f>"jr:choice-name(${"&amp;F373&amp;"}, '${"&amp;F371&amp;"}')"</f>
        <v>jr:choice-name(${this_member}, '${member}')</v>
      </c>
    </row>
    <row r="375" spans="1:25" customFormat="1" ht="20.100000000000001" customHeight="1" x14ac:dyDescent="0.25">
      <c r="A375" s="38">
        <f t="shared" si="169"/>
        <v>2</v>
      </c>
      <c r="B375" s="38">
        <f t="shared" si="170"/>
        <v>1</v>
      </c>
      <c r="C375" t="s">
        <v>263</v>
      </c>
      <c r="D375" s="30">
        <v>11</v>
      </c>
      <c r="E375" s="45" t="str">
        <f t="shared" ref="E375" si="195">D$357&amp;"."&amp;D375</f>
        <v>J.11</v>
      </c>
      <c r="F375" t="str">
        <f>F371&amp;"_who"</f>
        <v>member_who</v>
      </c>
      <c r="G375" t="str">
        <f>"Who is member of ${"&amp;F374&amp;"}"</f>
        <v>Who is member of ${this_member_label}</v>
      </c>
      <c r="H375" t="str">
        <f>"Qui est membre de ${"&amp;F374&amp;"}"</f>
        <v>Qui est membre de ${this_member_label}</v>
      </c>
      <c r="I375" t="str">
        <f>"Qui est membre de ${"&amp;F374&amp;"}"</f>
        <v>Qui est membre de ${this_member_label}</v>
      </c>
      <c r="J375" s="7" t="str">
        <f>D375&amp;IF(D375="",""," ")&amp;G375</f>
        <v>11 Who is member of ${this_member_label}</v>
      </c>
      <c r="K375" s="7" t="str">
        <f>E375&amp;IF(E375="",""," ")&amp;H375</f>
        <v>J.11 Qui est membre de ${this_member_label}</v>
      </c>
      <c r="L375" s="7" t="str">
        <f>E375&amp;IF(E375="",""," ")&amp;I375</f>
        <v>J.11 Qui est membre de ${this_member_label}</v>
      </c>
      <c r="T375" t="s">
        <v>1829</v>
      </c>
      <c r="X375" t="s">
        <v>36</v>
      </c>
    </row>
    <row r="376" spans="1:25" s="147" customFormat="1" ht="20.100000000000001" customHeight="1" x14ac:dyDescent="0.25">
      <c r="A376" s="38">
        <f t="shared" si="169"/>
        <v>2</v>
      </c>
      <c r="B376" s="38">
        <f t="shared" si="170"/>
        <v>0</v>
      </c>
      <c r="C376" s="147" t="s">
        <v>287</v>
      </c>
    </row>
    <row r="377" spans="1:25" s="7" customFormat="1" ht="20.100000000000001" customHeight="1" x14ac:dyDescent="0.25">
      <c r="A377" s="38">
        <f t="shared" si="169"/>
        <v>2</v>
      </c>
      <c r="B377" s="38">
        <f t="shared" si="170"/>
        <v>0</v>
      </c>
      <c r="C377" s="7" t="s">
        <v>33</v>
      </c>
      <c r="F377" s="7" t="s">
        <v>767</v>
      </c>
      <c r="G377" s="13" t="s">
        <v>768</v>
      </c>
      <c r="H377" s="13" t="s">
        <v>1558</v>
      </c>
      <c r="I377" s="13" t="s">
        <v>1558</v>
      </c>
      <c r="J377" s="7" t="str">
        <f t="shared" ref="J377:K386" si="196">D377&amp;IF(D377="",""," ")&amp;G377</f>
        <v>Please indicate the extent to which you agree with the following statements</v>
      </c>
      <c r="K377" s="7" t="str">
        <f t="shared" si="196"/>
        <v>Est-ce que vous etes d'accord avec les propositions suivantes?</v>
      </c>
      <c r="L377" s="7" t="str">
        <f t="shared" ref="L377:L386" si="197">E377&amp;IF(E377="",""," ")&amp;I377</f>
        <v>Est-ce que vous etes d'accord avec les propositions suivantes?</v>
      </c>
    </row>
    <row r="378" spans="1:25" s="7" customFormat="1" ht="20.100000000000001" customHeight="1" x14ac:dyDescent="0.25">
      <c r="A378" s="38">
        <f t="shared" si="169"/>
        <v>2</v>
      </c>
      <c r="B378" s="38">
        <f t="shared" si="170"/>
        <v>0</v>
      </c>
      <c r="C378" s="7" t="s">
        <v>769</v>
      </c>
      <c r="D378" s="30">
        <v>12</v>
      </c>
      <c r="E378" s="45" t="str">
        <f t="shared" ref="E378:E386" si="198">D$357&amp;"."&amp;D378</f>
        <v>J.12</v>
      </c>
      <c r="F378" s="7" t="s">
        <v>770</v>
      </c>
      <c r="G378" s="13" t="s">
        <v>771</v>
      </c>
      <c r="H378" s="13" t="s">
        <v>1559</v>
      </c>
      <c r="I378" s="25" t="str">
        <f t="shared" ref="I378:I386" si="199">E378&amp;IF(E378="",""," ")&amp;K378</f>
        <v>J.12 J.12 J'ai beaucoup de respect envers notre chef de village</v>
      </c>
      <c r="J378" s="7" t="str">
        <f t="shared" si="196"/>
        <v>12 I have a lot of respect for our village chief</v>
      </c>
      <c r="K378" s="7" t="str">
        <f t="shared" si="196"/>
        <v>J.12 J'ai beaucoup de respect envers notre chef de village</v>
      </c>
      <c r="L378" s="7" t="str">
        <f t="shared" si="197"/>
        <v>J.12 J.12 J.12 J'ai beaucoup de respect envers notre chef de village</v>
      </c>
      <c r="X378" s="7" t="s">
        <v>36</v>
      </c>
    </row>
    <row r="379" spans="1:25" s="7" customFormat="1" ht="20.100000000000001" customHeight="1" x14ac:dyDescent="0.25">
      <c r="A379" s="38">
        <f t="shared" si="169"/>
        <v>2</v>
      </c>
      <c r="B379" s="38">
        <f t="shared" si="170"/>
        <v>0</v>
      </c>
      <c r="C379" s="7" t="s">
        <v>769</v>
      </c>
      <c r="D379" s="30">
        <v>13</v>
      </c>
      <c r="E379" s="45" t="str">
        <f t="shared" si="198"/>
        <v>J.13</v>
      </c>
      <c r="F379" s="7" t="s">
        <v>772</v>
      </c>
      <c r="G379" s="13" t="s">
        <v>773</v>
      </c>
      <c r="H379" s="13" t="s">
        <v>1560</v>
      </c>
      <c r="I379" s="25" t="str">
        <f t="shared" si="199"/>
        <v>J.13 J.13 En cas de problèmes, je peux m’adresser  au chef de village</v>
      </c>
      <c r="J379" s="7" t="str">
        <f t="shared" si="196"/>
        <v>13 I can turn to our village chief if I need help</v>
      </c>
      <c r="K379" s="7" t="str">
        <f t="shared" si="196"/>
        <v>J.13 En cas de problèmes, je peux m’adresser  au chef de village</v>
      </c>
      <c r="L379" s="7" t="str">
        <f t="shared" si="197"/>
        <v>J.13 J.13 J.13 En cas de problèmes, je peux m’adresser  au chef de village</v>
      </c>
      <c r="X379" s="7" t="s">
        <v>36</v>
      </c>
    </row>
    <row r="380" spans="1:25" s="7" customFormat="1" ht="20.100000000000001" customHeight="1" x14ac:dyDescent="0.25">
      <c r="A380" s="38">
        <f t="shared" si="169"/>
        <v>2</v>
      </c>
      <c r="B380" s="38">
        <f t="shared" si="170"/>
        <v>0</v>
      </c>
      <c r="C380" s="7" t="s">
        <v>769</v>
      </c>
      <c r="D380" s="30">
        <v>14</v>
      </c>
      <c r="E380" s="45" t="str">
        <f t="shared" si="198"/>
        <v>J.14</v>
      </c>
      <c r="F380" s="7" t="s">
        <v>774</v>
      </c>
      <c r="G380" s="13" t="s">
        <v>775</v>
      </c>
      <c r="H380" s="13" t="s">
        <v>1561</v>
      </c>
      <c r="I380" s="25" t="str">
        <f t="shared" si="199"/>
        <v>J.14 J.14 Le chef de village peut agir dans mon interet</v>
      </c>
      <c r="J380" s="7" t="str">
        <f t="shared" si="196"/>
        <v>14 Our village chief can act in my interest</v>
      </c>
      <c r="K380" s="7" t="str">
        <f t="shared" si="196"/>
        <v>J.14 Le chef de village peut agir dans mon interet</v>
      </c>
      <c r="L380" s="7" t="str">
        <f t="shared" si="197"/>
        <v>J.14 J.14 J.14 Le chef de village peut agir dans mon interet</v>
      </c>
      <c r="X380" s="7" t="s">
        <v>36</v>
      </c>
    </row>
    <row r="381" spans="1:25" s="7" customFormat="1" ht="20.100000000000001" customHeight="1" x14ac:dyDescent="0.25">
      <c r="A381" s="38">
        <f t="shared" si="169"/>
        <v>2</v>
      </c>
      <c r="B381" s="38">
        <f t="shared" si="170"/>
        <v>0</v>
      </c>
      <c r="C381" s="7" t="s">
        <v>769</v>
      </c>
      <c r="D381" s="30">
        <v>15</v>
      </c>
      <c r="E381" s="45" t="str">
        <f t="shared" si="198"/>
        <v>J.15</v>
      </c>
      <c r="F381" s="7" t="s">
        <v>776</v>
      </c>
      <c r="G381" s="13" t="s">
        <v>777</v>
      </c>
      <c r="H381" s="13" t="s">
        <v>1562</v>
      </c>
      <c r="I381" s="25" t="str">
        <f t="shared" si="199"/>
        <v>J.15 J.15 J'ai beaucoup de respect envers notre mwami</v>
      </c>
      <c r="J381" s="7" t="str">
        <f t="shared" si="196"/>
        <v>15 I have a lot of respect for our mwami</v>
      </c>
      <c r="K381" s="7" t="str">
        <f t="shared" si="196"/>
        <v>J.15 J'ai beaucoup de respect envers notre mwami</v>
      </c>
      <c r="L381" s="7" t="str">
        <f t="shared" si="197"/>
        <v>J.15 J.15 J.15 J'ai beaucoup de respect envers notre mwami</v>
      </c>
      <c r="X381" s="7" t="s">
        <v>36</v>
      </c>
    </row>
    <row r="382" spans="1:25" s="7" customFormat="1" ht="20.100000000000001" customHeight="1" x14ac:dyDescent="0.25">
      <c r="A382" s="38">
        <f t="shared" si="169"/>
        <v>2</v>
      </c>
      <c r="B382" s="38">
        <f t="shared" si="170"/>
        <v>0</v>
      </c>
      <c r="C382" s="7" t="s">
        <v>769</v>
      </c>
      <c r="D382" s="30">
        <v>16</v>
      </c>
      <c r="E382" s="45" t="str">
        <f t="shared" si="198"/>
        <v>J.16</v>
      </c>
      <c r="F382" s="7" t="s">
        <v>778</v>
      </c>
      <c r="G382" s="13" t="s">
        <v>779</v>
      </c>
      <c r="H382" s="13" t="s">
        <v>1563</v>
      </c>
      <c r="I382" s="25" t="str">
        <f t="shared" si="199"/>
        <v>J.16 J.16 En cas de problèmes, je peux m’adresser  au mwami</v>
      </c>
      <c r="J382" s="7" t="str">
        <f t="shared" si="196"/>
        <v>16 I can turn to our mwami if I need help</v>
      </c>
      <c r="K382" s="7" t="str">
        <f t="shared" si="196"/>
        <v>J.16 En cas de problèmes, je peux m’adresser  au mwami</v>
      </c>
      <c r="L382" s="7" t="str">
        <f t="shared" si="197"/>
        <v>J.16 J.16 J.16 En cas de problèmes, je peux m’adresser  au mwami</v>
      </c>
      <c r="X382" s="7" t="s">
        <v>36</v>
      </c>
    </row>
    <row r="383" spans="1:25" s="7" customFormat="1" ht="20.100000000000001" customHeight="1" x14ac:dyDescent="0.25">
      <c r="A383" s="38">
        <f t="shared" ref="A383:A386" si="200">IF(C383="begin group",A382+1,IF(C383="end group",A382-1,A382))</f>
        <v>2</v>
      </c>
      <c r="B383" s="38">
        <f t="shared" ref="B383:B386" si="201">IF(C383="begin repeat",B382+1,IF(C383="end repeat",B382-1,B382))</f>
        <v>0</v>
      </c>
      <c r="C383" s="7" t="s">
        <v>769</v>
      </c>
      <c r="D383" s="30">
        <v>17</v>
      </c>
      <c r="E383" s="45" t="str">
        <f t="shared" si="198"/>
        <v>J.17</v>
      </c>
      <c r="F383" s="7" t="s">
        <v>780</v>
      </c>
      <c r="G383" s="13" t="s">
        <v>781</v>
      </c>
      <c r="H383" s="13" t="s">
        <v>1564</v>
      </c>
      <c r="I383" s="25" t="str">
        <f t="shared" si="199"/>
        <v>J.17 J.17 Le mwami peut agir dans mon interet</v>
      </c>
      <c r="J383" s="7" t="str">
        <f t="shared" si="196"/>
        <v>17 Our mwami can act in my interest</v>
      </c>
      <c r="K383" s="7" t="str">
        <f t="shared" si="196"/>
        <v>J.17 Le mwami peut agir dans mon interet</v>
      </c>
      <c r="L383" s="7" t="str">
        <f t="shared" si="197"/>
        <v>J.17 J.17 J.17 Le mwami peut agir dans mon interet</v>
      </c>
      <c r="X383" s="7" t="s">
        <v>36</v>
      </c>
    </row>
    <row r="384" spans="1:25" s="7" customFormat="1" ht="20.100000000000001" customHeight="1" x14ac:dyDescent="0.25">
      <c r="A384" s="38">
        <f t="shared" si="200"/>
        <v>2</v>
      </c>
      <c r="B384" s="38">
        <f t="shared" si="201"/>
        <v>0</v>
      </c>
      <c r="C384" s="7" t="s">
        <v>769</v>
      </c>
      <c r="D384" s="30">
        <v>18</v>
      </c>
      <c r="E384" s="45" t="str">
        <f t="shared" si="198"/>
        <v>J.18</v>
      </c>
      <c r="F384" s="7" t="s">
        <v>782</v>
      </c>
      <c r="G384" s="13" t="s">
        <v>783</v>
      </c>
      <c r="H384" s="13" t="s">
        <v>1565</v>
      </c>
      <c r="I384" s="25" t="str">
        <f t="shared" si="199"/>
        <v>J.18 J.18 J'ai beaucoup de respect envers nos politiciens nationals</v>
      </c>
      <c r="J384" s="7" t="str">
        <f t="shared" si="196"/>
        <v>18 I have a lot of respect for our national politicians</v>
      </c>
      <c r="K384" s="7" t="str">
        <f t="shared" si="196"/>
        <v>J.18 J'ai beaucoup de respect envers nos politiciens nationals</v>
      </c>
      <c r="L384" s="7" t="str">
        <f t="shared" si="197"/>
        <v>J.18 J.18 J.18 J'ai beaucoup de respect envers nos politiciens nationals</v>
      </c>
      <c r="X384" s="7" t="s">
        <v>36</v>
      </c>
    </row>
    <row r="385" spans="1:25" s="7" customFormat="1" ht="20.100000000000001" customHeight="1" x14ac:dyDescent="0.25">
      <c r="A385" s="38">
        <f t="shared" si="200"/>
        <v>2</v>
      </c>
      <c r="B385" s="38">
        <f t="shared" si="201"/>
        <v>0</v>
      </c>
      <c r="C385" s="7" t="s">
        <v>769</v>
      </c>
      <c r="D385" s="30">
        <v>19</v>
      </c>
      <c r="E385" s="45" t="str">
        <f t="shared" si="198"/>
        <v>J.19</v>
      </c>
      <c r="F385" s="7" t="s">
        <v>784</v>
      </c>
      <c r="G385" s="13" t="s">
        <v>785</v>
      </c>
      <c r="H385" s="13" t="s">
        <v>1566</v>
      </c>
      <c r="I385" s="25" t="str">
        <f t="shared" si="199"/>
        <v>J.19 J.19 En cas de problèmes, je peux m’adresser  a nos politiciens nationals</v>
      </c>
      <c r="J385" s="7" t="str">
        <f t="shared" si="196"/>
        <v>19 I can turn to oue national politicians if I need help</v>
      </c>
      <c r="K385" s="7" t="str">
        <f t="shared" si="196"/>
        <v>J.19 En cas de problèmes, je peux m’adresser  a nos politiciens nationals</v>
      </c>
      <c r="L385" s="7" t="str">
        <f t="shared" si="197"/>
        <v>J.19 J.19 J.19 En cas de problèmes, je peux m’adresser  a nos politiciens nationals</v>
      </c>
      <c r="X385" s="7" t="s">
        <v>36</v>
      </c>
    </row>
    <row r="386" spans="1:25" s="7" customFormat="1" ht="20.100000000000001" customHeight="1" x14ac:dyDescent="0.25">
      <c r="A386" s="38">
        <f t="shared" si="200"/>
        <v>2</v>
      </c>
      <c r="B386" s="38">
        <f t="shared" si="201"/>
        <v>0</v>
      </c>
      <c r="C386" s="7" t="s">
        <v>769</v>
      </c>
      <c r="D386" s="30">
        <v>20</v>
      </c>
      <c r="E386" s="45" t="str">
        <f t="shared" si="198"/>
        <v>J.20</v>
      </c>
      <c r="F386" s="7" t="s">
        <v>786</v>
      </c>
      <c r="G386" s="13" t="s">
        <v>787</v>
      </c>
      <c r="H386" s="13" t="s">
        <v>1567</v>
      </c>
      <c r="I386" s="25" t="str">
        <f t="shared" si="199"/>
        <v>J.20 J.20 Les politiciens nationals peuvent agir dans mon interet</v>
      </c>
      <c r="J386" s="7" t="str">
        <f t="shared" si="196"/>
        <v>20  Our national politicians can act in my interest</v>
      </c>
      <c r="K386" s="7" t="str">
        <f t="shared" si="196"/>
        <v>J.20 Les politiciens nationals peuvent agir dans mon interet</v>
      </c>
      <c r="L386" s="7" t="str">
        <f t="shared" si="197"/>
        <v>J.20 J.20 J.20 Les politiciens nationals peuvent agir dans mon interet</v>
      </c>
      <c r="X386" s="7" t="s">
        <v>36</v>
      </c>
    </row>
    <row r="387" spans="1:25" s="21" customFormat="1" ht="20.100000000000001" customHeight="1" x14ac:dyDescent="0.25">
      <c r="A387" s="38">
        <f t="shared" ref="A387:A450" si="202">IF(C387="begin group",A386+1,IF(C387="end group",A386-1,A386))</f>
        <v>1</v>
      </c>
      <c r="B387" s="38">
        <f t="shared" ref="B387:B450" si="203">IF(C387="begin repeat",B386+1,IF(C387="end repeat",B386-1,B386))</f>
        <v>0</v>
      </c>
      <c r="C387" s="21" t="s">
        <v>40</v>
      </c>
      <c r="G387" s="11"/>
      <c r="H387" s="11"/>
      <c r="I387" s="11"/>
    </row>
    <row r="388" spans="1:25" s="17" customFormat="1" ht="20.100000000000001" customHeight="1" x14ac:dyDescent="0.25">
      <c r="A388" s="38">
        <f t="shared" si="202"/>
        <v>2</v>
      </c>
      <c r="B388" s="38">
        <f t="shared" si="203"/>
        <v>0</v>
      </c>
      <c r="C388" s="10" t="s">
        <v>32</v>
      </c>
      <c r="D388" s="10">
        <v>1</v>
      </c>
      <c r="E388" s="10"/>
      <c r="F388" s="10" t="s">
        <v>1732</v>
      </c>
      <c r="G388" s="10" t="s">
        <v>1733</v>
      </c>
      <c r="H388" s="10" t="s">
        <v>1734</v>
      </c>
      <c r="I388" s="10" t="s">
        <v>1734</v>
      </c>
      <c r="J388" s="10"/>
      <c r="K388" s="10" t="str">
        <f t="shared" ref="K388:K425" si="204">E388&amp;IF(E388="",""," ")&amp;H388</f>
        <v>Excercice d'Investissement</v>
      </c>
      <c r="L388" s="10"/>
      <c r="M388" s="10"/>
      <c r="N388" s="10"/>
      <c r="O388" s="10"/>
      <c r="P388" s="10"/>
      <c r="Q388" s="10"/>
      <c r="R388" s="10"/>
      <c r="S388" s="10"/>
      <c r="T388" s="10"/>
      <c r="U388" s="10"/>
      <c r="V388" s="10"/>
      <c r="W388" s="10"/>
      <c r="X388" s="10"/>
      <c r="Y388" s="10"/>
    </row>
    <row r="389" spans="1:25" s="17" customFormat="1" ht="20.100000000000001" customHeight="1" x14ac:dyDescent="0.25">
      <c r="A389" s="38">
        <f t="shared" si="202"/>
        <v>3</v>
      </c>
      <c r="B389" s="38">
        <f t="shared" si="203"/>
        <v>0</v>
      </c>
      <c r="C389" s="10" t="s">
        <v>32</v>
      </c>
      <c r="D389" s="10">
        <v>1</v>
      </c>
      <c r="E389" s="10"/>
      <c r="F389" s="10" t="str">
        <f>"echinv_instr_"&amp;D389</f>
        <v>echinv_instr_1</v>
      </c>
      <c r="G389" s="10" t="str">
        <f>"Instuctions Warm up Investment "&amp;D389</f>
        <v>Instuctions Warm up Investment 1</v>
      </c>
      <c r="H389" s="10" t="str">
        <f>"Instuction Échauffement Investissement "&amp;D389</f>
        <v>Instuction Échauffement Investissement 1</v>
      </c>
      <c r="I389" s="10" t="str">
        <f>"Instuction Échauffement Investissement "&amp;D389</f>
        <v>Instuction Échauffement Investissement 1</v>
      </c>
      <c r="J389" s="10"/>
      <c r="K389" s="10" t="str">
        <f t="shared" si="204"/>
        <v>Instuction Échauffement Investissement 1</v>
      </c>
      <c r="L389" s="10"/>
      <c r="M389" s="10"/>
      <c r="N389" s="10"/>
      <c r="O389" s="10"/>
      <c r="P389" s="10"/>
      <c r="Q389" s="10"/>
      <c r="R389" s="10"/>
      <c r="S389" s="10"/>
      <c r="T389" s="10"/>
      <c r="U389" s="10"/>
      <c r="V389" s="10"/>
      <c r="W389" s="10"/>
      <c r="X389" s="10"/>
      <c r="Y389" s="10"/>
    </row>
    <row r="390" spans="1:25" s="7" customFormat="1" ht="31.5" customHeight="1" x14ac:dyDescent="0.25">
      <c r="A390" s="38">
        <f t="shared" si="202"/>
        <v>3</v>
      </c>
      <c r="B390" s="38">
        <f t="shared" si="203"/>
        <v>0</v>
      </c>
      <c r="C390" s="13" t="s">
        <v>33</v>
      </c>
      <c r="D390" s="13">
        <v>1</v>
      </c>
      <c r="E390" s="13"/>
      <c r="F390" s="13" t="str">
        <f ca="1">OFFSET(F390,-1*D390,0)&amp;"_"&amp;D390</f>
        <v>echinv_instr_1_1</v>
      </c>
      <c r="G390" s="13"/>
      <c r="H390" t="s">
        <v>1735</v>
      </c>
      <c r="I390" s="13"/>
      <c r="J390" s="41" t="str">
        <f t="shared" ref="J390:J402" si="205">E390&amp;IF(D390="",""," ")&amp;G390</f>
        <v xml:space="preserve"> </v>
      </c>
      <c r="K390" s="13" t="str">
        <f t="shared" si="204"/>
        <v>Maintenant, vous allez faire un exercice, avec lequel vous pouvez obtenir réellement de l’argent et vous allez jouer avec une autre personne de votre village (l’identité de cette personne ne sera pas connue). </v>
      </c>
      <c r="L390" s="13" t="str">
        <f t="shared" ref="L390:L402" si="206">E390&amp;IF(E390="",""," ")&amp;I390</f>
        <v/>
      </c>
      <c r="M390" s="13"/>
      <c r="N390" s="13"/>
      <c r="O390" s="13"/>
      <c r="P390" s="13"/>
      <c r="Q390" s="13"/>
      <c r="R390" s="13"/>
      <c r="S390" s="13"/>
      <c r="T390" s="13"/>
      <c r="U390" s="13"/>
      <c r="V390" s="13"/>
      <c r="W390" s="13"/>
      <c r="X390" s="13"/>
      <c r="Y390" s="13"/>
    </row>
    <row r="391" spans="1:25" s="7" customFormat="1" ht="20.100000000000001" customHeight="1" x14ac:dyDescent="0.25">
      <c r="A391" s="38">
        <f t="shared" si="202"/>
        <v>3</v>
      </c>
      <c r="B391" s="38">
        <f t="shared" si="203"/>
        <v>0</v>
      </c>
      <c r="C391" s="13" t="s">
        <v>33</v>
      </c>
      <c r="D391" s="13">
        <v>2</v>
      </c>
      <c r="E391" s="13"/>
      <c r="F391" s="13" t="str">
        <f t="shared" ref="F391:F392" ca="1" si="207">OFFSET(F391,-1*D391,0)&amp;"_"&amp;D391</f>
        <v>echinv_instr_1_2</v>
      </c>
      <c r="G391" s="13"/>
      <c r="H391" t="s">
        <v>1736</v>
      </c>
      <c r="I391" s="13"/>
      <c r="J391" s="41" t="str">
        <f t="shared" si="205"/>
        <v xml:space="preserve"> </v>
      </c>
      <c r="K391" s="13" t="str">
        <f t="shared" si="204"/>
        <v>L’exercice est plus ou moins compliqué, donc pour nous assurer que vous allez bien comprendre, nous allons faire un exercice d’échauffement d’abord</v>
      </c>
      <c r="L391" s="13" t="str">
        <f t="shared" si="206"/>
        <v/>
      </c>
      <c r="M391" s="13"/>
      <c r="N391" s="13"/>
      <c r="O391" s="13"/>
      <c r="P391" s="13"/>
      <c r="Q391" s="13"/>
      <c r="R391" s="13"/>
      <c r="S391" s="13"/>
      <c r="T391" s="13"/>
      <c r="U391" s="13"/>
      <c r="V391" s="13"/>
      <c r="W391" s="13"/>
      <c r="X391" s="13"/>
      <c r="Y391" s="13"/>
    </row>
    <row r="392" spans="1:25" s="7" customFormat="1" ht="20.100000000000001" customHeight="1" x14ac:dyDescent="0.25">
      <c r="A392" s="38">
        <f t="shared" si="202"/>
        <v>3</v>
      </c>
      <c r="B392" s="38">
        <f t="shared" si="203"/>
        <v>0</v>
      </c>
      <c r="C392" s="13" t="s">
        <v>33</v>
      </c>
      <c r="D392" s="13">
        <v>3</v>
      </c>
      <c r="E392" s="13"/>
      <c r="F392" s="13" t="str">
        <f t="shared" ca="1" si="207"/>
        <v>echinv_instr_1_3</v>
      </c>
      <c r="G392" s="13"/>
      <c r="H392" t="s">
        <v>1737</v>
      </c>
      <c r="I392" s="13"/>
      <c r="J392" s="41" t="str">
        <f t="shared" si="205"/>
        <v xml:space="preserve"> </v>
      </c>
      <c r="K392" s="13" t="str">
        <f t="shared" si="204"/>
        <v>Avec cet exercice vous ne pouvez pas gagner de l’argent, c’est seulement pour la bonne compréhension</v>
      </c>
      <c r="L392" s="13" t="str">
        <f t="shared" si="206"/>
        <v/>
      </c>
      <c r="M392" s="13"/>
      <c r="N392" s="13"/>
      <c r="O392" s="13"/>
      <c r="P392" s="13"/>
      <c r="Q392" s="13"/>
      <c r="R392" s="13"/>
      <c r="S392" s="13"/>
      <c r="T392" s="13"/>
      <c r="U392" s="13"/>
      <c r="V392" s="13"/>
      <c r="W392" s="13"/>
      <c r="X392" s="13"/>
      <c r="Y392" s="13"/>
    </row>
    <row r="393" spans="1:25" s="21" customFormat="1" ht="20.100000000000001" customHeight="1" x14ac:dyDescent="0.25">
      <c r="A393" s="38">
        <f t="shared" si="202"/>
        <v>2</v>
      </c>
      <c r="B393" s="38">
        <f t="shared" si="203"/>
        <v>0</v>
      </c>
      <c r="C393" s="124" t="s">
        <v>40</v>
      </c>
      <c r="D393" s="124"/>
      <c r="E393" s="124"/>
      <c r="F393" s="124"/>
      <c r="G393" s="125"/>
      <c r="H393" s="125"/>
      <c r="I393" s="125"/>
      <c r="J393" s="124"/>
      <c r="K393" s="124" t="str">
        <f t="shared" si="204"/>
        <v/>
      </c>
      <c r="L393" s="124"/>
      <c r="M393" s="124"/>
      <c r="N393" s="124"/>
      <c r="O393" s="124"/>
      <c r="P393" s="124"/>
      <c r="Q393" s="124"/>
      <c r="R393" s="124"/>
      <c r="S393" s="124"/>
      <c r="T393" s="124"/>
      <c r="U393" s="124"/>
      <c r="V393" s="124"/>
      <c r="X393" s="56"/>
      <c r="Y393" s="56"/>
    </row>
    <row r="394" spans="1:25" s="17" customFormat="1" ht="20.100000000000001" customHeight="1" x14ac:dyDescent="0.25">
      <c r="A394" s="38">
        <f t="shared" si="202"/>
        <v>3</v>
      </c>
      <c r="B394" s="38">
        <f t="shared" si="203"/>
        <v>0</v>
      </c>
      <c r="C394" s="10" t="s">
        <v>32</v>
      </c>
      <c r="D394" s="10">
        <v>2</v>
      </c>
      <c r="E394" s="10"/>
      <c r="F394" s="10" t="str">
        <f>"echinv_instr_"&amp;D394</f>
        <v>echinv_instr_2</v>
      </c>
      <c r="G394" s="10" t="str">
        <f>"Instuctions Warm up Investment "&amp;D394</f>
        <v>Instuctions Warm up Investment 2</v>
      </c>
      <c r="H394" s="10" t="str">
        <f>"Instuction Échauffement Investissement "&amp;D394</f>
        <v>Instuction Échauffement Investissement 2</v>
      </c>
      <c r="I394" s="10" t="str">
        <f>"Instuction Échauffement Investissement "&amp;D394</f>
        <v>Instuction Échauffement Investissement 2</v>
      </c>
      <c r="J394" s="10"/>
      <c r="K394" s="10" t="str">
        <f t="shared" si="204"/>
        <v>Instuction Échauffement Investissement 2</v>
      </c>
      <c r="L394" s="10"/>
      <c r="M394" s="10"/>
      <c r="N394" s="10"/>
      <c r="O394" s="10"/>
      <c r="P394" s="10"/>
      <c r="Q394" s="10"/>
      <c r="R394" s="10"/>
      <c r="S394" s="10"/>
      <c r="T394" s="10"/>
      <c r="U394" s="10"/>
      <c r="V394" s="10"/>
      <c r="W394" s="10"/>
      <c r="X394" s="10"/>
      <c r="Y394" s="10"/>
    </row>
    <row r="395" spans="1:25" s="7" customFormat="1" ht="20.100000000000001" customHeight="1" x14ac:dyDescent="0.25">
      <c r="A395" s="38">
        <f t="shared" si="202"/>
        <v>3</v>
      </c>
      <c r="B395" s="38">
        <f t="shared" si="203"/>
        <v>0</v>
      </c>
      <c r="C395" s="13" t="s">
        <v>33</v>
      </c>
      <c r="D395" s="13">
        <v>1</v>
      </c>
      <c r="E395" s="13"/>
      <c r="F395" s="13" t="str">
        <f ca="1">OFFSET(F395,-1*D395,0)&amp;"_"&amp;D395</f>
        <v>echinv_instr_2_1</v>
      </c>
      <c r="G395" s="13"/>
      <c r="H395" t="s">
        <v>1738</v>
      </c>
      <c r="I395" s="13"/>
      <c r="J395" s="41" t="str">
        <f t="shared" si="205"/>
        <v xml:space="preserve"> </v>
      </c>
      <c r="K395" s="13" t="str">
        <f t="shared" si="204"/>
        <v>Imaginez que vous avez 6 sacs de maïs </v>
      </c>
      <c r="L395" s="13" t="str">
        <f t="shared" si="206"/>
        <v/>
      </c>
      <c r="M395" s="13"/>
      <c r="N395" s="13"/>
      <c r="O395" s="13"/>
      <c r="P395" s="13"/>
      <c r="Q395" s="13"/>
      <c r="R395" s="13"/>
      <c r="S395" s="13"/>
      <c r="T395" s="13"/>
      <c r="U395" s="13"/>
      <c r="V395" s="13"/>
      <c r="W395" s="13"/>
      <c r="X395" s="13"/>
      <c r="Y395" s="13"/>
    </row>
    <row r="396" spans="1:25" s="7" customFormat="1" ht="20.100000000000001" customHeight="1" x14ac:dyDescent="0.25">
      <c r="A396" s="38">
        <f t="shared" si="202"/>
        <v>3</v>
      </c>
      <c r="B396" s="38">
        <f t="shared" si="203"/>
        <v>0</v>
      </c>
      <c r="C396" s="13" t="s">
        <v>33</v>
      </c>
      <c r="D396" s="13">
        <v>2</v>
      </c>
      <c r="E396" s="13"/>
      <c r="F396" s="13" t="str">
        <f t="shared" ref="F396:F402" ca="1" si="208">OFFSET(F396,-1*D396,0)&amp;"_"&amp;D396</f>
        <v>echinv_instr_2_2</v>
      </c>
      <c r="G396" s="13"/>
      <c r="H396" t="s">
        <v>1739</v>
      </c>
      <c r="I396" s="13"/>
      <c r="J396" s="41" t="str">
        <f t="shared" si="205"/>
        <v xml:space="preserve"> </v>
      </c>
      <c r="K396" s="13" t="str">
        <f t="shared" si="204"/>
        <v>Quelqu’un d’autre dans votre village (n’importe qui, dont vous ne connaissez pas l’identité) a besoin de maïs. </v>
      </c>
      <c r="L396" s="13" t="str">
        <f t="shared" si="206"/>
        <v/>
      </c>
      <c r="M396" s="13"/>
      <c r="N396" s="13"/>
      <c r="O396" s="13"/>
      <c r="P396" s="13"/>
      <c r="Q396" s="13"/>
      <c r="R396" s="13"/>
      <c r="S396" s="13"/>
      <c r="T396" s="13"/>
      <c r="U396" s="13"/>
      <c r="V396" s="13"/>
      <c r="W396" s="13"/>
      <c r="X396" s="13"/>
      <c r="Y396" s="13"/>
    </row>
    <row r="397" spans="1:25" s="7" customFormat="1" ht="20.100000000000001" customHeight="1" x14ac:dyDescent="0.25">
      <c r="A397" s="38">
        <f t="shared" si="202"/>
        <v>3</v>
      </c>
      <c r="B397" s="38">
        <f t="shared" si="203"/>
        <v>0</v>
      </c>
      <c r="C397" s="13" t="s">
        <v>33</v>
      </c>
      <c r="D397" s="13">
        <v>3</v>
      </c>
      <c r="E397" s="13"/>
      <c r="F397" s="13" t="str">
        <f t="shared" ca="1" si="208"/>
        <v>echinv_instr_2_3</v>
      </c>
      <c r="G397" s="13"/>
      <c r="H397" t="s">
        <v>1740</v>
      </c>
      <c r="I397" s="13"/>
      <c r="J397" s="41" t="str">
        <f t="shared" si="205"/>
        <v xml:space="preserve"> </v>
      </c>
      <c r="K397" s="13" t="str">
        <f t="shared" si="204"/>
        <v>Si vous lui donnez une partie de votre maïs, il recevra le triple</v>
      </c>
      <c r="L397" s="13" t="str">
        <f t="shared" si="206"/>
        <v/>
      </c>
      <c r="M397" s="13"/>
      <c r="N397" s="13"/>
      <c r="O397" s="13"/>
      <c r="P397" s="13"/>
      <c r="Q397" s="13"/>
      <c r="R397" s="13"/>
      <c r="S397" s="13"/>
      <c r="T397" s="13"/>
      <c r="U397" s="13"/>
      <c r="V397" s="13"/>
      <c r="W397" s="13"/>
      <c r="X397" s="13"/>
      <c r="Y397" s="13"/>
    </row>
    <row r="398" spans="1:25" s="152" customFormat="1" ht="20.100000000000001" customHeight="1" x14ac:dyDescent="0.25">
      <c r="A398" s="38">
        <f t="shared" si="202"/>
        <v>3</v>
      </c>
      <c r="B398" s="38">
        <f t="shared" si="203"/>
        <v>0</v>
      </c>
      <c r="C398" s="13" t="s">
        <v>33</v>
      </c>
      <c r="D398" s="13">
        <v>4</v>
      </c>
      <c r="E398" s="13"/>
      <c r="F398" s="13" t="str">
        <f t="shared" ca="1" si="208"/>
        <v>echinv_instr_2_4</v>
      </c>
      <c r="G398" s="153"/>
      <c r="H398" t="s">
        <v>1741</v>
      </c>
      <c r="I398" s="153"/>
      <c r="J398" s="41" t="str">
        <f t="shared" si="205"/>
        <v xml:space="preserve"> </v>
      </c>
      <c r="K398" s="13" t="str">
        <f t="shared" si="204"/>
        <v>Ceci veut dire que si vous lui donnez un sac de maïs, il obtiendra 3 sacs de maïs, si vous lui donnez 2 sacs de maïs, il obtiendra 6 sacs de maïs et ainsi de suite. </v>
      </c>
      <c r="L398" s="13" t="str">
        <f t="shared" si="206"/>
        <v/>
      </c>
      <c r="M398" s="16"/>
      <c r="P398" s="152" t="s">
        <v>1742</v>
      </c>
    </row>
    <row r="399" spans="1:25" s="7" customFormat="1" ht="20.100000000000001" customHeight="1" x14ac:dyDescent="0.25">
      <c r="A399" s="38">
        <f t="shared" si="202"/>
        <v>3</v>
      </c>
      <c r="B399" s="38">
        <f t="shared" si="203"/>
        <v>0</v>
      </c>
      <c r="C399" s="13" t="s">
        <v>33</v>
      </c>
      <c r="D399" s="13">
        <v>5</v>
      </c>
      <c r="E399" s="13"/>
      <c r="F399" s="13" t="str">
        <f t="shared" ca="1" si="208"/>
        <v>echinv_instr_2_5</v>
      </c>
      <c r="G399" s="16"/>
      <c r="H399" t="s">
        <v>1743</v>
      </c>
      <c r="I399" s="13"/>
      <c r="J399" s="41" t="str">
        <f t="shared" si="205"/>
        <v xml:space="preserve"> </v>
      </c>
      <c r="K399" s="13" t="str">
        <f t="shared" si="204"/>
        <v>C’est GARANTI que ce sera triplé. </v>
      </c>
      <c r="L399" s="13" t="str">
        <f t="shared" si="206"/>
        <v/>
      </c>
      <c r="M399" s="16"/>
      <c r="N399" s="16"/>
      <c r="O399" s="16"/>
      <c r="P399" s="16"/>
      <c r="Q399" s="16"/>
      <c r="R399" s="16"/>
      <c r="S399" s="13"/>
      <c r="T399" s="16"/>
      <c r="U399" s="16"/>
      <c r="V399" s="16"/>
      <c r="W399" s="16"/>
      <c r="X399" s="16"/>
      <c r="Y399" s="16"/>
    </row>
    <row r="400" spans="1:25" s="7" customFormat="1" ht="20.100000000000001" customHeight="1" x14ac:dyDescent="0.25">
      <c r="A400" s="38">
        <f t="shared" si="202"/>
        <v>3</v>
      </c>
      <c r="B400" s="38">
        <f t="shared" si="203"/>
        <v>0</v>
      </c>
      <c r="C400" s="13" t="s">
        <v>33</v>
      </c>
      <c r="D400" s="13">
        <v>6</v>
      </c>
      <c r="E400" s="13"/>
      <c r="F400" s="13" t="str">
        <f t="shared" ca="1" si="208"/>
        <v>echinv_instr_2_6</v>
      </c>
      <c r="G400" s="16"/>
      <c r="H400" t="s">
        <v>1744</v>
      </c>
      <c r="I400" s="13"/>
      <c r="J400" s="41" t="str">
        <f t="shared" si="205"/>
        <v xml:space="preserve"> </v>
      </c>
      <c r="K400" s="13" t="str">
        <f t="shared" si="204"/>
        <v>Celui qui aura reçu vos sacs ne connait pas votre identité. Maintenant, on lui demandera s’il veut vous retourner quelques sacs</v>
      </c>
      <c r="L400" s="13" t="str">
        <f t="shared" si="206"/>
        <v/>
      </c>
      <c r="M400" s="16"/>
      <c r="N400" s="16"/>
      <c r="O400" s="16"/>
      <c r="P400" s="16"/>
      <c r="Q400" s="16"/>
      <c r="R400" s="16"/>
      <c r="S400" s="13"/>
      <c r="T400" s="16"/>
      <c r="U400" s="16"/>
      <c r="V400" s="16"/>
      <c r="W400" s="16"/>
      <c r="X400" s="16"/>
      <c r="Y400" s="16"/>
    </row>
    <row r="401" spans="1:25" s="7" customFormat="1" ht="20.100000000000001" customHeight="1" x14ac:dyDescent="0.25">
      <c r="A401" s="38">
        <f t="shared" si="202"/>
        <v>3</v>
      </c>
      <c r="B401" s="38">
        <f t="shared" si="203"/>
        <v>0</v>
      </c>
      <c r="C401" s="13" t="s">
        <v>33</v>
      </c>
      <c r="D401" s="13">
        <v>7</v>
      </c>
      <c r="E401" s="13"/>
      <c r="F401" s="13" t="str">
        <f t="shared" ca="1" si="208"/>
        <v>echinv_instr_2_7</v>
      </c>
      <c r="G401" s="16"/>
      <c r="H401" t="s">
        <v>1745</v>
      </c>
      <c r="I401" s="13"/>
      <c r="J401" s="41" t="str">
        <f t="shared" si="205"/>
        <v xml:space="preserve"> </v>
      </c>
      <c r="K401" s="13" t="str">
        <f t="shared" si="204"/>
        <v>La personne n’est pas obligée de retourner les sacs de maïs que vous lui avez donnés. </v>
      </c>
      <c r="L401" s="13" t="str">
        <f t="shared" si="206"/>
        <v/>
      </c>
      <c r="M401" s="16"/>
      <c r="N401" s="16"/>
      <c r="O401" s="16"/>
      <c r="P401" s="16"/>
      <c r="Q401" s="16"/>
      <c r="R401" s="16"/>
      <c r="S401" s="13"/>
      <c r="T401" s="16"/>
      <c r="U401" s="16"/>
      <c r="V401" s="16"/>
      <c r="W401" s="16"/>
      <c r="X401" s="16"/>
      <c r="Y401" s="16"/>
    </row>
    <row r="402" spans="1:25" s="7" customFormat="1" ht="20.100000000000001" customHeight="1" x14ac:dyDescent="0.25">
      <c r="A402" s="38">
        <f t="shared" si="202"/>
        <v>3</v>
      </c>
      <c r="B402" s="38">
        <f t="shared" si="203"/>
        <v>0</v>
      </c>
      <c r="C402" s="13" t="s">
        <v>33</v>
      </c>
      <c r="D402" s="13">
        <v>8</v>
      </c>
      <c r="E402" s="13"/>
      <c r="F402" s="13" t="str">
        <f t="shared" ca="1" si="208"/>
        <v>echinv_instr_2_8</v>
      </c>
      <c r="G402" s="16"/>
      <c r="H402" t="s">
        <v>1746</v>
      </c>
      <c r="I402" s="13"/>
      <c r="J402" s="41" t="str">
        <f t="shared" si="205"/>
        <v xml:space="preserve"> </v>
      </c>
      <c r="K402" s="13" t="str">
        <f t="shared" si="204"/>
        <v>Ceci veut dire qu’il peut retourner zéro sac, un sac, deux sacs, etc. s’il le veut</v>
      </c>
      <c r="L402" s="13" t="str">
        <f t="shared" si="206"/>
        <v/>
      </c>
      <c r="M402" s="16"/>
      <c r="N402" s="16"/>
      <c r="O402" s="16"/>
      <c r="P402" s="16"/>
      <c r="Q402" s="16"/>
      <c r="R402" s="16"/>
      <c r="S402" s="13"/>
      <c r="T402" s="16"/>
      <c r="U402" s="16"/>
      <c r="V402" s="16"/>
      <c r="W402" s="16"/>
      <c r="X402" s="16"/>
      <c r="Y402" s="16"/>
    </row>
    <row r="403" spans="1:25" s="21" customFormat="1" ht="20.100000000000001" customHeight="1" x14ac:dyDescent="0.25">
      <c r="A403" s="38">
        <f t="shared" si="202"/>
        <v>2</v>
      </c>
      <c r="B403" s="38">
        <f t="shared" si="203"/>
        <v>0</v>
      </c>
      <c r="C403" s="124" t="s">
        <v>40</v>
      </c>
      <c r="D403" s="124"/>
      <c r="E403" s="124"/>
      <c r="F403" s="124"/>
      <c r="G403" s="125"/>
      <c r="H403" s="125"/>
      <c r="I403" s="125"/>
      <c r="J403" s="124"/>
      <c r="K403" s="124" t="str">
        <f t="shared" si="204"/>
        <v/>
      </c>
      <c r="L403" s="124"/>
      <c r="M403" s="124"/>
      <c r="N403" s="124"/>
      <c r="O403" s="124"/>
      <c r="P403" s="124"/>
      <c r="Q403" s="124"/>
      <c r="R403" s="124"/>
      <c r="S403" s="124"/>
      <c r="T403" s="124"/>
      <c r="U403" s="124"/>
      <c r="V403" s="124"/>
      <c r="X403" s="56"/>
      <c r="Y403" s="56"/>
    </row>
    <row r="404" spans="1:25" s="7" customFormat="1" ht="20.100000000000001" customHeight="1" x14ac:dyDescent="0.25">
      <c r="A404" s="38">
        <f t="shared" si="202"/>
        <v>2</v>
      </c>
      <c r="B404" s="38">
        <f t="shared" si="203"/>
        <v>0</v>
      </c>
      <c r="C404" s="72" t="s">
        <v>35</v>
      </c>
      <c r="D404" s="72"/>
      <c r="E404" s="72"/>
      <c r="F404" s="72" t="s">
        <v>1747</v>
      </c>
      <c r="G404" s="31"/>
      <c r="H404" t="s">
        <v>1748</v>
      </c>
      <c r="I404" s="31"/>
      <c r="J404" s="41" t="str">
        <f t="shared" ref="J404:J415" si="209">E404&amp;IF(D404="",""," ")&amp;G404</f>
        <v/>
      </c>
      <c r="K404" s="13" t="str">
        <f t="shared" si="204"/>
        <v>Sachant tout ceci, combien des 6 sacs de maïs voulez-vous lui envoyez ? </v>
      </c>
      <c r="L404" s="13" t="str">
        <f t="shared" ref="L404:L415" si="210">E404&amp;IF(E404="",""," ")&amp;I404</f>
        <v/>
      </c>
      <c r="M404" s="72"/>
      <c r="N404" s="72"/>
      <c r="O404" s="72"/>
      <c r="P404" s="72" t="s">
        <v>1749</v>
      </c>
      <c r="Q404" s="72"/>
      <c r="R404" s="72"/>
      <c r="S404" s="72"/>
      <c r="T404" s="72" t="s">
        <v>1893</v>
      </c>
      <c r="U404" s="72"/>
      <c r="V404" s="72"/>
      <c r="X404" s="7" t="s">
        <v>36</v>
      </c>
    </row>
    <row r="405" spans="1:25" s="7" customFormat="1" ht="20.100000000000001" customHeight="1" x14ac:dyDescent="0.25">
      <c r="A405" s="38">
        <f t="shared" si="202"/>
        <v>2</v>
      </c>
      <c r="B405" s="38">
        <f t="shared" si="203"/>
        <v>0</v>
      </c>
      <c r="C405" s="72" t="s">
        <v>44</v>
      </c>
      <c r="D405" s="72"/>
      <c r="E405" s="72"/>
      <c r="F405" s="72" t="s">
        <v>1750</v>
      </c>
      <c r="G405" s="31"/>
      <c r="H405"/>
      <c r="I405" s="31"/>
      <c r="J405" s="41"/>
      <c r="K405" s="13"/>
      <c r="L405" s="13"/>
      <c r="M405" s="72" t="str">
        <f>"6-${"&amp;F404&amp;"}"</f>
        <v>6-${echinv_ie}</v>
      </c>
      <c r="N405" s="72"/>
      <c r="O405" s="72"/>
      <c r="P405" s="72"/>
      <c r="Q405" s="72"/>
      <c r="R405" s="72"/>
      <c r="S405" s="72"/>
      <c r="T405" s="72"/>
      <c r="U405" s="72"/>
      <c r="V405" s="72"/>
    </row>
    <row r="406" spans="1:25" s="7" customFormat="1" ht="20.100000000000001" customHeight="1" x14ac:dyDescent="0.25">
      <c r="A406" s="38">
        <f t="shared" si="202"/>
        <v>2</v>
      </c>
      <c r="B406" s="38">
        <f t="shared" si="203"/>
        <v>0</v>
      </c>
      <c r="C406" s="72" t="s">
        <v>44</v>
      </c>
      <c r="D406" s="72"/>
      <c r="E406" s="72"/>
      <c r="F406" s="72" t="s">
        <v>1751</v>
      </c>
      <c r="G406" s="31"/>
      <c r="H406"/>
      <c r="I406" s="31"/>
      <c r="J406" s="41"/>
      <c r="K406" s="13"/>
      <c r="L406" s="13"/>
      <c r="M406" s="72" t="str">
        <f>"3*${"&amp;F404&amp;"}"</f>
        <v>3*${echinv_ie}</v>
      </c>
      <c r="N406" s="72"/>
      <c r="O406" s="72"/>
      <c r="P406" s="72"/>
      <c r="Q406" s="72"/>
      <c r="R406" s="72"/>
      <c r="S406" s="72"/>
      <c r="T406" s="72"/>
      <c r="U406" s="72"/>
      <c r="V406" s="72"/>
    </row>
    <row r="407" spans="1:25" s="7" customFormat="1" ht="20.100000000000001" customHeight="1" x14ac:dyDescent="0.25">
      <c r="A407" s="38">
        <f t="shared" si="202"/>
        <v>2</v>
      </c>
      <c r="B407" s="38">
        <f t="shared" si="203"/>
        <v>0</v>
      </c>
      <c r="C407" s="72" t="s">
        <v>44</v>
      </c>
      <c r="D407" s="72"/>
      <c r="E407" s="72"/>
      <c r="F407" s="72" t="s">
        <v>1752</v>
      </c>
      <c r="G407" s="31"/>
      <c r="H407"/>
      <c r="I407" s="31"/>
      <c r="J407" s="41"/>
      <c r="K407" s="13"/>
      <c r="L407" s="13"/>
      <c r="M407" s="72" t="str">
        <f>"2*${"&amp;F404&amp;"}"</f>
        <v>2*${echinv_ie}</v>
      </c>
      <c r="N407" s="72"/>
      <c r="O407" s="72"/>
      <c r="P407" s="72"/>
      <c r="Q407" s="72"/>
      <c r="R407" s="72"/>
      <c r="S407" s="72"/>
      <c r="T407" s="72"/>
      <c r="U407" s="72"/>
      <c r="V407" s="72"/>
    </row>
    <row r="408" spans="1:25" s="7" customFormat="1" ht="20.100000000000001" customHeight="1" x14ac:dyDescent="0.25">
      <c r="A408" s="38">
        <f t="shared" si="202"/>
        <v>2</v>
      </c>
      <c r="B408" s="38">
        <f t="shared" si="203"/>
        <v>0</v>
      </c>
      <c r="C408" s="72" t="s">
        <v>44</v>
      </c>
      <c r="D408" s="72"/>
      <c r="E408" s="72"/>
      <c r="F408" s="72" t="s">
        <v>1753</v>
      </c>
      <c r="G408" s="31"/>
      <c r="H408"/>
      <c r="I408" s="31"/>
      <c r="J408" s="41"/>
      <c r="K408" s="13"/>
      <c r="L408" s="13"/>
      <c r="M408" s="72" t="str">
        <f>"${"&amp;F405&amp;"} + ${"&amp;F407&amp;"}"</f>
        <v>${echinv_ie_keep} + ${echinv_ie_sendback}</v>
      </c>
      <c r="N408" s="72"/>
      <c r="O408" s="72"/>
      <c r="P408" s="72"/>
      <c r="Q408" s="72"/>
      <c r="R408" s="72"/>
      <c r="S408" s="72"/>
      <c r="T408" s="72"/>
      <c r="U408" s="72"/>
      <c r="V408" s="72"/>
    </row>
    <row r="409" spans="1:25" s="17" customFormat="1" ht="20.100000000000001" customHeight="1" x14ac:dyDescent="0.25">
      <c r="A409" s="38">
        <f t="shared" si="202"/>
        <v>3</v>
      </c>
      <c r="B409" s="38">
        <f t="shared" si="203"/>
        <v>0</v>
      </c>
      <c r="C409" s="122" t="s">
        <v>32</v>
      </c>
      <c r="D409" s="122">
        <v>3</v>
      </c>
      <c r="E409" s="122"/>
      <c r="F409" s="10" t="str">
        <f>"echinv_instr_"&amp;D409</f>
        <v>echinv_instr_3</v>
      </c>
      <c r="G409" s="10" t="str">
        <f>"Instuctions Warm up Investment "&amp;D409</f>
        <v>Instuctions Warm up Investment 3</v>
      </c>
      <c r="H409" s="10" t="str">
        <f>"Instuction Échauffement Investissement "&amp;D409</f>
        <v>Instuction Échauffement Investissement 3</v>
      </c>
      <c r="I409" s="10" t="str">
        <f>"Instuction Échauffement Investissement "&amp;D409</f>
        <v>Instuction Échauffement Investissement 3</v>
      </c>
      <c r="J409" s="10" t="str">
        <f t="shared" si="209"/>
        <v xml:space="preserve"> Instuctions Warm up Investment 3</v>
      </c>
      <c r="K409" s="10" t="str">
        <f t="shared" si="204"/>
        <v>Instuction Échauffement Investissement 3</v>
      </c>
      <c r="L409" s="10" t="str">
        <f t="shared" si="210"/>
        <v>Instuction Échauffement Investissement 3</v>
      </c>
      <c r="M409" s="122"/>
      <c r="N409" s="122"/>
      <c r="O409" s="122"/>
      <c r="P409" s="122"/>
      <c r="Q409" s="122"/>
      <c r="R409" s="122"/>
      <c r="S409" s="122"/>
      <c r="T409" s="122"/>
      <c r="U409" s="122"/>
      <c r="V409" s="122"/>
      <c r="X409" s="122"/>
    </row>
    <row r="410" spans="1:25" s="7" customFormat="1" ht="20.100000000000001" customHeight="1" x14ac:dyDescent="0.25">
      <c r="A410" s="38">
        <f t="shared" si="202"/>
        <v>3</v>
      </c>
      <c r="B410" s="38">
        <f t="shared" si="203"/>
        <v>0</v>
      </c>
      <c r="C410" s="72" t="s">
        <v>33</v>
      </c>
      <c r="D410" s="13">
        <v>1</v>
      </c>
      <c r="E410" s="13"/>
      <c r="F410" s="13" t="str">
        <f t="shared" ref="F410:F415" ca="1" si="211">OFFSET(F410,-1*D410,0)&amp;"_"&amp;D410</f>
        <v>echinv_instr_3_1</v>
      </c>
      <c r="G410" s="31"/>
      <c r="H410" t="s">
        <v>1754</v>
      </c>
      <c r="I410" s="31"/>
      <c r="J410" s="41" t="str">
        <f t="shared" si="209"/>
        <v xml:space="preserve"> </v>
      </c>
      <c r="K410" s="13" t="str">
        <f t="shared" si="204"/>
        <v>Maintenant, vous êtes dans la situation opposée: c'est vous qui a besoin de mais</v>
      </c>
      <c r="L410" s="13" t="str">
        <f t="shared" si="210"/>
        <v/>
      </c>
      <c r="M410" s="72"/>
      <c r="N410" s="72"/>
      <c r="O410" s="72"/>
      <c r="P410" s="72"/>
      <c r="Q410" s="72"/>
      <c r="R410" s="72"/>
      <c r="S410" s="72"/>
      <c r="T410" s="72"/>
      <c r="U410" s="72"/>
      <c r="V410" s="72"/>
    </row>
    <row r="411" spans="1:25" s="7" customFormat="1" ht="20.100000000000001" customHeight="1" x14ac:dyDescent="0.25">
      <c r="A411" s="38">
        <f t="shared" si="202"/>
        <v>3</v>
      </c>
      <c r="B411" s="38">
        <f t="shared" si="203"/>
        <v>0</v>
      </c>
      <c r="C411" s="72" t="s">
        <v>33</v>
      </c>
      <c r="D411" s="13">
        <v>2</v>
      </c>
      <c r="E411" s="13"/>
      <c r="F411" s="13" t="str">
        <f t="shared" ca="1" si="211"/>
        <v>echinv_instr_3_2</v>
      </c>
      <c r="G411" s="31"/>
      <c r="H411" t="s">
        <v>1755</v>
      </c>
      <c r="I411" s="31"/>
      <c r="J411" s="41"/>
      <c r="K411" s="13" t="str">
        <f t="shared" si="204"/>
        <v>C'est à dire que quelqu'un d'autre dans votre village est l'Envoyeur, et vous etes le Recepteur</v>
      </c>
      <c r="L411" s="13"/>
      <c r="M411" s="72"/>
      <c r="N411" s="72"/>
      <c r="O411" s="72"/>
      <c r="P411" s="72"/>
      <c r="Q411" s="72"/>
      <c r="R411" s="72"/>
      <c r="S411" s="72"/>
      <c r="T411" s="72"/>
      <c r="U411" s="72"/>
      <c r="V411" s="72"/>
    </row>
    <row r="412" spans="1:25" s="7" customFormat="1" ht="20.100000000000001" customHeight="1" x14ac:dyDescent="0.25">
      <c r="A412" s="38">
        <f t="shared" si="202"/>
        <v>3</v>
      </c>
      <c r="B412" s="38">
        <f t="shared" si="203"/>
        <v>0</v>
      </c>
      <c r="C412" s="72" t="s">
        <v>33</v>
      </c>
      <c r="D412" s="13">
        <v>3</v>
      </c>
      <c r="E412" s="13"/>
      <c r="F412" s="13" t="str">
        <f t="shared" ca="1" si="211"/>
        <v>echinv_instr_3_3</v>
      </c>
      <c r="G412" s="31"/>
      <c r="H412" t="s">
        <v>1756</v>
      </c>
      <c r="I412" s="31"/>
      <c r="J412" s="41"/>
      <c r="K412" s="13" t="str">
        <f t="shared" si="204"/>
        <v>Le Recepteur a fait la meme décision que vous venez de faire</v>
      </c>
      <c r="L412" s="13"/>
      <c r="M412" s="72"/>
      <c r="N412" s="72"/>
      <c r="O412" s="72"/>
      <c r="P412" s="72"/>
      <c r="Q412" s="72"/>
      <c r="R412" s="72"/>
      <c r="S412" s="72"/>
      <c r="T412" s="72"/>
      <c r="U412" s="72"/>
      <c r="V412" s="72"/>
    </row>
    <row r="413" spans="1:25" s="7" customFormat="1" ht="20.100000000000001" customHeight="1" x14ac:dyDescent="0.25">
      <c r="A413" s="38">
        <f t="shared" si="202"/>
        <v>3</v>
      </c>
      <c r="B413" s="38">
        <f t="shared" si="203"/>
        <v>0</v>
      </c>
      <c r="C413" s="72" t="s">
        <v>33</v>
      </c>
      <c r="D413" s="13">
        <v>4</v>
      </c>
      <c r="E413" s="13"/>
      <c r="F413" s="13" t="str">
        <f t="shared" ca="1" si="211"/>
        <v>echinv_instr_3_4</v>
      </c>
      <c r="G413" s="31"/>
      <c r="H413" t="s">
        <v>1757</v>
      </c>
      <c r="I413" s="31"/>
      <c r="J413" s="41"/>
      <c r="K413" s="13" t="str">
        <f t="shared" si="204"/>
        <v>Je vais présenter tous les 6 offres possible, qui sont dans ce schema ici, et vous allez me indiquer combien vous voulez renvoier</v>
      </c>
      <c r="L413" s="13"/>
      <c r="M413" s="72"/>
      <c r="N413" s="72"/>
      <c r="O413" s="72"/>
      <c r="P413" s="152" t="s">
        <v>1742</v>
      </c>
      <c r="Q413" s="72"/>
      <c r="R413" s="72"/>
      <c r="S413" s="72"/>
      <c r="T413" s="72"/>
      <c r="U413" s="72"/>
      <c r="V413" s="72"/>
    </row>
    <row r="414" spans="1:25" s="7" customFormat="1" ht="20.100000000000001" customHeight="1" x14ac:dyDescent="0.25">
      <c r="A414" s="38">
        <f t="shared" si="202"/>
        <v>3</v>
      </c>
      <c r="B414" s="38">
        <f t="shared" si="203"/>
        <v>0</v>
      </c>
      <c r="C414" s="72" t="s">
        <v>33</v>
      </c>
      <c r="D414" s="13">
        <v>5</v>
      </c>
      <c r="E414" s="13"/>
      <c r="F414" s="13" t="str">
        <f t="shared" ca="1" si="211"/>
        <v>echinv_instr_3_5</v>
      </c>
      <c r="G414" s="31"/>
      <c r="H414" t="s">
        <v>1758</v>
      </c>
      <c r="I414" s="31"/>
      <c r="J414" s="41" t="str">
        <f t="shared" si="209"/>
        <v xml:space="preserve"> </v>
      </c>
      <c r="K414" s="13" t="str">
        <f t="shared" si="204"/>
        <v>Quand nous allons faire l'exercice votre correspondant sera quelqu'un d'autre du village dont vous ne connaissez pas l’identité</v>
      </c>
      <c r="L414" s="13" t="str">
        <f t="shared" si="210"/>
        <v/>
      </c>
      <c r="M414" s="72"/>
      <c r="N414" s="72"/>
      <c r="O414" s="72"/>
      <c r="P414" s="72"/>
      <c r="Q414" s="72"/>
      <c r="R414" s="72"/>
      <c r="S414" s="72"/>
      <c r="T414" s="72"/>
      <c r="U414" s="72"/>
      <c r="V414" s="72"/>
      <c r="X414" s="52"/>
    </row>
    <row r="415" spans="1:25" s="7" customFormat="1" ht="20.100000000000001" customHeight="1" x14ac:dyDescent="0.25">
      <c r="A415" s="38">
        <f t="shared" si="202"/>
        <v>3</v>
      </c>
      <c r="B415" s="38">
        <f t="shared" si="203"/>
        <v>0</v>
      </c>
      <c r="C415" s="72" t="s">
        <v>33</v>
      </c>
      <c r="D415" s="13">
        <v>6</v>
      </c>
      <c r="E415" s="13"/>
      <c r="F415" s="13" t="str">
        <f t="shared" ca="1" si="211"/>
        <v>echinv_instr_3_6</v>
      </c>
      <c r="G415" s="31"/>
      <c r="H415" t="s">
        <v>1759</v>
      </c>
      <c r="I415" s="31"/>
      <c r="J415" s="41" t="str">
        <f t="shared" si="209"/>
        <v xml:space="preserve"> </v>
      </c>
      <c r="K415" s="13" t="str">
        <f t="shared" si="204"/>
        <v>Pour l'echauffement qui nous faisson maintenant, l'offre de votre correspondant est dans ces fiches ici, qui sont rempli par mes superviseurs.</v>
      </c>
      <c r="L415" s="13" t="str">
        <f t="shared" si="210"/>
        <v/>
      </c>
      <c r="M415" s="72"/>
      <c r="N415" s="72"/>
      <c r="O415" s="72"/>
      <c r="P415" s="72" t="s">
        <v>1760</v>
      </c>
      <c r="Q415" s="72"/>
      <c r="R415" s="72"/>
      <c r="S415" s="72"/>
      <c r="T415" s="72"/>
      <c r="U415" s="72"/>
      <c r="V415" s="72"/>
    </row>
    <row r="416" spans="1:25" s="21" customFormat="1" ht="20.100000000000001" customHeight="1" x14ac:dyDescent="0.25">
      <c r="A416" s="38">
        <f t="shared" si="202"/>
        <v>2</v>
      </c>
      <c r="B416" s="38">
        <f t="shared" si="203"/>
        <v>0</v>
      </c>
      <c r="C416" s="124" t="s">
        <v>40</v>
      </c>
      <c r="D416" s="124">
        <v>1</v>
      </c>
      <c r="E416" s="124"/>
      <c r="F416" s="124"/>
      <c r="G416" s="125"/>
      <c r="H416" s="125"/>
      <c r="I416" s="125"/>
      <c r="J416" s="124"/>
      <c r="K416" s="124" t="str">
        <f t="shared" si="204"/>
        <v/>
      </c>
      <c r="L416" s="124"/>
      <c r="M416" s="124"/>
      <c r="N416" s="124"/>
      <c r="O416" s="124"/>
      <c r="P416" s="124"/>
      <c r="Q416" s="124"/>
      <c r="R416" s="124"/>
      <c r="S416" s="124"/>
      <c r="T416" s="124"/>
      <c r="U416" s="124"/>
      <c r="V416" s="124"/>
      <c r="X416" s="56"/>
      <c r="Y416" s="56"/>
    </row>
    <row r="417" spans="1:25" s="36" customFormat="1" ht="18.75" customHeight="1" x14ac:dyDescent="0.25">
      <c r="A417" s="38">
        <f t="shared" si="202"/>
        <v>2</v>
      </c>
      <c r="B417" s="38">
        <f t="shared" si="203"/>
        <v>1</v>
      </c>
      <c r="C417" s="33" t="s">
        <v>244</v>
      </c>
      <c r="D417" s="33">
        <f>D416+1</f>
        <v>2</v>
      </c>
      <c r="E417" s="33"/>
      <c r="F417" s="33" t="s">
        <v>1761</v>
      </c>
      <c r="G417" s="154" t="s">
        <v>1762</v>
      </c>
      <c r="H417" s="154" t="s">
        <v>1763</v>
      </c>
      <c r="I417" s="154" t="s">
        <v>1763</v>
      </c>
      <c r="J417" s="154" t="str">
        <f t="shared" ref="J417:J421" si="212">E417&amp;IF(D417="",""," ")&amp;G417</f>
        <v xml:space="preserve"> Warm up Receiver</v>
      </c>
      <c r="K417" s="154" t="str">
        <f t="shared" si="204"/>
        <v>Echauffement Recepteur</v>
      </c>
      <c r="L417" s="154" t="str">
        <f t="shared" ref="L417:L421" si="213">E417&amp;IF(E417="",""," ")&amp;I417</f>
        <v>Echauffement Recepteur</v>
      </c>
      <c r="M417" s="33"/>
      <c r="N417" s="33"/>
      <c r="O417" s="33"/>
      <c r="P417" s="33"/>
      <c r="Q417" s="33"/>
      <c r="R417" s="33"/>
      <c r="S417" s="33"/>
      <c r="T417" s="33"/>
      <c r="U417" s="33"/>
      <c r="V417" s="33"/>
      <c r="X417" s="33"/>
      <c r="Y417" s="36">
        <v>6</v>
      </c>
    </row>
    <row r="418" spans="1:25" customFormat="1" ht="18.75" customHeight="1" x14ac:dyDescent="0.25">
      <c r="A418" s="38">
        <f t="shared" si="202"/>
        <v>2</v>
      </c>
      <c r="B418" s="38">
        <f t="shared" si="203"/>
        <v>1</v>
      </c>
      <c r="C418" t="s">
        <v>44</v>
      </c>
      <c r="F418" t="s">
        <v>1764</v>
      </c>
      <c r="K418" t="str">
        <f t="shared" si="204"/>
        <v/>
      </c>
      <c r="M418" t="s">
        <v>1360</v>
      </c>
    </row>
    <row r="419" spans="1:25" customFormat="1" ht="18.75" customHeight="1" x14ac:dyDescent="0.25">
      <c r="A419" s="38">
        <f t="shared" si="202"/>
        <v>2</v>
      </c>
      <c r="B419" s="38">
        <f t="shared" si="203"/>
        <v>1</v>
      </c>
      <c r="C419" t="s">
        <v>44</v>
      </c>
      <c r="F419" t="str">
        <f>F417&amp;"_receive"</f>
        <v>echinv_r_receive</v>
      </c>
      <c r="K419" t="str">
        <f t="shared" si="204"/>
        <v/>
      </c>
      <c r="M419" t="str">
        <f>"3*${"&amp;F418&amp;"}"</f>
        <v>3*${echinv_r_linenum}</v>
      </c>
    </row>
    <row r="420" spans="1:25" s="7" customFormat="1" ht="20.100000000000001" customHeight="1" x14ac:dyDescent="0.25">
      <c r="A420" s="38">
        <f t="shared" si="202"/>
        <v>2</v>
      </c>
      <c r="B420" s="38">
        <f t="shared" si="203"/>
        <v>1</v>
      </c>
      <c r="C420" s="72" t="s">
        <v>33</v>
      </c>
      <c r="D420" s="72"/>
      <c r="E420" s="72"/>
      <c r="F420" s="13" t="str">
        <f>F417&amp;"_instr_1"</f>
        <v>echinv_r_instr_1</v>
      </c>
      <c r="G420" s="31"/>
      <c r="H420" t="str">
        <f>"Offre ${"&amp;F418&amp;"}: Une personne quelconque du village –dont vous ne connaissez pas l’identité – vous envoie ${"&amp;F418&amp;"} sacs  de maïs (sur 6) et de ce fait, vous recevez immédiatement ${"&amp;F419&amp;"} sacs de maïs."</f>
        <v>Offre ${echinv_r_linenum}: Une personne quelconque du village –dont vous ne connaissez pas l’identité – vous envoie ${echinv_r_linenum} sacs  de maïs (sur 6) et de ce fait, vous recevez immédiatement ${echinv_r_receive} sacs de maïs.</v>
      </c>
      <c r="I420" s="31"/>
      <c r="J420" s="41" t="str">
        <f t="shared" si="212"/>
        <v/>
      </c>
      <c r="K420" s="13" t="str">
        <f t="shared" si="204"/>
        <v>Offre ${echinv_r_linenum}: Une personne quelconque du village –dont vous ne connaissez pas l’identité – vous envoie ${echinv_r_linenum} sacs  de maïs (sur 6) et de ce fait, vous recevez immédiatement ${echinv_r_receive} sacs de maïs.</v>
      </c>
      <c r="L420" s="13" t="str">
        <f t="shared" si="213"/>
        <v/>
      </c>
      <c r="M420" s="72"/>
      <c r="N420" s="72"/>
      <c r="O420" s="72" t="s">
        <v>1892</v>
      </c>
      <c r="P420" s="72" t="s">
        <v>1892</v>
      </c>
      <c r="Q420" s="72" t="s">
        <v>1892</v>
      </c>
      <c r="R420" s="72"/>
      <c r="S420" s="72"/>
      <c r="T420" s="72"/>
      <c r="U420" s="72"/>
      <c r="V420" s="72"/>
    </row>
    <row r="421" spans="1:25" s="7" customFormat="1" ht="20.100000000000001" customHeight="1" x14ac:dyDescent="0.25">
      <c r="A421" s="38">
        <f t="shared" si="202"/>
        <v>2</v>
      </c>
      <c r="B421" s="38">
        <f t="shared" si="203"/>
        <v>1</v>
      </c>
      <c r="C421" s="72" t="s">
        <v>35</v>
      </c>
      <c r="D421" s="72"/>
      <c r="E421" s="72"/>
      <c r="F421" s="13" t="str">
        <f>F417&amp;"_ir"</f>
        <v>echinv_r_ir</v>
      </c>
      <c r="G421" s="31"/>
      <c r="H421" t="s">
        <v>1765</v>
      </c>
      <c r="I421" s="31"/>
      <c r="J421" s="41" t="str">
        <f t="shared" si="212"/>
        <v/>
      </c>
      <c r="K421" s="13" t="str">
        <f t="shared" si="204"/>
        <v>Vous avez la possibilité de lui retourner des sacs, mais vous êtes libre de les retourner ou pas. Combien de sacs voulez-vous lui retourner ? </v>
      </c>
      <c r="L421" s="13" t="str">
        <f t="shared" si="213"/>
        <v/>
      </c>
      <c r="M421" s="72"/>
      <c r="N421" s="72"/>
      <c r="O421" s="72"/>
      <c r="P421" s="72"/>
      <c r="Q421" s="72"/>
      <c r="R421" s="72"/>
      <c r="S421" s="72"/>
      <c r="T421" s="72" t="str">
        <f>".&gt;=0 and .&lt;= "&amp;"${"&amp;F419&amp;"}"</f>
        <v>.&gt;=0 and .&lt;= ${echinv_r_receive}</v>
      </c>
      <c r="U421" s="72"/>
      <c r="V421" s="72"/>
      <c r="X421" s="7" t="s">
        <v>36</v>
      </c>
    </row>
    <row r="422" spans="1:25" s="7" customFormat="1" ht="20.100000000000001" customHeight="1" x14ac:dyDescent="0.25">
      <c r="A422" s="38">
        <f t="shared" si="202"/>
        <v>2</v>
      </c>
      <c r="B422" s="38">
        <f t="shared" si="203"/>
        <v>1</v>
      </c>
      <c r="C422" s="72" t="s">
        <v>44</v>
      </c>
      <c r="D422" s="72"/>
      <c r="E422" s="72"/>
      <c r="F422" s="13" t="str">
        <f>F417&amp;"_keep"</f>
        <v>echinv_r_keep</v>
      </c>
      <c r="G422" s="31"/>
      <c r="H422"/>
      <c r="I422" s="31"/>
      <c r="J422" s="41"/>
      <c r="K422" s="13" t="str">
        <f t="shared" si="204"/>
        <v/>
      </c>
      <c r="L422" s="13"/>
      <c r="M422" s="72" t="str">
        <f>"${"&amp;F419&amp;"} - ${"&amp;F421&amp;"}"</f>
        <v>${echinv_r_receive} - ${echinv_r_ir}</v>
      </c>
      <c r="N422" s="72"/>
      <c r="O422" s="72"/>
      <c r="P422" s="72"/>
      <c r="Q422" s="72"/>
      <c r="R422" s="72"/>
      <c r="S422" s="72"/>
      <c r="T422" s="72"/>
      <c r="U422" s="72"/>
      <c r="V422" s="72"/>
      <c r="X422" s="52"/>
    </row>
    <row r="423" spans="1:25" s="7" customFormat="1" ht="20.100000000000001" customHeight="1" x14ac:dyDescent="0.25">
      <c r="A423" s="38">
        <f t="shared" si="202"/>
        <v>2</v>
      </c>
      <c r="B423" s="38">
        <f t="shared" si="203"/>
        <v>1</v>
      </c>
      <c r="C423" s="72" t="s">
        <v>44</v>
      </c>
      <c r="D423" s="72"/>
      <c r="E423" s="72"/>
      <c r="F423" s="13" t="str">
        <f>F417&amp;"_sender"</f>
        <v>echinv_r_sender</v>
      </c>
      <c r="G423" s="31"/>
      <c r="H423"/>
      <c r="I423" s="31"/>
      <c r="J423" s="41"/>
      <c r="K423" s="13" t="str">
        <f t="shared" si="204"/>
        <v/>
      </c>
      <c r="L423" s="13"/>
      <c r="M423" s="72" t="str">
        <f>"6-${"&amp;F418&amp;"} + ${"&amp;F421&amp;"}"</f>
        <v>6-${echinv_r_linenum} + ${echinv_r_ir}</v>
      </c>
      <c r="N423" s="72"/>
      <c r="O423" s="72"/>
      <c r="P423" s="72"/>
      <c r="Q423" s="72"/>
      <c r="R423" s="72"/>
      <c r="S423" s="72"/>
      <c r="T423" s="72"/>
      <c r="U423" s="72"/>
      <c r="V423" s="72"/>
      <c r="X423" s="52"/>
    </row>
    <row r="424" spans="1:25" s="7" customFormat="1" ht="20.100000000000001" customHeight="1" x14ac:dyDescent="0.25">
      <c r="A424" s="38">
        <f t="shared" si="202"/>
        <v>2</v>
      </c>
      <c r="B424" s="38">
        <f t="shared" si="203"/>
        <v>1</v>
      </c>
      <c r="C424" s="72" t="s">
        <v>33</v>
      </c>
      <c r="D424" s="72"/>
      <c r="E424" s="72"/>
      <c r="F424" s="13" t="str">
        <f>F417&amp;"_inst_2"</f>
        <v>echinv_r_inst_2</v>
      </c>
      <c r="G424" s="31"/>
      <c r="H424" t="str">
        <f>"Ça signifie que si vous recevez cet offre, votre gains sera ${"&amp;F422&amp;"} sacs de mais et le gain de votre correspondant sera ${"&amp;F423&amp;"} sacs de mais"</f>
        <v>Ça signifie que si vous recevez cet offre, votre gains sera ${echinv_r_keep} sacs de mais et le gain de votre correspondant sera ${echinv_r_sender} sacs de mais</v>
      </c>
      <c r="I424" s="31"/>
      <c r="J424" s="41"/>
      <c r="K424" s="13" t="str">
        <f t="shared" si="204"/>
        <v>Ça signifie que si vous recevez cet offre, votre gains sera ${echinv_r_keep} sacs de mais et le gain de votre correspondant sera ${echinv_r_sender} sacs de mais</v>
      </c>
      <c r="L424" s="13"/>
      <c r="M424" s="72"/>
      <c r="N424" s="72"/>
      <c r="O424" s="72"/>
      <c r="P424" s="72"/>
      <c r="Q424" s="72"/>
      <c r="R424" s="72"/>
      <c r="S424" s="72"/>
      <c r="T424" s="72"/>
      <c r="U424" s="72"/>
      <c r="V424" s="72"/>
      <c r="X424" s="52"/>
    </row>
    <row r="425" spans="1:25" s="40" customFormat="1" ht="20.100000000000001" customHeight="1" x14ac:dyDescent="0.25">
      <c r="A425" s="38">
        <f t="shared" si="202"/>
        <v>2</v>
      </c>
      <c r="B425" s="38">
        <f t="shared" si="203"/>
        <v>0</v>
      </c>
      <c r="C425" s="35" t="s">
        <v>287</v>
      </c>
      <c r="D425" s="35"/>
      <c r="E425" s="35"/>
      <c r="F425" s="35"/>
      <c r="G425" s="34"/>
      <c r="H425" s="34"/>
      <c r="I425" s="34"/>
      <c r="J425" s="35"/>
      <c r="K425" s="35" t="str">
        <f t="shared" si="204"/>
        <v/>
      </c>
      <c r="L425" s="35"/>
      <c r="M425" s="35"/>
      <c r="N425" s="35"/>
      <c r="O425" s="35"/>
      <c r="P425" s="35"/>
      <c r="Q425" s="35"/>
      <c r="R425" s="35"/>
      <c r="S425" s="35"/>
      <c r="T425" s="35"/>
      <c r="U425" s="35"/>
      <c r="V425" s="35"/>
      <c r="X425" s="116"/>
      <c r="Y425" s="116"/>
    </row>
    <row r="426" spans="1:25" customFormat="1" ht="20.100000000000001" customHeight="1" x14ac:dyDescent="0.25">
      <c r="A426" s="38">
        <f t="shared" si="202"/>
        <v>2</v>
      </c>
      <c r="B426" s="38">
        <f t="shared" si="203"/>
        <v>0</v>
      </c>
      <c r="C426" s="72" t="s">
        <v>44</v>
      </c>
      <c r="F426" t="s">
        <v>1766</v>
      </c>
      <c r="M426" t="str">
        <f>"indexed-repeat(${"&amp;F421&amp;"}, ${"&amp;F417&amp;"},3)"</f>
        <v>indexed-repeat(${echinv_r_ir}, ${echinv_r},3)</v>
      </c>
    </row>
    <row r="427" spans="1:25" customFormat="1" ht="20.100000000000001" customHeight="1" x14ac:dyDescent="0.25">
      <c r="A427" s="38">
        <f t="shared" si="202"/>
        <v>2</v>
      </c>
      <c r="B427" s="38">
        <f t="shared" si="203"/>
        <v>0</v>
      </c>
      <c r="C427" s="72" t="s">
        <v>44</v>
      </c>
      <c r="F427" t="s">
        <v>1767</v>
      </c>
      <c r="M427" t="str">
        <f>"indexed-repeat(${"&amp;F422&amp;"}, ${"&amp;F417&amp;"},3)"</f>
        <v>indexed-repeat(${echinv_r_keep}, ${echinv_r},3)</v>
      </c>
    </row>
    <row r="428" spans="1:25" s="17" customFormat="1" ht="20.100000000000001" customHeight="1" x14ac:dyDescent="0.25">
      <c r="A428" s="38">
        <f t="shared" si="202"/>
        <v>3</v>
      </c>
      <c r="B428" s="38">
        <f t="shared" si="203"/>
        <v>0</v>
      </c>
      <c r="C428" s="122" t="s">
        <v>32</v>
      </c>
      <c r="D428" s="122">
        <v>4</v>
      </c>
      <c r="E428" s="122"/>
      <c r="F428" s="10" t="str">
        <f>"echinv_instr_"&amp;D428</f>
        <v>echinv_instr_4</v>
      </c>
      <c r="G428" s="10" t="str">
        <f>"Instuctions Warm up Investment "&amp;D428</f>
        <v>Instuctions Warm up Investment 4</v>
      </c>
      <c r="H428" s="10" t="str">
        <f>"Instuction Échauffement Investissement "&amp;D428</f>
        <v>Instuction Échauffement Investissement 4</v>
      </c>
      <c r="I428" s="10" t="str">
        <f>"Instuction Échauffement Investissement "&amp;D428</f>
        <v>Instuction Échauffement Investissement 4</v>
      </c>
      <c r="J428" s="10" t="str">
        <f t="shared" ref="J428:J429" si="214">E428&amp;IF(D428="",""," ")&amp;G428</f>
        <v xml:space="preserve"> Instuctions Warm up Investment 4</v>
      </c>
      <c r="K428" s="10" t="str">
        <f t="shared" ref="K428:K491" si="215">E428&amp;IF(E428="",""," ")&amp;H428</f>
        <v>Instuction Échauffement Investissement 4</v>
      </c>
      <c r="L428" s="10" t="str">
        <f t="shared" ref="L428:L429" si="216">E428&amp;IF(E428="",""," ")&amp;I428</f>
        <v>Instuction Échauffement Investissement 4</v>
      </c>
      <c r="M428" s="122"/>
      <c r="N428" s="122"/>
      <c r="O428" s="122"/>
      <c r="P428" s="122"/>
      <c r="Q428" s="122"/>
      <c r="R428" s="122"/>
      <c r="S428" s="122"/>
      <c r="T428" s="122"/>
      <c r="U428" s="122"/>
      <c r="V428" s="122"/>
      <c r="X428" s="122"/>
    </row>
    <row r="429" spans="1:25" s="7" customFormat="1" ht="20.100000000000001" customHeight="1" x14ac:dyDescent="0.25">
      <c r="A429" s="38">
        <f t="shared" si="202"/>
        <v>3</v>
      </c>
      <c r="B429" s="38">
        <f t="shared" si="203"/>
        <v>0</v>
      </c>
      <c r="C429" s="72" t="s">
        <v>33</v>
      </c>
      <c r="D429" s="13">
        <v>1</v>
      </c>
      <c r="E429" s="13"/>
      <c r="F429" s="13" t="str">
        <f t="shared" ref="F429:F439" ca="1" si="217">OFFSET(F429,-1*D429,0)&amp;"_"&amp;D429</f>
        <v>echinv_instr_4_1</v>
      </c>
      <c r="G429" s="31"/>
      <c r="H429" t="s">
        <v>1768</v>
      </c>
      <c r="I429" s="31"/>
      <c r="J429" s="41" t="str">
        <f t="shared" si="214"/>
        <v xml:space="preserve"> </v>
      </c>
      <c r="K429" s="13" t="str">
        <f t="shared" si="215"/>
        <v>Maintenant vous avez fait l’exercice en tant qu’Envoyeur, et en tant que Récepteur</v>
      </c>
      <c r="L429" s="13" t="str">
        <f t="shared" si="216"/>
        <v/>
      </c>
      <c r="M429" s="72"/>
      <c r="N429" s="72"/>
      <c r="O429" s="72"/>
      <c r="P429" s="72"/>
      <c r="Q429" s="72"/>
      <c r="R429" s="72"/>
      <c r="S429" s="72"/>
      <c r="T429" s="72"/>
      <c r="U429" s="72"/>
      <c r="V429" s="72"/>
    </row>
    <row r="430" spans="1:25" s="7" customFormat="1" ht="20.100000000000001" customHeight="1" x14ac:dyDescent="0.25">
      <c r="A430" s="38">
        <f t="shared" si="202"/>
        <v>3</v>
      </c>
      <c r="B430" s="38">
        <f t="shared" si="203"/>
        <v>0</v>
      </c>
      <c r="C430" s="72" t="s">
        <v>33</v>
      </c>
      <c r="D430" s="13">
        <v>2</v>
      </c>
      <c r="E430" s="13"/>
      <c r="F430" s="13" t="str">
        <f t="shared" ca="1" si="217"/>
        <v>echinv_instr_4_2</v>
      </c>
      <c r="G430" s="31"/>
      <c r="H430" t="s">
        <v>1769</v>
      </c>
      <c r="I430" s="31"/>
      <c r="J430" s="41"/>
      <c r="K430" s="13" t="str">
        <f t="shared" si="215"/>
        <v>L’exercice pour l’argent effectivement va se dérouler dans la même façon</v>
      </c>
      <c r="L430" s="13"/>
      <c r="M430" s="72"/>
      <c r="N430" s="72"/>
      <c r="O430" s="72"/>
      <c r="P430" s="72"/>
      <c r="Q430" s="72"/>
      <c r="R430" s="72"/>
      <c r="S430" s="72"/>
      <c r="T430" s="72"/>
      <c r="U430" s="72"/>
      <c r="V430" s="72"/>
    </row>
    <row r="431" spans="1:25" s="7" customFormat="1" ht="20.100000000000001" customHeight="1" x14ac:dyDescent="0.25">
      <c r="A431" s="38">
        <f t="shared" si="202"/>
        <v>3</v>
      </c>
      <c r="B431" s="38">
        <f t="shared" si="203"/>
        <v>0</v>
      </c>
      <c r="C431" s="72" t="s">
        <v>33</v>
      </c>
      <c r="D431" s="13">
        <v>3</v>
      </c>
      <c r="E431" s="13"/>
      <c r="F431" s="13" t="str">
        <f t="shared" ca="1" si="217"/>
        <v>echinv_instr_4_3</v>
      </c>
      <c r="G431" s="31"/>
      <c r="H431" t="s">
        <v>1770</v>
      </c>
      <c r="I431" s="31"/>
      <c r="J431" s="41"/>
      <c r="K431" s="13" t="str">
        <f t="shared" si="215"/>
        <v>Mais, nous allons vous payer pour une seule décision</v>
      </c>
      <c r="L431" s="13"/>
      <c r="M431" s="72"/>
      <c r="N431" s="72"/>
      <c r="O431" s="72"/>
      <c r="P431" s="72"/>
      <c r="Q431" s="72"/>
      <c r="R431" s="72"/>
      <c r="S431" s="72"/>
      <c r="T431" s="72"/>
      <c r="U431" s="72"/>
      <c r="V431" s="72"/>
    </row>
    <row r="432" spans="1:25" s="7" customFormat="1" ht="20.100000000000001" customHeight="1" x14ac:dyDescent="0.25">
      <c r="A432" s="38">
        <f t="shared" si="202"/>
        <v>3</v>
      </c>
      <c r="B432" s="38">
        <f t="shared" si="203"/>
        <v>0</v>
      </c>
      <c r="C432" s="72" t="s">
        <v>33</v>
      </c>
      <c r="D432" s="13">
        <v>4</v>
      </c>
      <c r="E432" s="13"/>
      <c r="F432" s="13" t="str">
        <f t="shared" ca="1" si="217"/>
        <v>echinv_instr_4_4</v>
      </c>
      <c r="G432" s="31"/>
      <c r="H432" t="s">
        <v>1771</v>
      </c>
      <c r="I432" s="31"/>
      <c r="J432" s="41"/>
      <c r="K432" s="13" t="str">
        <f t="shared" si="215"/>
        <v>Après les exercices il y aura une réunion de paiement. Là, on va vous demander de tirer – sans regarder – un Jeton comme ceci</v>
      </c>
      <c r="L432" s="13"/>
      <c r="M432" s="72"/>
      <c r="N432" s="72"/>
      <c r="O432" s="72"/>
      <c r="P432" s="152" t="s">
        <v>1772</v>
      </c>
      <c r="Q432" s="72"/>
      <c r="R432" s="72"/>
      <c r="S432" s="72"/>
      <c r="T432" s="72"/>
      <c r="U432" s="72"/>
      <c r="V432" s="72"/>
    </row>
    <row r="433" spans="1:25" s="7" customFormat="1" ht="20.100000000000001" customHeight="1" x14ac:dyDescent="0.25">
      <c r="A433" s="38">
        <f t="shared" si="202"/>
        <v>3</v>
      </c>
      <c r="B433" s="38">
        <f t="shared" si="203"/>
        <v>0</v>
      </c>
      <c r="C433" s="72" t="s">
        <v>33</v>
      </c>
      <c r="D433" s="13">
        <v>5</v>
      </c>
      <c r="E433" s="13"/>
      <c r="F433" s="13" t="str">
        <f t="shared" ca="1" si="217"/>
        <v>echinv_instr_4_5</v>
      </c>
      <c r="G433" s="31"/>
      <c r="H433" t="s">
        <v>1773</v>
      </c>
      <c r="I433" s="31"/>
      <c r="J433" s="41" t="str">
        <f t="shared" ref="J433:J437" si="218">E433&amp;IF(D433="",""," ")&amp;G433</f>
        <v xml:space="preserve"> </v>
      </c>
      <c r="K433" s="13" t="str">
        <f t="shared" si="215"/>
        <v>Si vous tirez le Jeton avec le numéro 1, nous allons vous payer pour votre décision comme Envoyeur</v>
      </c>
      <c r="L433" s="13" t="str">
        <f t="shared" ref="L433:L437" si="219">E433&amp;IF(E433="",""," ")&amp;I433</f>
        <v/>
      </c>
      <c r="M433" s="72"/>
      <c r="N433" s="72"/>
      <c r="O433" s="72"/>
      <c r="P433" s="72"/>
      <c r="Q433" s="72"/>
      <c r="R433" s="72"/>
      <c r="S433" s="72"/>
      <c r="T433" s="72"/>
      <c r="U433" s="72"/>
      <c r="V433" s="72"/>
      <c r="X433" s="52"/>
    </row>
    <row r="434" spans="1:25" s="7" customFormat="1" ht="20.100000000000001" customHeight="1" x14ac:dyDescent="0.25">
      <c r="A434" s="38">
        <f t="shared" si="202"/>
        <v>3</v>
      </c>
      <c r="B434" s="38">
        <f t="shared" si="203"/>
        <v>0</v>
      </c>
      <c r="C434" s="72" t="s">
        <v>33</v>
      </c>
      <c r="D434" s="13">
        <v>6</v>
      </c>
      <c r="E434" s="13"/>
      <c r="F434" s="13" t="str">
        <f t="shared" ca="1" si="217"/>
        <v>echinv_instr_4_6</v>
      </c>
      <c r="G434" s="31"/>
      <c r="H434" t="str">
        <f>"Dans le cas d’échauffement, vous avez choisi de garder ${"&amp;F405&amp;"} sacs de maïs. "</f>
        <v>Dans le cas d’échauffement, vous avez choisi de garder ${echinv_ie_keep} sacs de maïs. </v>
      </c>
      <c r="I434" s="31"/>
      <c r="J434" s="41" t="str">
        <f t="shared" si="218"/>
        <v xml:space="preserve"> </v>
      </c>
      <c r="K434" s="13" t="str">
        <f t="shared" si="215"/>
        <v>Dans le cas d’échauffement, vous avez choisi de garder ${echinv_ie_keep} sacs de maïs. </v>
      </c>
      <c r="L434" s="13" t="str">
        <f t="shared" si="219"/>
        <v/>
      </c>
      <c r="M434" s="72"/>
      <c r="N434" s="72"/>
      <c r="O434" s="72"/>
      <c r="P434" s="72"/>
      <c r="Q434" s="72"/>
      <c r="R434" s="72"/>
      <c r="S434" s="72"/>
      <c r="T434" s="72"/>
      <c r="U434" s="72"/>
      <c r="V434" s="72"/>
      <c r="X434" s="52"/>
    </row>
    <row r="435" spans="1:25" s="7" customFormat="1" ht="20.100000000000001" customHeight="1" x14ac:dyDescent="0.25">
      <c r="A435" s="38">
        <f t="shared" si="202"/>
        <v>3</v>
      </c>
      <c r="B435" s="38">
        <f t="shared" si="203"/>
        <v>0</v>
      </c>
      <c r="C435" s="72" t="s">
        <v>33</v>
      </c>
      <c r="D435" s="13">
        <v>7</v>
      </c>
      <c r="E435" s="13"/>
      <c r="F435" s="13" t="str">
        <f t="shared" ca="1" si="217"/>
        <v>echinv_instr_4_7</v>
      </c>
      <c r="G435" s="31"/>
      <c r="H435" t="str">
        <f>"C’est-à-dire que vous avez choisi d’envoyer ${"&amp;F404&amp;"} sacs a quelqu’un d’autre, qui a recu le triple: ${"&amp;F406&amp;"} sacs.  De ces sacs il pouvait choisir de vous renvoier un nombre."</f>
        <v>C’est-à-dire que vous avez choisi d’envoyer ${echinv_ie} sacs a quelqu’un d’autre, qui a recu le triple: ${echinv_ie_receive} sacs.  De ces sacs il pouvait choisir de vous renvoier un nombre.</v>
      </c>
      <c r="I435" s="31"/>
      <c r="J435" s="41" t="str">
        <f t="shared" si="218"/>
        <v xml:space="preserve"> </v>
      </c>
      <c r="K435" s="13" t="str">
        <f t="shared" si="215"/>
        <v>C’est-à-dire que vous avez choisi d’envoyer ${echinv_ie} sacs a quelqu’un d’autre, qui a recu le triple: ${echinv_ie_receive} sacs.  De ces sacs il pouvait choisir de vous renvoier un nombre.</v>
      </c>
      <c r="L435" s="13" t="str">
        <f t="shared" si="219"/>
        <v/>
      </c>
      <c r="M435" s="72"/>
      <c r="N435" s="72"/>
      <c r="O435" s="72"/>
      <c r="P435" s="72"/>
      <c r="Q435" s="72"/>
      <c r="R435" s="72"/>
      <c r="S435" s="72"/>
      <c r="T435" s="72"/>
      <c r="U435" s="72"/>
      <c r="V435" s="72"/>
      <c r="X435" s="52"/>
    </row>
    <row r="436" spans="1:25" s="7" customFormat="1" ht="20.100000000000001" customHeight="1" x14ac:dyDescent="0.25">
      <c r="A436" s="38">
        <f t="shared" si="202"/>
        <v>3</v>
      </c>
      <c r="B436" s="38">
        <f t="shared" si="203"/>
        <v>0</v>
      </c>
      <c r="C436" s="72" t="s">
        <v>33</v>
      </c>
      <c r="D436" s="13">
        <v>8</v>
      </c>
      <c r="E436" s="13"/>
      <c r="F436" s="13" t="str">
        <f t="shared" ca="1" si="217"/>
        <v>echinv_instr_4_8</v>
      </c>
      <c r="G436" s="31"/>
      <c r="H436" t="s">
        <v>1774</v>
      </c>
      <c r="I436" s="31"/>
      <c r="J436" s="41" t="str">
        <f t="shared" si="218"/>
        <v xml:space="preserve"> </v>
      </c>
      <c r="K436" s="13" t="str">
        <f t="shared" si="215"/>
        <v>On va tirer une réponse parmi les réponse des autres ménages enquêtés dans cette village. Dans ce fiche on va regarder combien ce ménage a renvoyé. </v>
      </c>
      <c r="L436" s="13" t="str">
        <f t="shared" si="219"/>
        <v/>
      </c>
      <c r="M436" s="72"/>
      <c r="N436" s="72"/>
      <c r="O436" s="72"/>
      <c r="P436" s="72"/>
      <c r="Q436" s="72"/>
      <c r="R436" s="72"/>
      <c r="S436" s="72"/>
      <c r="T436" s="72"/>
      <c r="U436" s="72"/>
      <c r="V436" s="72"/>
      <c r="X436" s="52"/>
    </row>
    <row r="437" spans="1:25" s="7" customFormat="1" ht="20.100000000000001" customHeight="1" x14ac:dyDescent="0.25">
      <c r="A437" s="38">
        <f t="shared" si="202"/>
        <v>3</v>
      </c>
      <c r="B437" s="38">
        <f t="shared" si="203"/>
        <v>0</v>
      </c>
      <c r="C437" s="72" t="s">
        <v>33</v>
      </c>
      <c r="D437" s="13">
        <v>9</v>
      </c>
      <c r="E437" s="13"/>
      <c r="F437" s="13" t="str">
        <f t="shared" ca="1" si="217"/>
        <v>echinv_instr_4_9</v>
      </c>
      <c r="G437" s="31"/>
      <c r="H437" t="s">
        <v>1759</v>
      </c>
      <c r="I437" s="31"/>
      <c r="J437" s="41" t="str">
        <f t="shared" si="218"/>
        <v xml:space="preserve"> </v>
      </c>
      <c r="K437" s="13" t="str">
        <f t="shared" si="215"/>
        <v>Pour l'echauffement qui nous faisson maintenant, l'offre de votre correspondant est dans ces fiches ici, qui sont rempli par mes superviseurs.</v>
      </c>
      <c r="L437" s="13" t="str">
        <f t="shared" si="219"/>
        <v/>
      </c>
      <c r="M437" s="72"/>
      <c r="N437" s="72"/>
      <c r="O437" s="72"/>
      <c r="P437" s="72" t="s">
        <v>1760</v>
      </c>
      <c r="Q437" s="72"/>
      <c r="R437" s="72"/>
      <c r="S437" s="72"/>
      <c r="T437" s="72"/>
      <c r="U437" s="72"/>
      <c r="V437" s="72"/>
    </row>
    <row r="438" spans="1:25" s="7" customFormat="1" ht="20.100000000000001" customHeight="1" x14ac:dyDescent="0.25">
      <c r="A438" s="38">
        <f t="shared" si="202"/>
        <v>3</v>
      </c>
      <c r="B438" s="38">
        <f t="shared" si="203"/>
        <v>0</v>
      </c>
      <c r="C438" s="72" t="s">
        <v>33</v>
      </c>
      <c r="D438" s="13">
        <v>10</v>
      </c>
      <c r="E438" s="13"/>
      <c r="F438" s="13" t="str">
        <f t="shared" ca="1" si="217"/>
        <v>echinv_instr_4_10</v>
      </c>
      <c r="G438" s="31"/>
      <c r="H438" t="s">
        <v>1775</v>
      </c>
      <c r="I438" s="31"/>
      <c r="J438" s="41"/>
      <c r="K438" s="13" t="str">
        <f t="shared" si="215"/>
        <v>S'il vous plait, tirez une fiche pour determiner votre gain.</v>
      </c>
      <c r="L438" s="13"/>
      <c r="M438" s="72"/>
      <c r="N438" s="72"/>
      <c r="O438" s="72"/>
      <c r="P438" s="72" t="s">
        <v>1776</v>
      </c>
      <c r="Q438" s="72"/>
      <c r="R438" s="72"/>
      <c r="S438" s="72"/>
      <c r="T438" s="72"/>
      <c r="U438" s="72"/>
      <c r="V438" s="72"/>
    </row>
    <row r="439" spans="1:25" s="7" customFormat="1" ht="20.100000000000001" customHeight="1" x14ac:dyDescent="0.25">
      <c r="A439" s="38">
        <f t="shared" si="202"/>
        <v>3</v>
      </c>
      <c r="B439" s="38">
        <f t="shared" si="203"/>
        <v>0</v>
      </c>
      <c r="C439" s="72" t="s">
        <v>33</v>
      </c>
      <c r="D439" s="13">
        <v>11</v>
      </c>
      <c r="E439" s="13"/>
      <c r="F439" s="13" t="str">
        <f t="shared" ca="1" si="217"/>
        <v>echinv_instr_4_11</v>
      </c>
      <c r="G439" s="31"/>
      <c r="H439" t="str">
        <f>"Voici, le Recpeteur a choici de renvoier ${"&amp;F407&amp;"} sacs. Avec les ${"&amp;F405&amp;"} sacs que vous avez gardé ça fait ${"&amp;F408&amp;"} sacs de mais."</f>
        <v>Voici, le Recpeteur a choici de renvoier ${echinv_ie_sendback} sacs. Avec les ${echinv_ie_keep} sacs que vous avez gardé ça fait ${echinv_ie_gain} sacs de mais.</v>
      </c>
      <c r="I439" s="31"/>
      <c r="J439" s="41"/>
      <c r="K439" s="13" t="str">
        <f t="shared" si="215"/>
        <v>Voici, le Recpeteur a choici de renvoier ${echinv_ie_sendback} sacs. Avec les ${echinv_ie_keep} sacs que vous avez gardé ça fait ${echinv_ie_gain} sacs de mais.</v>
      </c>
      <c r="L439" s="13"/>
      <c r="M439" s="72"/>
      <c r="N439" s="72"/>
      <c r="O439" s="72"/>
      <c r="P439" s="72" t="s">
        <v>1777</v>
      </c>
      <c r="Q439" s="72"/>
      <c r="R439" s="72"/>
      <c r="S439" s="72"/>
      <c r="T439" s="72"/>
      <c r="U439" s="72"/>
      <c r="V439" s="72"/>
    </row>
    <row r="440" spans="1:25" s="21" customFormat="1" ht="20.100000000000001" customHeight="1" x14ac:dyDescent="0.25">
      <c r="A440" s="38">
        <f t="shared" si="202"/>
        <v>2</v>
      </c>
      <c r="B440" s="38">
        <f t="shared" si="203"/>
        <v>0</v>
      </c>
      <c r="C440" s="124" t="s">
        <v>40</v>
      </c>
      <c r="D440" s="124">
        <v>1</v>
      </c>
      <c r="E440" s="124"/>
      <c r="F440" s="124"/>
      <c r="G440" s="125"/>
      <c r="H440" s="125"/>
      <c r="I440" s="125"/>
      <c r="J440" s="124"/>
      <c r="K440" s="124" t="str">
        <f t="shared" si="215"/>
        <v/>
      </c>
      <c r="L440" s="124"/>
      <c r="M440" s="124"/>
      <c r="N440" s="124"/>
      <c r="O440" s="124"/>
      <c r="P440" s="124"/>
      <c r="Q440" s="124"/>
      <c r="R440" s="124"/>
      <c r="S440" s="124"/>
      <c r="T440" s="124"/>
      <c r="U440" s="124"/>
      <c r="V440" s="124"/>
      <c r="X440" s="56"/>
      <c r="Y440" s="56"/>
    </row>
    <row r="441" spans="1:25" s="17" customFormat="1" ht="20.100000000000001" customHeight="1" x14ac:dyDescent="0.25">
      <c r="A441" s="38">
        <f t="shared" si="202"/>
        <v>3</v>
      </c>
      <c r="B441" s="38">
        <f t="shared" si="203"/>
        <v>0</v>
      </c>
      <c r="C441" s="122" t="s">
        <v>32</v>
      </c>
      <c r="D441" s="122">
        <v>5</v>
      </c>
      <c r="E441" s="122"/>
      <c r="F441" s="10" t="str">
        <f>"echinv_instr_"&amp;D441</f>
        <v>echinv_instr_5</v>
      </c>
      <c r="G441" s="10" t="str">
        <f>"Instuctions Warm up Investment "&amp;D441</f>
        <v>Instuctions Warm up Investment 5</v>
      </c>
      <c r="H441" s="10" t="str">
        <f>"Instuction Échauffement Investissement "&amp;D441</f>
        <v>Instuction Échauffement Investissement 5</v>
      </c>
      <c r="I441" s="10" t="str">
        <f>"Instuction Échauffement Investissement "&amp;D441</f>
        <v>Instuction Échauffement Investissement 5</v>
      </c>
      <c r="J441" s="10" t="str">
        <f t="shared" ref="J441:J442" si="220">E441&amp;IF(D441="",""," ")&amp;G441</f>
        <v xml:space="preserve"> Instuctions Warm up Investment 5</v>
      </c>
      <c r="K441" s="10" t="str">
        <f t="shared" si="215"/>
        <v>Instuction Échauffement Investissement 5</v>
      </c>
      <c r="L441" s="10" t="str">
        <f t="shared" ref="L441:L442" si="221">E441&amp;IF(E441="",""," ")&amp;I441</f>
        <v>Instuction Échauffement Investissement 5</v>
      </c>
      <c r="M441" s="122"/>
      <c r="N441" s="122"/>
      <c r="O441" s="122"/>
      <c r="P441" s="122"/>
      <c r="Q441" s="122"/>
      <c r="R441" s="122"/>
      <c r="S441" s="122"/>
      <c r="T441" s="122"/>
      <c r="U441" s="122"/>
      <c r="V441" s="122"/>
      <c r="X441" s="122"/>
    </row>
    <row r="442" spans="1:25" s="7" customFormat="1" ht="20.100000000000001" customHeight="1" x14ac:dyDescent="0.25">
      <c r="A442" s="38">
        <f t="shared" si="202"/>
        <v>3</v>
      </c>
      <c r="B442" s="38">
        <f t="shared" si="203"/>
        <v>0</v>
      </c>
      <c r="C442" s="72" t="s">
        <v>33</v>
      </c>
      <c r="D442" s="13">
        <v>1</v>
      </c>
      <c r="E442" s="13"/>
      <c r="F442" s="13" t="str">
        <f t="shared" ref="F442:F448" ca="1" si="222">OFFSET(F442,-1*D442,0)&amp;"_"&amp;D442</f>
        <v>echinv_instr_5_1</v>
      </c>
      <c r="G442" s="31"/>
      <c r="H442" t="s">
        <v>1778</v>
      </c>
      <c r="I442" s="31"/>
      <c r="J442" s="41" t="str">
        <f t="shared" si="220"/>
        <v xml:space="preserve"> </v>
      </c>
      <c r="K442" s="13" t="str">
        <f t="shared" si="215"/>
        <v>Si lors de la réunion de paiement vous tirez le Jeton 2, nous allons vous payer en tant que récepteur. </v>
      </c>
      <c r="L442" s="13" t="str">
        <f t="shared" si="221"/>
        <v/>
      </c>
      <c r="M442" s="72"/>
      <c r="N442" s="72"/>
      <c r="O442" s="72"/>
      <c r="P442" s="72"/>
      <c r="Q442" s="72"/>
      <c r="R442" s="72"/>
      <c r="S442" s="72"/>
      <c r="T442" s="72"/>
      <c r="U442" s="72"/>
      <c r="V442" s="72"/>
    </row>
    <row r="443" spans="1:25" s="7" customFormat="1" ht="20.100000000000001" customHeight="1" x14ac:dyDescent="0.25">
      <c r="A443" s="38">
        <f t="shared" si="202"/>
        <v>3</v>
      </c>
      <c r="B443" s="38">
        <f t="shared" si="203"/>
        <v>0</v>
      </c>
      <c r="C443" s="72" t="s">
        <v>33</v>
      </c>
      <c r="D443" s="13">
        <v>2</v>
      </c>
      <c r="E443" s="13"/>
      <c r="F443" s="13" t="str">
        <f t="shared" ca="1" si="222"/>
        <v>echinv_instr_5_2</v>
      </c>
      <c r="G443" s="31"/>
      <c r="H443" t="s">
        <v>1779</v>
      </c>
      <c r="I443" s="31"/>
      <c r="J443" s="41"/>
      <c r="K443" s="13" t="str">
        <f t="shared" si="215"/>
        <v>C’est-à-dire que on va sélectionner un des réponses des autres enquêtés dans votre village pour déterminer l’offre que vous allez recevoir.</v>
      </c>
      <c r="L443" s="13"/>
      <c r="M443" s="72"/>
      <c r="N443" s="72"/>
      <c r="O443" s="72"/>
      <c r="P443" s="72"/>
      <c r="Q443" s="72"/>
      <c r="R443" s="72"/>
      <c r="S443" s="72"/>
      <c r="T443" s="72"/>
      <c r="U443" s="72"/>
      <c r="V443" s="72"/>
    </row>
    <row r="444" spans="1:25" s="7" customFormat="1" ht="20.100000000000001" customHeight="1" x14ac:dyDescent="0.25">
      <c r="A444" s="38">
        <f t="shared" si="202"/>
        <v>3</v>
      </c>
      <c r="B444" s="38">
        <f t="shared" si="203"/>
        <v>0</v>
      </c>
      <c r="C444" s="72" t="s">
        <v>33</v>
      </c>
      <c r="D444" s="13">
        <v>3</v>
      </c>
      <c r="E444" s="13"/>
      <c r="F444" s="13" t="str">
        <f t="shared" ca="1" si="222"/>
        <v>echinv_instr_5_3</v>
      </c>
      <c r="G444" s="31"/>
      <c r="H444" t="s">
        <v>1780</v>
      </c>
      <c r="I444" s="31"/>
      <c r="J444" s="41"/>
      <c r="K444" s="13" t="str">
        <f t="shared" si="215"/>
        <v>Apres on va regarder vos réponses pour déterminer combien vous allez renvoyer.</v>
      </c>
      <c r="L444" s="13"/>
      <c r="M444" s="72"/>
      <c r="N444" s="72"/>
      <c r="O444" s="72"/>
      <c r="P444" s="72"/>
      <c r="Q444" s="72"/>
      <c r="R444" s="72"/>
      <c r="S444" s="72"/>
      <c r="T444" s="72"/>
      <c r="U444" s="72"/>
      <c r="V444" s="72"/>
    </row>
    <row r="445" spans="1:25" s="7" customFormat="1" ht="20.100000000000001" customHeight="1" x14ac:dyDescent="0.25">
      <c r="A445" s="38">
        <f t="shared" si="202"/>
        <v>3</v>
      </c>
      <c r="B445" s="38">
        <f t="shared" si="203"/>
        <v>0</v>
      </c>
      <c r="C445" s="72" t="s">
        <v>33</v>
      </c>
      <c r="D445" s="13">
        <v>4</v>
      </c>
      <c r="E445" s="13"/>
      <c r="F445" s="13" t="str">
        <f t="shared" ca="1" si="222"/>
        <v>echinv_instr_5_4</v>
      </c>
      <c r="G445" s="31"/>
      <c r="H445" t="s">
        <v>1781</v>
      </c>
      <c r="I445" s="31"/>
      <c r="J445" s="41"/>
      <c r="K445" s="13" t="str">
        <f t="shared" si="215"/>
        <v>S'il vous plait, tirez une fiche pour determiner l'offre qui vous allez recevoir en tant que Recepteur</v>
      </c>
      <c r="L445" s="13"/>
      <c r="M445" s="72"/>
      <c r="N445" s="72"/>
      <c r="O445" s="72"/>
      <c r="P445" s="72" t="s">
        <v>1776</v>
      </c>
      <c r="Q445" s="72"/>
      <c r="R445" s="72"/>
      <c r="S445" s="72"/>
      <c r="T445" s="72"/>
      <c r="U445" s="72"/>
      <c r="V445" s="72"/>
    </row>
    <row r="446" spans="1:25" s="7" customFormat="1" ht="20.100000000000001" customHeight="1" x14ac:dyDescent="0.25">
      <c r="A446" s="38">
        <f t="shared" si="202"/>
        <v>3</v>
      </c>
      <c r="B446" s="38">
        <f t="shared" si="203"/>
        <v>0</v>
      </c>
      <c r="C446" s="72" t="s">
        <v>33</v>
      </c>
      <c r="D446" s="13">
        <v>5</v>
      </c>
      <c r="E446" s="13"/>
      <c r="F446" s="13" t="str">
        <f t="shared" ca="1" si="222"/>
        <v>echinv_instr_5_5</v>
      </c>
      <c r="G446" s="31"/>
      <c r="H446" t="s">
        <v>1782</v>
      </c>
      <c r="I446" s="31"/>
      <c r="J446" s="41" t="str">
        <f t="shared" ref="J446:J448" si="223">E446&amp;IF(D446="",""," ")&amp;G446</f>
        <v xml:space="preserve"> </v>
      </c>
      <c r="K446" s="13" t="str">
        <f t="shared" si="215"/>
        <v>Voici, le Recepteur a choici d'Envoyer 3 Sacs qui sont triplé pour faire 9 Sacs</v>
      </c>
      <c r="L446" s="13" t="str">
        <f t="shared" ref="L446:L448" si="224">E446&amp;IF(E446="",""," ")&amp;I446</f>
        <v/>
      </c>
      <c r="M446" s="72"/>
      <c r="N446" s="72"/>
      <c r="O446" s="72"/>
      <c r="P446" s="72"/>
      <c r="Q446" s="72"/>
      <c r="R446" s="72"/>
      <c r="S446" s="72"/>
      <c r="T446" s="72"/>
      <c r="U446" s="72"/>
      <c r="V446" s="72"/>
      <c r="X446" s="52"/>
    </row>
    <row r="447" spans="1:25" s="7" customFormat="1" ht="20.100000000000001" customHeight="1" x14ac:dyDescent="0.25">
      <c r="A447" s="38">
        <f t="shared" si="202"/>
        <v>3</v>
      </c>
      <c r="B447" s="38">
        <f t="shared" si="203"/>
        <v>0</v>
      </c>
      <c r="C447" s="72" t="s">
        <v>33</v>
      </c>
      <c r="D447" s="13">
        <v>6</v>
      </c>
      <c r="E447" s="13"/>
      <c r="F447" s="13" t="str">
        <f t="shared" ca="1" si="222"/>
        <v>echinv_instr_5_6</v>
      </c>
      <c r="G447" s="31"/>
      <c r="H447" t="str">
        <f>"Vous avez indiquez que si vous recevez 9 sacs, vous aller renvoier ${"&amp;F426&amp;"} sacs. Donc vous restez avec ${"&amp;F427&amp;"} sacs pour vous meme."</f>
        <v>Vous avez indiquez que si vous recevez 9 sacs, vous aller renvoier ${echinv_r_response} sacs. Donc vous restez avec ${echinv_r_gain} sacs pour vous meme.</v>
      </c>
      <c r="I447" s="31"/>
      <c r="J447" s="41" t="str">
        <f t="shared" si="223"/>
        <v xml:space="preserve"> </v>
      </c>
      <c r="K447" s="13" t="str">
        <f t="shared" si="215"/>
        <v>Vous avez indiquez que si vous recevez 9 sacs, vous aller renvoier ${echinv_r_response} sacs. Donc vous restez avec ${echinv_r_gain} sacs pour vous meme.</v>
      </c>
      <c r="L447" s="13" t="str">
        <f t="shared" si="224"/>
        <v/>
      </c>
      <c r="M447" s="72"/>
      <c r="N447" s="72"/>
      <c r="O447" s="72"/>
      <c r="P447" s="72"/>
      <c r="Q447" s="72"/>
      <c r="R447" s="72"/>
      <c r="S447" s="72"/>
      <c r="T447" s="72"/>
      <c r="U447" s="72"/>
      <c r="V447" s="72"/>
      <c r="X447" s="52"/>
    </row>
    <row r="448" spans="1:25" s="7" customFormat="1" ht="20.100000000000001" customHeight="1" x14ac:dyDescent="0.25">
      <c r="A448" s="38">
        <f t="shared" si="202"/>
        <v>3</v>
      </c>
      <c r="B448" s="38">
        <f t="shared" si="203"/>
        <v>0</v>
      </c>
      <c r="C448" s="72" t="s">
        <v>33</v>
      </c>
      <c r="D448" s="13">
        <v>7</v>
      </c>
      <c r="E448" s="13"/>
      <c r="F448" s="13" t="str">
        <f t="shared" ca="1" si="222"/>
        <v>echinv_instr_5_7</v>
      </c>
      <c r="G448" s="31"/>
      <c r="H448" t="s">
        <v>1783</v>
      </c>
      <c r="I448" s="31"/>
      <c r="J448" s="41" t="str">
        <f t="shared" si="223"/>
        <v xml:space="preserve"> </v>
      </c>
      <c r="K448" s="13" t="str">
        <f t="shared" si="215"/>
        <v>Est-ce que vous avez bien compris?</v>
      </c>
      <c r="L448" s="13" t="str">
        <f t="shared" si="224"/>
        <v/>
      </c>
      <c r="M448" s="72"/>
      <c r="N448" s="72"/>
      <c r="O448" s="72"/>
      <c r="P448" s="72" t="s">
        <v>1784</v>
      </c>
      <c r="Q448" s="72"/>
      <c r="R448" s="72"/>
      <c r="S448" s="72"/>
      <c r="T448" s="72"/>
      <c r="U448" s="72"/>
      <c r="V448" s="72"/>
      <c r="X448" s="52"/>
    </row>
    <row r="449" spans="1:25" s="21" customFormat="1" ht="20.100000000000001" customHeight="1" x14ac:dyDescent="0.25">
      <c r="A449" s="38">
        <f t="shared" si="202"/>
        <v>2</v>
      </c>
      <c r="B449" s="38">
        <f t="shared" si="203"/>
        <v>0</v>
      </c>
      <c r="C449" s="124" t="s">
        <v>40</v>
      </c>
      <c r="D449" s="124">
        <v>1</v>
      </c>
      <c r="E449" s="124"/>
      <c r="F449" s="124"/>
      <c r="G449" s="125"/>
      <c r="H449" s="125"/>
      <c r="I449" s="125"/>
      <c r="J449" s="124"/>
      <c r="K449" s="124" t="str">
        <f t="shared" si="215"/>
        <v/>
      </c>
      <c r="L449" s="124"/>
      <c r="M449" s="124"/>
      <c r="N449" s="124"/>
      <c r="O449" s="124"/>
      <c r="P449" s="124"/>
      <c r="Q449" s="124"/>
      <c r="R449" s="124"/>
      <c r="S449" s="124"/>
      <c r="T449" s="124"/>
      <c r="U449" s="124"/>
      <c r="V449" s="124"/>
      <c r="X449" s="56"/>
      <c r="Y449" s="56"/>
    </row>
    <row r="450" spans="1:25" s="17" customFormat="1" ht="20.100000000000001" customHeight="1" x14ac:dyDescent="0.25">
      <c r="A450" s="38">
        <f t="shared" si="202"/>
        <v>3</v>
      </c>
      <c r="B450" s="38">
        <f t="shared" si="203"/>
        <v>0</v>
      </c>
      <c r="C450" s="122" t="s">
        <v>32</v>
      </c>
      <c r="D450" s="122">
        <v>1</v>
      </c>
      <c r="E450" s="122"/>
      <c r="F450" s="10" t="str">
        <f>"inv_instr_"&amp;D450</f>
        <v>inv_instr_1</v>
      </c>
      <c r="G450" s="10" t="str">
        <f>"Instuctions Investment "&amp;D450</f>
        <v>Instuctions Investment 1</v>
      </c>
      <c r="H450" s="10" t="str">
        <f>"Instuction Investissement "&amp;D450</f>
        <v>Instuction Investissement 1</v>
      </c>
      <c r="I450" s="10" t="str">
        <f>"Instuction Investissement "&amp;D450</f>
        <v>Instuction Investissement 1</v>
      </c>
      <c r="J450" s="10" t="str">
        <f t="shared" ref="J450:J451" si="225">E450&amp;IF(D450="",""," ")&amp;G450</f>
        <v xml:space="preserve"> Instuctions Investment 1</v>
      </c>
      <c r="K450" s="10" t="str">
        <f t="shared" si="215"/>
        <v>Instuction Investissement 1</v>
      </c>
      <c r="L450" s="10" t="str">
        <f t="shared" ref="L450:L451" si="226">E450&amp;IF(E450="",""," ")&amp;I450</f>
        <v>Instuction Investissement 1</v>
      </c>
      <c r="M450" s="122"/>
      <c r="N450" s="122"/>
      <c r="O450" s="122"/>
      <c r="P450" s="122"/>
      <c r="Q450" s="122"/>
      <c r="R450" s="122"/>
      <c r="S450" s="122"/>
      <c r="T450" s="122"/>
      <c r="U450" s="122"/>
      <c r="V450" s="122"/>
      <c r="X450" s="122"/>
    </row>
    <row r="451" spans="1:25" s="7" customFormat="1" ht="20.100000000000001" customHeight="1" x14ac:dyDescent="0.25">
      <c r="A451" s="38">
        <f t="shared" ref="A451:A514" si="227">IF(C451="begin group",A450+1,IF(C451="end group",A450-1,A450))</f>
        <v>3</v>
      </c>
      <c r="B451" s="38">
        <f t="shared" ref="B451:B514" si="228">IF(C451="begin repeat",B450+1,IF(C451="end repeat",B450-1,B450))</f>
        <v>0</v>
      </c>
      <c r="C451" s="72" t="s">
        <v>33</v>
      </c>
      <c r="D451" s="13">
        <v>1</v>
      </c>
      <c r="E451" s="13"/>
      <c r="F451" s="13" t="str">
        <f t="shared" ref="F451:F471" ca="1" si="229">OFFSET(F451,-1*D451,0)&amp;"_"&amp;D451</f>
        <v>inv_instr_1_1</v>
      </c>
      <c r="G451" s="31"/>
      <c r="H451" t="s">
        <v>1785</v>
      </c>
      <c r="I451" s="31"/>
      <c r="J451" s="41" t="str">
        <f t="shared" si="225"/>
        <v xml:space="preserve"> </v>
      </c>
      <c r="K451" s="13" t="str">
        <f t="shared" si="215"/>
        <v>Maintenant, vous allez faire le même exercice, mais cette fois pour obtenir réellement de l’argent et vous allez jouer avec une autre personne de votre village (l’identité de cette personne ne sera pas connue). </v>
      </c>
      <c r="L451" s="13" t="str">
        <f t="shared" si="226"/>
        <v/>
      </c>
      <c r="M451" s="72"/>
      <c r="N451" s="72"/>
      <c r="O451" s="72"/>
      <c r="P451" s="72"/>
      <c r="Q451" s="72"/>
      <c r="R451" s="72"/>
      <c r="S451" s="72"/>
      <c r="T451" s="72"/>
      <c r="U451" s="72"/>
      <c r="V451" s="72"/>
    </row>
    <row r="452" spans="1:25" s="7" customFormat="1" ht="20.100000000000001" customHeight="1" x14ac:dyDescent="0.25">
      <c r="A452" s="38">
        <f t="shared" si="227"/>
        <v>3</v>
      </c>
      <c r="B452" s="38">
        <f t="shared" si="228"/>
        <v>0</v>
      </c>
      <c r="C452" s="72" t="s">
        <v>33</v>
      </c>
      <c r="D452" s="13">
        <v>2</v>
      </c>
      <c r="E452" s="13"/>
      <c r="F452" s="13" t="str">
        <f t="shared" ca="1" si="229"/>
        <v>inv_instr_1_2</v>
      </c>
      <c r="G452" s="31"/>
      <c r="H452" t="s">
        <v>1786</v>
      </c>
      <c r="I452" s="31"/>
      <c r="J452" s="41"/>
      <c r="K452" s="13" t="str">
        <f t="shared" si="215"/>
        <v>Ceci veut dire que lors de la réunion de paiement, vous aller tirez un de fiches comme ça, avec l’offre ou la réponse de quelqu’un d’autre de village. </v>
      </c>
      <c r="L452" s="13"/>
      <c r="M452" s="72"/>
      <c r="N452" s="72"/>
      <c r="O452" s="72"/>
      <c r="P452" s="72" t="s">
        <v>1787</v>
      </c>
      <c r="Q452" s="72"/>
      <c r="R452" s="72"/>
      <c r="S452" s="72"/>
      <c r="T452" s="72"/>
      <c r="U452" s="72"/>
      <c r="V452" s="72"/>
    </row>
    <row r="453" spans="1:25" s="7" customFormat="1" ht="20.100000000000001" customHeight="1" x14ac:dyDescent="0.25">
      <c r="A453" s="38">
        <f t="shared" si="227"/>
        <v>3</v>
      </c>
      <c r="B453" s="38">
        <f t="shared" si="228"/>
        <v>0</v>
      </c>
      <c r="C453" s="72" t="s">
        <v>33</v>
      </c>
      <c r="D453" s="13">
        <v>3</v>
      </c>
      <c r="E453" s="13"/>
      <c r="F453" s="13" t="str">
        <f t="shared" ca="1" si="229"/>
        <v>inv_instr_1_3</v>
      </c>
      <c r="G453" s="31"/>
      <c r="H453" t="s">
        <v>1788</v>
      </c>
      <c r="I453" s="31"/>
      <c r="J453" s="41"/>
      <c r="K453" s="13" t="str">
        <f t="shared" si="215"/>
        <v>Votre gain à l’issue de l’exercice sera déterminé comme dans l’exercice d’échauffement avec les sacs de maïs. </v>
      </c>
      <c r="L453" s="13"/>
      <c r="M453" s="72"/>
      <c r="N453" s="72"/>
      <c r="O453" s="72"/>
      <c r="P453" s="72"/>
      <c r="Q453" s="72"/>
      <c r="R453" s="72"/>
      <c r="S453" s="72"/>
      <c r="T453" s="72"/>
      <c r="U453" s="72"/>
      <c r="V453" s="72"/>
    </row>
    <row r="454" spans="1:25" s="7" customFormat="1" ht="20.100000000000001" customHeight="1" x14ac:dyDescent="0.25">
      <c r="A454" s="38">
        <f t="shared" si="227"/>
        <v>3</v>
      </c>
      <c r="B454" s="38">
        <f t="shared" si="228"/>
        <v>0</v>
      </c>
      <c r="C454" s="72" t="s">
        <v>33</v>
      </c>
      <c r="D454" s="13">
        <v>4</v>
      </c>
      <c r="E454" s="13"/>
      <c r="F454" s="13" t="str">
        <f t="shared" ca="1" si="229"/>
        <v>inv_instr_1_4</v>
      </c>
      <c r="G454" s="31"/>
      <c r="H454" t="s">
        <v>1789</v>
      </c>
      <c r="I454" s="31"/>
      <c r="J454" s="41"/>
      <c r="K454" s="13" t="str">
        <f t="shared" si="215"/>
        <v>Rappelez-vous, que nous allons seulement payer pour un de tous les exercices que votre ménage fera aujourd’hui. </v>
      </c>
      <c r="L454" s="13"/>
      <c r="M454" s="72"/>
      <c r="N454" s="72"/>
      <c r="O454" s="72"/>
      <c r="P454" s="72"/>
      <c r="Q454" s="72"/>
      <c r="R454" s="72"/>
      <c r="S454" s="72"/>
      <c r="T454" s="72"/>
      <c r="U454" s="72"/>
      <c r="V454" s="72"/>
    </row>
    <row r="455" spans="1:25" s="7" customFormat="1" ht="20.100000000000001" customHeight="1" x14ac:dyDescent="0.25">
      <c r="A455" s="38">
        <f t="shared" si="227"/>
        <v>3</v>
      </c>
      <c r="B455" s="38">
        <f t="shared" si="228"/>
        <v>0</v>
      </c>
      <c r="C455" s="72" t="s">
        <v>33</v>
      </c>
      <c r="D455" s="13">
        <v>5</v>
      </c>
      <c r="E455" s="13"/>
      <c r="F455" s="13" t="str">
        <f t="shared" ca="1" si="229"/>
        <v>inv_instr_1_5</v>
      </c>
      <c r="G455" s="31"/>
      <c r="H455" t="s">
        <v>1790</v>
      </c>
      <c r="I455" s="31"/>
      <c r="J455" s="41" t="str">
        <f t="shared" ref="J455:J456" si="230">E455&amp;IF(D455="",""," ")&amp;G455</f>
        <v xml:space="preserve"> </v>
      </c>
      <c r="K455" s="13" t="str">
        <f t="shared" si="215"/>
        <v>Nous ferons une réunion de paiement à la fin de notre séjour dans votre village, ce que vous gagnerez dépendra à la fois de votre décision et celles des autres participants dans le village.</v>
      </c>
      <c r="L455" s="13" t="str">
        <f t="shared" ref="L455:L456" si="231">E455&amp;IF(E455="",""," ")&amp;I455</f>
        <v/>
      </c>
      <c r="M455" s="72"/>
      <c r="N455" s="72"/>
      <c r="O455" s="72"/>
      <c r="P455" s="72"/>
      <c r="Q455" s="72"/>
      <c r="R455" s="72"/>
      <c r="S455" s="72"/>
      <c r="T455" s="72"/>
      <c r="U455" s="72"/>
      <c r="V455" s="72"/>
      <c r="X455" s="52"/>
    </row>
    <row r="456" spans="1:25" s="7" customFormat="1" ht="20.100000000000001" customHeight="1" x14ac:dyDescent="0.25">
      <c r="A456" s="38">
        <f t="shared" si="227"/>
        <v>3</v>
      </c>
      <c r="B456" s="38">
        <f t="shared" si="228"/>
        <v>0</v>
      </c>
      <c r="C456" s="72" t="s">
        <v>33</v>
      </c>
      <c r="D456" s="13">
        <v>6</v>
      </c>
      <c r="E456" s="13"/>
      <c r="F456" s="13" t="str">
        <f t="shared" ca="1" si="229"/>
        <v>inv_instr_1_6</v>
      </c>
      <c r="G456" s="31"/>
      <c r="H456" t="s">
        <v>1791</v>
      </c>
      <c r="I456" s="31"/>
      <c r="J456" s="41" t="str">
        <f t="shared" si="230"/>
        <v xml:space="preserve"> </v>
      </c>
      <c r="K456" s="13" t="str">
        <f t="shared" si="215"/>
        <v>Toutes les réponses sont ANONYMES, ceci signifie que si quelqu'un reçoit votre offre, il ne sait pas qu'elle est venue de vous. De même, si vous recevez une offre, vous ne savez pas qui l'a envoyée.</v>
      </c>
      <c r="L456" s="13" t="str">
        <f t="shared" si="231"/>
        <v/>
      </c>
      <c r="M456" s="72"/>
      <c r="N456" s="72"/>
      <c r="O456" s="72"/>
      <c r="P456" s="72"/>
      <c r="Q456" s="72"/>
      <c r="R456" s="72"/>
      <c r="S456" s="72"/>
      <c r="T456" s="72"/>
      <c r="U456" s="72"/>
      <c r="V456" s="72"/>
      <c r="X456" s="52"/>
    </row>
    <row r="457" spans="1:25" s="7" customFormat="1" ht="20.100000000000001" customHeight="1" x14ac:dyDescent="0.25">
      <c r="A457" s="38">
        <f t="shared" si="227"/>
        <v>3</v>
      </c>
      <c r="B457" s="38">
        <f t="shared" si="228"/>
        <v>0</v>
      </c>
      <c r="C457" s="72" t="s">
        <v>33</v>
      </c>
      <c r="D457" s="13">
        <v>7</v>
      </c>
      <c r="E457" s="13"/>
      <c r="F457" s="13" t="str">
        <f t="shared" ca="1" si="229"/>
        <v>inv_instr_1_7</v>
      </c>
      <c r="G457" s="31"/>
      <c r="H457" t="s">
        <v>1792</v>
      </c>
      <c r="I457" s="31"/>
      <c r="J457" s="41"/>
      <c r="K457" s="13" t="str">
        <f t="shared" si="215"/>
        <v>Cet anonymat est très important pour nous, ainsi nous garantissons que personne dans votre village ne saura vos réponses. </v>
      </c>
      <c r="L457" s="13"/>
      <c r="M457" s="72"/>
      <c r="N457" s="72"/>
      <c r="O457" s="72"/>
      <c r="P457" s="72"/>
      <c r="Q457" s="72"/>
      <c r="R457" s="72"/>
      <c r="S457" s="72"/>
      <c r="T457" s="72"/>
      <c r="U457" s="72"/>
      <c r="V457" s="72"/>
      <c r="X457" s="52"/>
    </row>
    <row r="458" spans="1:25" s="7" customFormat="1" ht="20.100000000000001" customHeight="1" x14ac:dyDescent="0.25">
      <c r="A458" s="38">
        <f t="shared" si="227"/>
        <v>3</v>
      </c>
      <c r="B458" s="38">
        <f t="shared" si="228"/>
        <v>0</v>
      </c>
      <c r="C458" s="72" t="s">
        <v>33</v>
      </c>
      <c r="D458" s="13">
        <v>8</v>
      </c>
      <c r="E458" s="13"/>
      <c r="F458" s="13" t="str">
        <f t="shared" ca="1" si="229"/>
        <v>inv_instr_1_8</v>
      </c>
      <c r="G458" s="31"/>
      <c r="H458" t="s">
        <v>1793</v>
      </c>
      <c r="I458" s="31"/>
      <c r="J458" s="41"/>
      <c r="K458" s="13" t="str">
        <f t="shared" si="215"/>
        <v>Il y a 6 coupons </v>
      </c>
      <c r="L458" s="13"/>
      <c r="M458" s="72"/>
      <c r="N458" s="72"/>
      <c r="O458" s="72"/>
      <c r="P458" s="72"/>
      <c r="Q458" s="72"/>
      <c r="R458" s="72"/>
      <c r="S458" s="72"/>
      <c r="T458" s="72"/>
      <c r="U458" s="72"/>
      <c r="V458" s="72"/>
      <c r="X458" s="52"/>
    </row>
    <row r="459" spans="1:25" s="7" customFormat="1" ht="20.100000000000001" customHeight="1" x14ac:dyDescent="0.25">
      <c r="A459" s="38">
        <f t="shared" si="227"/>
        <v>3</v>
      </c>
      <c r="B459" s="38">
        <f t="shared" si="228"/>
        <v>0</v>
      </c>
      <c r="C459" s="72" t="s">
        <v>33</v>
      </c>
      <c r="D459" s="13">
        <v>9</v>
      </c>
      <c r="E459" s="13"/>
      <c r="F459" s="13" t="str">
        <f t="shared" ca="1" si="229"/>
        <v>inv_instr_1_9</v>
      </c>
      <c r="G459" s="31"/>
      <c r="H459" t="s">
        <v>1794</v>
      </c>
      <c r="I459" s="31"/>
      <c r="J459" s="41"/>
      <c r="K459" s="13" t="str">
        <f t="shared" si="215"/>
        <v>Chaque coupon vaut FC 500. </v>
      </c>
      <c r="L459" s="13"/>
      <c r="M459" s="72"/>
      <c r="N459" s="72"/>
      <c r="O459" s="72"/>
      <c r="P459" s="72"/>
      <c r="Q459" s="72"/>
      <c r="R459" s="72"/>
      <c r="S459" s="72"/>
      <c r="T459" s="72"/>
      <c r="U459" s="72"/>
      <c r="V459" s="72"/>
      <c r="X459" s="52"/>
    </row>
    <row r="460" spans="1:25" s="7" customFormat="1" ht="20.100000000000001" customHeight="1" x14ac:dyDescent="0.25">
      <c r="A460" s="38">
        <f t="shared" si="227"/>
        <v>3</v>
      </c>
      <c r="B460" s="38">
        <f t="shared" si="228"/>
        <v>0</v>
      </c>
      <c r="C460" s="72" t="s">
        <v>33</v>
      </c>
      <c r="D460" s="13">
        <v>10</v>
      </c>
      <c r="E460" s="13"/>
      <c r="F460" s="13" t="str">
        <f t="shared" ca="1" si="229"/>
        <v>inv_instr_1_10</v>
      </c>
      <c r="G460" s="31"/>
      <c r="H460" t="s">
        <v>1795</v>
      </c>
      <c r="I460" s="31"/>
      <c r="J460" s="41"/>
      <c r="K460" s="13" t="str">
        <f t="shared" si="215"/>
        <v>Vous pouvez choisir d’envoyer tout, une partie ou aucun de vos pièces à un de vos frères du village (le RÉCEPTEUR). </v>
      </c>
      <c r="L460" s="13"/>
      <c r="M460" s="72"/>
      <c r="N460" s="72"/>
      <c r="O460" s="72"/>
      <c r="P460" s="72"/>
      <c r="Q460" s="72"/>
      <c r="R460" s="72"/>
      <c r="S460" s="72"/>
      <c r="T460" s="72"/>
      <c r="U460" s="72"/>
      <c r="V460" s="72"/>
      <c r="X460" s="52"/>
    </row>
    <row r="461" spans="1:25" s="7" customFormat="1" ht="20.100000000000001" customHeight="1" x14ac:dyDescent="0.25">
      <c r="A461" s="38">
        <f t="shared" si="227"/>
        <v>3</v>
      </c>
      <c r="B461" s="38">
        <f t="shared" si="228"/>
        <v>0</v>
      </c>
      <c r="C461" s="72" t="s">
        <v>33</v>
      </c>
      <c r="D461" s="13">
        <v>11</v>
      </c>
      <c r="E461" s="13"/>
      <c r="F461" s="13" t="str">
        <f t="shared" ca="1" si="229"/>
        <v>inv_instr_1_11</v>
      </c>
      <c r="G461" s="31"/>
      <c r="H461" t="s">
        <v>1796</v>
      </c>
      <c r="I461" s="31"/>
      <c r="J461" s="41"/>
      <c r="K461" s="13" t="str">
        <f t="shared" si="215"/>
        <v>Je triplerai les pièces que vous décidez d’envoyer. Ainsi, si vous envoyez un pièce (FC 500), votre frère du village (RÉCEPTEUR) recevra 3 pièces (FC 1500), si vous envoyez 2 pièces (FC 500), votre frère du village recevra 6 pièces (FC 3000), si vous envoyez 4 pièces (FC 2000), votre frère du village recevra 12 pièces (FC 6000) etc... </v>
      </c>
      <c r="L461" s="13"/>
      <c r="M461" s="72"/>
      <c r="N461" s="72"/>
      <c r="O461" s="72"/>
      <c r="P461" s="72" t="s">
        <v>1797</v>
      </c>
      <c r="Q461" s="72"/>
      <c r="R461" s="72"/>
      <c r="S461" s="72"/>
      <c r="T461" s="72"/>
      <c r="U461" s="72"/>
      <c r="V461" s="72"/>
      <c r="X461" s="52"/>
    </row>
    <row r="462" spans="1:25" s="7" customFormat="1" ht="20.100000000000001" customHeight="1" x14ac:dyDescent="0.25">
      <c r="A462" s="38">
        <f t="shared" si="227"/>
        <v>3</v>
      </c>
      <c r="B462" s="38">
        <f t="shared" si="228"/>
        <v>0</v>
      </c>
      <c r="C462" s="72" t="s">
        <v>33</v>
      </c>
      <c r="D462" s="13">
        <v>12</v>
      </c>
      <c r="E462" s="13"/>
      <c r="F462" s="13" t="str">
        <f t="shared" ca="1" si="229"/>
        <v>inv_instr_1_12</v>
      </c>
      <c r="G462" s="31"/>
      <c r="H462" t="s">
        <v>1798</v>
      </c>
      <c r="I462" s="31"/>
      <c r="J462" s="41"/>
      <c r="K462" s="13" t="str">
        <f t="shared" si="215"/>
        <v>De ces pièces reçus, le RÉCEPTEUR peut décider de renvoyer certains ou aucun vers vous. </v>
      </c>
      <c r="L462" s="13"/>
      <c r="M462" s="72"/>
      <c r="N462" s="72"/>
      <c r="O462" s="72"/>
      <c r="P462" s="72" t="s">
        <v>1799</v>
      </c>
      <c r="Q462" s="72"/>
      <c r="R462" s="72"/>
      <c r="S462" s="72"/>
      <c r="T462" s="72"/>
      <c r="U462" s="72"/>
      <c r="V462" s="72"/>
      <c r="X462" s="52"/>
    </row>
    <row r="463" spans="1:25" s="7" customFormat="1" ht="20.100000000000001" customHeight="1" x14ac:dyDescent="0.25">
      <c r="A463" s="38">
        <f t="shared" si="227"/>
        <v>3</v>
      </c>
      <c r="B463" s="38">
        <f t="shared" si="228"/>
        <v>0</v>
      </c>
      <c r="C463" s="72" t="s">
        <v>33</v>
      </c>
      <c r="D463" s="13">
        <v>13</v>
      </c>
      <c r="E463" s="13"/>
      <c r="F463" s="13" t="str">
        <f t="shared" ca="1" si="229"/>
        <v>inv_instr_1_13</v>
      </c>
      <c r="G463" s="31"/>
      <c r="H463" t="s">
        <v>1800</v>
      </c>
      <c r="I463" s="31"/>
      <c r="J463" s="41"/>
      <c r="K463" s="13" t="str">
        <f t="shared" si="215"/>
        <v>Rappelez-vous que vous ne savez pas à qui vous êtes liés, et l'autre participant ne sait pas qu'il est lié à vous, VOS CHOIX PERSONNELS DEMEURERONT SECRETS. Nous ne dirons jamais combien vous lui avez envoyé</v>
      </c>
      <c r="L463" s="13"/>
      <c r="M463" s="72"/>
      <c r="N463" s="72"/>
      <c r="O463" s="72"/>
      <c r="P463" s="72"/>
      <c r="Q463" s="72"/>
      <c r="R463" s="72"/>
      <c r="S463" s="72"/>
      <c r="T463" s="72"/>
      <c r="U463" s="72"/>
      <c r="V463" s="72"/>
      <c r="X463" s="52"/>
    </row>
    <row r="464" spans="1:25" s="7" customFormat="1" ht="20.100000000000001" customHeight="1" x14ac:dyDescent="0.25">
      <c r="A464" s="38">
        <f t="shared" si="227"/>
        <v>3</v>
      </c>
      <c r="B464" s="38">
        <f t="shared" si="228"/>
        <v>0</v>
      </c>
      <c r="C464" s="72" t="s">
        <v>33</v>
      </c>
      <c r="D464" s="13">
        <v>14</v>
      </c>
      <c r="E464" s="13"/>
      <c r="F464" s="13" t="str">
        <f t="shared" ca="1" si="229"/>
        <v>inv_instr_1_14</v>
      </c>
      <c r="G464" s="31"/>
      <c r="H464" t="s">
        <v>1801</v>
      </c>
      <c r="I464" s="31"/>
      <c r="J464" s="41"/>
      <c r="K464" s="13" t="str">
        <f t="shared" si="215"/>
        <v>Rappelez-vous que nous allons payer seulement pour l’un des exercices.  Si à la réunion de paiement vous tirez JETON 1,  vous serez payé pour cet exercice</v>
      </c>
      <c r="L464" s="13"/>
      <c r="M464" s="72"/>
      <c r="N464" s="72"/>
      <c r="O464" s="72"/>
      <c r="P464" s="72"/>
      <c r="Q464" s="72"/>
      <c r="R464" s="72"/>
      <c r="S464" s="72"/>
      <c r="T464" s="72"/>
      <c r="U464" s="72"/>
      <c r="V464" s="72"/>
      <c r="X464" s="52"/>
    </row>
    <row r="465" spans="1:25" s="7" customFormat="1" ht="20.100000000000001" customHeight="1" x14ac:dyDescent="0.25">
      <c r="A465" s="38">
        <f t="shared" si="227"/>
        <v>3</v>
      </c>
      <c r="B465" s="38">
        <f t="shared" si="228"/>
        <v>0</v>
      </c>
      <c r="C465" s="72" t="s">
        <v>33</v>
      </c>
      <c r="D465" s="13">
        <v>15</v>
      </c>
      <c r="E465" s="13"/>
      <c r="F465" s="13" t="str">
        <f t="shared" ca="1" si="229"/>
        <v>inv_instr_1_15</v>
      </c>
      <c r="G465" s="31"/>
      <c r="H465" t="s">
        <v>1802</v>
      </c>
      <c r="I465" s="31"/>
      <c r="J465" s="41"/>
      <c r="K465" s="13" t="str">
        <f t="shared" si="215"/>
        <v>Après que vous ayez fait votre choix en tant que ENVOYEUR, vous indiquerez ce que vous ferez comme RÉCEPTEUR. Ainsi, je vous présenterai les choix possibles de l'ENVOYEUR, et vous indiquerez combien vous allez renvoyer</v>
      </c>
      <c r="L465" s="13"/>
      <c r="M465" s="72"/>
      <c r="N465" s="72"/>
      <c r="O465" s="72"/>
      <c r="P465" s="72"/>
      <c r="Q465" s="72"/>
      <c r="R465" s="72"/>
      <c r="S465" s="72"/>
      <c r="T465" s="72"/>
      <c r="U465" s="72"/>
      <c r="V465" s="72"/>
      <c r="X465" s="52"/>
    </row>
    <row r="466" spans="1:25" s="7" customFormat="1" ht="20.100000000000001" customHeight="1" x14ac:dyDescent="0.25">
      <c r="A466" s="38">
        <f t="shared" si="227"/>
        <v>3</v>
      </c>
      <c r="B466" s="38">
        <f t="shared" si="228"/>
        <v>0</v>
      </c>
      <c r="C466" s="72" t="s">
        <v>33</v>
      </c>
      <c r="D466" s="13">
        <v>16</v>
      </c>
      <c r="E466" s="13"/>
      <c r="F466" s="13" t="str">
        <f t="shared" ca="1" si="229"/>
        <v>inv_instr_1_16</v>
      </c>
      <c r="G466" s="31"/>
      <c r="H466" t="s">
        <v>1803</v>
      </c>
      <c r="I466" s="31"/>
      <c r="J466" s="41"/>
      <c r="K466" s="13" t="str">
        <f t="shared" si="215"/>
        <v>Rappelez-vous que nous payerons seulement pour l’un des exercices que vous ferez aujourd'hui. Si à la réunion de paiement vous tirez JETON 2, vous serez payé pour cet exercice. </v>
      </c>
      <c r="L466" s="13"/>
      <c r="M466" s="72"/>
      <c r="N466" s="72"/>
      <c r="O466" s="72"/>
      <c r="P466" s="72"/>
      <c r="Q466" s="72"/>
      <c r="R466" s="72"/>
      <c r="S466" s="72"/>
      <c r="T466" s="72"/>
      <c r="U466" s="72"/>
      <c r="V466" s="72"/>
      <c r="X466" s="52"/>
    </row>
    <row r="467" spans="1:25" s="7" customFormat="1" ht="20.100000000000001" customHeight="1" x14ac:dyDescent="0.25">
      <c r="A467" s="38">
        <f t="shared" si="227"/>
        <v>3</v>
      </c>
      <c r="B467" s="38">
        <f t="shared" si="228"/>
        <v>0</v>
      </c>
      <c r="C467" s="72" t="s">
        <v>33</v>
      </c>
      <c r="D467" s="13">
        <v>17</v>
      </c>
      <c r="E467" s="13"/>
      <c r="F467" s="13" t="str">
        <f t="shared" ca="1" si="229"/>
        <v>inv_instr_1_17</v>
      </c>
      <c r="G467" s="31"/>
      <c r="H467" t="s">
        <v>1804</v>
      </c>
      <c r="I467" s="31"/>
      <c r="J467" s="41"/>
      <c r="K467" s="13" t="str">
        <f t="shared" si="215"/>
        <v>Ainsi vous pourriez être un ENVOYEUR ou un RÉCEPTEUR. En faisant vos choix, rappelez-vous que le RÉCEPTEUR n'obtient rien d’autre que ce qui vient de l’ENVOYEUR dans cet exercice. Donc si en tant que ENVOYEUR, vous n’envoyez rien au RÉCEPTEUR, il ne recevra rien ; si en tant que RÉCEPTEUR vous renvoyez tout vous n’aurez plus rien. </v>
      </c>
      <c r="L467" s="13"/>
      <c r="M467" s="72"/>
      <c r="N467" s="72"/>
      <c r="O467" s="72"/>
      <c r="P467" s="72"/>
      <c r="Q467" s="72"/>
      <c r="R467" s="72"/>
      <c r="S467" s="72"/>
      <c r="T467" s="72"/>
      <c r="U467" s="72"/>
      <c r="V467" s="72"/>
      <c r="X467" s="52"/>
    </row>
    <row r="468" spans="1:25" s="7" customFormat="1" ht="20.100000000000001" customHeight="1" x14ac:dyDescent="0.25">
      <c r="A468" s="38">
        <f t="shared" si="227"/>
        <v>3</v>
      </c>
      <c r="B468" s="38">
        <f t="shared" si="228"/>
        <v>0</v>
      </c>
      <c r="C468" s="72" t="s">
        <v>33</v>
      </c>
      <c r="D468" s="13">
        <v>18</v>
      </c>
      <c r="E468" s="13"/>
      <c r="F468" s="13" t="str">
        <f t="shared" ca="1" si="229"/>
        <v>inv_instr_1_18</v>
      </c>
      <c r="G468" s="31"/>
      <c r="H468" t="s">
        <v>1805</v>
      </c>
      <c r="I468" s="31"/>
      <c r="J468" s="41"/>
      <c r="K468" s="13" t="str">
        <f t="shared" si="215"/>
        <v>Avez-vous des questions? </v>
      </c>
      <c r="L468" s="13"/>
      <c r="M468" s="72"/>
      <c r="N468" s="72"/>
      <c r="O468" s="72"/>
      <c r="P468" s="72" t="s">
        <v>1806</v>
      </c>
      <c r="Q468" s="72"/>
      <c r="R468" s="72"/>
      <c r="S468" s="72"/>
      <c r="T468" s="72"/>
      <c r="U468" s="72"/>
      <c r="V468" s="72"/>
      <c r="X468" s="52"/>
    </row>
    <row r="469" spans="1:25" s="7" customFormat="1" ht="20.100000000000001" customHeight="1" x14ac:dyDescent="0.25">
      <c r="A469" s="38">
        <f t="shared" si="227"/>
        <v>3</v>
      </c>
      <c r="B469" s="38">
        <f t="shared" si="228"/>
        <v>0</v>
      </c>
      <c r="C469" s="72" t="s">
        <v>33</v>
      </c>
      <c r="D469" s="13">
        <v>19</v>
      </c>
      <c r="E469" s="13"/>
      <c r="F469" s="13" t="str">
        <f t="shared" ca="1" si="229"/>
        <v>inv_instr_1_19</v>
      </c>
      <c r="G469" s="31"/>
      <c r="H469" t="s">
        <v>1807</v>
      </c>
      <c r="I469" s="31"/>
      <c r="J469" s="41"/>
      <c r="K469" s="13" t="str">
        <f t="shared" si="215"/>
        <v>Maintenant vous êtes ENVOYEUR</v>
      </c>
      <c r="L469" s="13"/>
      <c r="M469" s="72"/>
      <c r="N469" s="72"/>
      <c r="O469" s="72"/>
      <c r="P469" s="72"/>
      <c r="Q469" s="72"/>
      <c r="R469" s="72"/>
      <c r="S469" s="72"/>
      <c r="T469" s="72"/>
      <c r="U469" s="72"/>
      <c r="V469" s="72"/>
      <c r="X469" s="52"/>
    </row>
    <row r="470" spans="1:25" s="7" customFormat="1" ht="20.100000000000001" customHeight="1" x14ac:dyDescent="0.25">
      <c r="A470" s="38">
        <f t="shared" si="227"/>
        <v>3</v>
      </c>
      <c r="B470" s="38">
        <f t="shared" si="228"/>
        <v>0</v>
      </c>
      <c r="C470" s="72" t="s">
        <v>33</v>
      </c>
      <c r="D470" s="13">
        <v>20</v>
      </c>
      <c r="E470" s="13"/>
      <c r="F470" s="13" t="str">
        <f t="shared" ca="1" si="229"/>
        <v>inv_instr_1_20</v>
      </c>
      <c r="G470" s="31"/>
      <c r="H470" t="s">
        <v>1808</v>
      </c>
      <c r="I470" s="31"/>
      <c r="J470" s="41"/>
      <c r="K470" s="13" t="str">
        <f t="shared" si="215"/>
        <v>C’est-à-dire que vous avez 6 coupons de FC 500. </v>
      </c>
      <c r="L470" s="13"/>
      <c r="M470" s="72"/>
      <c r="N470" s="72"/>
      <c r="O470" s="72"/>
      <c r="P470" s="72"/>
      <c r="Q470" s="72"/>
      <c r="R470" s="72"/>
      <c r="S470" s="72"/>
      <c r="T470" s="72"/>
      <c r="U470" s="72"/>
      <c r="V470" s="72"/>
      <c r="X470" s="52"/>
    </row>
    <row r="471" spans="1:25" s="7" customFormat="1" ht="20.100000000000001" customHeight="1" x14ac:dyDescent="0.25">
      <c r="A471" s="38">
        <f t="shared" si="227"/>
        <v>3</v>
      </c>
      <c r="B471" s="38">
        <f t="shared" si="228"/>
        <v>0</v>
      </c>
      <c r="C471" s="72" t="s">
        <v>33</v>
      </c>
      <c r="D471" s="13">
        <v>21</v>
      </c>
      <c r="E471" s="13"/>
      <c r="F471" s="13" t="str">
        <f t="shared" ca="1" si="229"/>
        <v>inv_instr_1_21</v>
      </c>
      <c r="G471" s="31"/>
      <c r="H471" t="s">
        <v>1809</v>
      </c>
      <c r="I471" s="31"/>
      <c r="J471" s="41"/>
      <c r="K471" s="13" t="str">
        <f t="shared" si="215"/>
        <v>Si vous tirez Jeton 1 lors de la réunion de paiement, vous recevrez les coupons que vous allez envoier vers le Recepteur plus les coupons qui le Recepteur va Renvoyer</v>
      </c>
      <c r="L471" s="13"/>
      <c r="M471" s="72"/>
      <c r="N471" s="72"/>
      <c r="O471" s="72"/>
      <c r="P471" s="72"/>
      <c r="Q471" s="72"/>
      <c r="R471" s="72"/>
      <c r="S471" s="72"/>
      <c r="T471" s="72"/>
      <c r="U471" s="72"/>
      <c r="V471" s="72"/>
      <c r="X471" s="52"/>
    </row>
    <row r="472" spans="1:25" s="21" customFormat="1" ht="20.100000000000001" customHeight="1" x14ac:dyDescent="0.25">
      <c r="A472" s="38">
        <f t="shared" si="227"/>
        <v>2</v>
      </c>
      <c r="B472" s="38">
        <f t="shared" si="228"/>
        <v>0</v>
      </c>
      <c r="C472" s="124" t="s">
        <v>40</v>
      </c>
      <c r="D472" s="124">
        <v>1</v>
      </c>
      <c r="E472" s="124"/>
      <c r="F472" s="124"/>
      <c r="G472" s="125"/>
      <c r="H472" s="125"/>
      <c r="I472" s="125"/>
      <c r="J472" s="124"/>
      <c r="K472" s="124" t="str">
        <f t="shared" si="215"/>
        <v/>
      </c>
      <c r="L472" s="124"/>
      <c r="M472" s="124"/>
      <c r="N472" s="124"/>
      <c r="O472" s="124"/>
      <c r="P472" s="124"/>
      <c r="Q472" s="124"/>
      <c r="R472" s="124"/>
      <c r="S472" s="124"/>
      <c r="T472" s="124"/>
      <c r="U472" s="124"/>
      <c r="V472" s="124"/>
      <c r="X472" s="56"/>
      <c r="Y472" s="56"/>
    </row>
    <row r="473" spans="1:25" s="7" customFormat="1" ht="20.100000000000001" customHeight="1" x14ac:dyDescent="0.25">
      <c r="A473" s="38">
        <f t="shared" si="227"/>
        <v>2</v>
      </c>
      <c r="B473" s="38">
        <f t="shared" si="228"/>
        <v>0</v>
      </c>
      <c r="C473" s="72" t="s">
        <v>35</v>
      </c>
      <c r="D473" s="13"/>
      <c r="E473" s="13"/>
      <c r="F473" s="13" t="s">
        <v>1810</v>
      </c>
      <c r="G473" s="31"/>
      <c r="H473" t="s">
        <v>1811</v>
      </c>
      <c r="I473" s="31"/>
      <c r="J473" s="41"/>
      <c r="K473" s="13" t="str">
        <f t="shared" si="215"/>
        <v>Combien des coupons voulez-vous envoyer vers le Recepteur ? </v>
      </c>
      <c r="L473" s="13"/>
      <c r="M473" s="72"/>
      <c r="N473" s="72"/>
      <c r="O473" s="72"/>
      <c r="P473" s="72" t="s">
        <v>1812</v>
      </c>
      <c r="Q473" s="72"/>
      <c r="R473" s="72"/>
      <c r="S473" s="72"/>
      <c r="T473" s="72" t="s">
        <v>1893</v>
      </c>
      <c r="U473" s="72"/>
      <c r="V473" s="72"/>
      <c r="X473" s="52" t="s">
        <v>36</v>
      </c>
    </row>
    <row r="474" spans="1:25" s="17" customFormat="1" ht="20.100000000000001" customHeight="1" x14ac:dyDescent="0.25">
      <c r="A474" s="38">
        <f t="shared" si="227"/>
        <v>3</v>
      </c>
      <c r="B474" s="38">
        <f t="shared" si="228"/>
        <v>0</v>
      </c>
      <c r="C474" s="122" t="s">
        <v>32</v>
      </c>
      <c r="D474" s="122">
        <v>2</v>
      </c>
      <c r="E474" s="122"/>
      <c r="F474" s="10" t="str">
        <f>"inv_instr_"&amp;D474</f>
        <v>inv_instr_2</v>
      </c>
      <c r="G474" s="10" t="str">
        <f>"Instuctions Investment "&amp;D474</f>
        <v>Instuctions Investment 2</v>
      </c>
      <c r="H474" s="10" t="str">
        <f>"Instuction Investissement "&amp;D474</f>
        <v>Instuction Investissement 2</v>
      </c>
      <c r="I474" s="10" t="str">
        <f>"Instuction Investissement "&amp;D474</f>
        <v>Instuction Investissement 2</v>
      </c>
      <c r="J474" s="10" t="str">
        <f t="shared" ref="J474:J475" si="232">E474&amp;IF(D474="",""," ")&amp;G474</f>
        <v xml:space="preserve"> Instuctions Investment 2</v>
      </c>
      <c r="K474" s="10" t="str">
        <f t="shared" si="215"/>
        <v>Instuction Investissement 2</v>
      </c>
      <c r="L474" s="10" t="str">
        <f t="shared" ref="L474:L475" si="233">E474&amp;IF(E474="",""," ")&amp;I474</f>
        <v>Instuction Investissement 2</v>
      </c>
      <c r="M474" s="122"/>
      <c r="N474" s="122"/>
      <c r="O474" s="122"/>
      <c r="P474" s="122"/>
      <c r="Q474" s="122"/>
      <c r="R474" s="122"/>
      <c r="S474" s="122"/>
      <c r="T474" s="122"/>
      <c r="U474" s="122"/>
      <c r="V474" s="122"/>
      <c r="X474" s="122"/>
    </row>
    <row r="475" spans="1:25" s="7" customFormat="1" ht="20.100000000000001" customHeight="1" x14ac:dyDescent="0.25">
      <c r="A475" s="38">
        <f t="shared" si="227"/>
        <v>3</v>
      </c>
      <c r="B475" s="38">
        <f t="shared" si="228"/>
        <v>0</v>
      </c>
      <c r="C475" s="72" t="s">
        <v>33</v>
      </c>
      <c r="D475" s="13">
        <v>1</v>
      </c>
      <c r="E475" s="13"/>
      <c r="F475" s="13" t="str">
        <f t="shared" ref="F475:F478" ca="1" si="234">OFFSET(F475,-1*D475,0)&amp;"_"&amp;D475</f>
        <v>inv_instr_2_1</v>
      </c>
      <c r="G475" s="31"/>
      <c r="H475" t="s">
        <v>1813</v>
      </c>
      <c r="I475" s="31"/>
      <c r="J475" s="41" t="str">
        <f t="shared" si="232"/>
        <v xml:space="preserve"> </v>
      </c>
      <c r="K475" s="13" t="str">
        <f t="shared" si="215"/>
        <v>Maintenant, vous êtes dans la situation opposée, c'est-à-dire vous êtes le récepteur. </v>
      </c>
      <c r="L475" s="13" t="str">
        <f t="shared" si="233"/>
        <v/>
      </c>
      <c r="M475" s="72"/>
      <c r="N475" s="72"/>
      <c r="O475" s="72"/>
      <c r="P475" s="72"/>
      <c r="Q475" s="72"/>
      <c r="R475" s="72"/>
      <c r="S475" s="72"/>
      <c r="T475" s="72"/>
      <c r="U475" s="72"/>
      <c r="V475" s="72"/>
    </row>
    <row r="476" spans="1:25" s="7" customFormat="1" ht="20.100000000000001" customHeight="1" x14ac:dyDescent="0.25">
      <c r="A476" s="38">
        <f t="shared" si="227"/>
        <v>3</v>
      </c>
      <c r="B476" s="38">
        <f t="shared" si="228"/>
        <v>0</v>
      </c>
      <c r="C476" s="72" t="s">
        <v>33</v>
      </c>
      <c r="D476" s="13">
        <v>2</v>
      </c>
      <c r="E476" s="13"/>
      <c r="F476" s="13" t="str">
        <f t="shared" ca="1" si="234"/>
        <v>inv_instr_2_2</v>
      </c>
      <c r="G476" s="31"/>
      <c r="H476" t="s">
        <v>1814</v>
      </c>
      <c r="I476" s="31"/>
      <c r="J476" s="41"/>
      <c r="K476" s="13" t="str">
        <f t="shared" si="215"/>
        <v>Je viens de inscrire votre offre dans ce fiche. Chaque enquêté dans ce village aura une fiche comme ça. </v>
      </c>
      <c r="L476" s="13"/>
      <c r="M476" s="72"/>
      <c r="N476" s="72"/>
      <c r="O476" s="72"/>
      <c r="P476" s="72"/>
      <c r="Q476" s="72"/>
      <c r="R476" s="72"/>
      <c r="S476" s="72"/>
      <c r="T476" s="72"/>
      <c r="U476" s="72"/>
      <c r="V476" s="72"/>
    </row>
    <row r="477" spans="1:25" s="7" customFormat="1" ht="20.100000000000001" customHeight="1" x14ac:dyDescent="0.25">
      <c r="A477" s="38">
        <f t="shared" si="227"/>
        <v>3</v>
      </c>
      <c r="B477" s="38">
        <f t="shared" si="228"/>
        <v>0</v>
      </c>
      <c r="C477" s="72" t="s">
        <v>33</v>
      </c>
      <c r="D477" s="13">
        <v>3</v>
      </c>
      <c r="E477" s="13"/>
      <c r="F477" s="13" t="str">
        <f t="shared" ca="1" si="234"/>
        <v>inv_instr_2_3</v>
      </c>
      <c r="G477" s="31"/>
      <c r="H477" t="s">
        <v>1815</v>
      </c>
      <c r="I477" s="31"/>
      <c r="J477" s="41"/>
      <c r="K477" s="13" t="str">
        <f t="shared" si="215"/>
        <v>Si vous tirez JETON 2 lors de la réunion de paiement, nous tirons une fiche de quelqu’un d’autre pour déterminer l’offre</v>
      </c>
      <c r="L477" s="13"/>
      <c r="M477" s="72"/>
      <c r="N477" s="72"/>
      <c r="O477" s="72"/>
      <c r="P477" s="72"/>
      <c r="Q477" s="72"/>
      <c r="R477" s="72"/>
      <c r="S477" s="72"/>
      <c r="T477" s="72"/>
      <c r="U477" s="72"/>
      <c r="V477" s="72"/>
    </row>
    <row r="478" spans="1:25" s="7" customFormat="1" ht="20.100000000000001" customHeight="1" x14ac:dyDescent="0.25">
      <c r="A478" s="38">
        <f t="shared" si="227"/>
        <v>3</v>
      </c>
      <c r="B478" s="38">
        <f t="shared" si="228"/>
        <v>0</v>
      </c>
      <c r="C478" s="72" t="s">
        <v>33</v>
      </c>
      <c r="D478" s="13">
        <v>4</v>
      </c>
      <c r="E478" s="13"/>
      <c r="F478" s="13" t="str">
        <f t="shared" ca="1" si="234"/>
        <v>inv_instr_2_4</v>
      </c>
      <c r="G478" s="31"/>
      <c r="H478" t="s">
        <v>1816</v>
      </c>
      <c r="I478" s="31"/>
      <c r="J478" s="41"/>
      <c r="K478" s="13" t="str">
        <f t="shared" si="215"/>
        <v>Je vais vous donner tous les offres possibles, et demander combien vous aller renvoyer. Avec ça, on déterminera votre gain si vous sélectionnerez JETON 2</v>
      </c>
      <c r="L478" s="13"/>
      <c r="M478" s="72"/>
      <c r="N478" s="72"/>
      <c r="O478" s="72"/>
      <c r="P478" s="72"/>
      <c r="Q478" s="72"/>
      <c r="R478" s="72"/>
      <c r="S478" s="72"/>
      <c r="T478" s="72"/>
      <c r="U478" s="72"/>
      <c r="V478" s="72"/>
    </row>
    <row r="479" spans="1:25" s="21" customFormat="1" ht="20.100000000000001" customHeight="1" x14ac:dyDescent="0.25">
      <c r="A479" s="38">
        <f t="shared" si="227"/>
        <v>2</v>
      </c>
      <c r="B479" s="38">
        <f t="shared" si="228"/>
        <v>0</v>
      </c>
      <c r="C479" s="124" t="s">
        <v>40</v>
      </c>
      <c r="D479" s="124">
        <v>1</v>
      </c>
      <c r="E479" s="124"/>
      <c r="F479" s="124"/>
      <c r="G479" s="125"/>
      <c r="H479" s="125"/>
      <c r="I479" s="125"/>
      <c r="J479" s="124"/>
      <c r="K479" s="124" t="str">
        <f t="shared" si="215"/>
        <v/>
      </c>
      <c r="L479" s="124"/>
      <c r="M479" s="124"/>
      <c r="N479" s="124"/>
      <c r="O479" s="124"/>
      <c r="P479" s="124"/>
      <c r="Q479" s="124"/>
      <c r="R479" s="124"/>
      <c r="S479" s="124"/>
      <c r="T479" s="124"/>
      <c r="U479" s="124"/>
      <c r="V479" s="124"/>
      <c r="X479" s="56"/>
      <c r="Y479" s="56"/>
    </row>
    <row r="480" spans="1:25" s="36" customFormat="1" ht="18.75" customHeight="1" x14ac:dyDescent="0.25">
      <c r="A480" s="38">
        <f t="shared" si="227"/>
        <v>2</v>
      </c>
      <c r="B480" s="38">
        <f t="shared" si="228"/>
        <v>1</v>
      </c>
      <c r="C480" s="33" t="s">
        <v>244</v>
      </c>
      <c r="D480" s="33">
        <f>D479+1</f>
        <v>2</v>
      </c>
      <c r="E480" s="33"/>
      <c r="F480" s="33" t="s">
        <v>1817</v>
      </c>
      <c r="G480" s="154" t="s">
        <v>1818</v>
      </c>
      <c r="H480" s="154" t="s">
        <v>1819</v>
      </c>
      <c r="I480" s="154" t="s">
        <v>1819</v>
      </c>
      <c r="J480" s="154" t="str">
        <f t="shared" ref="J480" si="235">E480&amp;IF(D480="",""," ")&amp;G480</f>
        <v xml:space="preserve"> Receiver</v>
      </c>
      <c r="K480" s="154" t="str">
        <f t="shared" si="215"/>
        <v>Recepteur</v>
      </c>
      <c r="L480" s="154" t="str">
        <f t="shared" ref="L480" si="236">E480&amp;IF(E480="",""," ")&amp;I480</f>
        <v>Recepteur</v>
      </c>
      <c r="M480" s="33"/>
      <c r="N480" s="33"/>
      <c r="O480" s="33"/>
      <c r="P480" s="33"/>
      <c r="Q480" s="33"/>
      <c r="R480" s="33"/>
      <c r="S480" s="33"/>
      <c r="T480" s="33"/>
      <c r="U480" s="33"/>
      <c r="V480" s="33"/>
      <c r="X480" s="33"/>
      <c r="Y480" s="36">
        <v>6</v>
      </c>
    </row>
    <row r="481" spans="1:25" customFormat="1" ht="18.75" customHeight="1" x14ac:dyDescent="0.25">
      <c r="A481" s="38">
        <f t="shared" si="227"/>
        <v>2</v>
      </c>
      <c r="B481" s="38">
        <f t="shared" si="228"/>
        <v>1</v>
      </c>
      <c r="C481" t="s">
        <v>44</v>
      </c>
      <c r="F481" t="str">
        <f>F480&amp;"_linenum"</f>
        <v>inv_r_linenum</v>
      </c>
      <c r="K481" t="str">
        <f t="shared" si="215"/>
        <v/>
      </c>
      <c r="M481" t="s">
        <v>1360</v>
      </c>
    </row>
    <row r="482" spans="1:25" customFormat="1" ht="18.75" customHeight="1" x14ac:dyDescent="0.25">
      <c r="A482" s="38">
        <f t="shared" si="227"/>
        <v>2</v>
      </c>
      <c r="B482" s="38">
        <f t="shared" si="228"/>
        <v>1</v>
      </c>
      <c r="C482" t="s">
        <v>44</v>
      </c>
      <c r="F482" t="str">
        <f>F480&amp;"_receive"</f>
        <v>inv_r_receive</v>
      </c>
      <c r="K482" t="str">
        <f t="shared" si="215"/>
        <v/>
      </c>
      <c r="M482" t="str">
        <f>"3*${"&amp;F481&amp;"}"</f>
        <v>3*${inv_r_linenum}</v>
      </c>
    </row>
    <row r="483" spans="1:25" customFormat="1" ht="18.75" customHeight="1" x14ac:dyDescent="0.25">
      <c r="A483" s="38">
        <f t="shared" si="227"/>
        <v>2</v>
      </c>
      <c r="B483" s="38">
        <f t="shared" si="228"/>
        <v>1</v>
      </c>
      <c r="C483" t="s">
        <v>44</v>
      </c>
      <c r="F483" t="str">
        <f>F480&amp;"_receive_fr"</f>
        <v>inv_r_receive_fr</v>
      </c>
      <c r="K483" t="str">
        <f t="shared" si="215"/>
        <v/>
      </c>
      <c r="M483" t="str">
        <f>"500*${"&amp;F482&amp;"}"</f>
        <v>500*${inv_r_receive}</v>
      </c>
    </row>
    <row r="484" spans="1:25" s="7" customFormat="1" ht="20.100000000000001" customHeight="1" x14ac:dyDescent="0.25">
      <c r="A484" s="38">
        <f t="shared" si="227"/>
        <v>2</v>
      </c>
      <c r="B484" s="38">
        <f t="shared" si="228"/>
        <v>1</v>
      </c>
      <c r="C484" s="72" t="s">
        <v>33</v>
      </c>
      <c r="D484" s="72"/>
      <c r="E484" s="72"/>
      <c r="F484" s="13" t="str">
        <f>F480&amp;"_instr_1"</f>
        <v>inv_r_instr_1</v>
      </c>
      <c r="G484" s="31"/>
      <c r="H484" t="str">
        <f>"Offre ${"&amp;F481&amp;"}: Une personne quelconque du village –dont vous ne connaissez pas l’identité – vous envoie ${"&amp;F481&amp;"} coupons (sur 6) et de ce fait, vous recevez immédiatement ${"&amp;F482&amp;"} coupons, avec un valeur total de ${"&amp;F483&amp;"} francs."</f>
        <v>Offre ${inv_r_linenum}: Une personne quelconque du village –dont vous ne connaissez pas l’identité – vous envoie ${inv_r_linenum} coupons (sur 6) et de ce fait, vous recevez immédiatement ${inv_r_receive} coupons, avec un valeur total de ${inv_r_receive_fr} francs.</v>
      </c>
      <c r="I484" s="31"/>
      <c r="J484" s="41" t="str">
        <f t="shared" ref="J484:J485" si="237">E484&amp;IF(D484="",""," ")&amp;G484</f>
        <v/>
      </c>
      <c r="K484" s="13" t="str">
        <f t="shared" si="215"/>
        <v>Offre ${inv_r_linenum}: Une personne quelconque du village –dont vous ne connaissez pas l’identité – vous envoie ${inv_r_linenum} coupons (sur 6) et de ce fait, vous recevez immédiatement ${inv_r_receive} coupons, avec un valeur total de ${inv_r_receive_fr} francs.</v>
      </c>
      <c r="L484" s="13" t="str">
        <f t="shared" ref="L484:L485" si="238">E484&amp;IF(E484="",""," ")&amp;I484</f>
        <v/>
      </c>
      <c r="M484" s="72"/>
      <c r="N484" s="72"/>
      <c r="O484" s="72" t="s">
        <v>1892</v>
      </c>
      <c r="P484" s="72" t="s">
        <v>1892</v>
      </c>
      <c r="Q484" s="72" t="s">
        <v>1892</v>
      </c>
      <c r="R484" s="72"/>
      <c r="S484" s="72"/>
      <c r="T484" s="72"/>
      <c r="U484" s="72"/>
      <c r="V484" s="72"/>
    </row>
    <row r="485" spans="1:25" s="7" customFormat="1" ht="20.100000000000001" customHeight="1" x14ac:dyDescent="0.25">
      <c r="A485" s="38">
        <f t="shared" si="227"/>
        <v>2</v>
      </c>
      <c r="B485" s="38">
        <f t="shared" si="228"/>
        <v>1</v>
      </c>
      <c r="C485" s="72" t="s">
        <v>35</v>
      </c>
      <c r="D485" s="72"/>
      <c r="E485" s="72"/>
      <c r="F485" s="13" t="str">
        <f>F480&amp;"_ir"</f>
        <v>inv_r_ir</v>
      </c>
      <c r="G485" s="31"/>
      <c r="H485" t="s">
        <v>1820</v>
      </c>
      <c r="I485" s="31"/>
      <c r="J485" s="41" t="str">
        <f t="shared" si="237"/>
        <v/>
      </c>
      <c r="K485" s="13" t="str">
        <f t="shared" si="215"/>
        <v>Vous avez la possibilité de lui retourner des coupons mais vous êtes libre de les retourner ou pas. Combien de sacs voulez-vous lui retourner ? </v>
      </c>
      <c r="L485" s="13" t="str">
        <f t="shared" si="238"/>
        <v/>
      </c>
      <c r="M485" s="72"/>
      <c r="N485" s="72"/>
      <c r="O485" s="72"/>
      <c r="P485" s="72" t="str">
        <f>"Copier la réponse vers ligne IR${"&amp;F481&amp;"} de la fiche des exercices"</f>
        <v>Copier la réponse vers ligne IR${inv_r_linenum} de la fiche des exercices</v>
      </c>
      <c r="Q485" s="72"/>
      <c r="R485" s="72"/>
      <c r="S485" s="72"/>
      <c r="T485" s="72" t="str">
        <f>".&gt;=0 and .&lt;= "&amp;"${"&amp;F482&amp;"}"</f>
        <v>.&gt;=0 and .&lt;= ${inv_r_receive}</v>
      </c>
      <c r="U485" s="72"/>
      <c r="V485" s="72"/>
      <c r="X485" s="7" t="s">
        <v>36</v>
      </c>
    </row>
    <row r="486" spans="1:25" s="7" customFormat="1" ht="20.100000000000001" customHeight="1" x14ac:dyDescent="0.25">
      <c r="A486" s="38">
        <f t="shared" si="227"/>
        <v>2</v>
      </c>
      <c r="B486" s="38">
        <f t="shared" si="228"/>
        <v>1</v>
      </c>
      <c r="C486" s="72" t="s">
        <v>44</v>
      </c>
      <c r="D486" s="72"/>
      <c r="E486" s="72"/>
      <c r="F486" s="13" t="str">
        <f>F480&amp;"_keep"</f>
        <v>inv_r_keep</v>
      </c>
      <c r="G486" s="31"/>
      <c r="H486"/>
      <c r="I486" s="31"/>
      <c r="J486" s="41"/>
      <c r="K486" s="13" t="str">
        <f t="shared" si="215"/>
        <v/>
      </c>
      <c r="L486" s="13"/>
      <c r="M486" s="72" t="str">
        <f>"${"&amp;F482&amp;"} - ${"&amp;F485&amp;"}"</f>
        <v>${inv_r_receive} - ${inv_r_ir}</v>
      </c>
      <c r="N486" s="72"/>
      <c r="O486" s="72"/>
      <c r="P486" s="72"/>
      <c r="Q486" s="72"/>
      <c r="R486" s="72"/>
      <c r="S486" s="72"/>
      <c r="T486" s="72"/>
      <c r="U486" s="72"/>
      <c r="V486" s="72"/>
      <c r="X486" s="52"/>
    </row>
    <row r="487" spans="1:25" s="7" customFormat="1" ht="20.100000000000001" customHeight="1" x14ac:dyDescent="0.25">
      <c r="A487" s="38">
        <f t="shared" si="227"/>
        <v>2</v>
      </c>
      <c r="B487" s="38">
        <f t="shared" si="228"/>
        <v>1</v>
      </c>
      <c r="C487" s="72" t="s">
        <v>44</v>
      </c>
      <c r="D487" s="72"/>
      <c r="E487" s="72"/>
      <c r="F487" s="13" t="str">
        <f>F480&amp;"_sender"</f>
        <v>inv_r_sender</v>
      </c>
      <c r="G487" s="31"/>
      <c r="H487"/>
      <c r="I487" s="31"/>
      <c r="J487" s="41"/>
      <c r="K487" s="13" t="str">
        <f t="shared" si="215"/>
        <v/>
      </c>
      <c r="L487" s="13"/>
      <c r="M487" s="72" t="str">
        <f>"6-${"&amp;F481&amp;"} + ${"&amp;F485&amp;"}"</f>
        <v>6-${inv_r_linenum} + ${inv_r_ir}</v>
      </c>
      <c r="N487" s="72"/>
      <c r="O487" s="72"/>
      <c r="P487" s="72"/>
      <c r="Q487" s="72"/>
      <c r="R487" s="72"/>
      <c r="S487" s="72"/>
      <c r="T487" s="72"/>
      <c r="U487" s="72"/>
      <c r="V487" s="72"/>
      <c r="X487" s="52"/>
    </row>
    <row r="488" spans="1:25" s="7" customFormat="1" ht="20.100000000000001" customHeight="1" x14ac:dyDescent="0.25">
      <c r="A488" s="38">
        <f t="shared" si="227"/>
        <v>2</v>
      </c>
      <c r="B488" s="38">
        <f t="shared" si="228"/>
        <v>1</v>
      </c>
      <c r="C488" s="72" t="s">
        <v>44</v>
      </c>
      <c r="D488" s="72"/>
      <c r="E488" s="72"/>
      <c r="F488" s="13" t="str">
        <f>F480&amp;"_keep_fr"</f>
        <v>inv_r_keep_fr</v>
      </c>
      <c r="G488" s="31"/>
      <c r="H488"/>
      <c r="I488" s="31"/>
      <c r="J488" s="41"/>
      <c r="K488" s="13" t="str">
        <f t="shared" si="215"/>
        <v/>
      </c>
      <c r="L488" s="13"/>
      <c r="M488" t="str">
        <f>"500*${"&amp;F486&amp;"}"</f>
        <v>500*${inv_r_keep}</v>
      </c>
      <c r="N488" s="72"/>
      <c r="O488" s="72"/>
      <c r="P488" s="72"/>
      <c r="Q488" s="72"/>
      <c r="R488" s="72"/>
      <c r="S488" s="72"/>
      <c r="T488" s="72"/>
      <c r="U488" s="72"/>
      <c r="V488" s="72"/>
      <c r="X488" s="52"/>
    </row>
    <row r="489" spans="1:25" s="7" customFormat="1" ht="20.100000000000001" customHeight="1" x14ac:dyDescent="0.25">
      <c r="A489" s="38">
        <f t="shared" si="227"/>
        <v>2</v>
      </c>
      <c r="B489" s="38">
        <f t="shared" si="228"/>
        <v>1</v>
      </c>
      <c r="C489" s="72" t="s">
        <v>44</v>
      </c>
      <c r="D489" s="72"/>
      <c r="E489" s="72"/>
      <c r="F489" s="13" t="str">
        <f>F480&amp;"_sender_fr"</f>
        <v>inv_r_sender_fr</v>
      </c>
      <c r="G489" s="31"/>
      <c r="H489"/>
      <c r="I489" s="31"/>
      <c r="J489" s="41"/>
      <c r="K489" s="13" t="str">
        <f t="shared" si="215"/>
        <v/>
      </c>
      <c r="L489" s="13"/>
      <c r="M489" t="str">
        <f>"500*${"&amp;F487&amp;"}"</f>
        <v>500*${inv_r_sender}</v>
      </c>
      <c r="N489" s="72"/>
      <c r="O489" s="72"/>
      <c r="P489" s="72"/>
      <c r="Q489" s="72"/>
      <c r="R489" s="72"/>
      <c r="S489" s="72"/>
      <c r="T489" s="72"/>
      <c r="U489" s="72"/>
      <c r="V489" s="72"/>
      <c r="X489" s="52"/>
    </row>
    <row r="490" spans="1:25" s="7" customFormat="1" ht="20.100000000000001" customHeight="1" x14ac:dyDescent="0.25">
      <c r="A490" s="38">
        <f t="shared" si="227"/>
        <v>2</v>
      </c>
      <c r="B490" s="38">
        <f t="shared" si="228"/>
        <v>1</v>
      </c>
      <c r="C490" s="72" t="s">
        <v>33</v>
      </c>
      <c r="D490" s="72"/>
      <c r="E490" s="72"/>
      <c r="F490" s="13" t="str">
        <f>F480&amp;"_inst_2"</f>
        <v>inv_r_inst_2</v>
      </c>
      <c r="G490" s="31"/>
      <c r="H490" t="str">
        <f>"Ça signifie que si vous recevez cet offre, votre gains sera ${"&amp;F486&amp;"} coupons (${"&amp;F488&amp;"} francs) et le gain de votre correspondant sera ${"&amp;F487&amp;"} coupons (${"&amp;F489&amp;"} francs)."</f>
        <v>Ça signifie que si vous recevez cet offre, votre gains sera ${inv_r_keep} coupons (${inv_r_keep_fr} francs) et le gain de votre correspondant sera ${inv_r_sender} coupons (${inv_r_sender_fr} francs).</v>
      </c>
      <c r="I490" s="31"/>
      <c r="J490" s="41"/>
      <c r="K490" s="13" t="str">
        <f t="shared" si="215"/>
        <v>Ça signifie que si vous recevez cet offre, votre gains sera ${inv_r_keep} coupons (${inv_r_keep_fr} francs) et le gain de votre correspondant sera ${inv_r_sender} coupons (${inv_r_sender_fr} francs).</v>
      </c>
      <c r="L490" s="13"/>
      <c r="M490" s="72"/>
      <c r="N490" s="72"/>
      <c r="O490" s="72"/>
      <c r="P490" s="72"/>
      <c r="Q490" s="72"/>
      <c r="R490" s="72"/>
      <c r="S490" s="72"/>
      <c r="T490" s="72"/>
      <c r="U490" s="72"/>
      <c r="V490" s="72"/>
      <c r="X490" s="52"/>
    </row>
    <row r="491" spans="1:25" s="40" customFormat="1" ht="20.100000000000001" customHeight="1" x14ac:dyDescent="0.25">
      <c r="A491" s="38">
        <f t="shared" si="227"/>
        <v>2</v>
      </c>
      <c r="B491" s="38">
        <f t="shared" si="228"/>
        <v>0</v>
      </c>
      <c r="C491" s="35" t="s">
        <v>287</v>
      </c>
      <c r="D491" s="35"/>
      <c r="E491" s="35"/>
      <c r="F491" s="35"/>
      <c r="G491" s="34"/>
      <c r="H491" s="34"/>
      <c r="I491" s="34"/>
      <c r="J491" s="35"/>
      <c r="K491" s="35" t="str">
        <f t="shared" si="215"/>
        <v/>
      </c>
      <c r="L491" s="35"/>
      <c r="M491" s="35"/>
      <c r="N491" s="35"/>
      <c r="O491" s="35"/>
      <c r="P491" s="35"/>
      <c r="Q491" s="35"/>
      <c r="R491" s="35"/>
      <c r="S491" s="35"/>
      <c r="T491" s="35"/>
      <c r="U491" s="35"/>
      <c r="V491" s="35"/>
      <c r="X491" s="116"/>
      <c r="Y491" s="116"/>
    </row>
    <row r="492" spans="1:25" s="21" customFormat="1" ht="20.100000000000001" customHeight="1" x14ac:dyDescent="0.25">
      <c r="A492" s="38">
        <f t="shared" si="227"/>
        <v>1</v>
      </c>
      <c r="B492" s="38">
        <f t="shared" si="228"/>
        <v>0</v>
      </c>
      <c r="C492" s="124" t="s">
        <v>40</v>
      </c>
      <c r="D492" s="124"/>
      <c r="E492" s="124"/>
      <c r="F492" s="124"/>
      <c r="G492" s="125"/>
      <c r="H492" s="125"/>
      <c r="I492" s="125"/>
      <c r="J492" s="124"/>
      <c r="K492" s="124" t="str">
        <f t="shared" ref="K492" si="239">E492&amp;IF(E492="",""," ")&amp;H492</f>
        <v/>
      </c>
      <c r="L492" s="124"/>
      <c r="M492" s="124"/>
      <c r="N492" s="124"/>
      <c r="O492" s="124"/>
      <c r="P492" s="124"/>
      <c r="Q492" s="124"/>
      <c r="R492" s="124"/>
      <c r="S492" s="124"/>
      <c r="T492" s="124"/>
      <c r="U492" s="124"/>
      <c r="V492" s="124"/>
      <c r="X492" s="56"/>
      <c r="Y492" s="56"/>
    </row>
    <row r="493" spans="1:25" s="17" customFormat="1" ht="20.100000000000001" customHeight="1" x14ac:dyDescent="0.25">
      <c r="A493" s="38">
        <f t="shared" si="227"/>
        <v>2</v>
      </c>
      <c r="B493" s="38">
        <f t="shared" si="228"/>
        <v>0</v>
      </c>
      <c r="C493" s="17" t="s">
        <v>32</v>
      </c>
      <c r="F493" s="17" t="s">
        <v>1723</v>
      </c>
      <c r="G493" s="10" t="s">
        <v>1724</v>
      </c>
      <c r="H493" s="10" t="s">
        <v>1724</v>
      </c>
      <c r="I493" s="10" t="s">
        <v>1724</v>
      </c>
      <c r="J493" s="7" t="str">
        <f t="shared" ref="J493" si="240">D493&amp;IF(D493="",""," ")&amp;G493</f>
        <v>Genre</v>
      </c>
      <c r="K493" s="7" t="str">
        <f t="shared" ref="K493" si="241">E493&amp;IF(E493="",""," ")&amp;H493</f>
        <v>Genre</v>
      </c>
      <c r="L493" s="7" t="str">
        <f t="shared" ref="L493" si="242">E493&amp;IF(E493="",""," ")&amp;I493</f>
        <v>Genre</v>
      </c>
    </row>
    <row r="494" spans="1:25" ht="53.25" customHeight="1" x14ac:dyDescent="0.25">
      <c r="A494" s="38">
        <f t="shared" si="227"/>
        <v>2</v>
      </c>
      <c r="B494" s="38">
        <f t="shared" si="228"/>
        <v>0</v>
      </c>
      <c r="C494" s="38" t="s">
        <v>1659</v>
      </c>
      <c r="F494" s="38" t="s">
        <v>1568</v>
      </c>
      <c r="G494" s="13" t="s">
        <v>1660</v>
      </c>
      <c r="H494" s="13" t="s">
        <v>1660</v>
      </c>
      <c r="I494" s="13" t="s">
        <v>1660</v>
      </c>
      <c r="J494" s="7" t="str">
        <f t="shared" ref="J494:K522" si="243">D494&amp;IF(D494="",""," ")&amp;G494</f>
        <v>...</v>
      </c>
      <c r="K494" s="7" t="str">
        <f t="shared" si="243"/>
        <v>...</v>
      </c>
      <c r="L494" s="7" t="str">
        <f t="shared" ref="L494:L522" si="244">E494&amp;IF(E494="",""," ")&amp;I494</f>
        <v>...</v>
      </c>
      <c r="O494" s="13" t="s">
        <v>1725</v>
      </c>
      <c r="P494" s="13" t="s">
        <v>1726</v>
      </c>
      <c r="Q494" s="13" t="s">
        <v>1726</v>
      </c>
      <c r="R494" s="151"/>
      <c r="T494" s="38" t="str">
        <f>"not(indexed-repeat(${"&amp;F92&amp;"}, ${"&amp;F82&amp;"},1)!='1' and selected(.,'2'))"</f>
        <v>not(indexed-repeat(${head_hhmar}, ${hhroster},1)!='1' and selected(.,'2'))</v>
      </c>
      <c r="U494" s="38" t="s">
        <v>1661</v>
      </c>
      <c r="V494" s="38" t="s">
        <v>1661</v>
      </c>
      <c r="W494" s="38" t="s">
        <v>1661</v>
      </c>
      <c r="X494" s="38" t="s">
        <v>36</v>
      </c>
    </row>
    <row r="495" spans="1:25" ht="20.100000000000001" customHeight="1" x14ac:dyDescent="0.25">
      <c r="A495" s="38">
        <f t="shared" si="227"/>
        <v>2</v>
      </c>
      <c r="B495" s="38">
        <f t="shared" si="228"/>
        <v>0</v>
      </c>
      <c r="C495" s="38" t="s">
        <v>33</v>
      </c>
      <c r="F495" s="38" t="s">
        <v>1662</v>
      </c>
      <c r="G495" s="13" t="s">
        <v>1663</v>
      </c>
      <c r="H495" s="13" t="s">
        <v>1664</v>
      </c>
      <c r="I495" s="13" t="s">
        <v>1664</v>
      </c>
      <c r="J495" s="7" t="str">
        <f t="shared" si="243"/>
        <v>I now have some questions for the Household Head and the Spouse separately, is this okay?</v>
      </c>
      <c r="K495" s="7" t="str">
        <f t="shared" si="243"/>
        <v>Maintenant j'ai des questions pour le Chef de Ménage et l'épouse separement. Est-ce que vous etes d'accord de répondre ces questions separement?</v>
      </c>
      <c r="L495" s="7" t="str">
        <f t="shared" si="244"/>
        <v>Maintenant j'ai des questions pour le Chef de Ménage et l'épouse separement. Est-ce que vous etes d'accord de répondre ces questions separement?</v>
      </c>
      <c r="R495" s="151" t="str">
        <f>"count-selected(${"&amp;F494&amp;"})&gt;1"</f>
        <v>count-selected(${gender_available})&gt;1</v>
      </c>
    </row>
    <row r="496" spans="1:25" ht="20.100000000000001" customHeight="1" x14ac:dyDescent="0.25">
      <c r="A496" s="38">
        <f t="shared" si="227"/>
        <v>2</v>
      </c>
      <c r="B496" s="38">
        <f t="shared" si="228"/>
        <v>0</v>
      </c>
      <c r="C496" s="38" t="s">
        <v>148</v>
      </c>
      <c r="F496" s="38" t="s">
        <v>1665</v>
      </c>
      <c r="G496" s="38" t="s">
        <v>1660</v>
      </c>
      <c r="H496" s="38" t="s">
        <v>1660</v>
      </c>
      <c r="I496" s="38" t="s">
        <v>1660</v>
      </c>
      <c r="J496" s="7" t="str">
        <f t="shared" si="243"/>
        <v>...</v>
      </c>
      <c r="K496" s="7" t="str">
        <f t="shared" si="243"/>
        <v>...</v>
      </c>
      <c r="L496" s="7" t="str">
        <f t="shared" si="244"/>
        <v>...</v>
      </c>
      <c r="O496" s="13" t="s">
        <v>1666</v>
      </c>
      <c r="P496" s="13" t="s">
        <v>1667</v>
      </c>
      <c r="Q496" s="13" t="s">
        <v>1667</v>
      </c>
      <c r="R496" s="151" t="s">
        <v>2070</v>
      </c>
      <c r="X496" s="38" t="s">
        <v>36</v>
      </c>
    </row>
    <row r="497" spans="1:25" s="17" customFormat="1" ht="29.25" customHeight="1" x14ac:dyDescent="0.25">
      <c r="A497" s="38">
        <f t="shared" si="227"/>
        <v>3</v>
      </c>
      <c r="B497" s="38">
        <f t="shared" si="228"/>
        <v>0</v>
      </c>
      <c r="C497" s="17" t="s">
        <v>32</v>
      </c>
      <c r="D497" s="17" t="s">
        <v>1668</v>
      </c>
      <c r="F497" s="17" t="str">
        <f>"gender_"&amp;D497</f>
        <v>gender_cdm</v>
      </c>
      <c r="G497" s="10" t="s">
        <v>1669</v>
      </c>
      <c r="H497" s="10" t="s">
        <v>149</v>
      </c>
      <c r="I497" s="10" t="s">
        <v>149</v>
      </c>
      <c r="J497" s="7" t="str">
        <f t="shared" si="243"/>
        <v>cdm Genre: Chef de ménage</v>
      </c>
      <c r="K497" s="7" t="str">
        <f t="shared" si="243"/>
        <v>Chef de ménage</v>
      </c>
      <c r="L497" s="7" t="str">
        <f t="shared" si="244"/>
        <v>Chef de ménage</v>
      </c>
      <c r="R497" s="17" t="str">
        <f>"${"&amp;F496&amp;"}='1'"</f>
        <v>${gender_accept_cdm}='1'</v>
      </c>
    </row>
    <row r="498" spans="1:25" customFormat="1" ht="20.100000000000001" customHeight="1" x14ac:dyDescent="0.25">
      <c r="A498" s="38">
        <f t="shared" si="227"/>
        <v>3</v>
      </c>
      <c r="B498" s="38">
        <f t="shared" si="228"/>
        <v>0</v>
      </c>
      <c r="C498" t="s">
        <v>33</v>
      </c>
      <c r="F498" t="s">
        <v>1670</v>
      </c>
      <c r="H498" t="s">
        <v>1671</v>
      </c>
      <c r="K498" s="13" t="str">
        <f t="shared" si="243"/>
        <v>Mainenant, je vais parler avec le chef de ménage seuelement</v>
      </c>
    </row>
    <row r="499" spans="1:25" s="17" customFormat="1" ht="20.100000000000001" customHeight="1" x14ac:dyDescent="0.25">
      <c r="A499" s="38">
        <f t="shared" si="227"/>
        <v>4</v>
      </c>
      <c r="B499" s="38">
        <f t="shared" si="228"/>
        <v>0</v>
      </c>
      <c r="C499" s="10" t="s">
        <v>32</v>
      </c>
      <c r="D499" s="10">
        <v>1</v>
      </c>
      <c r="E499" s="10"/>
      <c r="F499" s="10" t="str">
        <f>"risk_cdm_instr_"&amp;D499</f>
        <v>risk_cdm_instr_1</v>
      </c>
      <c r="G499" s="10" t="str">
        <f>"Risk Instructions "&amp;D499</f>
        <v>Risk Instructions 1</v>
      </c>
      <c r="H499" s="10" t="str">
        <f>"Instructions Risque"&amp;D499</f>
        <v>Instructions Risque1</v>
      </c>
      <c r="I499" s="10" t="str">
        <f>"Instructions Risque "&amp;D499</f>
        <v>Instructions Risque 1</v>
      </c>
      <c r="J499" s="10" t="str">
        <f t="shared" ref="J499:J502" si="245">E499&amp;IF(D499="",""," ")&amp;G499</f>
        <v xml:space="preserve"> Risk Instructions 1</v>
      </c>
      <c r="K499" s="13" t="str">
        <f t="shared" si="243"/>
        <v>Instructions Risque1</v>
      </c>
      <c r="L499" s="13" t="str">
        <f t="shared" si="244"/>
        <v>Instructions Risque 1</v>
      </c>
      <c r="M499" s="10"/>
      <c r="N499" s="122" t="s">
        <v>1312</v>
      </c>
      <c r="O499" s="10"/>
      <c r="P499" s="10"/>
      <c r="Q499" s="10"/>
      <c r="R499" s="10"/>
      <c r="S499" s="10"/>
      <c r="T499" s="10"/>
      <c r="U499" s="10"/>
      <c r="V499" s="10"/>
      <c r="W499" s="10"/>
      <c r="X499" s="10"/>
      <c r="Y499" s="10"/>
    </row>
    <row r="500" spans="1:25" s="7" customFormat="1" ht="31.5" customHeight="1" x14ac:dyDescent="0.25">
      <c r="A500" s="38">
        <f t="shared" si="227"/>
        <v>4</v>
      </c>
      <c r="B500" s="38">
        <f t="shared" si="228"/>
        <v>0</v>
      </c>
      <c r="C500" s="13" t="s">
        <v>33</v>
      </c>
      <c r="D500" s="13">
        <v>1</v>
      </c>
      <c r="E500" s="13"/>
      <c r="F500" s="13" t="str">
        <f ca="1">OFFSET(F500,-1*D500,0)&amp;"_"&amp;D500</f>
        <v>risk_cdm_instr_1_1</v>
      </c>
      <c r="G500" s="13"/>
      <c r="H500" t="s">
        <v>1672</v>
      </c>
      <c r="I500" s="13"/>
      <c r="J500" s="41" t="str">
        <f t="shared" si="245"/>
        <v xml:space="preserve"> </v>
      </c>
      <c r="K500" s="13" t="str">
        <f t="shared" si="243"/>
        <v>Maintenant, on vous demandera de participer à une autre exercice avec lequel vous pouvez gagner de l’argent  effectivement.</v>
      </c>
      <c r="L500" s="13" t="str">
        <f t="shared" si="244"/>
        <v/>
      </c>
      <c r="M500" s="13"/>
      <c r="N500" s="13"/>
      <c r="O500" s="13"/>
      <c r="P500" s="13"/>
      <c r="Q500" s="13"/>
      <c r="R500" s="13"/>
      <c r="S500" s="13"/>
      <c r="T500" s="13"/>
      <c r="U500" s="13"/>
      <c r="V500" s="13"/>
      <c r="W500" s="13"/>
      <c r="X500" s="13"/>
      <c r="Y500" s="13"/>
    </row>
    <row r="501" spans="1:25" s="7" customFormat="1" ht="20.100000000000001" customHeight="1" x14ac:dyDescent="0.25">
      <c r="A501" s="38">
        <f t="shared" si="227"/>
        <v>4</v>
      </c>
      <c r="B501" s="38">
        <f t="shared" si="228"/>
        <v>0</v>
      </c>
      <c r="C501" s="13" t="s">
        <v>33</v>
      </c>
      <c r="D501" s="13">
        <v>2</v>
      </c>
      <c r="E501" s="13"/>
      <c r="F501" s="13" t="str">
        <f t="shared" ref="F501:F506" ca="1" si="246">OFFSET(F501,-1*D501,0)&amp;"_"&amp;D501</f>
        <v>risk_cdm_instr_1_2</v>
      </c>
      <c r="G501" s="13"/>
      <c r="H501" t="s">
        <v>1673</v>
      </c>
      <c r="I501" s="13"/>
      <c r="J501" s="41" t="str">
        <f t="shared" si="245"/>
        <v xml:space="preserve"> </v>
      </c>
      <c r="K501" s="13" t="str">
        <f t="shared" si="243"/>
        <v xml:space="preserve">Dans cet exercice, nous allons vous présenter six loteries. </v>
      </c>
      <c r="L501" s="13" t="str">
        <f t="shared" si="244"/>
        <v/>
      </c>
      <c r="M501" s="13"/>
      <c r="N501" s="13"/>
      <c r="O501" s="13"/>
      <c r="P501" s="13"/>
      <c r="Q501" s="13"/>
      <c r="R501" s="13"/>
      <c r="S501" s="13"/>
      <c r="T501" s="13"/>
      <c r="U501" s="13"/>
      <c r="V501" s="13"/>
      <c r="W501" s="13"/>
      <c r="X501" s="13"/>
      <c r="Y501" s="13"/>
    </row>
    <row r="502" spans="1:25" s="7" customFormat="1" ht="20.100000000000001" customHeight="1" x14ac:dyDescent="0.25">
      <c r="A502" s="38">
        <f t="shared" si="227"/>
        <v>4</v>
      </c>
      <c r="B502" s="38">
        <f t="shared" si="228"/>
        <v>0</v>
      </c>
      <c r="C502" s="13" t="s">
        <v>33</v>
      </c>
      <c r="D502" s="13">
        <v>3</v>
      </c>
      <c r="E502" s="13"/>
      <c r="F502" s="13" t="str">
        <f t="shared" ca="1" si="246"/>
        <v>risk_cdm_instr_1_3</v>
      </c>
      <c r="G502" s="13"/>
      <c r="H502" t="s">
        <v>1674</v>
      </c>
      <c r="I502" s="13"/>
      <c r="J502" s="41" t="str">
        <f t="shared" si="245"/>
        <v xml:space="preserve"> </v>
      </c>
      <c r="K502" s="13" t="str">
        <f t="shared" si="243"/>
        <v>De ces loteries vous allez sélectionner une que vous préférez</v>
      </c>
      <c r="L502" s="13" t="str">
        <f t="shared" si="244"/>
        <v/>
      </c>
      <c r="M502" s="13"/>
      <c r="N502" s="13"/>
      <c r="O502" s="13"/>
      <c r="Q502" s="13"/>
      <c r="R502" s="13"/>
      <c r="S502" s="13"/>
      <c r="T502" s="13"/>
      <c r="U502" s="13"/>
      <c r="V502" s="13"/>
      <c r="W502" s="13"/>
      <c r="X502" s="13"/>
      <c r="Y502" s="13"/>
    </row>
    <row r="503" spans="1:25" s="7" customFormat="1" ht="20.100000000000001" customHeight="1" x14ac:dyDescent="0.25">
      <c r="A503" s="38">
        <f t="shared" si="227"/>
        <v>4</v>
      </c>
      <c r="B503" s="38">
        <f t="shared" si="228"/>
        <v>0</v>
      </c>
      <c r="C503" s="13" t="s">
        <v>33</v>
      </c>
      <c r="D503" s="13">
        <v>4</v>
      </c>
      <c r="E503" s="13"/>
      <c r="F503" s="13" t="str">
        <f t="shared" ca="1" si="246"/>
        <v>risk_cdm_instr_1_4</v>
      </c>
      <c r="G503" s="13"/>
      <c r="H503" t="s">
        <v>1675</v>
      </c>
      <c r="I503" s="13"/>
      <c r="J503" s="41"/>
      <c r="K503" s="13" t="str">
        <f t="shared" si="243"/>
        <v>Cet exercice sera suivi par d’autres et à l’issue de tous ces exercices vous recevrez un peu d’argent pour un seul exercice correspondant au numéro du jeton que vous sélectionnerez au hasard lors de la réunion de paiement.</v>
      </c>
      <c r="L503" s="13"/>
      <c r="M503" s="13"/>
      <c r="N503" s="13"/>
      <c r="O503" s="13"/>
      <c r="P503" t="s">
        <v>1676</v>
      </c>
      <c r="Q503" s="13"/>
      <c r="R503" s="13"/>
      <c r="S503" s="13"/>
      <c r="T503" s="13"/>
      <c r="U503" s="13"/>
      <c r="V503" s="13"/>
      <c r="W503" s="13"/>
      <c r="X503" s="13"/>
      <c r="Y503" s="13"/>
    </row>
    <row r="504" spans="1:25" s="7" customFormat="1" ht="20.100000000000001" customHeight="1" x14ac:dyDescent="0.25">
      <c r="A504" s="38">
        <f t="shared" si="227"/>
        <v>4</v>
      </c>
      <c r="B504" s="38">
        <f t="shared" si="228"/>
        <v>0</v>
      </c>
      <c r="C504" s="13" t="s">
        <v>33</v>
      </c>
      <c r="D504" s="13">
        <v>5</v>
      </c>
      <c r="E504" s="13"/>
      <c r="F504" s="13" t="str">
        <f t="shared" ca="1" si="246"/>
        <v>risk_cdm_instr_1_5</v>
      </c>
      <c r="G504" s="13"/>
      <c r="H504" t="s">
        <v>1677</v>
      </c>
      <c r="I504" s="13"/>
      <c r="J504" s="41"/>
      <c r="K504" s="13" t="str">
        <f t="shared" si="243"/>
        <v>On va seulement faire à loterie sélectionné si vous tirez ce jeton lors de la réunion</v>
      </c>
      <c r="L504" s="13"/>
      <c r="M504" s="13"/>
      <c r="N504" s="13"/>
      <c r="O504" s="13"/>
      <c r="P504" s="13"/>
      <c r="Q504" s="13"/>
      <c r="R504" s="13"/>
      <c r="S504" s="13"/>
      <c r="T504" s="13"/>
      <c r="U504" s="13"/>
      <c r="V504" s="13"/>
      <c r="W504" s="13"/>
      <c r="X504" s="13"/>
      <c r="Y504" s="13"/>
    </row>
    <row r="505" spans="1:25" s="7" customFormat="1" ht="20.100000000000001" customHeight="1" x14ac:dyDescent="0.25">
      <c r="A505" s="38">
        <f t="shared" si="227"/>
        <v>4</v>
      </c>
      <c r="B505" s="38">
        <f t="shared" si="228"/>
        <v>0</v>
      </c>
      <c r="C505" s="13" t="s">
        <v>33</v>
      </c>
      <c r="D505" s="13">
        <v>6</v>
      </c>
      <c r="E505" s="13"/>
      <c r="F505" s="13" t="str">
        <f t="shared" ca="1" si="246"/>
        <v>risk_cdm_instr_1_6</v>
      </c>
      <c r="G505" s="13"/>
      <c r="H505" t="s">
        <v>1678</v>
      </c>
      <c r="I505" s="13"/>
      <c r="J505" s="41"/>
      <c r="K505" s="13" t="str">
        <f t="shared" si="243"/>
        <v>Donc si vous tirez le JETON 3 le paiement pour votre participation sera basé sur le résultat de la loterie que vous choisissez maintenant.</v>
      </c>
      <c r="L505" s="13"/>
      <c r="M505" s="13"/>
      <c r="N505" s="13"/>
      <c r="O505" s="13"/>
      <c r="P505" s="13"/>
      <c r="Q505" s="13"/>
      <c r="R505" s="13"/>
      <c r="S505" s="13"/>
      <c r="T505" s="13"/>
      <c r="U505" s="13"/>
      <c r="V505" s="13"/>
      <c r="W505" s="13"/>
      <c r="X505" s="13"/>
      <c r="Y505" s="13"/>
    </row>
    <row r="506" spans="1:25" s="7" customFormat="1" ht="20.100000000000001" customHeight="1" x14ac:dyDescent="0.25">
      <c r="A506" s="38">
        <f t="shared" si="227"/>
        <v>4</v>
      </c>
      <c r="B506" s="38">
        <f t="shared" si="228"/>
        <v>0</v>
      </c>
      <c r="C506" s="13" t="s">
        <v>33</v>
      </c>
      <c r="D506" s="13">
        <v>7</v>
      </c>
      <c r="E506" s="13"/>
      <c r="F506" s="13" t="str">
        <f t="shared" ca="1" si="246"/>
        <v>risk_cdm_instr_1_7</v>
      </c>
      <c r="G506" s="13"/>
      <c r="H506" t="s">
        <v>1679</v>
      </c>
      <c r="I506" s="13"/>
      <c r="J506" s="41"/>
      <c r="K506" s="13" t="str">
        <f t="shared" si="243"/>
        <v>Est-ce que ça c’est claire ? </v>
      </c>
      <c r="L506" s="13"/>
      <c r="M506" s="13"/>
      <c r="N506" s="13"/>
      <c r="O506" s="13"/>
      <c r="P506" s="13"/>
      <c r="Q506" s="13"/>
      <c r="R506" s="13"/>
      <c r="S506" s="13"/>
      <c r="T506" s="13"/>
      <c r="U506" s="13"/>
      <c r="V506" s="13"/>
      <c r="W506" s="13"/>
      <c r="X506" s="13"/>
      <c r="Y506" s="13"/>
    </row>
    <row r="507" spans="1:25" s="21" customFormat="1" ht="20.100000000000001" customHeight="1" x14ac:dyDescent="0.25">
      <c r="A507" s="38">
        <f t="shared" si="227"/>
        <v>3</v>
      </c>
      <c r="B507" s="38">
        <f t="shared" si="228"/>
        <v>0</v>
      </c>
      <c r="C507" s="124" t="s">
        <v>40</v>
      </c>
      <c r="D507" s="124"/>
      <c r="E507" s="124"/>
      <c r="F507" s="124"/>
      <c r="G507" s="125"/>
      <c r="H507" s="125"/>
      <c r="I507" s="125"/>
      <c r="J507" s="124"/>
      <c r="K507" s="13" t="str">
        <f t="shared" si="243"/>
        <v/>
      </c>
      <c r="L507" s="124"/>
      <c r="M507" s="124"/>
      <c r="N507" s="124"/>
      <c r="O507" s="124"/>
      <c r="P507" s="124"/>
      <c r="Q507" s="124"/>
      <c r="R507" s="124"/>
      <c r="S507" s="124"/>
      <c r="T507" s="124"/>
      <c r="U507" s="124"/>
      <c r="V507" s="124"/>
      <c r="X507" s="56"/>
      <c r="Y507" s="56"/>
    </row>
    <row r="508" spans="1:25" s="17" customFormat="1" ht="20.100000000000001" customHeight="1" x14ac:dyDescent="0.25">
      <c r="A508" s="38">
        <f t="shared" si="227"/>
        <v>4</v>
      </c>
      <c r="B508" s="38">
        <f t="shared" si="228"/>
        <v>0</v>
      </c>
      <c r="C508" s="10" t="s">
        <v>32</v>
      </c>
      <c r="D508" s="10">
        <v>2</v>
      </c>
      <c r="E508" s="10"/>
      <c r="F508" s="10" t="str">
        <f>"risk_cdm_instr_"&amp;D508</f>
        <v>risk_cdm_instr_2</v>
      </c>
      <c r="G508" s="10" t="str">
        <f>"Risk Instructions "&amp;D508</f>
        <v>Risk Instructions 2</v>
      </c>
      <c r="H508" s="10" t="str">
        <f>"Instructions Risque"&amp;D508</f>
        <v>Instructions Risque2</v>
      </c>
      <c r="I508" s="10" t="str">
        <f>"Instructions Risque "&amp;D508</f>
        <v>Instructions Risque 2</v>
      </c>
      <c r="J508" s="10" t="str">
        <f t="shared" ref="J508:J511" si="247">E508&amp;IF(D508="",""," ")&amp;G508</f>
        <v xml:space="preserve"> Risk Instructions 2</v>
      </c>
      <c r="K508" s="13" t="str">
        <f t="shared" si="243"/>
        <v>Instructions Risque2</v>
      </c>
      <c r="L508" s="13" t="str">
        <f t="shared" ref="L508:L511" si="248">E508&amp;IF(E508="",""," ")&amp;I508</f>
        <v>Instructions Risque 2</v>
      </c>
      <c r="M508" s="10"/>
      <c r="N508" s="122" t="s">
        <v>1312</v>
      </c>
      <c r="O508" s="10"/>
      <c r="P508" s="10"/>
      <c r="Q508" s="10"/>
      <c r="R508" s="10"/>
      <c r="S508" s="10"/>
      <c r="T508" s="10"/>
      <c r="U508" s="10"/>
      <c r="V508" s="10"/>
      <c r="W508" s="10"/>
      <c r="X508" s="10"/>
      <c r="Y508" s="10"/>
    </row>
    <row r="509" spans="1:25" s="7" customFormat="1" ht="31.5" customHeight="1" x14ac:dyDescent="0.25">
      <c r="A509" s="38">
        <f t="shared" si="227"/>
        <v>4</v>
      </c>
      <c r="B509" s="38">
        <f t="shared" si="228"/>
        <v>0</v>
      </c>
      <c r="C509" s="13" t="s">
        <v>33</v>
      </c>
      <c r="D509" s="13">
        <v>1</v>
      </c>
      <c r="E509" s="13"/>
      <c r="F509" s="13" t="str">
        <f ca="1">OFFSET(F509,-1*D509,0)&amp;"_"&amp;D509</f>
        <v>risk_cdm_instr_2_1</v>
      </c>
      <c r="G509" s="13"/>
      <c r="H509" t="s">
        <v>1680</v>
      </c>
      <c r="I509" s="13"/>
      <c r="J509" s="41" t="str">
        <f t="shared" si="247"/>
        <v xml:space="preserve"> </v>
      </c>
      <c r="K509" s="13" t="str">
        <f t="shared" si="243"/>
        <v>Ici j’ai un schéma avec 6 loteries</v>
      </c>
      <c r="L509" s="13" t="str">
        <f t="shared" si="248"/>
        <v/>
      </c>
      <c r="M509" s="13"/>
      <c r="N509" s="13"/>
      <c r="O509" s="13"/>
      <c r="P509" s="13"/>
      <c r="Q509" s="13"/>
      <c r="R509" s="13"/>
      <c r="S509" s="13"/>
      <c r="T509" s="13"/>
      <c r="U509" s="13"/>
      <c r="V509" s="13"/>
      <c r="W509" s="13"/>
      <c r="X509" s="13"/>
      <c r="Y509" s="13"/>
    </row>
    <row r="510" spans="1:25" s="7" customFormat="1" ht="20.100000000000001" customHeight="1" x14ac:dyDescent="0.25">
      <c r="A510" s="38">
        <f t="shared" si="227"/>
        <v>4</v>
      </c>
      <c r="B510" s="38">
        <f t="shared" si="228"/>
        <v>0</v>
      </c>
      <c r="C510" s="13" t="s">
        <v>33</v>
      </c>
      <c r="D510" s="13">
        <v>2</v>
      </c>
      <c r="E510" s="13"/>
      <c r="F510" s="13" t="str">
        <f t="shared" ref="F510:F515" ca="1" si="249">OFFSET(F510,-1*D510,0)&amp;"_"&amp;D510</f>
        <v>risk_cdm_instr_2_2</v>
      </c>
      <c r="G510" s="13"/>
      <c r="H510" t="s">
        <v>1681</v>
      </c>
      <c r="I510" s="13"/>
      <c r="J510" s="41" t="str">
        <f t="shared" si="247"/>
        <v xml:space="preserve"> </v>
      </c>
      <c r="K510" s="13" t="str">
        <f t="shared" si="243"/>
        <v>Chaque loterie consiste de deux options : un montant haut, et un montant bas. </v>
      </c>
      <c r="L510" s="13" t="str">
        <f t="shared" si="248"/>
        <v/>
      </c>
      <c r="M510" s="13"/>
      <c r="N510" s="13"/>
      <c r="O510" s="13"/>
      <c r="P510" s="13"/>
      <c r="Q510" s="13"/>
      <c r="R510" s="13"/>
      <c r="S510" s="13"/>
      <c r="T510" s="13"/>
      <c r="U510" s="13"/>
      <c r="V510" s="13"/>
      <c r="W510" s="13"/>
      <c r="X510" s="13"/>
      <c r="Y510" s="13"/>
    </row>
    <row r="511" spans="1:25" s="7" customFormat="1" ht="20.100000000000001" customHeight="1" x14ac:dyDescent="0.25">
      <c r="A511" s="38">
        <f t="shared" si="227"/>
        <v>4</v>
      </c>
      <c r="B511" s="38">
        <f t="shared" si="228"/>
        <v>0</v>
      </c>
      <c r="C511" s="13" t="s">
        <v>33</v>
      </c>
      <c r="D511" s="13">
        <v>3</v>
      </c>
      <c r="E511" s="13"/>
      <c r="F511" s="13" t="str">
        <f t="shared" ca="1" si="249"/>
        <v>risk_cdm_instr_2_3</v>
      </c>
      <c r="G511" s="13"/>
      <c r="H511" t="s">
        <v>1894</v>
      </c>
      <c r="I511" s="13"/>
      <c r="J511" s="41" t="str">
        <f t="shared" si="247"/>
        <v xml:space="preserve"> </v>
      </c>
      <c r="K511" s="13" t="str">
        <f t="shared" si="243"/>
        <v>On regarde option 1 : si vous sélectionnez cette option, et vous tirez JETON 3 lors de la réunion de paiement on va déterminer si vous recevrez le paiement bas, c’est-à-dire 4000 FC ou le paiement haut : 4000 FC.</v>
      </c>
      <c r="L511" s="13" t="str">
        <f t="shared" si="248"/>
        <v/>
      </c>
      <c r="M511" s="13"/>
      <c r="N511" s="13"/>
      <c r="O511" s="13"/>
      <c r="Q511" s="13"/>
      <c r="R511" s="13"/>
      <c r="S511" s="13"/>
      <c r="T511" s="13"/>
      <c r="U511" s="13"/>
      <c r="V511" s="13"/>
      <c r="W511" s="13"/>
      <c r="X511" s="13"/>
      <c r="Y511" s="13"/>
    </row>
    <row r="512" spans="1:25" s="7" customFormat="1" ht="20.100000000000001" customHeight="1" x14ac:dyDescent="0.25">
      <c r="A512" s="38">
        <f t="shared" si="227"/>
        <v>4</v>
      </c>
      <c r="B512" s="38">
        <f t="shared" si="228"/>
        <v>0</v>
      </c>
      <c r="C512" s="13" t="s">
        <v>33</v>
      </c>
      <c r="D512" s="13">
        <v>4</v>
      </c>
      <c r="E512" s="13"/>
      <c r="F512" s="13" t="str">
        <f t="shared" ca="1" si="249"/>
        <v>risk_cdm_instr_2_4</v>
      </c>
      <c r="G512" s="13"/>
      <c r="H512" t="s">
        <v>1895</v>
      </c>
      <c r="I512" s="13"/>
      <c r="J512" s="41"/>
      <c r="K512" s="13" t="str">
        <f t="shared" si="243"/>
        <v>Il y aura un sachet comme ceci. Dans ce sachet je mette deux boules. Si vous tirez la boule noire le paiement sera haut, si vous tirez la boule blanche le paiement sera bas.</v>
      </c>
      <c r="L512" s="13"/>
      <c r="M512" s="13"/>
      <c r="N512" s="13"/>
      <c r="O512" s="13"/>
      <c r="P512"/>
      <c r="Q512" s="13"/>
      <c r="R512" s="13"/>
      <c r="S512" s="13"/>
      <c r="T512" s="13"/>
      <c r="U512" s="13"/>
      <c r="V512" s="13"/>
      <c r="W512" s="13"/>
      <c r="X512" s="13"/>
      <c r="Y512" s="13"/>
    </row>
    <row r="513" spans="1:25" s="7" customFormat="1" ht="20.100000000000001" customHeight="1" x14ac:dyDescent="0.25">
      <c r="A513" s="38">
        <f t="shared" si="227"/>
        <v>4</v>
      </c>
      <c r="B513" s="38">
        <f t="shared" si="228"/>
        <v>0</v>
      </c>
      <c r="C513" s="13" t="s">
        <v>33</v>
      </c>
      <c r="D513" s="13">
        <v>5</v>
      </c>
      <c r="E513" s="13"/>
      <c r="F513" s="13" t="str">
        <f t="shared" ca="1" si="249"/>
        <v>risk_cdm_instr_2_5</v>
      </c>
      <c r="G513" s="13"/>
      <c r="H513" t="s">
        <v>1682</v>
      </c>
      <c r="I513" s="13"/>
      <c r="J513" s="41"/>
      <c r="K513" s="13" t="str">
        <f t="shared" si="243"/>
        <v>Rappelez-vous que vous ne savez pas quelle boule vous allez tirer, donc vous avez le même chance d’avoir le paiement haut, que le paiement bas</v>
      </c>
      <c r="L513" s="13"/>
      <c r="M513" s="13"/>
      <c r="N513" s="13"/>
      <c r="O513" s="13"/>
      <c r="P513" s="13"/>
      <c r="Q513" s="13"/>
      <c r="R513" s="13"/>
      <c r="S513" s="13"/>
      <c r="T513" s="13"/>
      <c r="U513" s="13"/>
      <c r="V513" s="13"/>
      <c r="W513" s="13"/>
      <c r="X513" s="13"/>
      <c r="Y513" s="13"/>
    </row>
    <row r="514" spans="1:25" s="7" customFormat="1" ht="20.100000000000001" customHeight="1" x14ac:dyDescent="0.25">
      <c r="A514" s="38">
        <f t="shared" si="227"/>
        <v>4</v>
      </c>
      <c r="B514" s="38">
        <f t="shared" si="228"/>
        <v>0</v>
      </c>
      <c r="C514" s="13" t="s">
        <v>33</v>
      </c>
      <c r="D514" s="13">
        <v>6</v>
      </c>
      <c r="E514" s="13"/>
      <c r="F514" s="13" t="str">
        <f t="shared" ca="1" si="249"/>
        <v>risk_cdm_instr_2_6</v>
      </c>
      <c r="G514" s="13"/>
      <c r="H514" t="s">
        <v>1683</v>
      </c>
      <c r="I514" s="13"/>
      <c r="J514" s="41"/>
      <c r="K514" s="13" t="str">
        <f t="shared" si="243"/>
        <v>Comme vous avez bien compris je vais vous demander de faire votre choix.</v>
      </c>
      <c r="L514" s="13"/>
      <c r="M514" s="13"/>
      <c r="N514" s="13"/>
      <c r="O514" s="13"/>
      <c r="P514" s="13"/>
      <c r="Q514" s="13"/>
      <c r="R514" s="13"/>
      <c r="S514" s="13"/>
      <c r="T514" s="13"/>
      <c r="U514" s="13"/>
      <c r="V514" s="13"/>
      <c r="W514" s="13"/>
      <c r="X514" s="13"/>
      <c r="Y514" s="13"/>
    </row>
    <row r="515" spans="1:25" s="7" customFormat="1" ht="20.100000000000001" customHeight="1" x14ac:dyDescent="0.25">
      <c r="A515" s="38">
        <f t="shared" ref="A515:A578" si="250">IF(C515="begin group",A514+1,IF(C515="end group",A514-1,A514))</f>
        <v>4</v>
      </c>
      <c r="B515" s="38">
        <f t="shared" ref="B515:B578" si="251">IF(C515="begin repeat",B514+1,IF(C515="end repeat",B514-1,B514))</f>
        <v>0</v>
      </c>
      <c r="C515" s="13" t="s">
        <v>33</v>
      </c>
      <c r="D515" s="13">
        <v>7</v>
      </c>
      <c r="E515" s="13"/>
      <c r="F515" s="13" t="str">
        <f t="shared" ca="1" si="249"/>
        <v>risk_cdm_instr_2_7</v>
      </c>
      <c r="G515" s="13"/>
      <c r="H515" t="s">
        <v>1684</v>
      </c>
      <c r="I515" s="13"/>
      <c r="J515" s="41"/>
      <c r="K515" s="13" t="str">
        <f t="shared" si="243"/>
        <v>Je l’enregistre dans ce papier-ci</v>
      </c>
      <c r="L515" s="13"/>
      <c r="M515" s="13"/>
      <c r="N515" s="13"/>
      <c r="O515" s="13"/>
      <c r="P515" s="13"/>
      <c r="Q515" s="13"/>
      <c r="R515" s="13"/>
      <c r="S515" s="13"/>
      <c r="T515" s="13"/>
      <c r="U515" s="13"/>
      <c r="V515" s="13"/>
      <c r="W515" s="13"/>
      <c r="X515" s="13"/>
      <c r="Y515" s="13"/>
    </row>
    <row r="516" spans="1:25" s="21" customFormat="1" ht="20.100000000000001" customHeight="1" x14ac:dyDescent="0.25">
      <c r="A516" s="38">
        <f t="shared" si="250"/>
        <v>3</v>
      </c>
      <c r="B516" s="38">
        <f t="shared" si="251"/>
        <v>0</v>
      </c>
      <c r="C516" s="124" t="s">
        <v>40</v>
      </c>
      <c r="D516" s="124"/>
      <c r="E516" s="124"/>
      <c r="F516" s="124"/>
      <c r="G516" s="125"/>
      <c r="H516" s="125"/>
      <c r="I516" s="125"/>
      <c r="J516" s="124"/>
      <c r="K516" s="13" t="str">
        <f t="shared" si="243"/>
        <v/>
      </c>
      <c r="L516" s="124"/>
      <c r="M516" s="124"/>
      <c r="N516" s="124"/>
      <c r="O516" s="124"/>
      <c r="P516" s="124"/>
      <c r="Q516" s="124"/>
      <c r="R516" s="124"/>
      <c r="S516" s="124"/>
      <c r="T516" s="124"/>
      <c r="U516" s="124"/>
      <c r="V516" s="124"/>
      <c r="X516" s="56"/>
      <c r="Y516" s="56"/>
    </row>
    <row r="517" spans="1:25" s="7" customFormat="1" ht="20.100000000000001" customHeight="1" x14ac:dyDescent="0.25">
      <c r="A517" s="38">
        <f t="shared" si="250"/>
        <v>3</v>
      </c>
      <c r="B517" s="38">
        <f t="shared" si="251"/>
        <v>0</v>
      </c>
      <c r="C517" s="13" t="s">
        <v>35</v>
      </c>
      <c r="D517" s="13">
        <v>8</v>
      </c>
      <c r="E517" s="13"/>
      <c r="F517" s="13" t="s">
        <v>1685</v>
      </c>
      <c r="G517" s="13"/>
      <c r="H517" t="s">
        <v>1686</v>
      </c>
      <c r="I517" s="13"/>
      <c r="J517" s="41"/>
      <c r="K517" s="13" t="str">
        <f t="shared" si="243"/>
        <v>Quelle option a votre préférence ?</v>
      </c>
      <c r="L517" s="13"/>
      <c r="M517" s="13"/>
      <c r="N517" s="13"/>
      <c r="O517" s="13"/>
      <c r="P517" s="13"/>
      <c r="Q517" s="13"/>
      <c r="R517" s="13"/>
      <c r="S517" s="13"/>
      <c r="T517" s="13" t="s">
        <v>1687</v>
      </c>
      <c r="U517" s="13"/>
      <c r="V517" s="13"/>
      <c r="W517" s="13"/>
      <c r="X517" s="13" t="s">
        <v>36</v>
      </c>
      <c r="Y517" s="13"/>
    </row>
    <row r="518" spans="1:25" ht="20.100000000000001" customHeight="1" x14ac:dyDescent="0.25">
      <c r="A518" s="38">
        <f t="shared" si="250"/>
        <v>3</v>
      </c>
      <c r="B518" s="38">
        <f t="shared" si="251"/>
        <v>0</v>
      </c>
      <c r="C518" s="38" t="s">
        <v>33</v>
      </c>
      <c r="F518" s="38" t="str">
        <f>F497&amp;"_intro"</f>
        <v>gender_cdm_intro</v>
      </c>
      <c r="G518" s="38" t="s">
        <v>1688</v>
      </c>
      <c r="H518" s="38" t="s">
        <v>1689</v>
      </c>
      <c r="I518" s="38" t="s">
        <v>1689</v>
      </c>
      <c r="J518" s="7" t="str">
        <f>D518&amp;IF(D518="",""," ")&amp;G518</f>
        <v>I will read couples of statements about the relationship between men and women.
Please indicate with which statement you agree most. 
I will not share your answers with anyone in your household</v>
      </c>
      <c r="K518" s="7" t="str">
        <f>E518&amp;IF(E518="",""," ")&amp;H518</f>
        <v>Je vais lire chaque fois deux opinions : A et B. Je vais vous demander d’indiquer quelles de ces opinions suivants sont proche de votre opinion : A ou B.
Je ne vais pas partager vos réponses avec quelqu'un dans votre ménage.</v>
      </c>
      <c r="L518" s="7" t="str">
        <f>E518&amp;IF(E518="",""," ")&amp;I518</f>
        <v>Je vais lire chaque fois deux opinions : A et B. Je vais vous demander d’indiquer quelles de ces opinions suivants sont proche de votre opinion : A ou B.
Je ne vais pas partager vos réponses avec quelqu'un dans votre ménage.</v>
      </c>
      <c r="O518" s="13"/>
      <c r="P518" s="13"/>
      <c r="Q518" s="13"/>
      <c r="R518" s="151"/>
    </row>
    <row r="519" spans="1:25" s="17" customFormat="1" ht="20.100000000000001" customHeight="1" x14ac:dyDescent="0.25">
      <c r="A519" s="38">
        <f t="shared" si="250"/>
        <v>4</v>
      </c>
      <c r="B519" s="38">
        <f t="shared" si="251"/>
        <v>0</v>
      </c>
      <c r="C519" s="17" t="s">
        <v>32</v>
      </c>
      <c r="D519" s="17">
        <f>D494+1</f>
        <v>1</v>
      </c>
      <c r="F519" s="17" t="str">
        <f>F497&amp;"_prop_"&amp;D519</f>
        <v>gender_cdm_prop_1</v>
      </c>
      <c r="G519" s="10" t="str">
        <f>"Proposition "&amp;$D519</f>
        <v>Proposition 1</v>
      </c>
      <c r="H519" s="10" t="str">
        <f>"Proposition "&amp;$D519</f>
        <v>Proposition 1</v>
      </c>
      <c r="I519" s="10" t="str">
        <f>"Proposition "&amp;$D519</f>
        <v>Proposition 1</v>
      </c>
      <c r="J519" s="7" t="str">
        <f t="shared" si="243"/>
        <v>1 Proposition 1</v>
      </c>
      <c r="K519" s="7" t="str">
        <f t="shared" si="243"/>
        <v>Proposition 1</v>
      </c>
      <c r="L519" s="7" t="str">
        <f t="shared" si="244"/>
        <v>Proposition 1</v>
      </c>
      <c r="N519" s="17" t="s">
        <v>1312</v>
      </c>
    </row>
    <row r="520" spans="1:25" ht="20.100000000000001" customHeight="1" x14ac:dyDescent="0.25">
      <c r="A520" s="38">
        <f t="shared" si="250"/>
        <v>4</v>
      </c>
      <c r="B520" s="38">
        <f t="shared" si="251"/>
        <v>0</v>
      </c>
      <c r="C520" s="38" t="s">
        <v>33</v>
      </c>
      <c r="F520" s="38" t="str">
        <f>F497&amp;"_a_"&amp;D519</f>
        <v>gender_cdm_a_1</v>
      </c>
      <c r="G520" s="149" t="str">
        <f ca="1">"A: "&amp;OFFSET(props!A$2,D519,0)</f>
        <v xml:space="preserve">A: Selon nos mœurs et coutumes, les femmes ont toujours été soumises et devraient rester comme telles. </v>
      </c>
      <c r="H520" s="149" t="str">
        <f ca="1">"A: "&amp;OFFSET(props!A$2,D519,0)</f>
        <v xml:space="preserve">A: Selon nos mœurs et coutumes, les femmes ont toujours été soumises et devraient rester comme telles. </v>
      </c>
      <c r="I520" s="149" t="str">
        <f ca="1">"A: "&amp;OFFSET(props!A$2,D519,0)</f>
        <v xml:space="preserve">A: Selon nos mœurs et coutumes, les femmes ont toujours été soumises et devraient rester comme telles. </v>
      </c>
      <c r="J520" s="7" t="str">
        <f t="shared" ca="1" si="243"/>
        <v xml:space="preserve">A: Selon nos mœurs et coutumes, les femmes ont toujours été soumises et devraient rester comme telles. </v>
      </c>
      <c r="K520" s="7" t="str">
        <f t="shared" ca="1" si="243"/>
        <v xml:space="preserve">A: Selon nos mœurs et coutumes, les femmes ont toujours été soumises et devraient rester comme telles. </v>
      </c>
      <c r="L520" s="7" t="str">
        <f t="shared" ca="1" si="244"/>
        <v xml:space="preserve">A: Selon nos mœurs et coutumes, les femmes ont toujours été soumises et devraient rester comme telles. </v>
      </c>
    </row>
    <row r="521" spans="1:25" ht="20.100000000000001" customHeight="1" x14ac:dyDescent="0.25">
      <c r="A521" s="38">
        <f t="shared" si="250"/>
        <v>4</v>
      </c>
      <c r="B521" s="38">
        <f t="shared" si="251"/>
        <v>0</v>
      </c>
      <c r="C521" s="38" t="s">
        <v>33</v>
      </c>
      <c r="F521" s="38" t="str">
        <f>F497&amp;"_b_"&amp;D519</f>
        <v>gender_cdm_b_1</v>
      </c>
      <c r="G521" s="13" t="str">
        <f ca="1">"B: "&amp;OFFSET(props!B$2,D519,0)</f>
        <v xml:space="preserve">B: Dans notre pays les femmes devraient avoir des mêmes droits et obligations que les hommes. </v>
      </c>
      <c r="H521" s="13" t="str">
        <f ca="1">"B: "&amp;OFFSET(props!B$2,D519,0)</f>
        <v xml:space="preserve">B: Dans notre pays les femmes devraient avoir des mêmes droits et obligations que les hommes. </v>
      </c>
      <c r="I521" s="13" t="str">
        <f ca="1">"B: "&amp;OFFSET(props!B$2,D519,0)</f>
        <v xml:space="preserve">B: Dans notre pays les femmes devraient avoir des mêmes droits et obligations que les hommes. </v>
      </c>
      <c r="J521" s="7" t="str">
        <f t="shared" ca="1" si="243"/>
        <v xml:space="preserve">B: Dans notre pays les femmes devraient avoir des mêmes droits et obligations que les hommes. </v>
      </c>
      <c r="K521" s="7" t="str">
        <f t="shared" ca="1" si="243"/>
        <v xml:space="preserve">B: Dans notre pays les femmes devraient avoir des mêmes droits et obligations que les hommes. </v>
      </c>
      <c r="L521" s="7" t="str">
        <f t="shared" ca="1" si="244"/>
        <v xml:space="preserve">B: Dans notre pays les femmes devraient avoir des mêmes droits et obligations que les hommes. </v>
      </c>
    </row>
    <row r="522" spans="1:25" ht="20.100000000000001" customHeight="1" x14ac:dyDescent="0.25">
      <c r="A522" s="38">
        <f t="shared" si="250"/>
        <v>4</v>
      </c>
      <c r="B522" s="38">
        <f t="shared" si="251"/>
        <v>0</v>
      </c>
      <c r="C522" s="38" t="s">
        <v>1690</v>
      </c>
      <c r="F522" s="38" t="str">
        <f>F497&amp;"_agree_"&amp;D519</f>
        <v>gender_cdm_agree_1</v>
      </c>
      <c r="G522" s="13" t="s">
        <v>1691</v>
      </c>
      <c r="H522" s="149" t="s">
        <v>1692</v>
      </c>
      <c r="I522" s="149" t="s">
        <v>1692</v>
      </c>
      <c r="J522" s="7" t="str">
        <f t="shared" si="243"/>
        <v>Which is closer to your opinion, A or B</v>
      </c>
      <c r="K522" s="7" t="str">
        <f t="shared" si="243"/>
        <v>Quel est plus proche de votre opinion: A ou B?</v>
      </c>
      <c r="L522" s="7" t="str">
        <f t="shared" si="244"/>
        <v>Quel est plus proche de votre opinion: A ou B?</v>
      </c>
      <c r="X522" s="38" t="s">
        <v>36</v>
      </c>
    </row>
    <row r="523" spans="1:25" s="21" customFormat="1" ht="20.100000000000001" customHeight="1" x14ac:dyDescent="0.25">
      <c r="A523" s="38">
        <f t="shared" si="250"/>
        <v>3</v>
      </c>
      <c r="B523" s="38">
        <f t="shared" si="251"/>
        <v>0</v>
      </c>
      <c r="C523" s="21" t="s">
        <v>40</v>
      </c>
      <c r="D523" s="21">
        <f>D519</f>
        <v>1</v>
      </c>
      <c r="G523" s="11"/>
      <c r="H523" s="11"/>
      <c r="I523" s="11"/>
    </row>
    <row r="524" spans="1:25" s="17" customFormat="1" ht="20.100000000000001" customHeight="1" x14ac:dyDescent="0.25">
      <c r="A524" s="38">
        <f t="shared" si="250"/>
        <v>4</v>
      </c>
      <c r="B524" s="38">
        <f t="shared" si="251"/>
        <v>0</v>
      </c>
      <c r="C524" s="17" t="s">
        <v>32</v>
      </c>
      <c r="D524" s="17">
        <f>D519+1</f>
        <v>2</v>
      </c>
      <c r="F524" s="17" t="str">
        <f>F497&amp;"_prop_"&amp;D524</f>
        <v>gender_cdm_prop_2</v>
      </c>
      <c r="G524" s="10" t="str">
        <f>"Proposition "&amp;$D524</f>
        <v>Proposition 2</v>
      </c>
      <c r="H524" s="10" t="str">
        <f>"Proposition "&amp;$D524</f>
        <v>Proposition 2</v>
      </c>
      <c r="I524" s="10" t="str">
        <f>"Proposition "&amp;$D524</f>
        <v>Proposition 2</v>
      </c>
      <c r="J524" s="7" t="str">
        <f t="shared" ref="J524:K527" si="252">D524&amp;IF(D524="",""," ")&amp;G524</f>
        <v>2 Proposition 2</v>
      </c>
      <c r="K524" s="7" t="str">
        <f t="shared" si="252"/>
        <v>Proposition 2</v>
      </c>
      <c r="L524" s="7" t="str">
        <f t="shared" ref="L524:L527" si="253">E524&amp;IF(E524="",""," ")&amp;I524</f>
        <v>Proposition 2</v>
      </c>
      <c r="N524" s="17" t="s">
        <v>1312</v>
      </c>
    </row>
    <row r="525" spans="1:25" ht="20.100000000000001" customHeight="1" x14ac:dyDescent="0.25">
      <c r="A525" s="38">
        <f t="shared" si="250"/>
        <v>4</v>
      </c>
      <c r="B525" s="38">
        <f t="shared" si="251"/>
        <v>0</v>
      </c>
      <c r="C525" s="38" t="s">
        <v>33</v>
      </c>
      <c r="F525" s="38" t="str">
        <f>F497&amp;"_a_"&amp;D524</f>
        <v>gender_cdm_a_2</v>
      </c>
      <c r="G525" s="149" t="str">
        <f ca="1">"A: "&amp;OFFSET(props!A$2,D524,0)</f>
        <v xml:space="preserve">A: Si un homme maltraite sa femme elle a droit de se plaîndre. </v>
      </c>
      <c r="H525" s="149" t="str">
        <f ca="1">"A: "&amp;OFFSET(props!A$2,D524,0)</f>
        <v xml:space="preserve">A: Si un homme maltraite sa femme elle a droit de se plaîndre. </v>
      </c>
      <c r="I525" s="149" t="str">
        <f ca="1">"A: "&amp;OFFSET(props!A$2,D524,0)</f>
        <v xml:space="preserve">A: Si un homme maltraite sa femme elle a droit de se plaîndre. </v>
      </c>
      <c r="J525" s="7" t="str">
        <f t="shared" ca="1" si="252"/>
        <v xml:space="preserve">A: Si un homme maltraite sa femme elle a droit de se plaîndre. </v>
      </c>
      <c r="K525" s="7" t="str">
        <f t="shared" ca="1" si="252"/>
        <v xml:space="preserve">A: Si un homme maltraite sa femme elle a droit de se plaîndre. </v>
      </c>
      <c r="L525" s="7" t="str">
        <f t="shared" ca="1" si="253"/>
        <v xml:space="preserve">A: Si un homme maltraite sa femme elle a droit de se plaîndre. </v>
      </c>
    </row>
    <row r="526" spans="1:25" ht="20.100000000000001" customHeight="1" x14ac:dyDescent="0.25">
      <c r="A526" s="38">
        <f t="shared" si="250"/>
        <v>4</v>
      </c>
      <c r="B526" s="38">
        <f t="shared" si="251"/>
        <v>0</v>
      </c>
      <c r="C526" s="38" t="s">
        <v>33</v>
      </c>
      <c r="F526" s="38" t="str">
        <f>F497&amp;"_b_"&amp;D524</f>
        <v>gender_cdm_b_2</v>
      </c>
      <c r="G526" s="13" t="str">
        <f ca="1">"B: "&amp;OFFSET(props!B$2,D524,0)</f>
        <v xml:space="preserve">B: Selon nos mœurs et coutumes les femmes ne devraient pas se plaîndre de leurs hommes même si elles se sentent maltraités. </v>
      </c>
      <c r="H526" s="13" t="str">
        <f ca="1">"B: "&amp;OFFSET(props!B$2,D524,0)</f>
        <v xml:space="preserve">B: Selon nos mœurs et coutumes les femmes ne devraient pas se plaîndre de leurs hommes même si elles se sentent maltraités. </v>
      </c>
      <c r="I526" s="13" t="str">
        <f ca="1">"B: "&amp;OFFSET(props!B$2,D524,0)</f>
        <v xml:space="preserve">B: Selon nos mœurs et coutumes les femmes ne devraient pas se plaîndre de leurs hommes même si elles se sentent maltraités. </v>
      </c>
      <c r="J526" s="7" t="str">
        <f t="shared" ca="1" si="252"/>
        <v xml:space="preserve">B: Selon nos mœurs et coutumes les femmes ne devraient pas se plaîndre de leurs hommes même si elles se sentent maltraités. </v>
      </c>
      <c r="K526" s="7" t="str">
        <f t="shared" ca="1" si="252"/>
        <v xml:space="preserve">B: Selon nos mœurs et coutumes les femmes ne devraient pas se plaîndre de leurs hommes même si elles se sentent maltraités. </v>
      </c>
      <c r="L526" s="7" t="str">
        <f t="shared" ca="1" si="253"/>
        <v xml:space="preserve">B: Selon nos mœurs et coutumes les femmes ne devraient pas se plaîndre de leurs hommes même si elles se sentent maltraités. </v>
      </c>
    </row>
    <row r="527" spans="1:25" ht="20.100000000000001" customHeight="1" x14ac:dyDescent="0.25">
      <c r="A527" s="38">
        <f t="shared" si="250"/>
        <v>4</v>
      </c>
      <c r="B527" s="38">
        <f t="shared" si="251"/>
        <v>0</v>
      </c>
      <c r="C527" s="38" t="s">
        <v>1690</v>
      </c>
      <c r="F527" s="38" t="str">
        <f>F497&amp;"_agree_"&amp;D524</f>
        <v>gender_cdm_agree_2</v>
      </c>
      <c r="G527" s="13" t="s">
        <v>1691</v>
      </c>
      <c r="H527" s="149" t="s">
        <v>1692</v>
      </c>
      <c r="I527" s="149" t="s">
        <v>1692</v>
      </c>
      <c r="J527" s="7" t="str">
        <f t="shared" si="252"/>
        <v>Which is closer to your opinion, A or B</v>
      </c>
      <c r="K527" s="7" t="str">
        <f t="shared" si="252"/>
        <v>Quel est plus proche de votre opinion: A ou B?</v>
      </c>
      <c r="L527" s="7" t="str">
        <f t="shared" si="253"/>
        <v>Quel est plus proche de votre opinion: A ou B?</v>
      </c>
      <c r="X527" s="38" t="s">
        <v>36</v>
      </c>
    </row>
    <row r="528" spans="1:25" s="21" customFormat="1" ht="20.100000000000001" customHeight="1" x14ac:dyDescent="0.25">
      <c r="A528" s="38">
        <f t="shared" si="250"/>
        <v>3</v>
      </c>
      <c r="B528" s="38">
        <f t="shared" si="251"/>
        <v>0</v>
      </c>
      <c r="C528" s="21" t="s">
        <v>40</v>
      </c>
      <c r="D528" s="21">
        <f>D524</f>
        <v>2</v>
      </c>
      <c r="G528" s="11"/>
      <c r="H528" s="11"/>
      <c r="I528" s="11"/>
    </row>
    <row r="529" spans="1:24" s="17" customFormat="1" ht="20.100000000000001" customHeight="1" x14ac:dyDescent="0.25">
      <c r="A529" s="38">
        <f t="shared" si="250"/>
        <v>4</v>
      </c>
      <c r="B529" s="38">
        <f t="shared" si="251"/>
        <v>0</v>
      </c>
      <c r="C529" s="17" t="s">
        <v>32</v>
      </c>
      <c r="D529" s="17">
        <f>D524+1</f>
        <v>3</v>
      </c>
      <c r="F529" s="17" t="str">
        <f>F497&amp;"_prop_"&amp;D529</f>
        <v>gender_cdm_prop_3</v>
      </c>
      <c r="G529" s="10" t="str">
        <f>"Proposition "&amp;$D529</f>
        <v>Proposition 3</v>
      </c>
      <c r="H529" s="10" t="str">
        <f>"Proposition "&amp;$D529</f>
        <v>Proposition 3</v>
      </c>
      <c r="I529" s="10" t="str">
        <f>"Proposition "&amp;$D529</f>
        <v>Proposition 3</v>
      </c>
      <c r="J529" s="7" t="str">
        <f t="shared" ref="J529:K532" si="254">D529&amp;IF(D529="",""," ")&amp;G529</f>
        <v>3 Proposition 3</v>
      </c>
      <c r="K529" s="7" t="str">
        <f t="shared" si="254"/>
        <v>Proposition 3</v>
      </c>
      <c r="L529" s="7" t="str">
        <f t="shared" ref="L529:L532" si="255">E529&amp;IF(E529="",""," ")&amp;I529</f>
        <v>Proposition 3</v>
      </c>
      <c r="N529" s="17" t="s">
        <v>1312</v>
      </c>
    </row>
    <row r="530" spans="1:24" ht="20.100000000000001" customHeight="1" x14ac:dyDescent="0.25">
      <c r="A530" s="38">
        <f t="shared" si="250"/>
        <v>4</v>
      </c>
      <c r="B530" s="38">
        <f t="shared" si="251"/>
        <v>0</v>
      </c>
      <c r="C530" s="38" t="s">
        <v>33</v>
      </c>
      <c r="F530" s="38" t="str">
        <f>F497&amp;"_a_"&amp;D529</f>
        <v>gender_cdm_a_3</v>
      </c>
      <c r="G530" s="149" t="str">
        <f ca="1">"A: "&amp;OFFSET(props!A$2,D529,0)</f>
        <v>A: Selon nos mœurs et coutumes, un homme dont la femme a été violée a le droit d’abandonner sa femme.</v>
      </c>
      <c r="H530" s="149" t="str">
        <f ca="1">"A: "&amp;OFFSET(props!A$2,D529,0)</f>
        <v>A: Selon nos mœurs et coutumes, un homme dont la femme a été violée a le droit d’abandonner sa femme.</v>
      </c>
      <c r="I530" s="149" t="str">
        <f ca="1">"A: "&amp;OFFSET(props!A$2,D529,0)</f>
        <v>A: Selon nos mœurs et coutumes, un homme dont la femme a été violée a le droit d’abandonner sa femme.</v>
      </c>
      <c r="J530" s="7" t="str">
        <f t="shared" ca="1" si="254"/>
        <v>A: Selon nos mœurs et coutumes, un homme dont la femme a été violée a le droit d’abandonner sa femme.</v>
      </c>
      <c r="K530" s="7" t="str">
        <f t="shared" ca="1" si="254"/>
        <v>A: Selon nos mœurs et coutumes, un homme dont la femme a été violée a le droit d’abandonner sa femme.</v>
      </c>
      <c r="L530" s="7" t="str">
        <f t="shared" ca="1" si="255"/>
        <v>A: Selon nos mœurs et coutumes, un homme dont la femme a été violée a le droit d’abandonner sa femme.</v>
      </c>
    </row>
    <row r="531" spans="1:24" ht="20.100000000000001" customHeight="1" x14ac:dyDescent="0.25">
      <c r="A531" s="38">
        <f t="shared" si="250"/>
        <v>4</v>
      </c>
      <c r="B531" s="38">
        <f t="shared" si="251"/>
        <v>0</v>
      </c>
      <c r="C531" s="38" t="s">
        <v>33</v>
      </c>
      <c r="F531" s="38" t="str">
        <f>F497&amp;"_b_"&amp;D529</f>
        <v>gender_cdm_b_3</v>
      </c>
      <c r="G531" s="13" t="str">
        <f ca="1">"B: "&amp;OFFSET(props!B$2,D529,0)</f>
        <v>B: Une femme qui est victime d’un viol ne devrait pas être rejetée par son marie et la communauté.</v>
      </c>
      <c r="H531" s="13" t="str">
        <f ca="1">"B: "&amp;OFFSET(props!B$2,D529,0)</f>
        <v>B: Une femme qui est victime d’un viol ne devrait pas être rejetée par son marie et la communauté.</v>
      </c>
      <c r="I531" s="13" t="str">
        <f ca="1">"B: "&amp;OFFSET(props!B$2,D529,0)</f>
        <v>B: Une femme qui est victime d’un viol ne devrait pas être rejetée par son marie et la communauté.</v>
      </c>
      <c r="J531" s="7" t="str">
        <f t="shared" ca="1" si="254"/>
        <v>B: Une femme qui est victime d’un viol ne devrait pas être rejetée par son marie et la communauté.</v>
      </c>
      <c r="K531" s="7" t="str">
        <f t="shared" ca="1" si="254"/>
        <v>B: Une femme qui est victime d’un viol ne devrait pas être rejetée par son marie et la communauté.</v>
      </c>
      <c r="L531" s="7" t="str">
        <f t="shared" ca="1" si="255"/>
        <v>B: Une femme qui est victime d’un viol ne devrait pas être rejetée par son marie et la communauté.</v>
      </c>
    </row>
    <row r="532" spans="1:24" ht="20.100000000000001" customHeight="1" x14ac:dyDescent="0.25">
      <c r="A532" s="38">
        <f t="shared" si="250"/>
        <v>4</v>
      </c>
      <c r="B532" s="38">
        <f t="shared" si="251"/>
        <v>0</v>
      </c>
      <c r="C532" s="38" t="s">
        <v>1690</v>
      </c>
      <c r="F532" s="38" t="str">
        <f>F497&amp;"_agree_"&amp;D529</f>
        <v>gender_cdm_agree_3</v>
      </c>
      <c r="G532" s="13" t="s">
        <v>1691</v>
      </c>
      <c r="H532" s="149" t="s">
        <v>1692</v>
      </c>
      <c r="I532" s="149" t="s">
        <v>1692</v>
      </c>
      <c r="J532" s="7" t="str">
        <f t="shared" si="254"/>
        <v>Which is closer to your opinion, A or B</v>
      </c>
      <c r="K532" s="7" t="str">
        <f t="shared" si="254"/>
        <v>Quel est plus proche de votre opinion: A ou B?</v>
      </c>
      <c r="L532" s="7" t="str">
        <f t="shared" si="255"/>
        <v>Quel est plus proche de votre opinion: A ou B?</v>
      </c>
      <c r="X532" s="38" t="s">
        <v>36</v>
      </c>
    </row>
    <row r="533" spans="1:24" s="21" customFormat="1" ht="20.100000000000001" customHeight="1" x14ac:dyDescent="0.25">
      <c r="A533" s="38">
        <f t="shared" si="250"/>
        <v>3</v>
      </c>
      <c r="B533" s="38">
        <f t="shared" si="251"/>
        <v>0</v>
      </c>
      <c r="C533" s="21" t="s">
        <v>40</v>
      </c>
      <c r="D533" s="21">
        <f>D529</f>
        <v>3</v>
      </c>
      <c r="G533" s="11"/>
      <c r="H533" s="11"/>
      <c r="I533" s="11"/>
    </row>
    <row r="534" spans="1:24" s="17" customFormat="1" ht="20.100000000000001" customHeight="1" x14ac:dyDescent="0.25">
      <c r="A534" s="38">
        <f t="shared" si="250"/>
        <v>4</v>
      </c>
      <c r="B534" s="38">
        <f t="shared" si="251"/>
        <v>0</v>
      </c>
      <c r="C534" s="17" t="s">
        <v>32</v>
      </c>
      <c r="D534" s="17">
        <f>D529+1</f>
        <v>4</v>
      </c>
      <c r="F534" s="17" t="str">
        <f>F497&amp;"_prop_"&amp;D534</f>
        <v>gender_cdm_prop_4</v>
      </c>
      <c r="G534" s="10" t="str">
        <f>"Proposition "&amp;$D534</f>
        <v>Proposition 4</v>
      </c>
      <c r="H534" s="10" t="str">
        <f>"Proposition "&amp;$D534</f>
        <v>Proposition 4</v>
      </c>
      <c r="I534" s="10" t="str">
        <f>"Proposition "&amp;$D534</f>
        <v>Proposition 4</v>
      </c>
      <c r="J534" s="7" t="str">
        <f t="shared" ref="J534:K537" si="256">D534&amp;IF(D534="",""," ")&amp;G534</f>
        <v>4 Proposition 4</v>
      </c>
      <c r="K534" s="7" t="str">
        <f t="shared" si="256"/>
        <v>Proposition 4</v>
      </c>
      <c r="L534" s="7" t="str">
        <f t="shared" ref="L534:L537" si="257">E534&amp;IF(E534="",""," ")&amp;I534</f>
        <v>Proposition 4</v>
      </c>
      <c r="N534" s="17" t="s">
        <v>1312</v>
      </c>
    </row>
    <row r="535" spans="1:24" ht="20.100000000000001" customHeight="1" x14ac:dyDescent="0.25">
      <c r="A535" s="38">
        <f t="shared" si="250"/>
        <v>4</v>
      </c>
      <c r="B535" s="38">
        <f t="shared" si="251"/>
        <v>0</v>
      </c>
      <c r="C535" s="38" t="s">
        <v>33</v>
      </c>
      <c r="F535" s="38" t="str">
        <f>F497&amp;"_a_"&amp;D534</f>
        <v>gender_cdm_a_4</v>
      </c>
      <c r="G535" s="149" t="str">
        <f ca="1">"A: "&amp;OFFSET(props!A$2,D534,0)</f>
        <v xml:space="preserve">A: Les femmes devraient avoir la même chance que les hommes d’occupé des positions socio-administratives dans le village. </v>
      </c>
      <c r="H535" s="149" t="str">
        <f ca="1">"A: "&amp;OFFSET(props!A$2,D534,0)</f>
        <v xml:space="preserve">A: Les femmes devraient avoir la même chance que les hommes d’occupé des positions socio-administratives dans le village. </v>
      </c>
      <c r="I535" s="149" t="str">
        <f ca="1">"A: "&amp;OFFSET(props!A$2,D534,0)</f>
        <v xml:space="preserve">A: Les femmes devraient avoir la même chance que les hommes d’occupé des positions socio-administratives dans le village. </v>
      </c>
      <c r="J535" s="7" t="str">
        <f t="shared" ca="1" si="256"/>
        <v xml:space="preserve">A: Les femmes devraient avoir la même chance que les hommes d’occupé des positions socio-administratives dans le village. </v>
      </c>
      <c r="K535" s="7" t="str">
        <f t="shared" ca="1" si="256"/>
        <v xml:space="preserve">A: Les femmes devraient avoir la même chance que les hommes d’occupé des positions socio-administratives dans le village. </v>
      </c>
      <c r="L535" s="7" t="str">
        <f t="shared" ca="1" si="257"/>
        <v xml:space="preserve">A: Les femmes devraient avoir la même chance que les hommes d’occupé des positions socio-administratives dans le village. </v>
      </c>
    </row>
    <row r="536" spans="1:24" ht="20.100000000000001" customHeight="1" x14ac:dyDescent="0.25">
      <c r="A536" s="38">
        <f t="shared" si="250"/>
        <v>4</v>
      </c>
      <c r="B536" s="38">
        <f t="shared" si="251"/>
        <v>0</v>
      </c>
      <c r="C536" s="38" t="s">
        <v>33</v>
      </c>
      <c r="F536" s="38" t="str">
        <f>F497&amp;"_b_"&amp;D534</f>
        <v>gender_cdm_b_4</v>
      </c>
      <c r="G536" s="13" t="str">
        <f ca="1">"B: "&amp;OFFSET(props!B$2,D534,0)</f>
        <v xml:space="preserve">B: Les hommes sont les meilleurs dirigents et ce sont eux seuls qui devraient occuper les positions socio-administratives dans le village. </v>
      </c>
      <c r="H536" s="13" t="str">
        <f ca="1">"B: "&amp;OFFSET(props!B$2,D534,0)</f>
        <v xml:space="preserve">B: Les hommes sont les meilleurs dirigents et ce sont eux seuls qui devraient occuper les positions socio-administratives dans le village. </v>
      </c>
      <c r="I536" s="13" t="str">
        <f ca="1">"B: "&amp;OFFSET(props!B$2,D534,0)</f>
        <v xml:space="preserve">B: Les hommes sont les meilleurs dirigents et ce sont eux seuls qui devraient occuper les positions socio-administratives dans le village. </v>
      </c>
      <c r="J536" s="7" t="str">
        <f t="shared" ca="1" si="256"/>
        <v xml:space="preserve">B: Les hommes sont les meilleurs dirigents et ce sont eux seuls qui devraient occuper les positions socio-administratives dans le village. </v>
      </c>
      <c r="K536" s="7" t="str">
        <f t="shared" ca="1" si="256"/>
        <v xml:space="preserve">B: Les hommes sont les meilleurs dirigents et ce sont eux seuls qui devraient occuper les positions socio-administratives dans le village. </v>
      </c>
      <c r="L536" s="7" t="str">
        <f t="shared" ca="1" si="257"/>
        <v xml:space="preserve">B: Les hommes sont les meilleurs dirigents et ce sont eux seuls qui devraient occuper les positions socio-administratives dans le village. </v>
      </c>
    </row>
    <row r="537" spans="1:24" ht="20.100000000000001" customHeight="1" x14ac:dyDescent="0.25">
      <c r="A537" s="38">
        <f t="shared" si="250"/>
        <v>4</v>
      </c>
      <c r="B537" s="38">
        <f t="shared" si="251"/>
        <v>0</v>
      </c>
      <c r="C537" s="38" t="s">
        <v>1690</v>
      </c>
      <c r="F537" s="38" t="str">
        <f>F497&amp;"_agree_"&amp;D534</f>
        <v>gender_cdm_agree_4</v>
      </c>
      <c r="G537" s="13" t="s">
        <v>1691</v>
      </c>
      <c r="H537" s="149" t="s">
        <v>1692</v>
      </c>
      <c r="I537" s="149" t="s">
        <v>1692</v>
      </c>
      <c r="J537" s="7" t="str">
        <f t="shared" si="256"/>
        <v>Which is closer to your opinion, A or B</v>
      </c>
      <c r="K537" s="7" t="str">
        <f t="shared" si="256"/>
        <v>Quel est plus proche de votre opinion: A ou B?</v>
      </c>
      <c r="L537" s="7" t="str">
        <f t="shared" si="257"/>
        <v>Quel est plus proche de votre opinion: A ou B?</v>
      </c>
      <c r="X537" s="38" t="s">
        <v>36</v>
      </c>
    </row>
    <row r="538" spans="1:24" s="21" customFormat="1" ht="20.100000000000001" customHeight="1" x14ac:dyDescent="0.25">
      <c r="A538" s="38">
        <f t="shared" si="250"/>
        <v>3</v>
      </c>
      <c r="B538" s="38">
        <f t="shared" si="251"/>
        <v>0</v>
      </c>
      <c r="C538" s="21" t="s">
        <v>40</v>
      </c>
      <c r="D538" s="21">
        <f>D534</f>
        <v>4</v>
      </c>
      <c r="G538" s="11"/>
      <c r="H538" s="11"/>
      <c r="I538" s="11"/>
    </row>
    <row r="539" spans="1:24" s="17" customFormat="1" ht="20.100000000000001" customHeight="1" x14ac:dyDescent="0.25">
      <c r="A539" s="38">
        <f t="shared" si="250"/>
        <v>4</v>
      </c>
      <c r="B539" s="38">
        <f t="shared" si="251"/>
        <v>0</v>
      </c>
      <c r="C539" s="17" t="s">
        <v>32</v>
      </c>
      <c r="D539" s="17">
        <f>D534+1</f>
        <v>5</v>
      </c>
      <c r="F539" s="17" t="str">
        <f>F497&amp;"_prop_"&amp;D539</f>
        <v>gender_cdm_prop_5</v>
      </c>
      <c r="G539" s="10" t="str">
        <f>"Proposition "&amp;$D539</f>
        <v>Proposition 5</v>
      </c>
      <c r="H539" s="10" t="str">
        <f>"Proposition "&amp;$D539</f>
        <v>Proposition 5</v>
      </c>
      <c r="I539" s="10" t="str">
        <f>"Proposition "&amp;$D539</f>
        <v>Proposition 5</v>
      </c>
      <c r="J539" s="7" t="str">
        <f t="shared" ref="J539:K542" si="258">D539&amp;IF(D539="",""," ")&amp;G539</f>
        <v>5 Proposition 5</v>
      </c>
      <c r="K539" s="7" t="str">
        <f t="shared" si="258"/>
        <v>Proposition 5</v>
      </c>
      <c r="L539" s="7" t="str">
        <f t="shared" ref="L539:L542" si="259">E539&amp;IF(E539="",""," ")&amp;I539</f>
        <v>Proposition 5</v>
      </c>
      <c r="N539" s="17" t="s">
        <v>1312</v>
      </c>
    </row>
    <row r="540" spans="1:24" ht="20.100000000000001" customHeight="1" x14ac:dyDescent="0.25">
      <c r="A540" s="38">
        <f t="shared" si="250"/>
        <v>4</v>
      </c>
      <c r="B540" s="38">
        <f t="shared" si="251"/>
        <v>0</v>
      </c>
      <c r="C540" s="38" t="s">
        <v>33</v>
      </c>
      <c r="F540" s="38" t="str">
        <f>F497&amp;"_a_"&amp;D539</f>
        <v>gender_cdm_a_5</v>
      </c>
      <c r="G540" s="149" t="str">
        <f ca="1">"A: "&amp;OFFSET(props!A$2,D539,0)</f>
        <v>A: Seulement les hommes devraient etre les presidents de comités de gestion qui existent dans le village.</v>
      </c>
      <c r="H540" s="149" t="str">
        <f ca="1">"A: "&amp;OFFSET(props!A$2,D539,0)</f>
        <v>A: Seulement les hommes devraient etre les presidents de comités de gestion qui existent dans le village.</v>
      </c>
      <c r="I540" s="149" t="str">
        <f ca="1">"A: "&amp;OFFSET(props!A$2,D539,0)</f>
        <v>A: Seulement les hommes devraient etre les presidents de comités de gestion qui existent dans le village.</v>
      </c>
      <c r="J540" s="7" t="str">
        <f t="shared" ca="1" si="258"/>
        <v>A: Seulement les hommes devraient etre les presidents de comités de gestion qui existent dans le village.</v>
      </c>
      <c r="K540" s="7" t="str">
        <f t="shared" ca="1" si="258"/>
        <v>A: Seulement les hommes devraient etre les presidents de comités de gestion qui existent dans le village.</v>
      </c>
      <c r="L540" s="7" t="str">
        <f t="shared" ca="1" si="259"/>
        <v>A: Seulement les hommes devraient etre les presidents de comités de gestion qui existent dans le village.</v>
      </c>
    </row>
    <row r="541" spans="1:24" ht="20.100000000000001" customHeight="1" x14ac:dyDescent="0.25">
      <c r="A541" s="38">
        <f t="shared" si="250"/>
        <v>4</v>
      </c>
      <c r="B541" s="38">
        <f t="shared" si="251"/>
        <v>0</v>
      </c>
      <c r="C541" s="38" t="s">
        <v>33</v>
      </c>
      <c r="F541" s="38" t="str">
        <f>F497&amp;"_b_"&amp;D539</f>
        <v>gender_cdm_b_5</v>
      </c>
      <c r="G541" s="13" t="str">
        <f ca="1">"B: "&amp;OFFSET(props!B$2,D539,0)</f>
        <v xml:space="preserve">B: Les femmes ont des connaisances à apporter. Elle devraient donc être eligibles au poste de président des comités de gestion qui existent dans le village. </v>
      </c>
      <c r="H541" s="13" t="str">
        <f ca="1">"B: "&amp;OFFSET(props!B$2,D539,0)</f>
        <v xml:space="preserve">B: Les femmes ont des connaisances à apporter. Elle devraient donc être eligibles au poste de président des comités de gestion qui existent dans le village. </v>
      </c>
      <c r="I541" s="13" t="str">
        <f ca="1">"B: "&amp;OFFSET(props!B$2,D539,0)</f>
        <v xml:space="preserve">B: Les femmes ont des connaisances à apporter. Elle devraient donc être eligibles au poste de président des comités de gestion qui existent dans le village. </v>
      </c>
      <c r="J541" s="7" t="str">
        <f t="shared" ca="1" si="258"/>
        <v xml:space="preserve">B: Les femmes ont des connaisances à apporter. Elle devraient donc être eligibles au poste de président des comités de gestion qui existent dans le village. </v>
      </c>
      <c r="K541" s="7" t="str">
        <f t="shared" ca="1" si="258"/>
        <v xml:space="preserve">B: Les femmes ont des connaisances à apporter. Elle devraient donc être eligibles au poste de président des comités de gestion qui existent dans le village. </v>
      </c>
      <c r="L541" s="7" t="str">
        <f t="shared" ca="1" si="259"/>
        <v xml:space="preserve">B: Les femmes ont des connaisances à apporter. Elle devraient donc être eligibles au poste de président des comités de gestion qui existent dans le village. </v>
      </c>
    </row>
    <row r="542" spans="1:24" ht="20.100000000000001" customHeight="1" x14ac:dyDescent="0.25">
      <c r="A542" s="38">
        <f t="shared" si="250"/>
        <v>4</v>
      </c>
      <c r="B542" s="38">
        <f t="shared" si="251"/>
        <v>0</v>
      </c>
      <c r="C542" s="38" t="s">
        <v>1690</v>
      </c>
      <c r="F542" s="38" t="str">
        <f>F497&amp;"_agree_"&amp;D539</f>
        <v>gender_cdm_agree_5</v>
      </c>
      <c r="G542" s="13" t="s">
        <v>1691</v>
      </c>
      <c r="H542" s="149" t="s">
        <v>1692</v>
      </c>
      <c r="I542" s="149" t="s">
        <v>1692</v>
      </c>
      <c r="J542" s="7" t="str">
        <f t="shared" si="258"/>
        <v>Which is closer to your opinion, A or B</v>
      </c>
      <c r="K542" s="7" t="str">
        <f t="shared" si="258"/>
        <v>Quel est plus proche de votre opinion: A ou B?</v>
      </c>
      <c r="L542" s="7" t="str">
        <f t="shared" si="259"/>
        <v>Quel est plus proche de votre opinion: A ou B?</v>
      </c>
      <c r="X542" s="38" t="s">
        <v>36</v>
      </c>
    </row>
    <row r="543" spans="1:24" s="21" customFormat="1" ht="20.100000000000001" customHeight="1" x14ac:dyDescent="0.25">
      <c r="A543" s="38">
        <f t="shared" si="250"/>
        <v>3</v>
      </c>
      <c r="B543" s="38">
        <f t="shared" si="251"/>
        <v>0</v>
      </c>
      <c r="C543" s="21" t="s">
        <v>40</v>
      </c>
      <c r="D543" s="21">
        <f>D539</f>
        <v>5</v>
      </c>
      <c r="G543" s="11"/>
      <c r="H543" s="11"/>
      <c r="I543" s="11"/>
    </row>
    <row r="544" spans="1:24" s="137" customFormat="1" ht="20.100000000000001" customHeight="1" x14ac:dyDescent="0.25">
      <c r="A544" s="38">
        <f t="shared" si="250"/>
        <v>4</v>
      </c>
      <c r="B544" s="38">
        <f t="shared" si="251"/>
        <v>0</v>
      </c>
      <c r="C544" s="17" t="s">
        <v>32</v>
      </c>
      <c r="F544" s="137" t="s">
        <v>1693</v>
      </c>
      <c r="G544" s="137" t="s">
        <v>1694</v>
      </c>
      <c r="H544" s="137" t="s">
        <v>1695</v>
      </c>
      <c r="I544" s="137" t="s">
        <v>1695</v>
      </c>
      <c r="J544" s="7" t="str">
        <f t="shared" ref="J544:K554" si="260">D544&amp;IF(D544="",""," ")&amp;G544</f>
        <v>List Experiment</v>
      </c>
      <c r="K544" s="7" t="str">
        <f t="shared" si="260"/>
        <v>Experimentation de liste</v>
      </c>
      <c r="L544" s="7" t="str">
        <f t="shared" ref="L544:L554" si="261">E544&amp;IF(E544="",""," ")&amp;I544</f>
        <v>Experimentation de liste</v>
      </c>
      <c r="R544" s="137" t="str">
        <f>"indexed-repeat(${"&amp;F87&amp;"}, ${"&amp;F82&amp;"},1)='2'"</f>
        <v>indexed-repeat(${gender}, ${hhroster},1)='2'</v>
      </c>
    </row>
    <row r="545" spans="1:24" customFormat="1" ht="20.100000000000001" customHeight="1" x14ac:dyDescent="0.25">
      <c r="A545" s="38">
        <f t="shared" si="250"/>
        <v>4</v>
      </c>
      <c r="B545" s="38">
        <f t="shared" si="251"/>
        <v>0</v>
      </c>
      <c r="C545" s="7" t="s">
        <v>44</v>
      </c>
      <c r="F545" t="str">
        <f>F544&amp;"_num_probs"</f>
        <v>list_cdm_num_probs</v>
      </c>
      <c r="M545" t="s">
        <v>2021</v>
      </c>
    </row>
    <row r="546" spans="1:24" ht="20.100000000000001" customHeight="1" x14ac:dyDescent="0.25">
      <c r="A546" s="38">
        <f t="shared" si="250"/>
        <v>4</v>
      </c>
      <c r="B546" s="38">
        <f t="shared" si="251"/>
        <v>0</v>
      </c>
      <c r="C546" s="38" t="s">
        <v>33</v>
      </c>
      <c r="D546" s="38">
        <v>1</v>
      </c>
      <c r="F546" s="38" t="str">
        <f>"note_"&amp;F544&amp;"_"&amp;D546</f>
        <v>note_list_cdm_1</v>
      </c>
      <c r="G546" s="13" t="str">
        <f>"Je vais lire ${"&amp;F545&amp;"} problèmes que les femmes peuvent connaitre. Ce sont des problèmes sensibles. Quand je dis un problème applicable à vous, dans la dernière année, laissez tomber une de ces boules par terre."</f>
        <v>Je vais lire ${list_cdm_num_probs} problèmes que les femmes peuvent connaitre. Ce sont des problèmes sensibles. Quand je dis un problème applicable à vous, dans la dernière année, laissez tomber une de ces boules par terre.</v>
      </c>
      <c r="H546" s="13" t="str">
        <f>"Je vais lire ${"&amp;F545&amp;"} problèmes que les femmes peuvent connaitre. Ce sont des problèmes sensibles. Quand je dis un problème applicable à vous, dans la dernière année, laissez tomber une de ces boules par terre."</f>
        <v>Je vais lire ${list_cdm_num_probs} problèmes que les femmes peuvent connaitre. Ce sont des problèmes sensibles. Quand je dis un problème applicable à vous, dans la dernière année, laissez tomber une de ces boules par terre.</v>
      </c>
      <c r="I546" s="13" t="str">
        <f>"Je vais lire ${"&amp;F545&amp;"} problèmes que les femmes peuvent connaitre. Ce sont des problèmes sensibles. Quand je dis un problème applicable à vous, dans la dernière année, laissez tomber une de ces boules par terre."</f>
        <v>Je vais lire ${list_cdm_num_probs} problèmes que les femmes peuvent connaitre. Ce sont des problèmes sensibles. Quand je dis un problème applicable à vous, dans la dernière année, laissez tomber une de ces boules par terre.</v>
      </c>
      <c r="J546" s="7" t="str">
        <f t="shared" si="260"/>
        <v>1 Je vais lire ${list_cdm_num_probs} problèmes que les femmes peuvent connaitre. Ce sont des problèmes sensibles. Quand je dis un problème applicable à vous, dans la dernière année, laissez tomber une de ces boules par terre.</v>
      </c>
      <c r="K546" s="7" t="str">
        <f t="shared" si="260"/>
        <v>Je vais lire ${list_cdm_num_probs} problèmes que les femmes peuvent connaitre. Ce sont des problèmes sensibles. Quand je dis un problème applicable à vous, dans la dernière année, laissez tomber une de ces boules par terre.</v>
      </c>
      <c r="L546" s="7" t="str">
        <f t="shared" si="261"/>
        <v>Je vais lire ${list_cdm_num_probs} problèmes que les femmes peuvent connaitre. Ce sont des problèmes sensibles. Quand je dis un problème applicable à vous, dans la dernière année, laissez tomber une de ces boules par terre.</v>
      </c>
    </row>
    <row r="547" spans="1:24" ht="20.100000000000001" customHeight="1" x14ac:dyDescent="0.25">
      <c r="A547" s="38">
        <f t="shared" si="250"/>
        <v>4</v>
      </c>
      <c r="B547" s="38">
        <f t="shared" si="251"/>
        <v>0</v>
      </c>
      <c r="C547" s="38" t="s">
        <v>33</v>
      </c>
      <c r="D547" s="38">
        <v>2</v>
      </c>
      <c r="F547" s="38" t="str">
        <f>"note_"&amp;F544&amp;"_"&amp;D547</f>
        <v>note_list_cdm_2</v>
      </c>
      <c r="G547" s="13" t="s">
        <v>1696</v>
      </c>
      <c r="H547" s="13" t="s">
        <v>1696</v>
      </c>
      <c r="I547" s="13" t="s">
        <v>1696</v>
      </c>
      <c r="J547" s="7" t="str">
        <f t="shared" si="260"/>
        <v>2  Je ne vais pas regarder quand les boules tombent, donc  je ne vais pas savoir quels problèmes sont exactement applicables à vous. Je vais seulement compter les boules que vous avez jeté par terre à la fin de l’exercice, pour savoir combien de problèmes sont applicable a vous. Je garderai ce nombre dans tout l’anonymat.</v>
      </c>
      <c r="K547" s="7" t="str">
        <f t="shared" si="260"/>
        <v xml:space="preserve"> Je ne vais pas regarder quand les boules tombent, donc  je ne vais pas savoir quels problèmes sont exactement applicables à vous. Je vais seulement compter les boules que vous avez jeté par terre à la fin de l’exercice, pour savoir combien de problèmes sont applicable a vous. Je garderai ce nombre dans tout l’anonymat.</v>
      </c>
      <c r="L547" s="7" t="str">
        <f t="shared" si="261"/>
        <v xml:space="preserve"> Je ne vais pas regarder quand les boules tombent, donc  je ne vais pas savoir quels problèmes sont exactement applicables à vous. Je vais seulement compter les boules que vous avez jeté par terre à la fin de l’exercice, pour savoir combien de problèmes sont applicable a vous. Je garderai ce nombre dans tout l’anonymat.</v>
      </c>
    </row>
    <row r="548" spans="1:24" ht="20.100000000000001" customHeight="1" x14ac:dyDescent="0.25">
      <c r="A548" s="38">
        <f t="shared" si="250"/>
        <v>4</v>
      </c>
      <c r="B548" s="38">
        <f t="shared" si="251"/>
        <v>0</v>
      </c>
      <c r="C548" s="38" t="s">
        <v>33</v>
      </c>
      <c r="D548" s="38">
        <v>3</v>
      </c>
      <c r="F548" s="38" t="str">
        <f>"note_"&amp;F544&amp;"_"&amp;D548</f>
        <v>note_list_cdm_3</v>
      </c>
      <c r="G548" s="13" t="s">
        <v>1697</v>
      </c>
      <c r="H548" s="13" t="s">
        <v>1697</v>
      </c>
      <c r="I548" s="13" t="s">
        <v>1697</v>
      </c>
      <c r="J548" s="7" t="str">
        <f t="shared" si="260"/>
        <v>3 C'est clair? Je vais mentionner les problèmes</v>
      </c>
      <c r="K548" s="7" t="str">
        <f t="shared" si="260"/>
        <v>C'est clair? Je vais mentionner les problèmes</v>
      </c>
      <c r="L548" s="7" t="str">
        <f t="shared" si="261"/>
        <v>C'est clair? Je vais mentionner les problèmes</v>
      </c>
    </row>
    <row r="549" spans="1:24" ht="20.100000000000001" customHeight="1" x14ac:dyDescent="0.25">
      <c r="A549" s="38">
        <f t="shared" si="250"/>
        <v>4</v>
      </c>
      <c r="B549" s="38">
        <f t="shared" si="251"/>
        <v>0</v>
      </c>
      <c r="C549" s="38" t="s">
        <v>33</v>
      </c>
      <c r="D549" s="38">
        <v>4</v>
      </c>
      <c r="F549" s="38" t="str">
        <f>"note_"&amp;F544&amp;"_"&amp;D549</f>
        <v>note_list_cdm_4</v>
      </c>
      <c r="G549" s="13" t="s">
        <v>1698</v>
      </c>
      <c r="H549" s="13" t="s">
        <v>1698</v>
      </c>
      <c r="I549" s="13" t="s">
        <v>1698</v>
      </c>
      <c r="J549" s="7" t="str">
        <f t="shared" si="260"/>
        <v>4 Manque de nourriture</v>
      </c>
      <c r="K549" s="7" t="str">
        <f t="shared" si="260"/>
        <v>Manque de nourriture</v>
      </c>
      <c r="L549" s="7" t="str">
        <f t="shared" si="261"/>
        <v>Manque de nourriture</v>
      </c>
      <c r="O549" s="7" t="s">
        <v>1699</v>
      </c>
      <c r="P549" s="7" t="s">
        <v>1700</v>
      </c>
      <c r="Q549" s="7" t="s">
        <v>1700</v>
      </c>
    </row>
    <row r="550" spans="1:24" ht="20.100000000000001" customHeight="1" x14ac:dyDescent="0.25">
      <c r="A550" s="38">
        <f t="shared" si="250"/>
        <v>4</v>
      </c>
      <c r="B550" s="38">
        <f t="shared" si="251"/>
        <v>0</v>
      </c>
      <c r="C550" s="38" t="s">
        <v>33</v>
      </c>
      <c r="D550" s="38">
        <v>5</v>
      </c>
      <c r="F550" s="38" t="str">
        <f>"note_"&amp;F544&amp;"_"&amp;D550</f>
        <v>note_list_cdm_5</v>
      </c>
      <c r="G550" s="13" t="s">
        <v>1701</v>
      </c>
      <c r="H550" s="13" t="s">
        <v>1701</v>
      </c>
      <c r="I550" s="13" t="s">
        <v>1701</v>
      </c>
      <c r="J550" s="7" t="str">
        <f t="shared" si="260"/>
        <v>5 Manque d'argent</v>
      </c>
      <c r="K550" s="7" t="str">
        <f t="shared" si="260"/>
        <v>Manque d'argent</v>
      </c>
      <c r="L550" s="7" t="str">
        <f t="shared" si="261"/>
        <v>Manque d'argent</v>
      </c>
      <c r="O550" s="7" t="s">
        <v>1699</v>
      </c>
      <c r="P550" s="7" t="s">
        <v>1700</v>
      </c>
      <c r="Q550" s="7" t="s">
        <v>1700</v>
      </c>
    </row>
    <row r="551" spans="1:24" ht="20.100000000000001" customHeight="1" x14ac:dyDescent="0.25">
      <c r="A551" s="38">
        <f t="shared" si="250"/>
        <v>4</v>
      </c>
      <c r="B551" s="38">
        <f t="shared" si="251"/>
        <v>0</v>
      </c>
      <c r="C551" s="38" t="s">
        <v>33</v>
      </c>
      <c r="D551" s="38">
        <v>6</v>
      </c>
      <c r="F551" s="38" t="str">
        <f>"note_"&amp;F544&amp;"_"&amp;D551</f>
        <v>note_list_cdm_6</v>
      </c>
      <c r="G551" s="13" t="s">
        <v>1702</v>
      </c>
      <c r="H551" s="13" t="s">
        <v>1702</v>
      </c>
      <c r="I551" s="13" t="s">
        <v>1702</v>
      </c>
      <c r="J551" s="7" t="str">
        <f t="shared" si="260"/>
        <v>6 Vol</v>
      </c>
      <c r="K551" s="7" t="str">
        <f t="shared" si="260"/>
        <v>Vol</v>
      </c>
      <c r="L551" s="7" t="str">
        <f t="shared" si="261"/>
        <v>Vol</v>
      </c>
      <c r="O551" s="7" t="s">
        <v>1699</v>
      </c>
      <c r="P551" s="7" t="s">
        <v>1700</v>
      </c>
      <c r="Q551" s="7" t="s">
        <v>1700</v>
      </c>
    </row>
    <row r="552" spans="1:24" ht="20.100000000000001" customHeight="1" x14ac:dyDescent="0.25">
      <c r="A552" s="38">
        <f t="shared" si="250"/>
        <v>4</v>
      </c>
      <c r="B552" s="38">
        <f t="shared" si="251"/>
        <v>0</v>
      </c>
      <c r="C552" s="38" t="s">
        <v>33</v>
      </c>
      <c r="D552" s="38">
        <v>7</v>
      </c>
      <c r="F552" s="38" t="str">
        <f>"note_"&amp;F544&amp;"_"&amp;D552</f>
        <v>note_list_cdm_7</v>
      </c>
      <c r="G552" s="13" t="s">
        <v>1703</v>
      </c>
      <c r="H552" s="13" t="s">
        <v>1703</v>
      </c>
      <c r="I552" s="13" t="s">
        <v>1703</v>
      </c>
      <c r="J552" s="7" t="str">
        <f t="shared" si="260"/>
        <v>7 Sterilité</v>
      </c>
      <c r="K552" s="7" t="str">
        <f t="shared" si="260"/>
        <v>Sterilité</v>
      </c>
      <c r="L552" s="7" t="str">
        <f t="shared" si="261"/>
        <v>Sterilité</v>
      </c>
      <c r="O552" s="7" t="s">
        <v>1699</v>
      </c>
      <c r="P552" s="7" t="s">
        <v>1700</v>
      </c>
      <c r="Q552" s="7" t="s">
        <v>1700</v>
      </c>
    </row>
    <row r="553" spans="1:24" ht="20.100000000000001" customHeight="1" x14ac:dyDescent="0.25">
      <c r="A553" s="38">
        <f t="shared" si="250"/>
        <v>4</v>
      </c>
      <c r="B553" s="38">
        <f t="shared" si="251"/>
        <v>0</v>
      </c>
      <c r="C553" s="38" t="s">
        <v>33</v>
      </c>
      <c r="D553" s="38">
        <v>8</v>
      </c>
      <c r="F553" s="38" t="str">
        <f>"note_"&amp;F544&amp;"_"&amp;D553</f>
        <v>note_list_cdm_8</v>
      </c>
      <c r="G553" s="13" t="s">
        <v>1704</v>
      </c>
      <c r="H553" s="13" t="s">
        <v>1704</v>
      </c>
      <c r="I553" s="13" t="s">
        <v>1704</v>
      </c>
      <c r="J553" s="7" t="str">
        <f t="shared" si="260"/>
        <v>8 Violence sexuelle</v>
      </c>
      <c r="K553" s="7" t="str">
        <f t="shared" si="260"/>
        <v>Violence sexuelle</v>
      </c>
      <c r="L553" s="7" t="str">
        <f t="shared" si="261"/>
        <v>Violence sexuelle</v>
      </c>
      <c r="O553" s="7" t="s">
        <v>1699</v>
      </c>
      <c r="P553" s="7" t="s">
        <v>1700</v>
      </c>
      <c r="Q553" s="7" t="s">
        <v>1700</v>
      </c>
      <c r="R553" s="7" t="str">
        <f>"${"&amp;F545&amp;"} = 5"</f>
        <v>${list_cdm_num_probs} = 5</v>
      </c>
    </row>
    <row r="554" spans="1:24" ht="20.100000000000001" customHeight="1" x14ac:dyDescent="0.25">
      <c r="A554" s="38">
        <f t="shared" si="250"/>
        <v>4</v>
      </c>
      <c r="B554" s="38">
        <f t="shared" si="251"/>
        <v>0</v>
      </c>
      <c r="C554" s="38" t="s">
        <v>35</v>
      </c>
      <c r="F554" s="38" t="str">
        <f>F544&amp;"_boules"</f>
        <v>list_cdm_boules</v>
      </c>
      <c r="G554" s="13" t="s">
        <v>1705</v>
      </c>
      <c r="H554" s="13" t="s">
        <v>1705</v>
      </c>
      <c r="I554" s="13" t="s">
        <v>1705</v>
      </c>
      <c r="J554" s="7" t="str">
        <f t="shared" si="260"/>
        <v>Combien de boules il y a par terre ?</v>
      </c>
      <c r="K554" s="7" t="str">
        <f t="shared" si="260"/>
        <v>Combien de boules il y a par terre ?</v>
      </c>
      <c r="L554" s="7" t="str">
        <f t="shared" si="261"/>
        <v>Combien de boules il y a par terre ?</v>
      </c>
      <c r="T554" s="38" t="str">
        <f>".&lt;=${"&amp;F545&amp;"}"</f>
        <v>.&lt;=${list_cdm_num_probs}</v>
      </c>
      <c r="X554" s="38" t="s">
        <v>36</v>
      </c>
    </row>
    <row r="555" spans="1:24" s="21" customFormat="1" ht="20.100000000000001" customHeight="1" x14ac:dyDescent="0.25">
      <c r="A555" s="38">
        <f t="shared" si="250"/>
        <v>3</v>
      </c>
      <c r="B555" s="38">
        <f t="shared" si="251"/>
        <v>0</v>
      </c>
      <c r="C555" s="21" t="s">
        <v>40</v>
      </c>
      <c r="G555" s="11"/>
      <c r="H555" s="11"/>
      <c r="I555" s="11"/>
    </row>
    <row r="556" spans="1:24" s="21" customFormat="1" ht="20.100000000000001" customHeight="1" x14ac:dyDescent="0.25">
      <c r="A556" s="38">
        <f t="shared" si="250"/>
        <v>2</v>
      </c>
      <c r="B556" s="38">
        <f t="shared" si="251"/>
        <v>0</v>
      </c>
      <c r="C556" s="21" t="s">
        <v>40</v>
      </c>
      <c r="G556" s="11"/>
      <c r="H556" s="11"/>
      <c r="I556" s="11"/>
    </row>
    <row r="557" spans="1:24" ht="20.100000000000001" customHeight="1" x14ac:dyDescent="0.25">
      <c r="A557" s="38">
        <f t="shared" si="250"/>
        <v>2</v>
      </c>
      <c r="B557" s="38">
        <f t="shared" si="251"/>
        <v>0</v>
      </c>
      <c r="C557" s="38" t="s">
        <v>148</v>
      </c>
      <c r="F557" s="38" t="s">
        <v>1706</v>
      </c>
      <c r="G557" s="38" t="s">
        <v>1660</v>
      </c>
      <c r="H557" s="38" t="s">
        <v>1660</v>
      </c>
      <c r="I557" s="38" t="s">
        <v>1660</v>
      </c>
      <c r="J557" s="7" t="str">
        <f t="shared" ref="J557:K584" si="262">D557&amp;IF(D557="",""," ")&amp;G557</f>
        <v>...</v>
      </c>
      <c r="K557" s="7" t="str">
        <f t="shared" si="262"/>
        <v>...</v>
      </c>
      <c r="L557" s="7" t="str">
        <f t="shared" ref="L557:L584" si="263">E557&amp;IF(E557="",""," ")&amp;I557</f>
        <v>...</v>
      </c>
      <c r="O557" s="13" t="s">
        <v>1707</v>
      </c>
      <c r="P557" s="13" t="s">
        <v>1708</v>
      </c>
      <c r="Q557" s="13" t="s">
        <v>1708</v>
      </c>
      <c r="R557" s="151" t="str">
        <f>"selected(${"&amp;F494&amp;"},'2')"</f>
        <v>selected(${gender_available},'2')</v>
      </c>
      <c r="X557" s="38" t="s">
        <v>36</v>
      </c>
    </row>
    <row r="558" spans="1:24" ht="55.5" customHeight="1" x14ac:dyDescent="0.25">
      <c r="A558" s="38">
        <f t="shared" si="250"/>
        <v>2</v>
      </c>
      <c r="B558" s="38">
        <f t="shared" si="251"/>
        <v>0</v>
      </c>
      <c r="C558" s="38" t="s">
        <v>94</v>
      </c>
      <c r="F558" s="38" t="s">
        <v>1727</v>
      </c>
      <c r="G558" s="38" t="s">
        <v>1660</v>
      </c>
      <c r="H558" s="38" t="s">
        <v>1660</v>
      </c>
      <c r="I558" s="38" t="s">
        <v>1660</v>
      </c>
      <c r="J558" s="7" t="str">
        <f t="shared" si="262"/>
        <v>...</v>
      </c>
      <c r="K558" s="7" t="str">
        <f t="shared" si="262"/>
        <v>...</v>
      </c>
      <c r="L558" s="7" t="str">
        <f t="shared" si="263"/>
        <v>...</v>
      </c>
      <c r="O558" s="13" t="s">
        <v>1728</v>
      </c>
      <c r="P558" s="13" t="s">
        <v>1729</v>
      </c>
      <c r="Q558" s="13" t="s">
        <v>1729</v>
      </c>
      <c r="R558" s="151" t="str">
        <f>"${"&amp;F557&amp;"}='1'"</f>
        <v>${gender_accept_ep}='1'</v>
      </c>
      <c r="T558" s="38" t="str">
        <f>"indexed-repeat(${"&amp;$F$90&amp;"}, ${"&amp;$F$82&amp;"},if(number(.) &gt; 0 and number(.) &lt;= ${"&amp;F57&amp;"},number(.),1))='2'"</f>
        <v>indexed-repeat(${relhead}, ${hhroster},if(number(.) &gt; 0 and number(.) &lt;= ${hh_size},number(.),1))='2'</v>
      </c>
      <c r="U558" s="38" t="s">
        <v>1730</v>
      </c>
      <c r="V558" s="38" t="s">
        <v>1731</v>
      </c>
      <c r="W558" s="38" t="s">
        <v>1731</v>
      </c>
    </row>
    <row r="559" spans="1:24" s="17" customFormat="1" ht="20.100000000000001" customHeight="1" x14ac:dyDescent="0.25">
      <c r="A559" s="38">
        <f t="shared" si="250"/>
        <v>3</v>
      </c>
      <c r="B559" s="38">
        <f t="shared" si="251"/>
        <v>0</v>
      </c>
      <c r="C559" s="17" t="s">
        <v>32</v>
      </c>
      <c r="D559" s="17" t="s">
        <v>1709</v>
      </c>
      <c r="F559" s="17" t="str">
        <f>"gender_"&amp;D559</f>
        <v>gender_ep</v>
      </c>
      <c r="G559" s="10" t="s">
        <v>1710</v>
      </c>
      <c r="H559" s="10" t="s">
        <v>1711</v>
      </c>
      <c r="I559" s="10" t="s">
        <v>1711</v>
      </c>
      <c r="J559" s="7" t="str">
        <f t="shared" si="262"/>
        <v>ep Genre: Épouse de Chef de ménage</v>
      </c>
      <c r="K559" s="7" t="str">
        <f t="shared" si="262"/>
        <v>Genre: Epouse de Chef de ménage</v>
      </c>
      <c r="L559" s="7" t="str">
        <f t="shared" si="263"/>
        <v>Genre: Epouse de Chef de ménage</v>
      </c>
      <c r="R559" s="17" t="str">
        <f>"${"&amp;F557&amp;"}='1'"</f>
        <v>${gender_accept_ep}='1'</v>
      </c>
    </row>
    <row r="560" spans="1:24" customFormat="1" ht="20.100000000000001" customHeight="1" x14ac:dyDescent="0.25">
      <c r="A560" s="38">
        <f t="shared" si="250"/>
        <v>3</v>
      </c>
      <c r="B560" s="38">
        <f t="shared" si="251"/>
        <v>0</v>
      </c>
      <c r="C560" t="s">
        <v>33</v>
      </c>
      <c r="F560" t="s">
        <v>1712</v>
      </c>
      <c r="H560" t="s">
        <v>1713</v>
      </c>
      <c r="K560" s="13" t="str">
        <f t="shared" si="262"/>
        <v>Mainenant, je vais parler avec le conjoint seuelement</v>
      </c>
    </row>
    <row r="561" spans="1:25" s="17" customFormat="1" ht="20.100000000000001" customHeight="1" x14ac:dyDescent="0.25">
      <c r="A561" s="38">
        <f t="shared" si="250"/>
        <v>4</v>
      </c>
      <c r="B561" s="38">
        <f t="shared" si="251"/>
        <v>0</v>
      </c>
      <c r="C561" s="10" t="s">
        <v>32</v>
      </c>
      <c r="D561" s="10">
        <v>1</v>
      </c>
      <c r="E561" s="10"/>
      <c r="F561" s="10" t="str">
        <f>"risk_f_instr_"&amp;D561</f>
        <v>risk_f_instr_1</v>
      </c>
      <c r="G561" s="10" t="str">
        <f>"Risk Instructions "&amp;D561</f>
        <v>Risk Instructions 1</v>
      </c>
      <c r="H561" s="10" t="str">
        <f>"Instructions Risque"&amp;D561</f>
        <v>Instructions Risque1</v>
      </c>
      <c r="I561" s="10" t="str">
        <f>"Instructions Risque "&amp;D561</f>
        <v>Instructions Risque 1</v>
      </c>
      <c r="J561" s="10" t="str">
        <f t="shared" ref="J561:J564" si="264">E561&amp;IF(D561="",""," ")&amp;G561</f>
        <v xml:space="preserve"> Risk Instructions 1</v>
      </c>
      <c r="K561" s="13" t="str">
        <f t="shared" si="262"/>
        <v>Instructions Risque1</v>
      </c>
      <c r="L561" s="13" t="str">
        <f t="shared" si="263"/>
        <v>Instructions Risque 1</v>
      </c>
      <c r="M561" s="10"/>
      <c r="N561" s="122" t="s">
        <v>1312</v>
      </c>
      <c r="O561" s="10"/>
      <c r="P561" s="10"/>
      <c r="Q561" s="10"/>
      <c r="R561" s="10"/>
      <c r="S561" s="10"/>
      <c r="T561" s="10"/>
      <c r="U561" s="10"/>
      <c r="V561" s="10"/>
      <c r="W561" s="10"/>
      <c r="X561" s="10"/>
      <c r="Y561" s="10"/>
    </row>
    <row r="562" spans="1:25" s="7" customFormat="1" ht="31.5" customHeight="1" x14ac:dyDescent="0.25">
      <c r="A562" s="38">
        <f t="shared" si="250"/>
        <v>4</v>
      </c>
      <c r="B562" s="38">
        <f t="shared" si="251"/>
        <v>0</v>
      </c>
      <c r="C562" s="13" t="s">
        <v>33</v>
      </c>
      <c r="D562" s="13">
        <v>1</v>
      </c>
      <c r="E562" s="13"/>
      <c r="F562" s="13" t="str">
        <f ca="1">OFFSET(F562,-1*D562,0)&amp;"_"&amp;D562</f>
        <v>risk_f_instr_1_1</v>
      </c>
      <c r="G562" s="13"/>
      <c r="H562" t="s">
        <v>1672</v>
      </c>
      <c r="I562" s="13"/>
      <c r="J562" s="41" t="str">
        <f t="shared" si="264"/>
        <v xml:space="preserve"> </v>
      </c>
      <c r="K562" s="13" t="str">
        <f t="shared" si="262"/>
        <v>Maintenant, on vous demandera de participer à une autre exercice avec lequel vous pouvez gagner de l’argent  effectivement.</v>
      </c>
      <c r="L562" s="13" t="str">
        <f t="shared" si="263"/>
        <v/>
      </c>
      <c r="M562" s="13"/>
      <c r="N562" s="13"/>
      <c r="O562" s="13"/>
      <c r="P562" s="13"/>
      <c r="Q562" s="13"/>
      <c r="R562" s="13"/>
      <c r="S562" s="13"/>
      <c r="T562" s="13"/>
      <c r="U562" s="13"/>
      <c r="V562" s="13"/>
      <c r="W562" s="13"/>
      <c r="X562" s="13"/>
      <c r="Y562" s="13"/>
    </row>
    <row r="563" spans="1:25" s="7" customFormat="1" ht="20.100000000000001" customHeight="1" x14ac:dyDescent="0.25">
      <c r="A563" s="38">
        <f t="shared" si="250"/>
        <v>4</v>
      </c>
      <c r="B563" s="38">
        <f t="shared" si="251"/>
        <v>0</v>
      </c>
      <c r="C563" s="13" t="s">
        <v>33</v>
      </c>
      <c r="D563" s="13">
        <v>2</v>
      </c>
      <c r="E563" s="13"/>
      <c r="F563" s="13" t="str">
        <f t="shared" ref="F563:F568" ca="1" si="265">OFFSET(F563,-1*D563,0)&amp;"_"&amp;D563</f>
        <v>risk_f_instr_1_2</v>
      </c>
      <c r="G563" s="13"/>
      <c r="H563" t="s">
        <v>1673</v>
      </c>
      <c r="I563" s="13"/>
      <c r="J563" s="41" t="str">
        <f t="shared" si="264"/>
        <v xml:space="preserve"> </v>
      </c>
      <c r="K563" s="13" t="str">
        <f t="shared" si="262"/>
        <v xml:space="preserve">Dans cet exercice, nous allons vous présenter six loteries. </v>
      </c>
      <c r="L563" s="13" t="str">
        <f t="shared" si="263"/>
        <v/>
      </c>
      <c r="M563" s="13"/>
      <c r="N563" s="13"/>
      <c r="O563" s="13"/>
      <c r="P563" s="13"/>
      <c r="Q563" s="13"/>
      <c r="R563" s="13"/>
      <c r="S563" s="13"/>
      <c r="T563" s="13"/>
      <c r="U563" s="13"/>
      <c r="V563" s="13"/>
      <c r="W563" s="13"/>
      <c r="X563" s="13"/>
      <c r="Y563" s="13"/>
    </row>
    <row r="564" spans="1:25" s="7" customFormat="1" ht="20.100000000000001" customHeight="1" x14ac:dyDescent="0.25">
      <c r="A564" s="38">
        <f t="shared" si="250"/>
        <v>4</v>
      </c>
      <c r="B564" s="38">
        <f t="shared" si="251"/>
        <v>0</v>
      </c>
      <c r="C564" s="13" t="s">
        <v>33</v>
      </c>
      <c r="D564" s="13">
        <v>3</v>
      </c>
      <c r="E564" s="13"/>
      <c r="F564" s="13" t="str">
        <f t="shared" ca="1" si="265"/>
        <v>risk_f_instr_1_3</v>
      </c>
      <c r="G564" s="13"/>
      <c r="H564" t="s">
        <v>1674</v>
      </c>
      <c r="I564" s="13"/>
      <c r="J564" s="41" t="str">
        <f t="shared" si="264"/>
        <v xml:space="preserve"> </v>
      </c>
      <c r="K564" s="13" t="str">
        <f t="shared" si="262"/>
        <v>De ces loteries vous allez sélectionner une que vous préférez</v>
      </c>
      <c r="L564" s="13" t="str">
        <f t="shared" si="263"/>
        <v/>
      </c>
      <c r="M564" s="13"/>
      <c r="N564" s="13"/>
      <c r="O564" s="13"/>
      <c r="Q564" s="13"/>
      <c r="R564" s="13"/>
      <c r="S564" s="13"/>
      <c r="T564" s="13"/>
      <c r="U564" s="13"/>
      <c r="V564" s="13"/>
      <c r="W564" s="13"/>
      <c r="X564" s="13"/>
      <c r="Y564" s="13"/>
    </row>
    <row r="565" spans="1:25" s="7" customFormat="1" ht="20.100000000000001" customHeight="1" x14ac:dyDescent="0.25">
      <c r="A565" s="38">
        <f t="shared" si="250"/>
        <v>4</v>
      </c>
      <c r="B565" s="38">
        <f t="shared" si="251"/>
        <v>0</v>
      </c>
      <c r="C565" s="13" t="s">
        <v>33</v>
      </c>
      <c r="D565" s="13">
        <v>4</v>
      </c>
      <c r="E565" s="13"/>
      <c r="F565" s="13" t="str">
        <f t="shared" ca="1" si="265"/>
        <v>risk_f_instr_1_4</v>
      </c>
      <c r="G565" s="13"/>
      <c r="H565" t="s">
        <v>1675</v>
      </c>
      <c r="I565" s="13"/>
      <c r="J565" s="41"/>
      <c r="K565" s="13" t="str">
        <f t="shared" si="262"/>
        <v>Cet exercice sera suivi par d’autres et à l’issue de tous ces exercices vous recevrez un peu d’argent pour un seul exercice correspondant au numéro du jeton que vous sélectionnerez au hasard lors de la réunion de paiement.</v>
      </c>
      <c r="L565" s="13"/>
      <c r="M565" s="13"/>
      <c r="N565" s="13"/>
      <c r="O565" s="13"/>
      <c r="P565" t="s">
        <v>1676</v>
      </c>
      <c r="Q565" s="13"/>
      <c r="R565" s="13"/>
      <c r="S565" s="13"/>
      <c r="T565" s="13"/>
      <c r="U565" s="13"/>
      <c r="V565" s="13"/>
      <c r="W565" s="13"/>
      <c r="X565" s="13"/>
      <c r="Y565" s="13"/>
    </row>
    <row r="566" spans="1:25" s="7" customFormat="1" ht="20.100000000000001" customHeight="1" x14ac:dyDescent="0.25">
      <c r="A566" s="38">
        <f t="shared" si="250"/>
        <v>4</v>
      </c>
      <c r="B566" s="38">
        <f t="shared" si="251"/>
        <v>0</v>
      </c>
      <c r="C566" s="13" t="s">
        <v>33</v>
      </c>
      <c r="D566" s="13">
        <v>5</v>
      </c>
      <c r="E566" s="13"/>
      <c r="F566" s="13" t="str">
        <f t="shared" ca="1" si="265"/>
        <v>risk_f_instr_1_5</v>
      </c>
      <c r="G566" s="13"/>
      <c r="H566" t="s">
        <v>1677</v>
      </c>
      <c r="I566" s="13"/>
      <c r="J566" s="41"/>
      <c r="K566" s="13" t="str">
        <f t="shared" si="262"/>
        <v>On va seulement faire à loterie sélectionné si vous tirez ce jeton lors de la réunion</v>
      </c>
      <c r="L566" s="13"/>
      <c r="M566" s="13"/>
      <c r="N566" s="13"/>
      <c r="O566" s="13"/>
      <c r="P566" s="13"/>
      <c r="Q566" s="13"/>
      <c r="R566" s="13"/>
      <c r="S566" s="13"/>
      <c r="T566" s="13"/>
      <c r="U566" s="13"/>
      <c r="V566" s="13"/>
      <c r="W566" s="13"/>
      <c r="X566" s="13"/>
      <c r="Y566" s="13"/>
    </row>
    <row r="567" spans="1:25" s="7" customFormat="1" ht="20.100000000000001" customHeight="1" x14ac:dyDescent="0.25">
      <c r="A567" s="38">
        <f t="shared" si="250"/>
        <v>4</v>
      </c>
      <c r="B567" s="38">
        <f t="shared" si="251"/>
        <v>0</v>
      </c>
      <c r="C567" s="13" t="s">
        <v>33</v>
      </c>
      <c r="D567" s="13">
        <v>6</v>
      </c>
      <c r="E567" s="13"/>
      <c r="F567" s="13" t="str">
        <f t="shared" ca="1" si="265"/>
        <v>risk_f_instr_1_6</v>
      </c>
      <c r="G567" s="13"/>
      <c r="H567" t="s">
        <v>1678</v>
      </c>
      <c r="I567" s="13"/>
      <c r="J567" s="41"/>
      <c r="K567" s="13" t="str">
        <f t="shared" si="262"/>
        <v>Donc si vous tirez le JETON 3 le paiement pour votre participation sera basé sur le résultat de la loterie que vous choisissez maintenant.</v>
      </c>
      <c r="L567" s="13"/>
      <c r="M567" s="13"/>
      <c r="N567" s="13"/>
      <c r="O567" s="13"/>
      <c r="P567" s="13"/>
      <c r="Q567" s="13"/>
      <c r="R567" s="13"/>
      <c r="S567" s="13"/>
      <c r="T567" s="13"/>
      <c r="U567" s="13"/>
      <c r="V567" s="13"/>
      <c r="W567" s="13"/>
      <c r="X567" s="13"/>
      <c r="Y567" s="13"/>
    </row>
    <row r="568" spans="1:25" s="7" customFormat="1" ht="20.100000000000001" customHeight="1" x14ac:dyDescent="0.25">
      <c r="A568" s="38">
        <f t="shared" si="250"/>
        <v>4</v>
      </c>
      <c r="B568" s="38">
        <f t="shared" si="251"/>
        <v>0</v>
      </c>
      <c r="C568" s="13" t="s">
        <v>33</v>
      </c>
      <c r="D568" s="13">
        <v>7</v>
      </c>
      <c r="E568" s="13"/>
      <c r="F568" s="13" t="str">
        <f t="shared" ca="1" si="265"/>
        <v>risk_f_instr_1_7</v>
      </c>
      <c r="G568" s="13"/>
      <c r="H568" t="s">
        <v>1679</v>
      </c>
      <c r="I568" s="13"/>
      <c r="J568" s="41"/>
      <c r="K568" s="13" t="str">
        <f t="shared" si="262"/>
        <v>Est-ce que ça c’est claire ? </v>
      </c>
      <c r="L568" s="13"/>
      <c r="M568" s="13"/>
      <c r="N568" s="13"/>
      <c r="O568" s="13"/>
      <c r="P568" s="13"/>
      <c r="Q568" s="13"/>
      <c r="R568" s="13"/>
      <c r="S568" s="13"/>
      <c r="T568" s="13"/>
      <c r="U568" s="13"/>
      <c r="V568" s="13"/>
      <c r="W568" s="13"/>
      <c r="X568" s="13"/>
      <c r="Y568" s="13"/>
    </row>
    <row r="569" spans="1:25" s="21" customFormat="1" ht="20.100000000000001" customHeight="1" x14ac:dyDescent="0.25">
      <c r="A569" s="38">
        <f t="shared" si="250"/>
        <v>3</v>
      </c>
      <c r="B569" s="38">
        <f t="shared" si="251"/>
        <v>0</v>
      </c>
      <c r="C569" s="124" t="s">
        <v>40</v>
      </c>
      <c r="D569" s="124"/>
      <c r="E569" s="124"/>
      <c r="F569" s="124"/>
      <c r="G569" s="125"/>
      <c r="H569" s="125"/>
      <c r="I569" s="125"/>
      <c r="J569" s="124"/>
      <c r="K569" s="13" t="str">
        <f t="shared" si="262"/>
        <v/>
      </c>
      <c r="L569" s="124"/>
      <c r="M569" s="124"/>
      <c r="N569" s="124"/>
      <c r="O569" s="124"/>
      <c r="P569" s="124"/>
      <c r="Q569" s="124"/>
      <c r="R569" s="124"/>
      <c r="S569" s="124"/>
      <c r="T569" s="124"/>
      <c r="U569" s="124"/>
      <c r="V569" s="124"/>
      <c r="X569" s="56"/>
      <c r="Y569" s="56"/>
    </row>
    <row r="570" spans="1:25" s="17" customFormat="1" ht="20.100000000000001" customHeight="1" x14ac:dyDescent="0.25">
      <c r="A570" s="38">
        <f t="shared" si="250"/>
        <v>4</v>
      </c>
      <c r="B570" s="38">
        <f t="shared" si="251"/>
        <v>0</v>
      </c>
      <c r="C570" s="10" t="s">
        <v>32</v>
      </c>
      <c r="D570" s="10">
        <v>2</v>
      </c>
      <c r="E570" s="10"/>
      <c r="F570" s="10" t="str">
        <f>"risk_f_instr_"&amp;D570</f>
        <v>risk_f_instr_2</v>
      </c>
      <c r="G570" s="10" t="str">
        <f>"Risk Instructions "&amp;D570</f>
        <v>Risk Instructions 2</v>
      </c>
      <c r="H570" s="10" t="str">
        <f>"Instructions Risque"&amp;D570</f>
        <v>Instructions Risque2</v>
      </c>
      <c r="I570" s="10" t="str">
        <f>"Instructions Risque "&amp;D570</f>
        <v>Instructions Risque 2</v>
      </c>
      <c r="J570" s="10" t="str">
        <f t="shared" ref="J570:J573" si="266">E570&amp;IF(D570="",""," ")&amp;G570</f>
        <v xml:space="preserve"> Risk Instructions 2</v>
      </c>
      <c r="K570" s="13" t="str">
        <f t="shared" si="262"/>
        <v>Instructions Risque2</v>
      </c>
      <c r="L570" s="13" t="str">
        <f t="shared" ref="L570:L573" si="267">E570&amp;IF(E570="",""," ")&amp;I570</f>
        <v>Instructions Risque 2</v>
      </c>
      <c r="M570" s="10"/>
      <c r="N570" s="122" t="s">
        <v>1312</v>
      </c>
      <c r="O570" s="10"/>
      <c r="P570" s="10"/>
      <c r="Q570" s="10"/>
      <c r="R570" s="10"/>
      <c r="S570" s="10"/>
      <c r="T570" s="10"/>
      <c r="U570" s="10"/>
      <c r="V570" s="10"/>
      <c r="W570" s="10"/>
      <c r="X570" s="10"/>
      <c r="Y570" s="10"/>
    </row>
    <row r="571" spans="1:25" s="7" customFormat="1" ht="31.5" customHeight="1" x14ac:dyDescent="0.25">
      <c r="A571" s="38">
        <f t="shared" si="250"/>
        <v>4</v>
      </c>
      <c r="B571" s="38">
        <f t="shared" si="251"/>
        <v>0</v>
      </c>
      <c r="C571" s="13" t="s">
        <v>33</v>
      </c>
      <c r="D571" s="13">
        <v>1</v>
      </c>
      <c r="E571" s="13"/>
      <c r="F571" s="13" t="str">
        <f ca="1">OFFSET(F571,-1*D571,0)&amp;"_"&amp;D571</f>
        <v>risk_f_instr_2_1</v>
      </c>
      <c r="G571" s="13"/>
      <c r="H571" t="s">
        <v>1680</v>
      </c>
      <c r="I571" s="13"/>
      <c r="J571" s="41" t="str">
        <f t="shared" si="266"/>
        <v xml:space="preserve"> </v>
      </c>
      <c r="K571" s="13" t="str">
        <f t="shared" si="262"/>
        <v>Ici j’ai un schéma avec 6 loteries</v>
      </c>
      <c r="L571" s="13" t="str">
        <f t="shared" si="267"/>
        <v/>
      </c>
      <c r="M571" s="13"/>
      <c r="N571" s="13"/>
      <c r="O571" s="13"/>
      <c r="P571" s="13"/>
      <c r="Q571" s="13"/>
      <c r="R571" s="13"/>
      <c r="S571" s="13"/>
      <c r="T571" s="13"/>
      <c r="U571" s="13"/>
      <c r="V571" s="13"/>
      <c r="W571" s="13"/>
      <c r="X571" s="13"/>
      <c r="Y571" s="13"/>
    </row>
    <row r="572" spans="1:25" s="7" customFormat="1" ht="20.100000000000001" customHeight="1" x14ac:dyDescent="0.25">
      <c r="A572" s="38">
        <f t="shared" si="250"/>
        <v>4</v>
      </c>
      <c r="B572" s="38">
        <f t="shared" si="251"/>
        <v>0</v>
      </c>
      <c r="C572" s="13" t="s">
        <v>33</v>
      </c>
      <c r="D572" s="13">
        <v>2</v>
      </c>
      <c r="E572" s="13"/>
      <c r="F572" s="13" t="str">
        <f t="shared" ref="F572:F577" ca="1" si="268">OFFSET(F572,-1*D572,0)&amp;"_"&amp;D572</f>
        <v>risk_f_instr_2_2</v>
      </c>
      <c r="G572" s="13"/>
      <c r="H572" t="s">
        <v>1681</v>
      </c>
      <c r="I572" s="13"/>
      <c r="J572" s="41" t="str">
        <f t="shared" si="266"/>
        <v xml:space="preserve"> </v>
      </c>
      <c r="K572" s="13" t="str">
        <f t="shared" si="262"/>
        <v>Chaque loterie consiste de deux options : un montant haut, et un montant bas. </v>
      </c>
      <c r="L572" s="13" t="str">
        <f t="shared" si="267"/>
        <v/>
      </c>
      <c r="M572" s="13"/>
      <c r="N572" s="13"/>
      <c r="O572" s="13"/>
      <c r="P572" s="13"/>
      <c r="Q572" s="13"/>
      <c r="R572" s="13"/>
      <c r="S572" s="13"/>
      <c r="T572" s="13"/>
      <c r="U572" s="13"/>
      <c r="V572" s="13"/>
      <c r="W572" s="13"/>
      <c r="X572" s="13"/>
      <c r="Y572" s="13"/>
    </row>
    <row r="573" spans="1:25" s="7" customFormat="1" ht="20.100000000000001" customHeight="1" x14ac:dyDescent="0.25">
      <c r="A573" s="38">
        <f t="shared" si="250"/>
        <v>4</v>
      </c>
      <c r="B573" s="38">
        <f t="shared" si="251"/>
        <v>0</v>
      </c>
      <c r="C573" s="13" t="s">
        <v>33</v>
      </c>
      <c r="D573" s="13">
        <v>3</v>
      </c>
      <c r="E573" s="13"/>
      <c r="F573" s="13" t="str">
        <f t="shared" ca="1" si="268"/>
        <v>risk_f_instr_2_3</v>
      </c>
      <c r="G573" s="13"/>
      <c r="H573" t="s">
        <v>1897</v>
      </c>
      <c r="I573" s="13"/>
      <c r="J573" s="41" t="str">
        <f t="shared" si="266"/>
        <v xml:space="preserve"> </v>
      </c>
      <c r="K573" s="13" t="str">
        <f t="shared" si="262"/>
        <v>On regarde option 1 : si vous sélectionnez cette option, et vous tirez JETON 4 lors de la réunion de paiement on va déterminer si vous recevrez le paiement bas, c’est-à-dire 4000 FC ou le paiement haut : 4000 FC.</v>
      </c>
      <c r="L573" s="13" t="str">
        <f t="shared" si="267"/>
        <v/>
      </c>
      <c r="M573" s="13"/>
      <c r="N573" s="13"/>
      <c r="O573" s="13"/>
      <c r="Q573" s="13"/>
      <c r="R573" s="13"/>
      <c r="S573" s="13"/>
      <c r="T573" s="13"/>
      <c r="U573" s="13"/>
      <c r="V573" s="13"/>
      <c r="W573" s="13"/>
      <c r="X573" s="13"/>
      <c r="Y573" s="13"/>
    </row>
    <row r="574" spans="1:25" s="7" customFormat="1" ht="20.100000000000001" customHeight="1" x14ac:dyDescent="0.25">
      <c r="A574" s="38">
        <f t="shared" si="250"/>
        <v>4</v>
      </c>
      <c r="B574" s="38">
        <f t="shared" si="251"/>
        <v>0</v>
      </c>
      <c r="C574" s="13" t="s">
        <v>33</v>
      </c>
      <c r="D574" s="13">
        <v>4</v>
      </c>
      <c r="E574" s="13"/>
      <c r="F574" s="13" t="str">
        <f t="shared" ca="1" si="268"/>
        <v>risk_f_instr_2_4</v>
      </c>
      <c r="G574" s="13"/>
      <c r="H574" t="s">
        <v>1895</v>
      </c>
      <c r="I574" s="13"/>
      <c r="J574" s="41"/>
      <c r="K574" s="13" t="str">
        <f t="shared" si="262"/>
        <v>Il y aura un sachet comme ceci. Dans ce sachet je mette deux boules. Si vous tirez la boule noire le paiement sera haut, si vous tirez la boule blanche le paiement sera bas.</v>
      </c>
      <c r="L574" s="13"/>
      <c r="M574" s="13"/>
      <c r="N574" s="13"/>
      <c r="O574" s="13"/>
      <c r="P574"/>
      <c r="Q574" s="13"/>
      <c r="R574" s="13"/>
      <c r="S574" s="13"/>
      <c r="T574" s="13"/>
      <c r="U574" s="13"/>
      <c r="V574" s="13"/>
      <c r="W574" s="13"/>
      <c r="X574" s="13"/>
      <c r="Y574" s="13"/>
    </row>
    <row r="575" spans="1:25" s="7" customFormat="1" ht="20.100000000000001" customHeight="1" x14ac:dyDescent="0.25">
      <c r="A575" s="38">
        <f t="shared" si="250"/>
        <v>4</v>
      </c>
      <c r="B575" s="38">
        <f t="shared" si="251"/>
        <v>0</v>
      </c>
      <c r="C575" s="13" t="s">
        <v>33</v>
      </c>
      <c r="D575" s="13">
        <v>5</v>
      </c>
      <c r="E575" s="13"/>
      <c r="F575" s="13" t="str">
        <f t="shared" ca="1" si="268"/>
        <v>risk_f_instr_2_5</v>
      </c>
      <c r="G575" s="13"/>
      <c r="H575" t="s">
        <v>1682</v>
      </c>
      <c r="I575" s="13"/>
      <c r="J575" s="41"/>
      <c r="K575" s="13" t="str">
        <f t="shared" si="262"/>
        <v>Rappelez-vous que vous ne savez pas quelle boule vous allez tirer, donc vous avez le même chance d’avoir le paiement haut, que le paiement bas</v>
      </c>
      <c r="L575" s="13"/>
      <c r="M575" s="13"/>
      <c r="N575" s="13"/>
      <c r="O575" s="13"/>
      <c r="P575" s="13"/>
      <c r="Q575" s="13"/>
      <c r="R575" s="13"/>
      <c r="S575" s="13"/>
      <c r="T575" s="13"/>
      <c r="U575" s="13"/>
      <c r="V575" s="13"/>
      <c r="W575" s="13"/>
      <c r="X575" s="13"/>
      <c r="Y575" s="13"/>
    </row>
    <row r="576" spans="1:25" s="7" customFormat="1" ht="20.100000000000001" customHeight="1" x14ac:dyDescent="0.25">
      <c r="A576" s="38">
        <f t="shared" si="250"/>
        <v>4</v>
      </c>
      <c r="B576" s="38">
        <f t="shared" si="251"/>
        <v>0</v>
      </c>
      <c r="C576" s="13" t="s">
        <v>33</v>
      </c>
      <c r="D576" s="13">
        <v>6</v>
      </c>
      <c r="E576" s="13"/>
      <c r="F576" s="13" t="str">
        <f t="shared" ca="1" si="268"/>
        <v>risk_f_instr_2_6</v>
      </c>
      <c r="G576" s="13"/>
      <c r="H576" t="s">
        <v>1683</v>
      </c>
      <c r="I576" s="13"/>
      <c r="J576" s="41"/>
      <c r="K576" s="13" t="str">
        <f t="shared" si="262"/>
        <v>Comme vous avez bien compris je vais vous demander de faire votre choix.</v>
      </c>
      <c r="L576" s="13"/>
      <c r="M576" s="13"/>
      <c r="N576" s="13"/>
      <c r="O576" s="13"/>
      <c r="P576" s="13"/>
      <c r="Q576" s="13"/>
      <c r="R576" s="13"/>
      <c r="S576" s="13"/>
      <c r="T576" s="13"/>
      <c r="U576" s="13"/>
      <c r="V576" s="13"/>
      <c r="W576" s="13"/>
      <c r="X576" s="13"/>
      <c r="Y576" s="13"/>
    </row>
    <row r="577" spans="1:25" s="7" customFormat="1" ht="20.100000000000001" customHeight="1" x14ac:dyDescent="0.25">
      <c r="A577" s="38">
        <f t="shared" si="250"/>
        <v>4</v>
      </c>
      <c r="B577" s="38">
        <f t="shared" si="251"/>
        <v>0</v>
      </c>
      <c r="C577" s="13" t="s">
        <v>33</v>
      </c>
      <c r="D577" s="13">
        <v>7</v>
      </c>
      <c r="E577" s="13"/>
      <c r="F577" s="13" t="str">
        <f t="shared" ca="1" si="268"/>
        <v>risk_f_instr_2_7</v>
      </c>
      <c r="G577" s="13"/>
      <c r="H577" t="s">
        <v>1684</v>
      </c>
      <c r="I577" s="13"/>
      <c r="J577" s="41"/>
      <c r="K577" s="13" t="str">
        <f t="shared" si="262"/>
        <v>Je l’enregistre dans ce papier-ci</v>
      </c>
      <c r="L577" s="13"/>
      <c r="M577" s="13"/>
      <c r="N577" s="13"/>
      <c r="O577" s="13"/>
      <c r="P577" s="13"/>
      <c r="Q577" s="13"/>
      <c r="R577" s="13"/>
      <c r="S577" s="13"/>
      <c r="T577" s="13"/>
      <c r="U577" s="13"/>
      <c r="V577" s="13"/>
      <c r="W577" s="13"/>
      <c r="X577" s="13"/>
      <c r="Y577" s="13"/>
    </row>
    <row r="578" spans="1:25" s="21" customFormat="1" ht="20.100000000000001" customHeight="1" x14ac:dyDescent="0.25">
      <c r="A578" s="38">
        <f t="shared" si="250"/>
        <v>3</v>
      </c>
      <c r="B578" s="38">
        <f t="shared" si="251"/>
        <v>0</v>
      </c>
      <c r="C578" s="124" t="s">
        <v>40</v>
      </c>
      <c r="D578" s="124"/>
      <c r="E578" s="124"/>
      <c r="F578" s="124"/>
      <c r="G578" s="125"/>
      <c r="H578" s="125"/>
      <c r="I578" s="125"/>
      <c r="J578" s="124"/>
      <c r="K578" s="13" t="str">
        <f t="shared" si="262"/>
        <v/>
      </c>
      <c r="L578" s="124"/>
      <c r="M578" s="124"/>
      <c r="N578" s="124"/>
      <c r="O578" s="124"/>
      <c r="P578" s="124"/>
      <c r="Q578" s="124"/>
      <c r="R578" s="124"/>
      <c r="S578" s="124"/>
      <c r="T578" s="124"/>
      <c r="U578" s="124"/>
      <c r="V578" s="124"/>
      <c r="X578" s="56"/>
      <c r="Y578" s="56"/>
    </row>
    <row r="579" spans="1:25" s="7" customFormat="1" ht="20.100000000000001" customHeight="1" x14ac:dyDescent="0.25">
      <c r="A579" s="38">
        <f t="shared" ref="A579:A642" si="269">IF(C579="begin group",A578+1,IF(C579="end group",A578-1,A578))</f>
        <v>3</v>
      </c>
      <c r="B579" s="38">
        <f t="shared" ref="B579:B642" si="270">IF(C579="begin repeat",B578+1,IF(C579="end repeat",B578-1,B578))</f>
        <v>0</v>
      </c>
      <c r="C579" s="13" t="s">
        <v>35</v>
      </c>
      <c r="D579" s="13">
        <v>8</v>
      </c>
      <c r="E579" s="13"/>
      <c r="F579" s="13" t="s">
        <v>1714</v>
      </c>
      <c r="G579" s="13"/>
      <c r="H579" t="s">
        <v>1686</v>
      </c>
      <c r="I579" s="13"/>
      <c r="J579" s="41"/>
      <c r="K579" s="13" t="str">
        <f t="shared" si="262"/>
        <v>Quelle option a votre préférence ?</v>
      </c>
      <c r="L579" s="13"/>
      <c r="M579" s="13"/>
      <c r="N579" s="13"/>
      <c r="O579" s="13"/>
      <c r="P579" s="13"/>
      <c r="Q579" s="13"/>
      <c r="R579" s="13"/>
      <c r="S579" s="13"/>
      <c r="T579" s="13" t="s">
        <v>1687</v>
      </c>
      <c r="U579" s="13"/>
      <c r="V579" s="13"/>
      <c r="W579" s="13"/>
      <c r="X579" s="13" t="s">
        <v>36</v>
      </c>
      <c r="Y579" s="13"/>
    </row>
    <row r="580" spans="1:25" ht="20.100000000000001" customHeight="1" x14ac:dyDescent="0.25">
      <c r="A580" s="38">
        <f t="shared" si="269"/>
        <v>3</v>
      </c>
      <c r="B580" s="38">
        <f t="shared" si="270"/>
        <v>0</v>
      </c>
      <c r="C580" s="38" t="s">
        <v>33</v>
      </c>
      <c r="F580" s="38" t="str">
        <f>F559&amp;"_intro"</f>
        <v>gender_ep_intro</v>
      </c>
      <c r="G580" s="38" t="s">
        <v>1688</v>
      </c>
      <c r="H580" s="38" t="s">
        <v>1689</v>
      </c>
      <c r="I580" s="38" t="s">
        <v>1689</v>
      </c>
      <c r="J580" s="7" t="str">
        <f t="shared" si="262"/>
        <v>I will read couples of statements about the relationship between men and women.
Please indicate with which statement you agree most. 
I will not share your answers with anyone in your household</v>
      </c>
      <c r="K580" s="7" t="str">
        <f t="shared" si="262"/>
        <v>Je vais lire chaque fois deux opinions : A et B. Je vais vous demander d’indiquer quelles de ces opinions suivants sont proche de votre opinion : A ou B.
Je ne vais pas partager vos réponses avec quelqu'un dans votre ménage.</v>
      </c>
      <c r="L580" s="7" t="str">
        <f t="shared" si="263"/>
        <v>Je vais lire chaque fois deux opinions : A et B. Je vais vous demander d’indiquer quelles de ces opinions suivants sont proche de votre opinion : A ou B.
Je ne vais pas partager vos réponses avec quelqu'un dans votre ménage.</v>
      </c>
      <c r="O580" s="13"/>
      <c r="P580" s="13"/>
      <c r="Q580" s="13"/>
      <c r="R580" s="151"/>
    </row>
    <row r="581" spans="1:25" s="17" customFormat="1" ht="20.100000000000001" customHeight="1" x14ac:dyDescent="0.25">
      <c r="A581" s="38">
        <f t="shared" si="269"/>
        <v>4</v>
      </c>
      <c r="B581" s="38">
        <f t="shared" si="270"/>
        <v>0</v>
      </c>
      <c r="C581" s="17" t="s">
        <v>32</v>
      </c>
      <c r="D581" s="17">
        <v>1</v>
      </c>
      <c r="F581" s="17" t="str">
        <f>F559&amp;"_prop_"&amp;D581</f>
        <v>gender_ep_prop_1</v>
      </c>
      <c r="G581" s="10" t="str">
        <f>"Proposition "&amp;$D581</f>
        <v>Proposition 1</v>
      </c>
      <c r="H581" s="10" t="str">
        <f>"Proposition "&amp;$D581</f>
        <v>Proposition 1</v>
      </c>
      <c r="I581" s="10" t="str">
        <f>"Proposition "&amp;$D581</f>
        <v>Proposition 1</v>
      </c>
      <c r="J581" s="7" t="str">
        <f t="shared" si="262"/>
        <v>1 Proposition 1</v>
      </c>
      <c r="K581" s="7" t="str">
        <f t="shared" si="262"/>
        <v>Proposition 1</v>
      </c>
      <c r="L581" s="7" t="str">
        <f t="shared" si="263"/>
        <v>Proposition 1</v>
      </c>
      <c r="N581" s="17" t="s">
        <v>1312</v>
      </c>
    </row>
    <row r="582" spans="1:25" ht="20.100000000000001" customHeight="1" x14ac:dyDescent="0.25">
      <c r="A582" s="38">
        <f t="shared" si="269"/>
        <v>4</v>
      </c>
      <c r="B582" s="38">
        <f t="shared" si="270"/>
        <v>0</v>
      </c>
      <c r="C582" s="38" t="s">
        <v>33</v>
      </c>
      <c r="F582" s="38" t="str">
        <f>F559&amp;"_a_"&amp;D581</f>
        <v>gender_ep_a_1</v>
      </c>
      <c r="G582" s="149" t="str">
        <f ca="1">"A: "&amp;OFFSET(props!A$2,D581,0)</f>
        <v xml:space="preserve">A: Selon nos mœurs et coutumes, les femmes ont toujours été soumises et devraient rester comme telles. </v>
      </c>
      <c r="H582" s="149" t="str">
        <f ca="1">"A: "&amp;OFFSET(props!A$2,D581,0)</f>
        <v xml:space="preserve">A: Selon nos mœurs et coutumes, les femmes ont toujours été soumises et devraient rester comme telles. </v>
      </c>
      <c r="I582" s="149" t="str">
        <f ca="1">"A: "&amp;OFFSET(props!A$2,D581,0)</f>
        <v xml:space="preserve">A: Selon nos mœurs et coutumes, les femmes ont toujours été soumises et devraient rester comme telles. </v>
      </c>
      <c r="J582" s="7" t="str">
        <f t="shared" ca="1" si="262"/>
        <v xml:space="preserve">A: Selon nos mœurs et coutumes, les femmes ont toujours été soumises et devraient rester comme telles. </v>
      </c>
      <c r="K582" s="7" t="str">
        <f t="shared" ca="1" si="262"/>
        <v xml:space="preserve">A: Selon nos mœurs et coutumes, les femmes ont toujours été soumises et devraient rester comme telles. </v>
      </c>
      <c r="L582" s="7" t="str">
        <f t="shared" ca="1" si="263"/>
        <v xml:space="preserve">A: Selon nos mœurs et coutumes, les femmes ont toujours été soumises et devraient rester comme telles. </v>
      </c>
    </row>
    <row r="583" spans="1:25" ht="20.100000000000001" customHeight="1" x14ac:dyDescent="0.25">
      <c r="A583" s="38">
        <f t="shared" si="269"/>
        <v>4</v>
      </c>
      <c r="B583" s="38">
        <f t="shared" si="270"/>
        <v>0</v>
      </c>
      <c r="C583" s="38" t="s">
        <v>33</v>
      </c>
      <c r="F583" s="38" t="str">
        <f>F559&amp;"_b_"&amp;D581</f>
        <v>gender_ep_b_1</v>
      </c>
      <c r="G583" s="13" t="str">
        <f ca="1">"B: "&amp;OFFSET(props!B$2,D581,0)</f>
        <v xml:space="preserve">B: Dans notre pays les femmes devraient avoir des mêmes droits et obligations que les hommes. </v>
      </c>
      <c r="H583" s="13" t="str">
        <f ca="1">"B: "&amp;OFFSET(props!B$2,D581,0)</f>
        <v xml:space="preserve">B: Dans notre pays les femmes devraient avoir des mêmes droits et obligations que les hommes. </v>
      </c>
      <c r="I583" s="13" t="str">
        <f ca="1">"B: "&amp;OFFSET(props!B$2,D581,0)</f>
        <v xml:space="preserve">B: Dans notre pays les femmes devraient avoir des mêmes droits et obligations que les hommes. </v>
      </c>
      <c r="J583" s="7" t="str">
        <f t="shared" ca="1" si="262"/>
        <v xml:space="preserve">B: Dans notre pays les femmes devraient avoir des mêmes droits et obligations que les hommes. </v>
      </c>
      <c r="K583" s="7" t="str">
        <f t="shared" ca="1" si="262"/>
        <v xml:space="preserve">B: Dans notre pays les femmes devraient avoir des mêmes droits et obligations que les hommes. </v>
      </c>
      <c r="L583" s="7" t="str">
        <f t="shared" ca="1" si="263"/>
        <v xml:space="preserve">B: Dans notre pays les femmes devraient avoir des mêmes droits et obligations que les hommes. </v>
      </c>
    </row>
    <row r="584" spans="1:25" ht="20.100000000000001" customHeight="1" x14ac:dyDescent="0.25">
      <c r="A584" s="38">
        <f t="shared" si="269"/>
        <v>4</v>
      </c>
      <c r="B584" s="38">
        <f t="shared" si="270"/>
        <v>0</v>
      </c>
      <c r="C584" s="38" t="s">
        <v>1690</v>
      </c>
      <c r="F584" s="38" t="str">
        <f>F559&amp;"_agree_"&amp;D581</f>
        <v>gender_ep_agree_1</v>
      </c>
      <c r="G584" s="13" t="s">
        <v>1691</v>
      </c>
      <c r="H584" s="149" t="s">
        <v>1692</v>
      </c>
      <c r="I584" s="149" t="s">
        <v>1692</v>
      </c>
      <c r="J584" s="7" t="str">
        <f t="shared" si="262"/>
        <v>Which is closer to your opinion, A or B</v>
      </c>
      <c r="K584" s="7" t="str">
        <f t="shared" si="262"/>
        <v>Quel est plus proche de votre opinion: A ou B?</v>
      </c>
      <c r="L584" s="7" t="str">
        <f t="shared" si="263"/>
        <v>Quel est plus proche de votre opinion: A ou B?</v>
      </c>
      <c r="X584" s="38" t="s">
        <v>36</v>
      </c>
    </row>
    <row r="585" spans="1:25" s="21" customFormat="1" ht="20.100000000000001" customHeight="1" x14ac:dyDescent="0.25">
      <c r="A585" s="38">
        <f t="shared" si="269"/>
        <v>3</v>
      </c>
      <c r="B585" s="38">
        <f t="shared" si="270"/>
        <v>0</v>
      </c>
      <c r="C585" s="21" t="s">
        <v>40</v>
      </c>
      <c r="D585" s="21">
        <f>D581</f>
        <v>1</v>
      </c>
      <c r="G585" s="11"/>
      <c r="H585" s="11"/>
      <c r="I585" s="11"/>
    </row>
    <row r="586" spans="1:25" s="17" customFormat="1" ht="20.100000000000001" customHeight="1" x14ac:dyDescent="0.25">
      <c r="A586" s="38">
        <f t="shared" si="269"/>
        <v>4</v>
      </c>
      <c r="B586" s="38">
        <f t="shared" si="270"/>
        <v>0</v>
      </c>
      <c r="C586" s="17" t="s">
        <v>32</v>
      </c>
      <c r="D586" s="17">
        <f>D581+1</f>
        <v>2</v>
      </c>
      <c r="F586" s="17" t="str">
        <f>F559&amp;"_prop_"&amp;D586</f>
        <v>gender_ep_prop_2</v>
      </c>
      <c r="G586" s="10" t="str">
        <f>"Proposition "&amp;$D586</f>
        <v>Proposition 2</v>
      </c>
      <c r="H586" s="10" t="str">
        <f>"Proposition "&amp;$D586</f>
        <v>Proposition 2</v>
      </c>
      <c r="I586" s="10" t="str">
        <f>"Proposition "&amp;$D586</f>
        <v>Proposition 2</v>
      </c>
      <c r="J586" s="7" t="str">
        <f t="shared" ref="J586:K589" si="271">D586&amp;IF(D586="",""," ")&amp;G586</f>
        <v>2 Proposition 2</v>
      </c>
      <c r="K586" s="7" t="str">
        <f t="shared" si="271"/>
        <v>Proposition 2</v>
      </c>
      <c r="L586" s="7" t="str">
        <f t="shared" ref="L586:L589" si="272">E586&amp;IF(E586="",""," ")&amp;I586</f>
        <v>Proposition 2</v>
      </c>
      <c r="N586" s="17" t="s">
        <v>1312</v>
      </c>
    </row>
    <row r="587" spans="1:25" ht="20.100000000000001" customHeight="1" x14ac:dyDescent="0.25">
      <c r="A587" s="38">
        <f t="shared" si="269"/>
        <v>4</v>
      </c>
      <c r="B587" s="38">
        <f t="shared" si="270"/>
        <v>0</v>
      </c>
      <c r="C587" s="38" t="s">
        <v>33</v>
      </c>
      <c r="F587" s="38" t="str">
        <f>F559&amp;"_a_"&amp;D586</f>
        <v>gender_ep_a_2</v>
      </c>
      <c r="G587" s="149" t="str">
        <f ca="1">"A: "&amp;OFFSET(props!A$2,D586,0)</f>
        <v xml:space="preserve">A: Si un homme maltraite sa femme elle a droit de se plaîndre. </v>
      </c>
      <c r="H587" s="149" t="str">
        <f ca="1">"A: "&amp;OFFSET(props!A$2,D586,0)</f>
        <v xml:space="preserve">A: Si un homme maltraite sa femme elle a droit de se plaîndre. </v>
      </c>
      <c r="I587" s="149" t="str">
        <f ca="1">"A: "&amp;OFFSET(props!A$2,D586,0)</f>
        <v xml:space="preserve">A: Si un homme maltraite sa femme elle a droit de se plaîndre. </v>
      </c>
      <c r="J587" s="7" t="str">
        <f t="shared" ca="1" si="271"/>
        <v xml:space="preserve">A: Si un homme maltraite sa femme elle a droit de se plaîndre. </v>
      </c>
      <c r="K587" s="7" t="str">
        <f t="shared" ca="1" si="271"/>
        <v xml:space="preserve">A: Si un homme maltraite sa femme elle a droit de se plaîndre. </v>
      </c>
      <c r="L587" s="7" t="str">
        <f t="shared" ca="1" si="272"/>
        <v xml:space="preserve">A: Si un homme maltraite sa femme elle a droit de se plaîndre. </v>
      </c>
    </row>
    <row r="588" spans="1:25" ht="20.100000000000001" customHeight="1" x14ac:dyDescent="0.25">
      <c r="A588" s="38">
        <f t="shared" si="269"/>
        <v>4</v>
      </c>
      <c r="B588" s="38">
        <f t="shared" si="270"/>
        <v>0</v>
      </c>
      <c r="C588" s="38" t="s">
        <v>33</v>
      </c>
      <c r="F588" s="38" t="str">
        <f>F559&amp;"_b_"&amp;D586</f>
        <v>gender_ep_b_2</v>
      </c>
      <c r="G588" s="13" t="str">
        <f ca="1">"B: "&amp;OFFSET(props!B$2,D586,0)</f>
        <v xml:space="preserve">B: Selon nos mœurs et coutumes les femmes ne devraient pas se plaîndre de leurs hommes même si elles se sentent maltraités. </v>
      </c>
      <c r="H588" s="13" t="str">
        <f ca="1">"B: "&amp;OFFSET(props!B$2,D586,0)</f>
        <v xml:space="preserve">B: Selon nos mœurs et coutumes les femmes ne devraient pas se plaîndre de leurs hommes même si elles se sentent maltraités. </v>
      </c>
      <c r="I588" s="13" t="str">
        <f ca="1">"B: "&amp;OFFSET(props!B$2,D586,0)</f>
        <v xml:space="preserve">B: Selon nos mœurs et coutumes les femmes ne devraient pas se plaîndre de leurs hommes même si elles se sentent maltraités. </v>
      </c>
      <c r="J588" s="7" t="str">
        <f t="shared" ca="1" si="271"/>
        <v xml:space="preserve">B: Selon nos mœurs et coutumes les femmes ne devraient pas se plaîndre de leurs hommes même si elles se sentent maltraités. </v>
      </c>
      <c r="K588" s="7" t="str">
        <f t="shared" ca="1" si="271"/>
        <v xml:space="preserve">B: Selon nos mœurs et coutumes les femmes ne devraient pas se plaîndre de leurs hommes même si elles se sentent maltraités. </v>
      </c>
      <c r="L588" s="7" t="str">
        <f t="shared" ca="1" si="272"/>
        <v xml:space="preserve">B: Selon nos mœurs et coutumes les femmes ne devraient pas se plaîndre de leurs hommes même si elles se sentent maltraités. </v>
      </c>
    </row>
    <row r="589" spans="1:25" ht="20.100000000000001" customHeight="1" x14ac:dyDescent="0.25">
      <c r="A589" s="38">
        <f t="shared" si="269"/>
        <v>4</v>
      </c>
      <c r="B589" s="38">
        <f t="shared" si="270"/>
        <v>0</v>
      </c>
      <c r="C589" s="38" t="s">
        <v>1690</v>
      </c>
      <c r="F589" s="38" t="str">
        <f>F559&amp;"_agree_"&amp;D586</f>
        <v>gender_ep_agree_2</v>
      </c>
      <c r="G589" s="13" t="s">
        <v>1691</v>
      </c>
      <c r="H589" s="149" t="s">
        <v>1692</v>
      </c>
      <c r="I589" s="149" t="s">
        <v>1692</v>
      </c>
      <c r="J589" s="7" t="str">
        <f t="shared" si="271"/>
        <v>Which is closer to your opinion, A or B</v>
      </c>
      <c r="K589" s="7" t="str">
        <f t="shared" si="271"/>
        <v>Quel est plus proche de votre opinion: A ou B?</v>
      </c>
      <c r="L589" s="7" t="str">
        <f t="shared" si="272"/>
        <v>Quel est plus proche de votre opinion: A ou B?</v>
      </c>
      <c r="X589" s="38" t="s">
        <v>36</v>
      </c>
    </row>
    <row r="590" spans="1:25" s="21" customFormat="1" ht="20.100000000000001" customHeight="1" x14ac:dyDescent="0.25">
      <c r="A590" s="38">
        <f t="shared" si="269"/>
        <v>3</v>
      </c>
      <c r="B590" s="38">
        <f t="shared" si="270"/>
        <v>0</v>
      </c>
      <c r="C590" s="21" t="s">
        <v>40</v>
      </c>
      <c r="D590" s="21">
        <f>D586</f>
        <v>2</v>
      </c>
      <c r="G590" s="11"/>
      <c r="H590" s="11"/>
      <c r="I590" s="11"/>
    </row>
    <row r="591" spans="1:25" s="17" customFormat="1" ht="20.100000000000001" customHeight="1" x14ac:dyDescent="0.25">
      <c r="A591" s="38">
        <f t="shared" si="269"/>
        <v>4</v>
      </c>
      <c r="B591" s="38">
        <f t="shared" si="270"/>
        <v>0</v>
      </c>
      <c r="C591" s="17" t="s">
        <v>32</v>
      </c>
      <c r="D591" s="17">
        <f>D586+1</f>
        <v>3</v>
      </c>
      <c r="F591" s="17" t="str">
        <f>F559&amp;"_prop_"&amp;D591</f>
        <v>gender_ep_prop_3</v>
      </c>
      <c r="G591" s="10" t="str">
        <f>"Proposition "&amp;$D591</f>
        <v>Proposition 3</v>
      </c>
      <c r="H591" s="10" t="str">
        <f>"Proposition "&amp;$D591</f>
        <v>Proposition 3</v>
      </c>
      <c r="I591" s="10" t="str">
        <f>"Proposition "&amp;$D591</f>
        <v>Proposition 3</v>
      </c>
      <c r="J591" s="7" t="str">
        <f t="shared" ref="J591:K594" si="273">D591&amp;IF(D591="",""," ")&amp;G591</f>
        <v>3 Proposition 3</v>
      </c>
      <c r="K591" s="7" t="str">
        <f t="shared" si="273"/>
        <v>Proposition 3</v>
      </c>
      <c r="L591" s="7" t="str">
        <f t="shared" ref="L591:L594" si="274">E591&amp;IF(E591="",""," ")&amp;I591</f>
        <v>Proposition 3</v>
      </c>
      <c r="N591" s="17" t="s">
        <v>1312</v>
      </c>
    </row>
    <row r="592" spans="1:25" ht="20.100000000000001" customHeight="1" x14ac:dyDescent="0.25">
      <c r="A592" s="38">
        <f t="shared" si="269"/>
        <v>4</v>
      </c>
      <c r="B592" s="38">
        <f t="shared" si="270"/>
        <v>0</v>
      </c>
      <c r="C592" s="38" t="s">
        <v>33</v>
      </c>
      <c r="F592" s="38" t="str">
        <f>F559&amp;"_a_"&amp;D591</f>
        <v>gender_ep_a_3</v>
      </c>
      <c r="G592" s="149" t="str">
        <f ca="1">"A: "&amp;OFFSET(props!A$2,D591,0)</f>
        <v>A: Selon nos mœurs et coutumes, un homme dont la femme a été violée a le droit d’abandonner sa femme.</v>
      </c>
      <c r="H592" s="149" t="str">
        <f ca="1">"A: "&amp;OFFSET(props!A$2,D591,0)</f>
        <v>A: Selon nos mœurs et coutumes, un homme dont la femme a été violée a le droit d’abandonner sa femme.</v>
      </c>
      <c r="I592" s="149" t="str">
        <f ca="1">"A: "&amp;OFFSET(props!A$2,D591,0)</f>
        <v>A: Selon nos mœurs et coutumes, un homme dont la femme a été violée a le droit d’abandonner sa femme.</v>
      </c>
      <c r="J592" s="7" t="str">
        <f t="shared" ca="1" si="273"/>
        <v>A: Selon nos mœurs et coutumes, un homme dont la femme a été violée a le droit d’abandonner sa femme.</v>
      </c>
      <c r="K592" s="7" t="str">
        <f t="shared" ca="1" si="273"/>
        <v>A: Selon nos mœurs et coutumes, un homme dont la femme a été violée a le droit d’abandonner sa femme.</v>
      </c>
      <c r="L592" s="7" t="str">
        <f t="shared" ca="1" si="274"/>
        <v>A: Selon nos mœurs et coutumes, un homme dont la femme a été violée a le droit d’abandonner sa femme.</v>
      </c>
    </row>
    <row r="593" spans="1:24" ht="20.100000000000001" customHeight="1" x14ac:dyDescent="0.25">
      <c r="A593" s="38">
        <f t="shared" si="269"/>
        <v>4</v>
      </c>
      <c r="B593" s="38">
        <f t="shared" si="270"/>
        <v>0</v>
      </c>
      <c r="C593" s="38" t="s">
        <v>33</v>
      </c>
      <c r="F593" s="38" t="str">
        <f>F559&amp;"_b_"&amp;D591</f>
        <v>gender_ep_b_3</v>
      </c>
      <c r="G593" s="13" t="str">
        <f ca="1">"B: "&amp;OFFSET(props!B$2,D591,0)</f>
        <v>B: Une femme qui est victime d’un viol ne devrait pas être rejetée par son marie et la communauté.</v>
      </c>
      <c r="H593" s="13" t="str">
        <f ca="1">"B: "&amp;OFFSET(props!B$2,D591,0)</f>
        <v>B: Une femme qui est victime d’un viol ne devrait pas être rejetée par son marie et la communauté.</v>
      </c>
      <c r="I593" s="13" t="str">
        <f ca="1">"B: "&amp;OFFSET(props!B$2,D591,0)</f>
        <v>B: Une femme qui est victime d’un viol ne devrait pas être rejetée par son marie et la communauté.</v>
      </c>
      <c r="J593" s="7" t="str">
        <f t="shared" ca="1" si="273"/>
        <v>B: Une femme qui est victime d’un viol ne devrait pas être rejetée par son marie et la communauté.</v>
      </c>
      <c r="K593" s="7" t="str">
        <f t="shared" ca="1" si="273"/>
        <v>B: Une femme qui est victime d’un viol ne devrait pas être rejetée par son marie et la communauté.</v>
      </c>
      <c r="L593" s="7" t="str">
        <f t="shared" ca="1" si="274"/>
        <v>B: Une femme qui est victime d’un viol ne devrait pas être rejetée par son marie et la communauté.</v>
      </c>
    </row>
    <row r="594" spans="1:24" ht="20.100000000000001" customHeight="1" x14ac:dyDescent="0.25">
      <c r="A594" s="38">
        <f t="shared" si="269"/>
        <v>4</v>
      </c>
      <c r="B594" s="38">
        <f t="shared" si="270"/>
        <v>0</v>
      </c>
      <c r="C594" s="38" t="s">
        <v>1690</v>
      </c>
      <c r="F594" s="38" t="str">
        <f>F559&amp;"_agree_"&amp;D591</f>
        <v>gender_ep_agree_3</v>
      </c>
      <c r="G594" s="13" t="s">
        <v>1691</v>
      </c>
      <c r="H594" s="149" t="s">
        <v>1692</v>
      </c>
      <c r="I594" s="149" t="s">
        <v>1692</v>
      </c>
      <c r="J594" s="7" t="str">
        <f t="shared" si="273"/>
        <v>Which is closer to your opinion, A or B</v>
      </c>
      <c r="K594" s="7" t="str">
        <f t="shared" si="273"/>
        <v>Quel est plus proche de votre opinion: A ou B?</v>
      </c>
      <c r="L594" s="7" t="str">
        <f t="shared" si="274"/>
        <v>Quel est plus proche de votre opinion: A ou B?</v>
      </c>
      <c r="X594" s="38" t="s">
        <v>36</v>
      </c>
    </row>
    <row r="595" spans="1:24" s="21" customFormat="1" ht="20.100000000000001" customHeight="1" x14ac:dyDescent="0.25">
      <c r="A595" s="38">
        <f t="shared" si="269"/>
        <v>3</v>
      </c>
      <c r="B595" s="38">
        <f t="shared" si="270"/>
        <v>0</v>
      </c>
      <c r="C595" s="21" t="s">
        <v>40</v>
      </c>
      <c r="D595" s="21">
        <f>D591</f>
        <v>3</v>
      </c>
      <c r="G595" s="11"/>
      <c r="H595" s="11"/>
      <c r="I595" s="11"/>
    </row>
    <row r="596" spans="1:24" s="17" customFormat="1" ht="20.100000000000001" customHeight="1" x14ac:dyDescent="0.25">
      <c r="A596" s="38">
        <f t="shared" si="269"/>
        <v>4</v>
      </c>
      <c r="B596" s="38">
        <f t="shared" si="270"/>
        <v>0</v>
      </c>
      <c r="C596" s="17" t="s">
        <v>32</v>
      </c>
      <c r="D596" s="17">
        <f>D591+1</f>
        <v>4</v>
      </c>
      <c r="F596" s="17" t="str">
        <f>F559&amp;"_prop_"&amp;D596</f>
        <v>gender_ep_prop_4</v>
      </c>
      <c r="G596" s="10" t="str">
        <f>"Proposition "&amp;$D596</f>
        <v>Proposition 4</v>
      </c>
      <c r="H596" s="10" t="str">
        <f>"Proposition "&amp;$D596</f>
        <v>Proposition 4</v>
      </c>
      <c r="I596" s="10" t="str">
        <f>"Proposition "&amp;$D596</f>
        <v>Proposition 4</v>
      </c>
      <c r="J596" s="7" t="str">
        <f t="shared" ref="J596:K599" si="275">D596&amp;IF(D596="",""," ")&amp;G596</f>
        <v>4 Proposition 4</v>
      </c>
      <c r="K596" s="7" t="str">
        <f t="shared" si="275"/>
        <v>Proposition 4</v>
      </c>
      <c r="L596" s="7" t="str">
        <f t="shared" ref="L596:L599" si="276">E596&amp;IF(E596="",""," ")&amp;I596</f>
        <v>Proposition 4</v>
      </c>
      <c r="N596" s="17" t="s">
        <v>1312</v>
      </c>
    </row>
    <row r="597" spans="1:24" ht="20.100000000000001" customHeight="1" x14ac:dyDescent="0.25">
      <c r="A597" s="38">
        <f t="shared" si="269"/>
        <v>4</v>
      </c>
      <c r="B597" s="38">
        <f t="shared" si="270"/>
        <v>0</v>
      </c>
      <c r="C597" s="38" t="s">
        <v>33</v>
      </c>
      <c r="F597" s="38" t="str">
        <f>F559&amp;"_a_"&amp;D596</f>
        <v>gender_ep_a_4</v>
      </c>
      <c r="G597" s="149" t="str">
        <f ca="1">"A: "&amp;OFFSET(props!A$2,D596,0)</f>
        <v xml:space="preserve">A: Les femmes devraient avoir la même chance que les hommes d’occupé des positions socio-administratives dans le village. </v>
      </c>
      <c r="H597" s="149" t="str">
        <f ca="1">"A: "&amp;OFFSET(props!A$2,D596,0)</f>
        <v xml:space="preserve">A: Les femmes devraient avoir la même chance que les hommes d’occupé des positions socio-administratives dans le village. </v>
      </c>
      <c r="I597" s="149" t="str">
        <f ca="1">"A: "&amp;OFFSET(props!A$2,D596,0)</f>
        <v xml:space="preserve">A: Les femmes devraient avoir la même chance que les hommes d’occupé des positions socio-administratives dans le village. </v>
      </c>
      <c r="J597" s="7" t="str">
        <f t="shared" ca="1" si="275"/>
        <v xml:space="preserve">A: Les femmes devraient avoir la même chance que les hommes d’occupé des positions socio-administratives dans le village. </v>
      </c>
      <c r="K597" s="7" t="str">
        <f t="shared" ca="1" si="275"/>
        <v xml:space="preserve">A: Les femmes devraient avoir la même chance que les hommes d’occupé des positions socio-administratives dans le village. </v>
      </c>
      <c r="L597" s="7" t="str">
        <f t="shared" ca="1" si="276"/>
        <v xml:space="preserve">A: Les femmes devraient avoir la même chance que les hommes d’occupé des positions socio-administratives dans le village. </v>
      </c>
    </row>
    <row r="598" spans="1:24" ht="20.100000000000001" customHeight="1" x14ac:dyDescent="0.25">
      <c r="A598" s="38">
        <f t="shared" si="269"/>
        <v>4</v>
      </c>
      <c r="B598" s="38">
        <f t="shared" si="270"/>
        <v>0</v>
      </c>
      <c r="C598" s="38" t="s">
        <v>33</v>
      </c>
      <c r="F598" s="38" t="str">
        <f>F559&amp;"_b_"&amp;D596</f>
        <v>gender_ep_b_4</v>
      </c>
      <c r="G598" s="13" t="str">
        <f ca="1">"B: "&amp;OFFSET(props!B$2,D596,0)</f>
        <v xml:space="preserve">B: Les hommes sont les meilleurs dirigents et ce sont eux seuls qui devraient occuper les positions socio-administratives dans le village. </v>
      </c>
      <c r="H598" s="13" t="str">
        <f ca="1">"B: "&amp;OFFSET(props!B$2,D596,0)</f>
        <v xml:space="preserve">B: Les hommes sont les meilleurs dirigents et ce sont eux seuls qui devraient occuper les positions socio-administratives dans le village. </v>
      </c>
      <c r="I598" s="13" t="str">
        <f ca="1">"B: "&amp;OFFSET(props!B$2,D596,0)</f>
        <v xml:space="preserve">B: Les hommes sont les meilleurs dirigents et ce sont eux seuls qui devraient occuper les positions socio-administratives dans le village. </v>
      </c>
      <c r="J598" s="7" t="str">
        <f t="shared" ca="1" si="275"/>
        <v xml:space="preserve">B: Les hommes sont les meilleurs dirigents et ce sont eux seuls qui devraient occuper les positions socio-administratives dans le village. </v>
      </c>
      <c r="K598" s="7" t="str">
        <f t="shared" ca="1" si="275"/>
        <v xml:space="preserve">B: Les hommes sont les meilleurs dirigents et ce sont eux seuls qui devraient occuper les positions socio-administratives dans le village. </v>
      </c>
      <c r="L598" s="7" t="str">
        <f t="shared" ca="1" si="276"/>
        <v xml:space="preserve">B: Les hommes sont les meilleurs dirigents et ce sont eux seuls qui devraient occuper les positions socio-administratives dans le village. </v>
      </c>
    </row>
    <row r="599" spans="1:24" ht="20.100000000000001" customHeight="1" x14ac:dyDescent="0.25">
      <c r="A599" s="38">
        <f t="shared" si="269"/>
        <v>4</v>
      </c>
      <c r="B599" s="38">
        <f t="shared" si="270"/>
        <v>0</v>
      </c>
      <c r="C599" s="38" t="s">
        <v>1690</v>
      </c>
      <c r="F599" s="38" t="str">
        <f>F559&amp;"_agree_"&amp;D596</f>
        <v>gender_ep_agree_4</v>
      </c>
      <c r="G599" s="13" t="s">
        <v>1691</v>
      </c>
      <c r="H599" s="149" t="s">
        <v>1692</v>
      </c>
      <c r="I599" s="149" t="s">
        <v>1692</v>
      </c>
      <c r="J599" s="7" t="str">
        <f t="shared" si="275"/>
        <v>Which is closer to your opinion, A or B</v>
      </c>
      <c r="K599" s="7" t="str">
        <f t="shared" si="275"/>
        <v>Quel est plus proche de votre opinion: A ou B?</v>
      </c>
      <c r="L599" s="7" t="str">
        <f t="shared" si="276"/>
        <v>Quel est plus proche de votre opinion: A ou B?</v>
      </c>
      <c r="X599" s="38" t="s">
        <v>36</v>
      </c>
    </row>
    <row r="600" spans="1:24" s="21" customFormat="1" ht="20.100000000000001" customHeight="1" x14ac:dyDescent="0.25">
      <c r="A600" s="38">
        <f t="shared" si="269"/>
        <v>3</v>
      </c>
      <c r="B600" s="38">
        <f t="shared" si="270"/>
        <v>0</v>
      </c>
      <c r="C600" s="21" t="s">
        <v>40</v>
      </c>
      <c r="D600" s="21">
        <f>D596</f>
        <v>4</v>
      </c>
      <c r="G600" s="11"/>
      <c r="H600" s="11"/>
      <c r="I600" s="11"/>
    </row>
    <row r="601" spans="1:24" s="17" customFormat="1" ht="20.100000000000001" customHeight="1" x14ac:dyDescent="0.25">
      <c r="A601" s="38">
        <f t="shared" si="269"/>
        <v>4</v>
      </c>
      <c r="B601" s="38">
        <f t="shared" si="270"/>
        <v>0</v>
      </c>
      <c r="C601" s="17" t="s">
        <v>32</v>
      </c>
      <c r="D601" s="17">
        <f>D596+1</f>
        <v>5</v>
      </c>
      <c r="F601" s="17" t="str">
        <f>F559&amp;"_prop_"&amp;D601</f>
        <v>gender_ep_prop_5</v>
      </c>
      <c r="G601" s="10" t="str">
        <f>"Proposition "&amp;$D601</f>
        <v>Proposition 5</v>
      </c>
      <c r="H601" s="10" t="str">
        <f>"Proposition "&amp;$D601</f>
        <v>Proposition 5</v>
      </c>
      <c r="I601" s="10" t="str">
        <f>"Proposition "&amp;$D601</f>
        <v>Proposition 5</v>
      </c>
      <c r="J601" s="7" t="str">
        <f t="shared" ref="J601:K604" si="277">D601&amp;IF(D601="",""," ")&amp;G601</f>
        <v>5 Proposition 5</v>
      </c>
      <c r="K601" s="7" t="str">
        <f t="shared" si="277"/>
        <v>Proposition 5</v>
      </c>
      <c r="L601" s="7" t="str">
        <f t="shared" ref="L601:L604" si="278">E601&amp;IF(E601="",""," ")&amp;I601</f>
        <v>Proposition 5</v>
      </c>
      <c r="N601" s="17" t="s">
        <v>1312</v>
      </c>
    </row>
    <row r="602" spans="1:24" ht="20.100000000000001" customHeight="1" x14ac:dyDescent="0.25">
      <c r="A602" s="38">
        <f t="shared" si="269"/>
        <v>4</v>
      </c>
      <c r="B602" s="38">
        <f t="shared" si="270"/>
        <v>0</v>
      </c>
      <c r="C602" s="38" t="s">
        <v>33</v>
      </c>
      <c r="F602" s="38" t="str">
        <f>F559&amp;"_a_"&amp;D601</f>
        <v>gender_ep_a_5</v>
      </c>
      <c r="G602" s="149" t="str">
        <f ca="1">"A: "&amp;OFFSET(props!A$2,D601,0)</f>
        <v>A: Seulement les hommes devraient etre les presidents de comités de gestion qui existent dans le village.</v>
      </c>
      <c r="H602" s="149" t="str">
        <f ca="1">"A: "&amp;OFFSET(props!A$2,D601,0)</f>
        <v>A: Seulement les hommes devraient etre les presidents de comités de gestion qui existent dans le village.</v>
      </c>
      <c r="I602" s="149" t="str">
        <f ca="1">"A: "&amp;OFFSET(props!A$2,D601,0)</f>
        <v>A: Seulement les hommes devraient etre les presidents de comités de gestion qui existent dans le village.</v>
      </c>
      <c r="J602" s="7" t="str">
        <f t="shared" ca="1" si="277"/>
        <v>A: Seulement les hommes devraient etre les presidents de comités de gestion qui existent dans le village.</v>
      </c>
      <c r="K602" s="7" t="str">
        <f t="shared" ca="1" si="277"/>
        <v>A: Seulement les hommes devraient etre les presidents de comités de gestion qui existent dans le village.</v>
      </c>
      <c r="L602" s="7" t="str">
        <f t="shared" ca="1" si="278"/>
        <v>A: Seulement les hommes devraient etre les presidents de comités de gestion qui existent dans le village.</v>
      </c>
    </row>
    <row r="603" spans="1:24" ht="20.100000000000001" customHeight="1" x14ac:dyDescent="0.25">
      <c r="A603" s="38">
        <f t="shared" si="269"/>
        <v>4</v>
      </c>
      <c r="B603" s="38">
        <f t="shared" si="270"/>
        <v>0</v>
      </c>
      <c r="C603" s="38" t="s">
        <v>33</v>
      </c>
      <c r="F603" s="38" t="str">
        <f>F559&amp;"_b_"&amp;D601</f>
        <v>gender_ep_b_5</v>
      </c>
      <c r="G603" s="13" t="str">
        <f ca="1">"B: "&amp;OFFSET(props!B$2,D601,0)</f>
        <v xml:space="preserve">B: Les femmes ont des connaisances à apporter. Elle devraient donc être eligibles au poste de président des comités de gestion qui existent dans le village. </v>
      </c>
      <c r="H603" s="13" t="str">
        <f ca="1">"B: "&amp;OFFSET(props!B$2,D601,0)</f>
        <v xml:space="preserve">B: Les femmes ont des connaisances à apporter. Elle devraient donc être eligibles au poste de président des comités de gestion qui existent dans le village. </v>
      </c>
      <c r="I603" s="13" t="str">
        <f ca="1">"B: "&amp;OFFSET(props!B$2,D601,0)</f>
        <v xml:space="preserve">B: Les femmes ont des connaisances à apporter. Elle devraient donc être eligibles au poste de président des comités de gestion qui existent dans le village. </v>
      </c>
      <c r="J603" s="7" t="str">
        <f t="shared" ca="1" si="277"/>
        <v xml:space="preserve">B: Les femmes ont des connaisances à apporter. Elle devraient donc être eligibles au poste de président des comités de gestion qui existent dans le village. </v>
      </c>
      <c r="K603" s="7" t="str">
        <f t="shared" ca="1" si="277"/>
        <v xml:space="preserve">B: Les femmes ont des connaisances à apporter. Elle devraient donc être eligibles au poste de président des comités de gestion qui existent dans le village. </v>
      </c>
      <c r="L603" s="7" t="str">
        <f t="shared" ca="1" si="278"/>
        <v xml:space="preserve">B: Les femmes ont des connaisances à apporter. Elle devraient donc être eligibles au poste de président des comités de gestion qui existent dans le village. </v>
      </c>
    </row>
    <row r="604" spans="1:24" ht="20.100000000000001" customHeight="1" x14ac:dyDescent="0.25">
      <c r="A604" s="38">
        <f t="shared" si="269"/>
        <v>4</v>
      </c>
      <c r="B604" s="38">
        <f t="shared" si="270"/>
        <v>0</v>
      </c>
      <c r="C604" s="38" t="s">
        <v>1690</v>
      </c>
      <c r="F604" s="38" t="str">
        <f>F559&amp;"_agree_"&amp;D601</f>
        <v>gender_ep_agree_5</v>
      </c>
      <c r="G604" s="13" t="s">
        <v>1691</v>
      </c>
      <c r="H604" s="149" t="s">
        <v>1692</v>
      </c>
      <c r="I604" s="149" t="s">
        <v>1692</v>
      </c>
      <c r="J604" s="7" t="str">
        <f t="shared" si="277"/>
        <v>Which is closer to your opinion, A or B</v>
      </c>
      <c r="K604" s="7" t="str">
        <f t="shared" si="277"/>
        <v>Quel est plus proche de votre opinion: A ou B?</v>
      </c>
      <c r="L604" s="7" t="str">
        <f t="shared" si="278"/>
        <v>Quel est plus proche de votre opinion: A ou B?</v>
      </c>
      <c r="X604" s="38" t="s">
        <v>36</v>
      </c>
    </row>
    <row r="605" spans="1:24" s="21" customFormat="1" ht="20.100000000000001" customHeight="1" x14ac:dyDescent="0.25">
      <c r="A605" s="38">
        <f t="shared" si="269"/>
        <v>3</v>
      </c>
      <c r="B605" s="38">
        <f t="shared" si="270"/>
        <v>0</v>
      </c>
      <c r="C605" s="21" t="s">
        <v>40</v>
      </c>
      <c r="D605" s="21">
        <f>D601</f>
        <v>5</v>
      </c>
      <c r="G605" s="11"/>
      <c r="H605" s="11"/>
      <c r="I605" s="11"/>
    </row>
    <row r="606" spans="1:24" s="137" customFormat="1" ht="20.100000000000001" customHeight="1" x14ac:dyDescent="0.25">
      <c r="A606" s="38">
        <f t="shared" si="269"/>
        <v>4</v>
      </c>
      <c r="B606" s="38">
        <f t="shared" si="270"/>
        <v>0</v>
      </c>
      <c r="C606" s="17" t="s">
        <v>32</v>
      </c>
      <c r="F606" s="137" t="s">
        <v>1715</v>
      </c>
      <c r="G606" s="137" t="s">
        <v>1694</v>
      </c>
      <c r="H606" s="137" t="s">
        <v>1695</v>
      </c>
      <c r="I606" s="137" t="s">
        <v>1695</v>
      </c>
      <c r="J606" s="7" t="str">
        <f t="shared" ref="J606" si="279">D606&amp;IF(D606="",""," ")&amp;G606</f>
        <v>List Experiment</v>
      </c>
      <c r="K606" s="7" t="str">
        <f t="shared" ref="K606" si="280">E606&amp;IF(E606="",""," ")&amp;H606</f>
        <v>Experimentation de liste</v>
      </c>
      <c r="L606" s="7" t="str">
        <f t="shared" ref="L606" si="281">E606&amp;IF(E606="",""," ")&amp;I606</f>
        <v>Experimentation de liste</v>
      </c>
      <c r="R606" s="137" t="s">
        <v>2036</v>
      </c>
    </row>
    <row r="607" spans="1:24" customFormat="1" ht="20.100000000000001" customHeight="1" x14ac:dyDescent="0.25">
      <c r="A607" s="38">
        <f t="shared" si="269"/>
        <v>4</v>
      </c>
      <c r="B607" s="38">
        <f t="shared" si="270"/>
        <v>0</v>
      </c>
      <c r="C607" s="7" t="s">
        <v>44</v>
      </c>
      <c r="F607" t="str">
        <f>F606&amp;"_num_probs"</f>
        <v>list_con_num_probs</v>
      </c>
      <c r="M607" t="s">
        <v>2021</v>
      </c>
    </row>
    <row r="608" spans="1:24" ht="20.100000000000001" customHeight="1" x14ac:dyDescent="0.25">
      <c r="A608" s="38">
        <f t="shared" si="269"/>
        <v>4</v>
      </c>
      <c r="B608" s="38">
        <f t="shared" si="270"/>
        <v>0</v>
      </c>
      <c r="C608" s="38" t="s">
        <v>33</v>
      </c>
      <c r="D608" s="38">
        <v>1</v>
      </c>
      <c r="F608" s="38" t="str">
        <f>"note_"&amp;F606&amp;"_"&amp;D608</f>
        <v>note_list_con_1</v>
      </c>
      <c r="G608" s="13" t="str">
        <f>"Je vais lire ${"&amp;F607&amp;"} problèmes que les femmes peuvent connaitre. Ce sont des problèmes sensibles. Quand je dis un problème applicable à vous, dans la dernière année, laissez tomber une de ces boules par terre."</f>
        <v>Je vais lire ${list_con_num_probs} problèmes que les femmes peuvent connaitre. Ce sont des problèmes sensibles. Quand je dis un problème applicable à vous, dans la dernière année, laissez tomber une de ces boules par terre.</v>
      </c>
      <c r="H608" s="13" t="str">
        <f>"Je vais lire ${"&amp;F607&amp;"} problèmes que les femmes peuvent connaitre. Ce sont des problèmes sensibles. Quand je dis un problème applicable à vous, dans la dernière année, laissez tomber une de ces boules par terre."</f>
        <v>Je vais lire ${list_con_num_probs} problèmes que les femmes peuvent connaitre. Ce sont des problèmes sensibles. Quand je dis un problème applicable à vous, dans la dernière année, laissez tomber une de ces boules par terre.</v>
      </c>
      <c r="I608" s="13" t="str">
        <f>"Je vais lire ${"&amp;F607&amp;"} problèmes que les femmes peuvent connaitre. Ce sont des problèmes sensibles. Quand je dis un problème applicable à vous, dans la dernière année, laissez tomber une de ces boules par terre."</f>
        <v>Je vais lire ${list_con_num_probs} problèmes que les femmes peuvent connaitre. Ce sont des problèmes sensibles. Quand je dis un problème applicable à vous, dans la dernière année, laissez tomber une de ces boules par terre.</v>
      </c>
      <c r="J608" s="7" t="str">
        <f t="shared" ref="J608:J616" si="282">D608&amp;IF(D608="",""," ")&amp;G608</f>
        <v>1 Je vais lire ${list_con_num_probs} problèmes que les femmes peuvent connaitre. Ce sont des problèmes sensibles. Quand je dis un problème applicable à vous, dans la dernière année, laissez tomber une de ces boules par terre.</v>
      </c>
      <c r="K608" s="7" t="str">
        <f t="shared" ref="K608:K616" si="283">E608&amp;IF(E608="",""," ")&amp;H608</f>
        <v>Je vais lire ${list_con_num_probs} problèmes que les femmes peuvent connaitre. Ce sont des problèmes sensibles. Quand je dis un problème applicable à vous, dans la dernière année, laissez tomber une de ces boules par terre.</v>
      </c>
      <c r="L608" s="7" t="str">
        <f t="shared" ref="L608:L616" si="284">E608&amp;IF(E608="",""," ")&amp;I608</f>
        <v>Je vais lire ${list_con_num_probs} problèmes que les femmes peuvent connaitre. Ce sont des problèmes sensibles. Quand je dis un problème applicable à vous, dans la dernière année, laissez tomber une de ces boules par terre.</v>
      </c>
    </row>
    <row r="609" spans="1:25" ht="20.100000000000001" customHeight="1" x14ac:dyDescent="0.25">
      <c r="A609" s="38">
        <f t="shared" si="269"/>
        <v>4</v>
      </c>
      <c r="B609" s="38">
        <f t="shared" si="270"/>
        <v>0</v>
      </c>
      <c r="C609" s="38" t="s">
        <v>33</v>
      </c>
      <c r="D609" s="38">
        <v>2</v>
      </c>
      <c r="F609" s="38" t="str">
        <f>"note_"&amp;F606&amp;"_"&amp;D609</f>
        <v>note_list_con_2</v>
      </c>
      <c r="G609" s="13" t="s">
        <v>1696</v>
      </c>
      <c r="H609" s="13" t="s">
        <v>1696</v>
      </c>
      <c r="I609" s="13" t="s">
        <v>1696</v>
      </c>
      <c r="J609" s="7" t="str">
        <f t="shared" si="282"/>
        <v>2  Je ne vais pas regarder quand les boules tombent, donc  je ne vais pas savoir quels problèmes sont exactement applicables à vous. Je vais seulement compter les boules que vous avez jeté par terre à la fin de l’exercice, pour savoir combien de problèmes sont applicable a vous. Je garderai ce nombre dans tout l’anonymat.</v>
      </c>
      <c r="K609" s="7" t="str">
        <f t="shared" si="283"/>
        <v xml:space="preserve"> Je ne vais pas regarder quand les boules tombent, donc  je ne vais pas savoir quels problèmes sont exactement applicables à vous. Je vais seulement compter les boules que vous avez jeté par terre à la fin de l’exercice, pour savoir combien de problèmes sont applicable a vous. Je garderai ce nombre dans tout l’anonymat.</v>
      </c>
      <c r="L609" s="7" t="str">
        <f t="shared" si="284"/>
        <v xml:space="preserve"> Je ne vais pas regarder quand les boules tombent, donc  je ne vais pas savoir quels problèmes sont exactement applicables à vous. Je vais seulement compter les boules que vous avez jeté par terre à la fin de l’exercice, pour savoir combien de problèmes sont applicable a vous. Je garderai ce nombre dans tout l’anonymat.</v>
      </c>
    </row>
    <row r="610" spans="1:25" ht="20.100000000000001" customHeight="1" x14ac:dyDescent="0.25">
      <c r="A610" s="38">
        <f t="shared" si="269"/>
        <v>4</v>
      </c>
      <c r="B610" s="38">
        <f t="shared" si="270"/>
        <v>0</v>
      </c>
      <c r="C610" s="38" t="s">
        <v>33</v>
      </c>
      <c r="D610" s="38">
        <v>3</v>
      </c>
      <c r="F610" s="38" t="str">
        <f>"note_"&amp;F606&amp;"_"&amp;D610</f>
        <v>note_list_con_3</v>
      </c>
      <c r="G610" s="13" t="s">
        <v>1697</v>
      </c>
      <c r="H610" s="13" t="s">
        <v>1697</v>
      </c>
      <c r="I610" s="13" t="s">
        <v>1697</v>
      </c>
      <c r="J610" s="7" t="str">
        <f t="shared" si="282"/>
        <v>3 C'est clair? Je vais mentionner les problèmes</v>
      </c>
      <c r="K610" s="7" t="str">
        <f t="shared" si="283"/>
        <v>C'est clair? Je vais mentionner les problèmes</v>
      </c>
      <c r="L610" s="7" t="str">
        <f t="shared" si="284"/>
        <v>C'est clair? Je vais mentionner les problèmes</v>
      </c>
    </row>
    <row r="611" spans="1:25" ht="20.100000000000001" customHeight="1" x14ac:dyDescent="0.25">
      <c r="A611" s="38">
        <f t="shared" si="269"/>
        <v>4</v>
      </c>
      <c r="B611" s="38">
        <f t="shared" si="270"/>
        <v>0</v>
      </c>
      <c r="C611" s="38" t="s">
        <v>33</v>
      </c>
      <c r="D611" s="38">
        <v>4</v>
      </c>
      <c r="F611" s="38" t="str">
        <f>"note_"&amp;F606&amp;"_"&amp;D611</f>
        <v>note_list_con_4</v>
      </c>
      <c r="G611" s="13" t="s">
        <v>1698</v>
      </c>
      <c r="H611" s="13" t="s">
        <v>1698</v>
      </c>
      <c r="I611" s="13" t="s">
        <v>1698</v>
      </c>
      <c r="J611" s="7" t="str">
        <f t="shared" si="282"/>
        <v>4 Manque de nourriture</v>
      </c>
      <c r="K611" s="7" t="str">
        <f t="shared" si="283"/>
        <v>Manque de nourriture</v>
      </c>
      <c r="L611" s="7" t="str">
        <f t="shared" si="284"/>
        <v>Manque de nourriture</v>
      </c>
      <c r="O611" s="7" t="s">
        <v>1699</v>
      </c>
      <c r="P611" s="7" t="s">
        <v>1700</v>
      </c>
      <c r="Q611" s="7" t="s">
        <v>1700</v>
      </c>
    </row>
    <row r="612" spans="1:25" ht="20.100000000000001" customHeight="1" x14ac:dyDescent="0.25">
      <c r="A612" s="38">
        <f t="shared" si="269"/>
        <v>4</v>
      </c>
      <c r="B612" s="38">
        <f t="shared" si="270"/>
        <v>0</v>
      </c>
      <c r="C612" s="38" t="s">
        <v>33</v>
      </c>
      <c r="D612" s="38">
        <v>5</v>
      </c>
      <c r="F612" s="38" t="str">
        <f>"note_"&amp;F606&amp;"_"&amp;D612</f>
        <v>note_list_con_5</v>
      </c>
      <c r="G612" s="13" t="s">
        <v>1701</v>
      </c>
      <c r="H612" s="13" t="s">
        <v>1701</v>
      </c>
      <c r="I612" s="13" t="s">
        <v>1701</v>
      </c>
      <c r="J612" s="7" t="str">
        <f t="shared" si="282"/>
        <v>5 Manque d'argent</v>
      </c>
      <c r="K612" s="7" t="str">
        <f t="shared" si="283"/>
        <v>Manque d'argent</v>
      </c>
      <c r="L612" s="7" t="str">
        <f t="shared" si="284"/>
        <v>Manque d'argent</v>
      </c>
      <c r="O612" s="7" t="s">
        <v>1699</v>
      </c>
      <c r="P612" s="7" t="s">
        <v>1700</v>
      </c>
      <c r="Q612" s="7" t="s">
        <v>1700</v>
      </c>
    </row>
    <row r="613" spans="1:25" ht="20.100000000000001" customHeight="1" x14ac:dyDescent="0.25">
      <c r="A613" s="38">
        <f t="shared" si="269"/>
        <v>4</v>
      </c>
      <c r="B613" s="38">
        <f t="shared" si="270"/>
        <v>0</v>
      </c>
      <c r="C613" s="38" t="s">
        <v>33</v>
      </c>
      <c r="D613" s="38">
        <v>6</v>
      </c>
      <c r="F613" s="38" t="str">
        <f>"note_"&amp;F606&amp;"_"&amp;D613</f>
        <v>note_list_con_6</v>
      </c>
      <c r="G613" s="13" t="s">
        <v>1702</v>
      </c>
      <c r="H613" s="13" t="s">
        <v>1702</v>
      </c>
      <c r="I613" s="13" t="s">
        <v>1702</v>
      </c>
      <c r="J613" s="7" t="str">
        <f t="shared" si="282"/>
        <v>6 Vol</v>
      </c>
      <c r="K613" s="7" t="str">
        <f t="shared" si="283"/>
        <v>Vol</v>
      </c>
      <c r="L613" s="7" t="str">
        <f t="shared" si="284"/>
        <v>Vol</v>
      </c>
      <c r="O613" s="7" t="s">
        <v>1699</v>
      </c>
      <c r="P613" s="7" t="s">
        <v>1700</v>
      </c>
      <c r="Q613" s="7" t="s">
        <v>1700</v>
      </c>
    </row>
    <row r="614" spans="1:25" ht="20.100000000000001" customHeight="1" x14ac:dyDescent="0.25">
      <c r="A614" s="38">
        <f t="shared" si="269"/>
        <v>4</v>
      </c>
      <c r="B614" s="38">
        <f t="shared" si="270"/>
        <v>0</v>
      </c>
      <c r="C614" s="38" t="s">
        <v>33</v>
      </c>
      <c r="D614" s="38">
        <v>7</v>
      </c>
      <c r="F614" s="38" t="str">
        <f>"note_"&amp;F606&amp;"_"&amp;D614</f>
        <v>note_list_con_7</v>
      </c>
      <c r="G614" s="13" t="s">
        <v>1703</v>
      </c>
      <c r="H614" s="13" t="s">
        <v>1703</v>
      </c>
      <c r="I614" s="13" t="s">
        <v>1703</v>
      </c>
      <c r="J614" s="7" t="str">
        <f t="shared" si="282"/>
        <v>7 Sterilité</v>
      </c>
      <c r="K614" s="7" t="str">
        <f t="shared" si="283"/>
        <v>Sterilité</v>
      </c>
      <c r="L614" s="7" t="str">
        <f t="shared" si="284"/>
        <v>Sterilité</v>
      </c>
      <c r="O614" s="7" t="s">
        <v>1699</v>
      </c>
      <c r="P614" s="7" t="s">
        <v>1700</v>
      </c>
      <c r="Q614" s="7" t="s">
        <v>1700</v>
      </c>
    </row>
    <row r="615" spans="1:25" ht="20.100000000000001" customHeight="1" x14ac:dyDescent="0.25">
      <c r="A615" s="38">
        <f t="shared" si="269"/>
        <v>4</v>
      </c>
      <c r="B615" s="38">
        <f t="shared" si="270"/>
        <v>0</v>
      </c>
      <c r="C615" s="38" t="s">
        <v>33</v>
      </c>
      <c r="D615" s="38">
        <v>8</v>
      </c>
      <c r="F615" s="38" t="str">
        <f>"note_"&amp;F606&amp;"_"&amp;D615</f>
        <v>note_list_con_8</v>
      </c>
      <c r="G615" s="13" t="s">
        <v>1704</v>
      </c>
      <c r="H615" s="13" t="s">
        <v>1704</v>
      </c>
      <c r="I615" s="13" t="s">
        <v>1704</v>
      </c>
      <c r="J615" s="7" t="str">
        <f t="shared" si="282"/>
        <v>8 Violence sexuelle</v>
      </c>
      <c r="K615" s="7" t="str">
        <f t="shared" si="283"/>
        <v>Violence sexuelle</v>
      </c>
      <c r="L615" s="7" t="str">
        <f t="shared" si="284"/>
        <v>Violence sexuelle</v>
      </c>
      <c r="O615" s="7" t="s">
        <v>1699</v>
      </c>
      <c r="P615" s="7" t="s">
        <v>1700</v>
      </c>
      <c r="Q615" s="7" t="s">
        <v>1700</v>
      </c>
      <c r="R615" s="7" t="str">
        <f>"${"&amp;F607&amp;"} = 5"</f>
        <v>${list_con_num_probs} = 5</v>
      </c>
    </row>
    <row r="616" spans="1:25" ht="20.100000000000001" customHeight="1" x14ac:dyDescent="0.25">
      <c r="A616" s="38">
        <f t="shared" si="269"/>
        <v>4</v>
      </c>
      <c r="B616" s="38">
        <f t="shared" si="270"/>
        <v>0</v>
      </c>
      <c r="C616" s="38" t="s">
        <v>35</v>
      </c>
      <c r="F616" s="38" t="str">
        <f>F606&amp;"_boules"</f>
        <v>list_con_boules</v>
      </c>
      <c r="G616" s="13" t="s">
        <v>1705</v>
      </c>
      <c r="H616" s="13" t="s">
        <v>1705</v>
      </c>
      <c r="I616" s="13" t="s">
        <v>1705</v>
      </c>
      <c r="J616" s="7" t="str">
        <f t="shared" si="282"/>
        <v>Combien de boules il y a par terre ?</v>
      </c>
      <c r="K616" s="7" t="str">
        <f t="shared" si="283"/>
        <v>Combien de boules il y a par terre ?</v>
      </c>
      <c r="L616" s="7" t="str">
        <f t="shared" si="284"/>
        <v>Combien de boules il y a par terre ?</v>
      </c>
      <c r="T616" s="38" t="str">
        <f>".&lt;=${"&amp;F607&amp;"}"</f>
        <v>.&lt;=${list_con_num_probs}</v>
      </c>
      <c r="X616" s="38" t="s">
        <v>36</v>
      </c>
    </row>
    <row r="617" spans="1:25" s="21" customFormat="1" ht="20.100000000000001" customHeight="1" x14ac:dyDescent="0.25">
      <c r="A617" s="38">
        <f t="shared" si="269"/>
        <v>3</v>
      </c>
      <c r="B617" s="38">
        <f t="shared" si="270"/>
        <v>0</v>
      </c>
      <c r="C617" s="21" t="s">
        <v>40</v>
      </c>
      <c r="G617" s="11"/>
      <c r="H617" s="11"/>
      <c r="I617" s="11"/>
    </row>
    <row r="618" spans="1:25" s="21" customFormat="1" ht="20.100000000000001" customHeight="1" x14ac:dyDescent="0.25">
      <c r="A618" s="38">
        <f t="shared" si="269"/>
        <v>2</v>
      </c>
      <c r="B618" s="38">
        <f t="shared" si="270"/>
        <v>0</v>
      </c>
      <c r="C618" s="21" t="s">
        <v>40</v>
      </c>
      <c r="G618" s="11"/>
      <c r="H618" s="11"/>
      <c r="I618" s="11"/>
    </row>
    <row r="619" spans="1:25" s="17" customFormat="1" ht="60.75" customHeight="1" x14ac:dyDescent="0.25">
      <c r="A619" s="38">
        <f t="shared" si="269"/>
        <v>3</v>
      </c>
      <c r="B619" s="38">
        <f t="shared" si="270"/>
        <v>0</v>
      </c>
      <c r="C619" s="17" t="s">
        <v>32</v>
      </c>
      <c r="D619" s="17" t="s">
        <v>1716</v>
      </c>
      <c r="F619" s="17" t="str">
        <f>"gender_"&amp;D619</f>
        <v>gender_c</v>
      </c>
      <c r="G619" s="10" t="s">
        <v>1717</v>
      </c>
      <c r="H619" s="10" t="s">
        <v>1717</v>
      </c>
      <c r="I619" s="10" t="s">
        <v>1717</v>
      </c>
      <c r="J619" s="7" t="str">
        <f t="shared" ref="J619:K634" si="285">D619&amp;IF(D619="",""," ")&amp;G619</f>
        <v>c Genre: Couple</v>
      </c>
      <c r="K619" s="7" t="str">
        <f t="shared" si="285"/>
        <v>Genre: Couple</v>
      </c>
      <c r="L619" s="7" t="str">
        <f t="shared" ref="L619" si="286">E619&amp;IF(E619="",""," ")&amp;I619</f>
        <v>Genre: Couple</v>
      </c>
      <c r="R619" s="17" t="str">
        <f>"${"&amp;F496&amp;"}='1' and ${"&amp;F557&amp;"}='1' "</f>
        <v xml:space="preserve">${gender_accept_cdm}='1' and ${gender_accept_ep}='1' </v>
      </c>
    </row>
    <row r="620" spans="1:25" customFormat="1" ht="20.100000000000001" customHeight="1" x14ac:dyDescent="0.25">
      <c r="A620" s="38">
        <f t="shared" si="269"/>
        <v>3</v>
      </c>
      <c r="B620" s="38">
        <f t="shared" si="270"/>
        <v>0</v>
      </c>
      <c r="C620" t="s">
        <v>33</v>
      </c>
      <c r="F620" t="s">
        <v>1718</v>
      </c>
      <c r="H620" t="s">
        <v>1719</v>
      </c>
      <c r="K620" s="13" t="str">
        <f t="shared" si="285"/>
        <v>Mainenant, je vais parler avec le couple ensemeble. Je vais vous laisser pour faire le choix</v>
      </c>
    </row>
    <row r="621" spans="1:25" s="17" customFormat="1" ht="20.100000000000001" customHeight="1" x14ac:dyDescent="0.25">
      <c r="A621" s="38">
        <f t="shared" si="269"/>
        <v>4</v>
      </c>
      <c r="B621" s="38">
        <f t="shared" si="270"/>
        <v>0</v>
      </c>
      <c r="C621" s="10" t="s">
        <v>32</v>
      </c>
      <c r="D621" s="10">
        <v>1</v>
      </c>
      <c r="E621" s="10"/>
      <c r="F621" s="10" t="str">
        <f>"risk_c_instr_"&amp;D621</f>
        <v>risk_c_instr_1</v>
      </c>
      <c r="G621" s="10" t="str">
        <f>"Risk Instructions "&amp;D621</f>
        <v>Risk Instructions 1</v>
      </c>
      <c r="H621" s="10" t="str">
        <f>"Instructions Risque"&amp;D621</f>
        <v>Instructions Risque1</v>
      </c>
      <c r="I621" s="10" t="str">
        <f>"Instructions Risque "&amp;D621</f>
        <v>Instructions Risque 1</v>
      </c>
      <c r="J621" s="10" t="str">
        <f t="shared" ref="J621:J624" si="287">E621&amp;IF(D621="",""," ")&amp;G621</f>
        <v xml:space="preserve"> Risk Instructions 1</v>
      </c>
      <c r="K621" s="13" t="str">
        <f t="shared" si="285"/>
        <v>Instructions Risque1</v>
      </c>
      <c r="L621" s="13" t="str">
        <f t="shared" ref="L621:L624" si="288">E621&amp;IF(E621="",""," ")&amp;I621</f>
        <v>Instructions Risque 1</v>
      </c>
      <c r="M621" s="10"/>
      <c r="N621" s="122" t="s">
        <v>1312</v>
      </c>
      <c r="O621" s="10"/>
      <c r="P621" s="10"/>
      <c r="Q621" s="10"/>
      <c r="R621" s="10"/>
      <c r="S621" s="10"/>
      <c r="T621" s="10"/>
      <c r="U621" s="10"/>
      <c r="V621" s="10"/>
      <c r="W621" s="10"/>
      <c r="X621" s="10"/>
      <c r="Y621" s="10"/>
    </row>
    <row r="622" spans="1:25" s="7" customFormat="1" ht="31.5" customHeight="1" x14ac:dyDescent="0.25">
      <c r="A622" s="38">
        <f t="shared" si="269"/>
        <v>4</v>
      </c>
      <c r="B622" s="38">
        <f t="shared" si="270"/>
        <v>0</v>
      </c>
      <c r="C622" s="13" t="s">
        <v>33</v>
      </c>
      <c r="D622" s="13">
        <v>1</v>
      </c>
      <c r="E622" s="13"/>
      <c r="F622" s="13" t="str">
        <f ca="1">OFFSET(F622,-1*D622,0)&amp;"_"&amp;D622</f>
        <v>risk_c_instr_1_1</v>
      </c>
      <c r="G622" s="13"/>
      <c r="H622" t="s">
        <v>1672</v>
      </c>
      <c r="I622" s="13"/>
      <c r="J622" s="41" t="str">
        <f t="shared" si="287"/>
        <v xml:space="preserve"> </v>
      </c>
      <c r="K622" s="13" t="str">
        <f t="shared" si="285"/>
        <v>Maintenant, on vous demandera de participer à une autre exercice avec lequel vous pouvez gagner de l’argent  effectivement.</v>
      </c>
      <c r="L622" s="13" t="str">
        <f t="shared" si="288"/>
        <v/>
      </c>
      <c r="M622" s="13"/>
      <c r="N622" s="13"/>
      <c r="O622" s="13"/>
      <c r="P622" s="13"/>
      <c r="Q622" s="13"/>
      <c r="R622" s="13"/>
      <c r="S622" s="13"/>
      <c r="T622" s="13"/>
      <c r="U622" s="13"/>
      <c r="V622" s="13"/>
      <c r="W622" s="13"/>
      <c r="X622" s="13"/>
      <c r="Y622" s="13"/>
    </row>
    <row r="623" spans="1:25" s="7" customFormat="1" ht="20.100000000000001" customHeight="1" x14ac:dyDescent="0.25">
      <c r="A623" s="38">
        <f t="shared" si="269"/>
        <v>4</v>
      </c>
      <c r="B623" s="38">
        <f t="shared" si="270"/>
        <v>0</v>
      </c>
      <c r="C623" s="13" t="s">
        <v>33</v>
      </c>
      <c r="D623" s="13">
        <v>2</v>
      </c>
      <c r="E623" s="13"/>
      <c r="F623" s="13" t="str">
        <f t="shared" ref="F623:F628" ca="1" si="289">OFFSET(F623,-1*D623,0)&amp;"_"&amp;D623</f>
        <v>risk_c_instr_1_2</v>
      </c>
      <c r="G623" s="13"/>
      <c r="H623" t="s">
        <v>1673</v>
      </c>
      <c r="I623" s="13"/>
      <c r="J623" s="41" t="str">
        <f t="shared" si="287"/>
        <v xml:space="preserve"> </v>
      </c>
      <c r="K623" s="13" t="str">
        <f t="shared" si="285"/>
        <v xml:space="preserve">Dans cet exercice, nous allons vous présenter six loteries. </v>
      </c>
      <c r="L623" s="13" t="str">
        <f t="shared" si="288"/>
        <v/>
      </c>
      <c r="M623" s="13"/>
      <c r="N623" s="13"/>
      <c r="O623" s="13"/>
      <c r="P623" s="13"/>
      <c r="Q623" s="13"/>
      <c r="R623" s="13"/>
      <c r="S623" s="13"/>
      <c r="T623" s="13"/>
      <c r="U623" s="13"/>
      <c r="V623" s="13"/>
      <c r="W623" s="13"/>
      <c r="X623" s="13"/>
      <c r="Y623" s="13"/>
    </row>
    <row r="624" spans="1:25" s="7" customFormat="1" ht="20.100000000000001" customHeight="1" x14ac:dyDescent="0.25">
      <c r="A624" s="38">
        <f t="shared" si="269"/>
        <v>4</v>
      </c>
      <c r="B624" s="38">
        <f t="shared" si="270"/>
        <v>0</v>
      </c>
      <c r="C624" s="13" t="s">
        <v>33</v>
      </c>
      <c r="D624" s="13">
        <v>3</v>
      </c>
      <c r="E624" s="13"/>
      <c r="F624" s="13" t="str">
        <f t="shared" ca="1" si="289"/>
        <v>risk_c_instr_1_3</v>
      </c>
      <c r="G624" s="13"/>
      <c r="H624" t="s">
        <v>1674</v>
      </c>
      <c r="I624" s="13"/>
      <c r="J624" s="41" t="str">
        <f t="shared" si="287"/>
        <v xml:space="preserve"> </v>
      </c>
      <c r="K624" s="13" t="str">
        <f t="shared" si="285"/>
        <v>De ces loteries vous allez sélectionner une que vous préférez</v>
      </c>
      <c r="L624" s="13" t="str">
        <f t="shared" si="288"/>
        <v/>
      </c>
      <c r="M624" s="13"/>
      <c r="N624" s="13"/>
      <c r="O624" s="13"/>
      <c r="Q624" s="13"/>
      <c r="R624" s="13"/>
      <c r="S624" s="13"/>
      <c r="T624" s="13"/>
      <c r="U624" s="13"/>
      <c r="V624" s="13"/>
      <c r="W624" s="13"/>
      <c r="X624" s="13"/>
      <c r="Y624" s="13"/>
    </row>
    <row r="625" spans="1:25" s="7" customFormat="1" ht="20.100000000000001" customHeight="1" x14ac:dyDescent="0.25">
      <c r="A625" s="38">
        <f t="shared" si="269"/>
        <v>4</v>
      </c>
      <c r="B625" s="38">
        <f t="shared" si="270"/>
        <v>0</v>
      </c>
      <c r="C625" s="13" t="s">
        <v>33</v>
      </c>
      <c r="D625" s="13">
        <v>4</v>
      </c>
      <c r="E625" s="13"/>
      <c r="F625" s="13" t="str">
        <f t="shared" ca="1" si="289"/>
        <v>risk_c_instr_1_4</v>
      </c>
      <c r="G625" s="13"/>
      <c r="H625" t="s">
        <v>1675</v>
      </c>
      <c r="I625" s="13"/>
      <c r="J625" s="41"/>
      <c r="K625" s="13" t="str">
        <f t="shared" si="285"/>
        <v>Cet exercice sera suivi par d’autres et à l’issue de tous ces exercices vous recevrez un peu d’argent pour un seul exercice correspondant au numéro du jeton que vous sélectionnerez au hasard lors de la réunion de paiement.</v>
      </c>
      <c r="L625" s="13"/>
      <c r="M625" s="13"/>
      <c r="N625" s="13"/>
      <c r="O625" s="13"/>
      <c r="P625" t="s">
        <v>1720</v>
      </c>
      <c r="Q625" s="13"/>
      <c r="R625" s="13"/>
      <c r="S625" s="13"/>
      <c r="T625" s="13"/>
      <c r="U625" s="13"/>
      <c r="V625" s="13"/>
      <c r="W625" s="13"/>
      <c r="X625" s="13"/>
      <c r="Y625" s="13"/>
    </row>
    <row r="626" spans="1:25" s="7" customFormat="1" ht="20.100000000000001" customHeight="1" x14ac:dyDescent="0.25">
      <c r="A626" s="38">
        <f t="shared" si="269"/>
        <v>4</v>
      </c>
      <c r="B626" s="38">
        <f t="shared" si="270"/>
        <v>0</v>
      </c>
      <c r="C626" s="13" t="s">
        <v>33</v>
      </c>
      <c r="D626" s="13">
        <v>5</v>
      </c>
      <c r="E626" s="13"/>
      <c r="F626" s="13" t="str">
        <f t="shared" ca="1" si="289"/>
        <v>risk_c_instr_1_5</v>
      </c>
      <c r="G626" s="13"/>
      <c r="H626" t="s">
        <v>1677</v>
      </c>
      <c r="I626" s="13"/>
      <c r="J626" s="41"/>
      <c r="K626" s="13" t="str">
        <f t="shared" si="285"/>
        <v>On va seulement faire à loterie sélectionné si vous tirez ce jeton lors de la réunion</v>
      </c>
      <c r="L626" s="13"/>
      <c r="M626" s="13"/>
      <c r="N626" s="13"/>
      <c r="O626" s="13"/>
      <c r="P626" s="13"/>
      <c r="Q626" s="13"/>
      <c r="R626" s="13"/>
      <c r="S626" s="13"/>
      <c r="T626" s="13"/>
      <c r="U626" s="13"/>
      <c r="V626" s="13"/>
      <c r="W626" s="13"/>
      <c r="X626" s="13"/>
      <c r="Y626" s="13"/>
    </row>
    <row r="627" spans="1:25" s="7" customFormat="1" ht="20.100000000000001" customHeight="1" x14ac:dyDescent="0.25">
      <c r="A627" s="38">
        <f t="shared" si="269"/>
        <v>4</v>
      </c>
      <c r="B627" s="38">
        <f t="shared" si="270"/>
        <v>0</v>
      </c>
      <c r="C627" s="13" t="s">
        <v>33</v>
      </c>
      <c r="D627" s="13">
        <v>6</v>
      </c>
      <c r="E627" s="13"/>
      <c r="F627" s="13" t="str">
        <f t="shared" ca="1" si="289"/>
        <v>risk_c_instr_1_6</v>
      </c>
      <c r="G627" s="13"/>
      <c r="H627" t="s">
        <v>1721</v>
      </c>
      <c r="I627" s="13"/>
      <c r="J627" s="41"/>
      <c r="K627" s="13" t="str">
        <f t="shared" si="285"/>
        <v>Donc si vous tirez le JETON 5 le paiement pour votre participation sera basé sur le résultat de la loterie que vous choisissez maintenant.</v>
      </c>
      <c r="L627" s="13"/>
      <c r="M627" s="13"/>
      <c r="N627" s="13"/>
      <c r="O627" s="13"/>
      <c r="P627" s="13"/>
      <c r="Q627" s="13"/>
      <c r="R627" s="13"/>
      <c r="S627" s="13"/>
      <c r="T627" s="13"/>
      <c r="U627" s="13"/>
      <c r="V627" s="13"/>
      <c r="W627" s="13"/>
      <c r="X627" s="13"/>
      <c r="Y627" s="13"/>
    </row>
    <row r="628" spans="1:25" s="7" customFormat="1" ht="20.100000000000001" customHeight="1" x14ac:dyDescent="0.25">
      <c r="A628" s="38">
        <f t="shared" si="269"/>
        <v>4</v>
      </c>
      <c r="B628" s="38">
        <f t="shared" si="270"/>
        <v>0</v>
      </c>
      <c r="C628" s="13" t="s">
        <v>33</v>
      </c>
      <c r="D628" s="13">
        <v>7</v>
      </c>
      <c r="E628" s="13"/>
      <c r="F628" s="13" t="str">
        <f t="shared" ca="1" si="289"/>
        <v>risk_c_instr_1_7</v>
      </c>
      <c r="G628" s="13"/>
      <c r="H628" t="s">
        <v>1679</v>
      </c>
      <c r="I628" s="13"/>
      <c r="J628" s="41"/>
      <c r="K628" s="13" t="str">
        <f t="shared" si="285"/>
        <v>Est-ce que ça c’est claire ? </v>
      </c>
      <c r="L628" s="13"/>
      <c r="M628" s="13"/>
      <c r="N628" s="13"/>
      <c r="O628" s="13"/>
      <c r="P628" s="13"/>
      <c r="Q628" s="13"/>
      <c r="R628" s="13"/>
      <c r="S628" s="13"/>
      <c r="T628" s="13"/>
      <c r="U628" s="13"/>
      <c r="V628" s="13"/>
      <c r="W628" s="13"/>
      <c r="X628" s="13"/>
      <c r="Y628" s="13"/>
    </row>
    <row r="629" spans="1:25" s="21" customFormat="1" ht="20.100000000000001" customHeight="1" x14ac:dyDescent="0.25">
      <c r="A629" s="38">
        <f t="shared" si="269"/>
        <v>3</v>
      </c>
      <c r="B629" s="38">
        <f t="shared" si="270"/>
        <v>0</v>
      </c>
      <c r="C629" s="124" t="s">
        <v>40</v>
      </c>
      <c r="D629" s="124"/>
      <c r="E629" s="124"/>
      <c r="F629" s="124"/>
      <c r="G629" s="125"/>
      <c r="H629" s="125"/>
      <c r="I629" s="125"/>
      <c r="J629" s="124"/>
      <c r="K629" s="13" t="str">
        <f t="shared" si="285"/>
        <v/>
      </c>
      <c r="L629" s="124"/>
      <c r="M629" s="124"/>
      <c r="N629" s="124"/>
      <c r="O629" s="124"/>
      <c r="P629" s="124"/>
      <c r="Q629" s="124"/>
      <c r="R629" s="124"/>
      <c r="S629" s="124"/>
      <c r="T629" s="124"/>
      <c r="U629" s="124"/>
      <c r="V629" s="124"/>
      <c r="X629" s="56"/>
      <c r="Y629" s="56"/>
    </row>
    <row r="630" spans="1:25" s="17" customFormat="1" ht="20.100000000000001" customHeight="1" x14ac:dyDescent="0.25">
      <c r="A630" s="38">
        <f t="shared" si="269"/>
        <v>4</v>
      </c>
      <c r="B630" s="38">
        <f t="shared" si="270"/>
        <v>0</v>
      </c>
      <c r="C630" s="10" t="s">
        <v>32</v>
      </c>
      <c r="D630" s="10">
        <v>2</v>
      </c>
      <c r="E630" s="10"/>
      <c r="F630" s="10" t="str">
        <f>"risk_c_instr_"&amp;D630</f>
        <v>risk_c_instr_2</v>
      </c>
      <c r="G630" s="10" t="str">
        <f>"Risk Instructions "&amp;D630</f>
        <v>Risk Instructions 2</v>
      </c>
      <c r="H630" s="10" t="str">
        <f>"Instructions Risque"&amp;D630</f>
        <v>Instructions Risque2</v>
      </c>
      <c r="I630" s="10" t="str">
        <f>"Instructions Risque "&amp;D630</f>
        <v>Instructions Risque 2</v>
      </c>
      <c r="J630" s="10" t="str">
        <f t="shared" ref="J630:J633" si="290">E630&amp;IF(D630="",""," ")&amp;G630</f>
        <v xml:space="preserve"> Risk Instructions 2</v>
      </c>
      <c r="K630" s="13" t="str">
        <f t="shared" si="285"/>
        <v>Instructions Risque2</v>
      </c>
      <c r="L630" s="13" t="str">
        <f t="shared" ref="L630:L633" si="291">E630&amp;IF(E630="",""," ")&amp;I630</f>
        <v>Instructions Risque 2</v>
      </c>
      <c r="M630" s="10"/>
      <c r="N630" s="122" t="s">
        <v>1312</v>
      </c>
      <c r="O630" s="10"/>
      <c r="P630" s="10"/>
      <c r="Q630" s="10"/>
      <c r="R630" s="10"/>
      <c r="S630" s="10"/>
      <c r="T630" s="10"/>
      <c r="U630" s="10"/>
      <c r="V630" s="10"/>
      <c r="W630" s="10"/>
      <c r="X630" s="10"/>
      <c r="Y630" s="10"/>
    </row>
    <row r="631" spans="1:25" s="7" customFormat="1" ht="31.5" customHeight="1" x14ac:dyDescent="0.25">
      <c r="A631" s="38">
        <f t="shared" si="269"/>
        <v>4</v>
      </c>
      <c r="B631" s="38">
        <f t="shared" si="270"/>
        <v>0</v>
      </c>
      <c r="C631" s="13" t="s">
        <v>33</v>
      </c>
      <c r="D631" s="13">
        <v>1</v>
      </c>
      <c r="E631" s="13"/>
      <c r="F631" s="13" t="str">
        <f ca="1">OFFSET(F631,-1*D631,0)&amp;"_"&amp;D631</f>
        <v>risk_c_instr_2_1</v>
      </c>
      <c r="G631" s="13"/>
      <c r="H631" t="s">
        <v>1680</v>
      </c>
      <c r="I631" s="13"/>
      <c r="J631" s="41" t="str">
        <f t="shared" si="290"/>
        <v xml:space="preserve"> </v>
      </c>
      <c r="K631" s="13" t="str">
        <f t="shared" si="285"/>
        <v>Ici j’ai un schéma avec 6 loteries</v>
      </c>
      <c r="L631" s="13" t="str">
        <f t="shared" si="291"/>
        <v/>
      </c>
      <c r="M631" s="13"/>
      <c r="N631" s="13"/>
      <c r="O631" s="13"/>
      <c r="P631" s="13"/>
      <c r="Q631" s="13"/>
      <c r="R631" s="13"/>
      <c r="S631" s="13"/>
      <c r="T631" s="13"/>
      <c r="U631" s="13"/>
      <c r="V631" s="13"/>
      <c r="W631" s="13"/>
      <c r="X631" s="13"/>
      <c r="Y631" s="13"/>
    </row>
    <row r="632" spans="1:25" s="7" customFormat="1" ht="20.100000000000001" customHeight="1" x14ac:dyDescent="0.25">
      <c r="A632" s="38">
        <f t="shared" si="269"/>
        <v>4</v>
      </c>
      <c r="B632" s="38">
        <f t="shared" si="270"/>
        <v>0</v>
      </c>
      <c r="C632" s="13" t="s">
        <v>33</v>
      </c>
      <c r="D632" s="13">
        <v>2</v>
      </c>
      <c r="E632" s="13"/>
      <c r="F632" s="13" t="str">
        <f t="shared" ref="F632:F637" ca="1" si="292">OFFSET(F632,-1*D632,0)&amp;"_"&amp;D632</f>
        <v>risk_c_instr_2_2</v>
      </c>
      <c r="G632" s="13"/>
      <c r="H632" t="s">
        <v>1681</v>
      </c>
      <c r="I632" s="13"/>
      <c r="J632" s="41" t="str">
        <f t="shared" si="290"/>
        <v xml:space="preserve"> </v>
      </c>
      <c r="K632" s="13" t="str">
        <f t="shared" si="285"/>
        <v>Chaque loterie consiste de deux options : un montant haut, et un montant bas. </v>
      </c>
      <c r="L632" s="13" t="str">
        <f t="shared" si="291"/>
        <v/>
      </c>
      <c r="M632" s="13"/>
      <c r="N632" s="13"/>
      <c r="O632" s="13"/>
      <c r="P632" s="13"/>
      <c r="Q632" s="13"/>
      <c r="R632" s="13"/>
      <c r="S632" s="13"/>
      <c r="T632" s="13"/>
      <c r="U632" s="13"/>
      <c r="V632" s="13"/>
      <c r="W632" s="13"/>
      <c r="X632" s="13"/>
      <c r="Y632" s="13"/>
    </row>
    <row r="633" spans="1:25" s="7" customFormat="1" ht="20.100000000000001" customHeight="1" x14ac:dyDescent="0.25">
      <c r="A633" s="38">
        <f t="shared" si="269"/>
        <v>4</v>
      </c>
      <c r="B633" s="38">
        <f t="shared" si="270"/>
        <v>0</v>
      </c>
      <c r="C633" s="13" t="s">
        <v>33</v>
      </c>
      <c r="D633" s="13">
        <v>3</v>
      </c>
      <c r="E633" s="13"/>
      <c r="F633" s="13" t="str">
        <f t="shared" ca="1" si="292"/>
        <v>risk_c_instr_2_3</v>
      </c>
      <c r="G633" s="13"/>
      <c r="H633" t="s">
        <v>1896</v>
      </c>
      <c r="I633" s="13"/>
      <c r="J633" s="41" t="str">
        <f t="shared" si="290"/>
        <v xml:space="preserve"> </v>
      </c>
      <c r="K633" s="13" t="str">
        <f t="shared" si="285"/>
        <v>On regarde option 1 : si vous sélectionnez cette option, et vous tirez JETON 5 lors de la réunion de paiement on va déterminer si vous recevrez le paiement bas, c’est-à-dire 4000 FC ou le paiement haut : 4000 FC.</v>
      </c>
      <c r="L633" s="13" t="str">
        <f t="shared" si="291"/>
        <v/>
      </c>
      <c r="M633" s="13"/>
      <c r="N633" s="13"/>
      <c r="O633" s="13"/>
      <c r="Q633" s="13"/>
      <c r="R633" s="13"/>
      <c r="S633" s="13"/>
      <c r="T633" s="13"/>
      <c r="U633" s="13"/>
      <c r="V633" s="13"/>
      <c r="W633" s="13"/>
      <c r="X633" s="13"/>
      <c r="Y633" s="13"/>
    </row>
    <row r="634" spans="1:25" s="7" customFormat="1" ht="20.100000000000001" customHeight="1" x14ac:dyDescent="0.25">
      <c r="A634" s="38">
        <f t="shared" si="269"/>
        <v>4</v>
      </c>
      <c r="B634" s="38">
        <f t="shared" si="270"/>
        <v>0</v>
      </c>
      <c r="C634" s="13" t="s">
        <v>33</v>
      </c>
      <c r="D634" s="13">
        <v>4</v>
      </c>
      <c r="E634" s="13"/>
      <c r="F634" s="13" t="str">
        <f t="shared" ca="1" si="292"/>
        <v>risk_c_instr_2_4</v>
      </c>
      <c r="G634" s="13"/>
      <c r="H634" t="s">
        <v>1895</v>
      </c>
      <c r="I634" s="13"/>
      <c r="J634" s="41"/>
      <c r="K634" s="13" t="str">
        <f t="shared" si="285"/>
        <v>Il y aura un sachet comme ceci. Dans ce sachet je mette deux boules. Si vous tirez la boule noire le paiement sera haut, si vous tirez la boule blanche le paiement sera bas.</v>
      </c>
      <c r="L634" s="13"/>
      <c r="M634" s="13"/>
      <c r="N634" s="13"/>
      <c r="O634" s="13"/>
      <c r="P634"/>
      <c r="Q634" s="13"/>
      <c r="R634" s="13"/>
      <c r="S634" s="13"/>
      <c r="T634" s="13"/>
      <c r="U634" s="13"/>
      <c r="V634" s="13"/>
      <c r="W634" s="13"/>
      <c r="X634" s="13"/>
      <c r="Y634" s="13"/>
    </row>
    <row r="635" spans="1:25" s="7" customFormat="1" ht="20.100000000000001" customHeight="1" x14ac:dyDescent="0.25">
      <c r="A635" s="38">
        <f t="shared" si="269"/>
        <v>4</v>
      </c>
      <c r="B635" s="38">
        <f t="shared" si="270"/>
        <v>0</v>
      </c>
      <c r="C635" s="13" t="s">
        <v>33</v>
      </c>
      <c r="D635" s="13">
        <v>5</v>
      </c>
      <c r="E635" s="13"/>
      <c r="F635" s="13" t="str">
        <f t="shared" ca="1" si="292"/>
        <v>risk_c_instr_2_5</v>
      </c>
      <c r="G635" s="13"/>
      <c r="H635" t="s">
        <v>1682</v>
      </c>
      <c r="I635" s="13"/>
      <c r="J635" s="41"/>
      <c r="K635" s="13" t="str">
        <f t="shared" ref="K635:K639" si="293">E635&amp;IF(E635="",""," ")&amp;H635</f>
        <v>Rappelez-vous que vous ne savez pas quelle boule vous allez tirer, donc vous avez le même chance d’avoir le paiement haut, que le paiement bas</v>
      </c>
      <c r="L635" s="13"/>
      <c r="M635" s="13"/>
      <c r="N635" s="13"/>
      <c r="O635" s="13"/>
      <c r="P635" s="13"/>
      <c r="Q635" s="13"/>
      <c r="R635" s="13"/>
      <c r="S635" s="13"/>
      <c r="T635" s="13"/>
      <c r="U635" s="13"/>
      <c r="V635" s="13"/>
      <c r="W635" s="13"/>
      <c r="X635" s="13"/>
      <c r="Y635" s="13"/>
    </row>
    <row r="636" spans="1:25" s="7" customFormat="1" ht="20.100000000000001" customHeight="1" x14ac:dyDescent="0.25">
      <c r="A636" s="38">
        <f t="shared" si="269"/>
        <v>4</v>
      </c>
      <c r="B636" s="38">
        <f t="shared" si="270"/>
        <v>0</v>
      </c>
      <c r="C636" s="13" t="s">
        <v>33</v>
      </c>
      <c r="D636" s="13">
        <v>6</v>
      </c>
      <c r="E636" s="13"/>
      <c r="F636" s="13" t="str">
        <f t="shared" ca="1" si="292"/>
        <v>risk_c_instr_2_6</v>
      </c>
      <c r="G636" s="13"/>
      <c r="H636" t="s">
        <v>1683</v>
      </c>
      <c r="I636" s="13"/>
      <c r="J636" s="41"/>
      <c r="K636" s="13" t="str">
        <f t="shared" si="293"/>
        <v>Comme vous avez bien compris je vais vous demander de faire votre choix.</v>
      </c>
      <c r="L636" s="13"/>
      <c r="M636" s="13"/>
      <c r="N636" s="13"/>
      <c r="O636" s="13"/>
      <c r="P636" s="13"/>
      <c r="Q636" s="13"/>
      <c r="R636" s="13"/>
      <c r="S636" s="13"/>
      <c r="T636" s="13"/>
      <c r="U636" s="13"/>
      <c r="V636" s="13"/>
      <c r="W636" s="13"/>
      <c r="X636" s="13"/>
      <c r="Y636" s="13"/>
    </row>
    <row r="637" spans="1:25" s="7" customFormat="1" ht="20.100000000000001" customHeight="1" x14ac:dyDescent="0.25">
      <c r="A637" s="38">
        <f t="shared" si="269"/>
        <v>4</v>
      </c>
      <c r="B637" s="38">
        <f t="shared" si="270"/>
        <v>0</v>
      </c>
      <c r="C637" s="13" t="s">
        <v>33</v>
      </c>
      <c r="D637" s="13">
        <v>7</v>
      </c>
      <c r="E637" s="13"/>
      <c r="F637" s="13" t="str">
        <f t="shared" ca="1" si="292"/>
        <v>risk_c_instr_2_7</v>
      </c>
      <c r="G637" s="13"/>
      <c r="H637" t="s">
        <v>1684</v>
      </c>
      <c r="I637" s="13"/>
      <c r="J637" s="41"/>
      <c r="K637" s="13" t="str">
        <f t="shared" si="293"/>
        <v>Je l’enregistre dans ce papier-ci</v>
      </c>
      <c r="L637" s="13"/>
      <c r="M637" s="13"/>
      <c r="N637" s="13"/>
      <c r="O637" s="13"/>
      <c r="P637" s="13"/>
      <c r="Q637" s="13"/>
      <c r="R637" s="13"/>
      <c r="S637" s="13"/>
      <c r="T637" s="13"/>
      <c r="U637" s="13"/>
      <c r="V637" s="13"/>
      <c r="W637" s="13"/>
      <c r="X637" s="13"/>
      <c r="Y637" s="13"/>
    </row>
    <row r="638" spans="1:25" s="21" customFormat="1" ht="20.100000000000001" customHeight="1" x14ac:dyDescent="0.25">
      <c r="A638" s="38">
        <f t="shared" si="269"/>
        <v>3</v>
      </c>
      <c r="B638" s="38">
        <f t="shared" si="270"/>
        <v>0</v>
      </c>
      <c r="C638" s="124" t="s">
        <v>40</v>
      </c>
      <c r="D638" s="124"/>
      <c r="E638" s="124"/>
      <c r="F638" s="124"/>
      <c r="G638" s="125"/>
      <c r="H638" s="125"/>
      <c r="I638" s="125"/>
      <c r="J638" s="124"/>
      <c r="K638" s="13" t="str">
        <f t="shared" si="293"/>
        <v/>
      </c>
      <c r="L638" s="124"/>
      <c r="M638" s="124"/>
      <c r="N638" s="124"/>
      <c r="O638" s="124"/>
      <c r="P638" s="124"/>
      <c r="Q638" s="124"/>
      <c r="R638" s="124"/>
      <c r="S638" s="124"/>
      <c r="T638" s="124"/>
      <c r="U638" s="124"/>
      <c r="V638" s="124"/>
      <c r="X638" s="56"/>
      <c r="Y638" s="56"/>
    </row>
    <row r="639" spans="1:25" s="7" customFormat="1" ht="20.100000000000001" customHeight="1" x14ac:dyDescent="0.25">
      <c r="A639" s="38">
        <f t="shared" si="269"/>
        <v>3</v>
      </c>
      <c r="B639" s="38">
        <f t="shared" si="270"/>
        <v>0</v>
      </c>
      <c r="C639" s="13" t="s">
        <v>35</v>
      </c>
      <c r="D639" s="13">
        <v>8</v>
      </c>
      <c r="E639" s="13"/>
      <c r="F639" s="13" t="s">
        <v>1722</v>
      </c>
      <c r="G639" s="13"/>
      <c r="H639" t="s">
        <v>1686</v>
      </c>
      <c r="I639" s="13"/>
      <c r="J639" s="41"/>
      <c r="K639" s="13" t="str">
        <f t="shared" si="293"/>
        <v>Quelle option a votre préférence ?</v>
      </c>
      <c r="L639" s="13"/>
      <c r="M639" s="13"/>
      <c r="N639" s="13"/>
      <c r="O639" s="13"/>
      <c r="P639" s="13"/>
      <c r="Q639" s="13"/>
      <c r="R639" s="13"/>
      <c r="S639" s="13"/>
      <c r="T639" s="13" t="s">
        <v>1687</v>
      </c>
      <c r="U639" s="13"/>
      <c r="V639" s="13"/>
      <c r="W639" s="13"/>
      <c r="X639" s="13" t="s">
        <v>36</v>
      </c>
      <c r="Y639" s="13"/>
    </row>
    <row r="640" spans="1:25" s="21" customFormat="1" ht="20.100000000000001" customHeight="1" x14ac:dyDescent="0.25">
      <c r="A640" s="38">
        <f t="shared" si="269"/>
        <v>2</v>
      </c>
      <c r="B640" s="38">
        <f t="shared" si="270"/>
        <v>0</v>
      </c>
      <c r="C640" s="21" t="s">
        <v>40</v>
      </c>
      <c r="G640" s="11"/>
      <c r="H640" s="11"/>
      <c r="I640" s="11"/>
    </row>
    <row r="641" spans="1:24" s="21" customFormat="1" ht="20.100000000000001" customHeight="1" x14ac:dyDescent="0.25">
      <c r="A641" s="38">
        <f t="shared" si="269"/>
        <v>1</v>
      </c>
      <c r="B641" s="38">
        <f t="shared" si="270"/>
        <v>0</v>
      </c>
      <c r="C641" s="21" t="s">
        <v>40</v>
      </c>
      <c r="G641" s="11"/>
      <c r="H641" s="11"/>
      <c r="I641" s="11"/>
    </row>
    <row r="642" spans="1:24" s="21" customFormat="1" ht="20.100000000000001" customHeight="1" x14ac:dyDescent="0.25">
      <c r="A642" s="38">
        <f t="shared" si="269"/>
        <v>0</v>
      </c>
      <c r="B642" s="38">
        <f t="shared" si="270"/>
        <v>0</v>
      </c>
      <c r="C642" s="21" t="s">
        <v>40</v>
      </c>
      <c r="G642" s="11"/>
      <c r="H642" s="11"/>
      <c r="I642" s="11"/>
    </row>
    <row r="643" spans="1:24" ht="20.100000000000001" customHeight="1" x14ac:dyDescent="0.25">
      <c r="A643" s="38">
        <f t="shared" ref="A643:A645" si="294">IF(C643="begin group",A642+1,IF(C643="end group",A642-1,A642))</f>
        <v>0</v>
      </c>
      <c r="B643" s="38">
        <f t="shared" ref="B643:B645" si="295">IF(C643="begin repeat",B642+1,IF(C643="end repeat",B642-1,B642))</f>
        <v>0</v>
      </c>
      <c r="C643" s="38" t="s">
        <v>1898</v>
      </c>
      <c r="F643" s="38" t="s">
        <v>1899</v>
      </c>
      <c r="G643" s="13" t="s">
        <v>1900</v>
      </c>
      <c r="H643" s="13" t="s">
        <v>1901</v>
      </c>
      <c r="I643" s="13" t="s">
        <v>1901</v>
      </c>
      <c r="J643" s="41"/>
      <c r="K643" s="13" t="str">
        <f t="shared" ref="K643" si="296">E643&amp;IF(E643="",""," ")&amp;H643</f>
        <v>Patientez lorsque je prends la localisation</v>
      </c>
      <c r="L643" s="13"/>
    </row>
    <row r="644" spans="1:24" ht="20.100000000000001" customHeight="1" x14ac:dyDescent="0.25">
      <c r="A644" s="38">
        <f t="shared" si="294"/>
        <v>0</v>
      </c>
      <c r="B644" s="38">
        <f t="shared" si="295"/>
        <v>0</v>
      </c>
      <c r="C644" s="38" t="s">
        <v>1905</v>
      </c>
      <c r="F644" s="38" t="s">
        <v>1902</v>
      </c>
      <c r="G644" s="13" t="s">
        <v>1903</v>
      </c>
      <c r="H644" s="13" t="s">
        <v>1904</v>
      </c>
      <c r="J644" s="41"/>
      <c r="K644" s="13" t="str">
        <f t="shared" ref="K644:K645" si="297">E644&amp;IF(E644="",""," ")&amp;H644</f>
        <v>Resultat d'entretien</v>
      </c>
      <c r="L644" s="13"/>
      <c r="X644" s="38" t="s">
        <v>36</v>
      </c>
    </row>
    <row r="645" spans="1:24" ht="20.100000000000001" customHeight="1" x14ac:dyDescent="0.25">
      <c r="A645" s="38">
        <f t="shared" si="294"/>
        <v>0</v>
      </c>
      <c r="B645" s="38">
        <f t="shared" si="295"/>
        <v>0</v>
      </c>
      <c r="C645" s="38" t="s">
        <v>34</v>
      </c>
      <c r="F645" s="38" t="s">
        <v>1910</v>
      </c>
      <c r="G645" s="13" t="s">
        <v>1911</v>
      </c>
      <c r="H645" s="13" t="s">
        <v>591</v>
      </c>
      <c r="I645" s="13" t="s">
        <v>591</v>
      </c>
      <c r="J645" s="41"/>
      <c r="K645" s="13" t="str">
        <f t="shared" si="297"/>
        <v>Specifiez</v>
      </c>
      <c r="L645" s="13"/>
      <c r="R645" s="7" t="s">
        <v>1912</v>
      </c>
      <c r="X645" s="38" t="s">
        <v>36</v>
      </c>
    </row>
  </sheetData>
  <phoneticPr fontId="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0"/>
  <sheetViews>
    <sheetView workbookViewId="0">
      <pane xSplit="2" ySplit="1" topLeftCell="C743" activePane="bottomRight" state="frozen"/>
      <selection pane="topRight" activeCell="C1" sqref="C1"/>
      <selection pane="bottomLeft" activeCell="A2" sqref="A2"/>
      <selection pane="bottomRight" activeCell="E758" sqref="E758"/>
    </sheetView>
  </sheetViews>
  <sheetFormatPr defaultColWidth="11.42578125" defaultRowHeight="15" x14ac:dyDescent="0.25"/>
  <cols>
    <col min="1" max="1" width="21.5703125" style="6" customWidth="1"/>
    <col min="2" max="2" width="19.85546875" style="6" customWidth="1"/>
    <col min="3" max="3" width="26.85546875" style="6" customWidth="1"/>
    <col min="4" max="4" width="37.42578125" style="6" customWidth="1"/>
    <col min="5" max="5" width="39.5703125" style="9" customWidth="1"/>
    <col min="6" max="16384" width="11.42578125" style="6"/>
  </cols>
  <sheetData>
    <row r="1" spans="1:6" x14ac:dyDescent="0.25">
      <c r="A1" s="87" t="s">
        <v>37</v>
      </c>
      <c r="B1" s="87" t="s">
        <v>23</v>
      </c>
      <c r="C1" s="87" t="s">
        <v>29</v>
      </c>
      <c r="D1" s="87" t="s">
        <v>92</v>
      </c>
      <c r="E1" s="88" t="s">
        <v>31</v>
      </c>
      <c r="F1" s="88" t="s">
        <v>1248</v>
      </c>
    </row>
    <row r="2" spans="1:6" x14ac:dyDescent="0.25">
      <c r="A2" s="6" t="s">
        <v>2022</v>
      </c>
      <c r="B2" t="s">
        <v>2023</v>
      </c>
      <c r="C2" t="s">
        <v>2024</v>
      </c>
      <c r="D2" t="s">
        <v>2024</v>
      </c>
      <c r="E2" t="s">
        <v>2024</v>
      </c>
      <c r="F2" s="88"/>
    </row>
    <row r="3" spans="1:6" x14ac:dyDescent="0.25">
      <c r="A3" s="87"/>
      <c r="B3" s="87"/>
      <c r="C3" s="87"/>
      <c r="D3" s="87"/>
      <c r="E3" s="88"/>
      <c r="F3" s="88"/>
    </row>
    <row r="4" spans="1:6" x14ac:dyDescent="0.25">
      <c r="A4" s="6" t="s">
        <v>2025</v>
      </c>
      <c r="B4" s="6">
        <v>1</v>
      </c>
      <c r="C4" s="6" t="s">
        <v>2026</v>
      </c>
      <c r="D4" s="6" t="s">
        <v>2026</v>
      </c>
      <c r="E4" s="6" t="s">
        <v>2026</v>
      </c>
      <c r="F4" s="9"/>
    </row>
    <row r="5" spans="1:6" x14ac:dyDescent="0.25">
      <c r="A5" s="6" t="s">
        <v>2025</v>
      </c>
      <c r="B5" s="6">
        <v>2</v>
      </c>
      <c r="C5" s="6" t="s">
        <v>2027</v>
      </c>
      <c r="D5" s="6" t="s">
        <v>2027</v>
      </c>
      <c r="E5" s="6" t="s">
        <v>2027</v>
      </c>
      <c r="F5" s="9"/>
    </row>
    <row r="6" spans="1:6" x14ac:dyDescent="0.25">
      <c r="A6" s="6" t="s">
        <v>2025</v>
      </c>
      <c r="B6" s="6">
        <v>3</v>
      </c>
      <c r="C6" s="9" t="s">
        <v>2028</v>
      </c>
      <c r="D6" s="9" t="s">
        <v>2028</v>
      </c>
      <c r="E6" s="9" t="s">
        <v>2028</v>
      </c>
      <c r="F6" s="9"/>
    </row>
    <row r="7" spans="1:6" x14ac:dyDescent="0.25">
      <c r="A7" s="6" t="s">
        <v>2025</v>
      </c>
      <c r="B7" s="6">
        <v>4</v>
      </c>
      <c r="C7" s="9" t="s">
        <v>2029</v>
      </c>
      <c r="D7" s="9" t="s">
        <v>2029</v>
      </c>
      <c r="E7" s="9" t="s">
        <v>2029</v>
      </c>
      <c r="F7" s="9"/>
    </row>
    <row r="8" spans="1:6" x14ac:dyDescent="0.25">
      <c r="F8" s="9"/>
    </row>
    <row r="9" spans="1:6" x14ac:dyDescent="0.25">
      <c r="A9" s="6" t="s">
        <v>2030</v>
      </c>
      <c r="B9" t="s">
        <v>2031</v>
      </c>
      <c r="C9" t="s">
        <v>2032</v>
      </c>
      <c r="D9" t="s">
        <v>2032</v>
      </c>
      <c r="E9" t="s">
        <v>2032</v>
      </c>
      <c r="F9" s="88"/>
    </row>
    <row r="10" spans="1:6" x14ac:dyDescent="0.25">
      <c r="A10" s="89"/>
      <c r="B10" s="90" t="s">
        <v>238</v>
      </c>
      <c r="C10" s="89"/>
      <c r="D10" s="89"/>
      <c r="E10" s="26"/>
    </row>
    <row r="11" spans="1:6" x14ac:dyDescent="0.25">
      <c r="A11" s="50" t="s">
        <v>925</v>
      </c>
      <c r="B11" s="142">
        <v>1</v>
      </c>
      <c r="C11" s="142" t="s">
        <v>1320</v>
      </c>
      <c r="D11" s="142" t="s">
        <v>1320</v>
      </c>
      <c r="E11" s="142" t="s">
        <v>1320</v>
      </c>
    </row>
    <row r="12" spans="1:6" x14ac:dyDescent="0.25">
      <c r="A12" s="50" t="s">
        <v>925</v>
      </c>
      <c r="B12" s="142">
        <v>2</v>
      </c>
      <c r="C12" s="142" t="s">
        <v>1321</v>
      </c>
      <c r="D12" s="142" t="s">
        <v>1321</v>
      </c>
      <c r="E12" s="142" t="s">
        <v>1321</v>
      </c>
    </row>
    <row r="13" spans="1:6" x14ac:dyDescent="0.25">
      <c r="A13" s="50" t="s">
        <v>925</v>
      </c>
      <c r="B13" s="142">
        <v>3</v>
      </c>
      <c r="C13" s="142" t="s">
        <v>1322</v>
      </c>
      <c r="D13" s="142" t="s">
        <v>1322</v>
      </c>
      <c r="E13" s="142" t="s">
        <v>1322</v>
      </c>
    </row>
    <row r="14" spans="1:6" x14ac:dyDescent="0.25">
      <c r="A14" s="50" t="s">
        <v>925</v>
      </c>
      <c r="B14" s="142">
        <v>4</v>
      </c>
      <c r="C14" s="142" t="s">
        <v>1323</v>
      </c>
      <c r="D14" s="142" t="s">
        <v>1323</v>
      </c>
      <c r="E14" s="142" t="s">
        <v>1323</v>
      </c>
    </row>
    <row r="15" spans="1:6" x14ac:dyDescent="0.25">
      <c r="A15" s="50" t="s">
        <v>925</v>
      </c>
      <c r="B15" s="142">
        <v>5</v>
      </c>
      <c r="C15" s="142" t="s">
        <v>1324</v>
      </c>
      <c r="D15" s="142" t="s">
        <v>1324</v>
      </c>
      <c r="E15" s="142" t="s">
        <v>1324</v>
      </c>
    </row>
    <row r="16" spans="1:6" x14ac:dyDescent="0.25">
      <c r="A16" s="50" t="s">
        <v>925</v>
      </c>
      <c r="B16" s="142">
        <v>7</v>
      </c>
      <c r="C16" s="142" t="s">
        <v>1325</v>
      </c>
      <c r="D16" s="142" t="s">
        <v>1325</v>
      </c>
      <c r="E16" s="142" t="s">
        <v>1325</v>
      </c>
    </row>
    <row r="17" spans="1:5" x14ac:dyDescent="0.25">
      <c r="A17" s="50" t="s">
        <v>925</v>
      </c>
      <c r="B17" s="142">
        <v>8</v>
      </c>
      <c r="C17" s="142" t="s">
        <v>1326</v>
      </c>
      <c r="D17" s="142" t="s">
        <v>1326</v>
      </c>
      <c r="E17" s="142" t="s">
        <v>1326</v>
      </c>
    </row>
    <row r="18" spans="1:5" x14ac:dyDescent="0.25">
      <c r="A18" s="50" t="s">
        <v>925</v>
      </c>
      <c r="B18" s="142">
        <v>10</v>
      </c>
      <c r="C18" s="142" t="s">
        <v>1327</v>
      </c>
      <c r="D18" s="142" t="s">
        <v>1327</v>
      </c>
      <c r="E18" s="142" t="s">
        <v>1327</v>
      </c>
    </row>
    <row r="19" spans="1:5" x14ac:dyDescent="0.25">
      <c r="A19" s="50" t="s">
        <v>925</v>
      </c>
      <c r="B19" s="142">
        <v>11</v>
      </c>
      <c r="C19" s="142" t="s">
        <v>1328</v>
      </c>
      <c r="D19" s="142" t="s">
        <v>1328</v>
      </c>
      <c r="E19" s="142" t="s">
        <v>1328</v>
      </c>
    </row>
    <row r="20" spans="1:5" x14ac:dyDescent="0.25">
      <c r="A20" s="50" t="s">
        <v>925</v>
      </c>
      <c r="B20" s="142">
        <v>12</v>
      </c>
      <c r="C20" s="142" t="s">
        <v>1329</v>
      </c>
      <c r="D20" s="142" t="s">
        <v>1329</v>
      </c>
      <c r="E20" s="142" t="s">
        <v>1329</v>
      </c>
    </row>
    <row r="21" spans="1:5" x14ac:dyDescent="0.25">
      <c r="A21" s="50" t="s">
        <v>925</v>
      </c>
      <c r="B21" s="142">
        <v>13</v>
      </c>
      <c r="C21" s="142" t="s">
        <v>1330</v>
      </c>
      <c r="D21" s="142" t="s">
        <v>1330</v>
      </c>
      <c r="E21" s="142" t="s">
        <v>1330</v>
      </c>
    </row>
    <row r="22" spans="1:5" x14ac:dyDescent="0.25">
      <c r="A22" s="50" t="s">
        <v>925</v>
      </c>
      <c r="B22" s="142">
        <v>16</v>
      </c>
      <c r="C22" s="142" t="s">
        <v>1331</v>
      </c>
      <c r="D22" s="142" t="s">
        <v>1331</v>
      </c>
      <c r="E22" s="142" t="s">
        <v>1331</v>
      </c>
    </row>
    <row r="23" spans="1:5" x14ac:dyDescent="0.25">
      <c r="A23" s="50" t="s">
        <v>925</v>
      </c>
      <c r="B23" s="142">
        <v>17</v>
      </c>
      <c r="C23" s="142" t="s">
        <v>1332</v>
      </c>
      <c r="D23" s="142" t="s">
        <v>1332</v>
      </c>
      <c r="E23" s="142" t="s">
        <v>1332</v>
      </c>
    </row>
    <row r="24" spans="1:5" x14ac:dyDescent="0.25">
      <c r="A24" s="50" t="s">
        <v>925</v>
      </c>
      <c r="B24" s="142">
        <v>18</v>
      </c>
      <c r="C24" s="142" t="s">
        <v>927</v>
      </c>
      <c r="D24" s="142" t="s">
        <v>927</v>
      </c>
      <c r="E24" s="142" t="s">
        <v>927</v>
      </c>
    </row>
    <row r="25" spans="1:5" x14ac:dyDescent="0.25">
      <c r="A25" s="50" t="s">
        <v>925</v>
      </c>
      <c r="B25" s="142">
        <v>19</v>
      </c>
      <c r="C25" s="142" t="s">
        <v>1333</v>
      </c>
      <c r="D25" s="142" t="s">
        <v>1333</v>
      </c>
      <c r="E25" s="142" t="s">
        <v>1333</v>
      </c>
    </row>
    <row r="26" spans="1:5" x14ac:dyDescent="0.25">
      <c r="A26" s="50" t="s">
        <v>925</v>
      </c>
      <c r="B26" s="142">
        <v>21</v>
      </c>
      <c r="C26" s="142" t="s">
        <v>1334</v>
      </c>
      <c r="D26" s="142" t="s">
        <v>1334</v>
      </c>
      <c r="E26" s="142" t="s">
        <v>1334</v>
      </c>
    </row>
    <row r="27" spans="1:5" x14ac:dyDescent="0.25">
      <c r="A27" s="50" t="s">
        <v>925</v>
      </c>
      <c r="B27" s="142">
        <v>22</v>
      </c>
      <c r="C27" s="142" t="s">
        <v>1335</v>
      </c>
      <c r="D27" s="142" t="s">
        <v>1335</v>
      </c>
      <c r="E27" s="142" t="s">
        <v>1335</v>
      </c>
    </row>
    <row r="28" spans="1:5" x14ac:dyDescent="0.25">
      <c r="A28" s="50" t="s">
        <v>925</v>
      </c>
      <c r="B28" s="142">
        <v>91</v>
      </c>
      <c r="C28" s="142" t="s">
        <v>1336</v>
      </c>
      <c r="D28" s="142" t="s">
        <v>1336</v>
      </c>
      <c r="E28" s="142" t="s">
        <v>1336</v>
      </c>
    </row>
    <row r="29" spans="1:5" x14ac:dyDescent="0.25">
      <c r="A29" s="50" t="s">
        <v>925</v>
      </c>
      <c r="B29" s="142">
        <v>23</v>
      </c>
      <c r="C29" s="142" t="s">
        <v>1337</v>
      </c>
      <c r="D29" s="142" t="s">
        <v>1337</v>
      </c>
      <c r="E29" s="142" t="s">
        <v>1337</v>
      </c>
    </row>
    <row r="30" spans="1:5" x14ac:dyDescent="0.25">
      <c r="A30" s="50" t="s">
        <v>925</v>
      </c>
      <c r="B30" s="142">
        <v>24</v>
      </c>
      <c r="C30" s="142" t="s">
        <v>1338</v>
      </c>
      <c r="D30" s="142" t="s">
        <v>1338</v>
      </c>
      <c r="E30" s="142" t="s">
        <v>1338</v>
      </c>
    </row>
    <row r="31" spans="1:5" x14ac:dyDescent="0.25">
      <c r="A31" s="50" t="s">
        <v>925</v>
      </c>
      <c r="B31" s="142">
        <v>26</v>
      </c>
      <c r="C31" s="142" t="s">
        <v>1339</v>
      </c>
      <c r="D31" s="142" t="s">
        <v>1339</v>
      </c>
      <c r="E31" s="142" t="s">
        <v>1339</v>
      </c>
    </row>
    <row r="32" spans="1:5" x14ac:dyDescent="0.25">
      <c r="A32" s="50" t="s">
        <v>925</v>
      </c>
      <c r="B32" s="142">
        <v>27</v>
      </c>
      <c r="C32" s="142" t="s">
        <v>1340</v>
      </c>
      <c r="D32" s="142" t="s">
        <v>1340</v>
      </c>
      <c r="E32" s="142" t="s">
        <v>1340</v>
      </c>
    </row>
    <row r="33" spans="1:5" x14ac:dyDescent="0.25">
      <c r="A33" s="50" t="s">
        <v>925</v>
      </c>
      <c r="B33" s="142">
        <v>28</v>
      </c>
      <c r="C33" s="142" t="s">
        <v>1341</v>
      </c>
      <c r="D33" s="142" t="s">
        <v>1341</v>
      </c>
      <c r="E33" s="142" t="s">
        <v>1341</v>
      </c>
    </row>
    <row r="34" spans="1:5" x14ac:dyDescent="0.25">
      <c r="A34" s="50" t="s">
        <v>925</v>
      </c>
      <c r="B34" s="142">
        <v>30</v>
      </c>
      <c r="C34" s="142" t="s">
        <v>1342</v>
      </c>
      <c r="D34" s="142" t="s">
        <v>1342</v>
      </c>
      <c r="E34" s="142" t="s">
        <v>1342</v>
      </c>
    </row>
    <row r="35" spans="1:5" x14ac:dyDescent="0.25">
      <c r="A35" s="50" t="s">
        <v>925</v>
      </c>
      <c r="B35" s="142">
        <v>31</v>
      </c>
      <c r="C35" s="142" t="s">
        <v>1343</v>
      </c>
      <c r="D35" s="142" t="s">
        <v>1343</v>
      </c>
      <c r="E35" s="142" t="s">
        <v>1343</v>
      </c>
    </row>
    <row r="36" spans="1:5" x14ac:dyDescent="0.25">
      <c r="A36" s="50" t="s">
        <v>925</v>
      </c>
      <c r="B36" s="142">
        <v>33</v>
      </c>
      <c r="C36" s="142" t="s">
        <v>1344</v>
      </c>
      <c r="D36" s="142" t="s">
        <v>1344</v>
      </c>
      <c r="E36" s="142" t="s">
        <v>1344</v>
      </c>
    </row>
    <row r="37" spans="1:5" x14ac:dyDescent="0.25">
      <c r="A37" s="50" t="s">
        <v>925</v>
      </c>
      <c r="B37" s="142">
        <v>35</v>
      </c>
      <c r="C37" s="142" t="s">
        <v>1345</v>
      </c>
      <c r="D37" s="142" t="s">
        <v>1345</v>
      </c>
      <c r="E37" s="142" t="s">
        <v>1345</v>
      </c>
    </row>
    <row r="38" spans="1:5" x14ac:dyDescent="0.25">
      <c r="A38" s="50" t="s">
        <v>925</v>
      </c>
      <c r="B38" s="142">
        <v>36</v>
      </c>
      <c r="C38" s="142" t="s">
        <v>1346</v>
      </c>
      <c r="D38" s="142" t="s">
        <v>1346</v>
      </c>
      <c r="E38" s="142" t="s">
        <v>1346</v>
      </c>
    </row>
    <row r="39" spans="1:5" x14ac:dyDescent="0.25">
      <c r="A39" s="50" t="s">
        <v>925</v>
      </c>
      <c r="B39" s="142">
        <v>38</v>
      </c>
      <c r="C39" s="142" t="s">
        <v>1347</v>
      </c>
      <c r="D39" s="142" t="s">
        <v>1347</v>
      </c>
      <c r="E39" s="142" t="s">
        <v>1347</v>
      </c>
    </row>
    <row r="40" spans="1:5" x14ac:dyDescent="0.25">
      <c r="A40" s="50" t="s">
        <v>925</v>
      </c>
      <c r="B40" s="142">
        <v>39</v>
      </c>
      <c r="C40" s="142" t="s">
        <v>1348</v>
      </c>
      <c r="D40" s="142" t="s">
        <v>1348</v>
      </c>
      <c r="E40" s="142" t="s">
        <v>1348</v>
      </c>
    </row>
    <row r="41" spans="1:5" x14ac:dyDescent="0.25">
      <c r="A41" s="50" t="s">
        <v>925</v>
      </c>
      <c r="B41" s="142">
        <v>40</v>
      </c>
      <c r="C41" s="142" t="s">
        <v>1349</v>
      </c>
      <c r="D41" s="142" t="s">
        <v>1349</v>
      </c>
      <c r="E41" s="142" t="s">
        <v>1349</v>
      </c>
    </row>
    <row r="42" spans="1:5" x14ac:dyDescent="0.25">
      <c r="A42" s="50" t="s">
        <v>925</v>
      </c>
      <c r="B42" s="142">
        <v>41</v>
      </c>
      <c r="C42" s="142" t="s">
        <v>926</v>
      </c>
      <c r="D42" s="142" t="s">
        <v>926</v>
      </c>
      <c r="E42" s="142" t="s">
        <v>926</v>
      </c>
    </row>
    <row r="43" spans="1:5" x14ac:dyDescent="0.25">
      <c r="A43" s="50" t="s">
        <v>925</v>
      </c>
      <c r="B43" s="142">
        <v>42</v>
      </c>
      <c r="C43" s="142" t="s">
        <v>1350</v>
      </c>
      <c r="D43" s="142" t="s">
        <v>1350</v>
      </c>
      <c r="E43" s="142" t="s">
        <v>1350</v>
      </c>
    </row>
    <row r="44" spans="1:5" x14ac:dyDescent="0.25">
      <c r="A44" s="50" t="s">
        <v>925</v>
      </c>
      <c r="B44" s="142">
        <v>43</v>
      </c>
      <c r="C44" s="142" t="s">
        <v>1351</v>
      </c>
      <c r="D44" s="142" t="s">
        <v>1351</v>
      </c>
      <c r="E44" s="142" t="s">
        <v>1351</v>
      </c>
    </row>
    <row r="45" spans="1:5" x14ac:dyDescent="0.25">
      <c r="A45" s="50" t="s">
        <v>925</v>
      </c>
      <c r="B45" s="142">
        <v>46</v>
      </c>
      <c r="C45" s="142" t="s">
        <v>1352</v>
      </c>
      <c r="D45" s="142" t="s">
        <v>1352</v>
      </c>
      <c r="E45" s="142" t="s">
        <v>1352</v>
      </c>
    </row>
    <row r="46" spans="1:5" x14ac:dyDescent="0.25">
      <c r="A46" s="50" t="s">
        <v>925</v>
      </c>
      <c r="B46" s="142">
        <v>47</v>
      </c>
      <c r="C46" s="142" t="s">
        <v>1353</v>
      </c>
      <c r="D46" s="142" t="s">
        <v>1353</v>
      </c>
      <c r="E46" s="142" t="s">
        <v>1353</v>
      </c>
    </row>
    <row r="47" spans="1:5" x14ac:dyDescent="0.25">
      <c r="A47" s="50" t="s">
        <v>925</v>
      </c>
      <c r="B47" s="142">
        <v>48</v>
      </c>
      <c r="C47" s="142" t="s">
        <v>1354</v>
      </c>
      <c r="D47" s="142" t="s">
        <v>1354</v>
      </c>
      <c r="E47" s="142" t="s">
        <v>1354</v>
      </c>
    </row>
    <row r="48" spans="1:5" x14ac:dyDescent="0.25">
      <c r="A48" s="50" t="s">
        <v>925</v>
      </c>
      <c r="B48" s="142">
        <v>51</v>
      </c>
      <c r="C48" s="142" t="s">
        <v>1355</v>
      </c>
      <c r="D48" s="142" t="s">
        <v>1355</v>
      </c>
      <c r="E48" s="142" t="s">
        <v>1355</v>
      </c>
    </row>
    <row r="49" spans="1:5" x14ac:dyDescent="0.25">
      <c r="A49" s="50" t="s">
        <v>925</v>
      </c>
      <c r="B49" s="142">
        <v>59</v>
      </c>
      <c r="C49" s="142" t="s">
        <v>1356</v>
      </c>
      <c r="D49" s="142" t="s">
        <v>1356</v>
      </c>
      <c r="E49" s="142" t="s">
        <v>1356</v>
      </c>
    </row>
    <row r="50" spans="1:5" x14ac:dyDescent="0.25">
      <c r="A50" s="50" t="s">
        <v>925</v>
      </c>
      <c r="B50" s="142">
        <v>60</v>
      </c>
      <c r="C50" s="142" t="s">
        <v>1357</v>
      </c>
      <c r="D50" s="142" t="s">
        <v>1357</v>
      </c>
      <c r="E50" s="142" t="s">
        <v>1357</v>
      </c>
    </row>
    <row r="51" spans="1:5" x14ac:dyDescent="0.25">
      <c r="A51" s="50"/>
      <c r="B51" s="142"/>
      <c r="C51" s="142"/>
      <c r="D51" s="142"/>
      <c r="E51" s="142"/>
    </row>
    <row r="52" spans="1:5" x14ac:dyDescent="0.25">
      <c r="A52" s="6" t="s">
        <v>147</v>
      </c>
      <c r="B52" s="6">
        <v>1</v>
      </c>
      <c r="C52" s="6" t="s">
        <v>48</v>
      </c>
      <c r="D52" s="6" t="s">
        <v>133</v>
      </c>
      <c r="E52" s="9" t="s">
        <v>714</v>
      </c>
    </row>
    <row r="53" spans="1:5" x14ac:dyDescent="0.25">
      <c r="A53" s="6" t="s">
        <v>147</v>
      </c>
      <c r="B53" s="6">
        <v>0</v>
      </c>
      <c r="C53" s="6" t="s">
        <v>49</v>
      </c>
      <c r="D53" s="6" t="s">
        <v>134</v>
      </c>
      <c r="E53" s="9" t="s">
        <v>715</v>
      </c>
    </row>
    <row r="54" spans="1:5" ht="15.75" customHeight="1" x14ac:dyDescent="0.25">
      <c r="A54" s="50"/>
      <c r="B54" s="148"/>
      <c r="C54" s="50"/>
      <c r="D54" s="50"/>
      <c r="E54" s="50"/>
    </row>
    <row r="55" spans="1:5" x14ac:dyDescent="0.25">
      <c r="A55" s="6" t="s">
        <v>84</v>
      </c>
      <c r="B55" s="6">
        <v>0</v>
      </c>
      <c r="C55" s="6" t="s">
        <v>21</v>
      </c>
      <c r="D55" s="6" t="s">
        <v>66</v>
      </c>
      <c r="E55" s="9" t="s">
        <v>716</v>
      </c>
    </row>
    <row r="56" spans="1:5" x14ac:dyDescent="0.25">
      <c r="A56" s="6" t="s">
        <v>84</v>
      </c>
      <c r="B56" s="6">
        <v>1</v>
      </c>
      <c r="C56" s="6" t="s">
        <v>85</v>
      </c>
      <c r="D56" s="6" t="s">
        <v>87</v>
      </c>
      <c r="E56" s="9" t="s">
        <v>717</v>
      </c>
    </row>
    <row r="57" spans="1:5" x14ac:dyDescent="0.25">
      <c r="A57" s="6" t="s">
        <v>84</v>
      </c>
      <c r="B57" s="6">
        <v>2</v>
      </c>
      <c r="C57" s="6" t="s">
        <v>18</v>
      </c>
      <c r="D57" s="6" t="s">
        <v>88</v>
      </c>
      <c r="E57" s="9" t="s">
        <v>718</v>
      </c>
    </row>
    <row r="58" spans="1:5" x14ac:dyDescent="0.25">
      <c r="A58" s="6" t="s">
        <v>84</v>
      </c>
      <c r="B58" s="6">
        <v>3</v>
      </c>
      <c r="C58" s="6" t="s">
        <v>19</v>
      </c>
      <c r="D58" s="6" t="s">
        <v>89</v>
      </c>
      <c r="E58" s="9" t="s">
        <v>719</v>
      </c>
    </row>
    <row r="59" spans="1:5" x14ac:dyDescent="0.25">
      <c r="A59" s="6" t="s">
        <v>84</v>
      </c>
      <c r="B59" s="6">
        <v>4</v>
      </c>
      <c r="C59" s="6" t="s">
        <v>86</v>
      </c>
      <c r="D59" s="6" t="s">
        <v>90</v>
      </c>
      <c r="E59" s="9" t="s">
        <v>720</v>
      </c>
    </row>
    <row r="60" spans="1:5" x14ac:dyDescent="0.25">
      <c r="A60" s="6" t="s">
        <v>84</v>
      </c>
      <c r="B60" s="6">
        <v>5</v>
      </c>
      <c r="C60" s="6" t="s">
        <v>20</v>
      </c>
      <c r="D60" s="6" t="s">
        <v>91</v>
      </c>
      <c r="E60" s="9" t="s">
        <v>721</v>
      </c>
    </row>
    <row r="62" spans="1:5" x14ac:dyDescent="0.25">
      <c r="A62" s="6" t="s">
        <v>1442</v>
      </c>
      <c r="B62" s="6">
        <v>0</v>
      </c>
      <c r="C62" s="6" t="s">
        <v>21</v>
      </c>
      <c r="D62" s="6" t="s">
        <v>66</v>
      </c>
      <c r="E62" s="9" t="s">
        <v>716</v>
      </c>
    </row>
    <row r="63" spans="1:5" x14ac:dyDescent="0.25">
      <c r="A63" s="6" t="s">
        <v>1442</v>
      </c>
      <c r="B63" s="6">
        <v>1</v>
      </c>
      <c r="C63" s="6" t="s">
        <v>1443</v>
      </c>
      <c r="D63" s="6" t="s">
        <v>1444</v>
      </c>
      <c r="E63" s="9" t="s">
        <v>1445</v>
      </c>
    </row>
    <row r="64" spans="1:5" x14ac:dyDescent="0.25">
      <c r="A64" s="6" t="s">
        <v>1442</v>
      </c>
      <c r="B64" s="6">
        <v>10</v>
      </c>
      <c r="C64" s="6" t="s">
        <v>1446</v>
      </c>
      <c r="D64" s="6" t="s">
        <v>1447</v>
      </c>
      <c r="E64" s="9" t="s">
        <v>1448</v>
      </c>
    </row>
    <row r="65" spans="1:5" x14ac:dyDescent="0.25">
      <c r="A65" s="6" t="s">
        <v>1442</v>
      </c>
      <c r="B65" s="6">
        <v>45</v>
      </c>
      <c r="C65" s="6" t="s">
        <v>1449</v>
      </c>
      <c r="D65" s="6" t="s">
        <v>1450</v>
      </c>
      <c r="E65" s="9" t="s">
        <v>1451</v>
      </c>
    </row>
    <row r="66" spans="1:5" x14ac:dyDescent="0.25">
      <c r="A66" s="6" t="s">
        <v>1442</v>
      </c>
      <c r="B66" s="6">
        <v>55</v>
      </c>
      <c r="C66" s="6" t="s">
        <v>1452</v>
      </c>
      <c r="D66" s="6" t="s">
        <v>1453</v>
      </c>
      <c r="E66" s="9" t="s">
        <v>1454</v>
      </c>
    </row>
    <row r="67" spans="1:5" x14ac:dyDescent="0.25">
      <c r="A67" s="6" t="s">
        <v>1442</v>
      </c>
      <c r="B67" s="6">
        <v>90</v>
      </c>
      <c r="C67" s="6" t="s">
        <v>1455</v>
      </c>
      <c r="D67" s="6" t="s">
        <v>1456</v>
      </c>
      <c r="E67" s="9" t="s">
        <v>1457</v>
      </c>
    </row>
    <row r="68" spans="1:5" x14ac:dyDescent="0.25">
      <c r="E68" s="27"/>
    </row>
    <row r="69" spans="1:5" x14ac:dyDescent="0.25">
      <c r="A69" s="50" t="s">
        <v>462</v>
      </c>
      <c r="B69" s="6">
        <v>1</v>
      </c>
      <c r="C69" s="6" t="s">
        <v>463</v>
      </c>
      <c r="D69" s="50" t="s">
        <v>464</v>
      </c>
      <c r="E69" s="9" t="s">
        <v>722</v>
      </c>
    </row>
    <row r="70" spans="1:5" x14ac:dyDescent="0.25">
      <c r="A70" s="50" t="s">
        <v>462</v>
      </c>
      <c r="B70" s="6">
        <v>2</v>
      </c>
      <c r="C70" s="6" t="s">
        <v>465</v>
      </c>
      <c r="D70" s="6" t="s">
        <v>466</v>
      </c>
      <c r="E70" s="9" t="s">
        <v>723</v>
      </c>
    </row>
    <row r="71" spans="1:5" ht="14.25" customHeight="1" x14ac:dyDescent="0.25">
      <c r="A71" s="50" t="s">
        <v>462</v>
      </c>
      <c r="B71" s="6">
        <v>3</v>
      </c>
      <c r="C71" s="6" t="s">
        <v>467</v>
      </c>
      <c r="D71" s="6" t="s">
        <v>468</v>
      </c>
      <c r="E71" s="9" t="s">
        <v>724</v>
      </c>
    </row>
    <row r="72" spans="1:5" x14ac:dyDescent="0.25">
      <c r="A72" s="50" t="s">
        <v>462</v>
      </c>
      <c r="B72" s="6">
        <v>4</v>
      </c>
      <c r="C72" s="6" t="s">
        <v>469</v>
      </c>
      <c r="D72" s="6" t="s">
        <v>470</v>
      </c>
      <c r="E72" s="9" t="s">
        <v>725</v>
      </c>
    </row>
    <row r="73" spans="1:5" x14ac:dyDescent="0.25">
      <c r="A73" s="50" t="s">
        <v>462</v>
      </c>
      <c r="B73" s="6">
        <v>5</v>
      </c>
      <c r="C73" s="6" t="s">
        <v>471</v>
      </c>
      <c r="D73" s="6" t="s">
        <v>472</v>
      </c>
      <c r="E73" s="9" t="s">
        <v>726</v>
      </c>
    </row>
    <row r="74" spans="1:5" x14ac:dyDescent="0.25">
      <c r="A74" s="50" t="s">
        <v>462</v>
      </c>
      <c r="B74" s="9">
        <v>98</v>
      </c>
      <c r="C74" s="9" t="s">
        <v>73</v>
      </c>
      <c r="D74" s="6" t="s">
        <v>1458</v>
      </c>
      <c r="E74" s="6" t="s">
        <v>1458</v>
      </c>
    </row>
    <row r="75" spans="1:5" x14ac:dyDescent="0.25">
      <c r="A75" s="50" t="s">
        <v>462</v>
      </c>
      <c r="B75" s="9">
        <v>97</v>
      </c>
      <c r="C75" s="9" t="s">
        <v>1226</v>
      </c>
      <c r="D75" s="9" t="s">
        <v>103</v>
      </c>
      <c r="E75" s="9" t="s">
        <v>103</v>
      </c>
    </row>
    <row r="76" spans="1:5" x14ac:dyDescent="0.25">
      <c r="A76" s="50"/>
    </row>
    <row r="77" spans="1:5" x14ac:dyDescent="0.25">
      <c r="A77" s="27" t="s">
        <v>1228</v>
      </c>
      <c r="B77" s="9">
        <v>1</v>
      </c>
      <c r="C77" s="6" t="s">
        <v>463</v>
      </c>
      <c r="D77" s="6" t="s">
        <v>464</v>
      </c>
      <c r="E77" s="6" t="s">
        <v>464</v>
      </c>
    </row>
    <row r="78" spans="1:5" x14ac:dyDescent="0.25">
      <c r="A78" s="27" t="s">
        <v>1228</v>
      </c>
      <c r="B78" s="9">
        <v>2</v>
      </c>
      <c r="C78" s="9" t="s">
        <v>1222</v>
      </c>
      <c r="D78" s="6" t="s">
        <v>1218</v>
      </c>
      <c r="E78" s="6" t="s">
        <v>1218</v>
      </c>
    </row>
    <row r="79" spans="1:5" x14ac:dyDescent="0.25">
      <c r="A79" s="27" t="s">
        <v>1228</v>
      </c>
      <c r="B79" s="9">
        <v>3</v>
      </c>
      <c r="C79" s="9" t="s">
        <v>1223</v>
      </c>
      <c r="D79" s="6" t="s">
        <v>1219</v>
      </c>
      <c r="E79" s="6" t="s">
        <v>1219</v>
      </c>
    </row>
    <row r="80" spans="1:5" x14ac:dyDescent="0.25">
      <c r="A80" s="27" t="s">
        <v>1228</v>
      </c>
      <c r="B80" s="9">
        <v>4</v>
      </c>
      <c r="C80" s="9" t="s">
        <v>1224</v>
      </c>
      <c r="D80" s="6" t="s">
        <v>1220</v>
      </c>
      <c r="E80" s="6" t="s">
        <v>1220</v>
      </c>
    </row>
    <row r="81" spans="1:5" x14ac:dyDescent="0.25">
      <c r="A81" s="27" t="s">
        <v>1228</v>
      </c>
      <c r="B81" s="9">
        <v>5</v>
      </c>
      <c r="C81" s="9" t="s">
        <v>1225</v>
      </c>
      <c r="D81" s="6" t="s">
        <v>1221</v>
      </c>
      <c r="E81" s="6" t="s">
        <v>1221</v>
      </c>
    </row>
    <row r="82" spans="1:5" x14ac:dyDescent="0.25">
      <c r="A82" s="27" t="s">
        <v>1228</v>
      </c>
      <c r="B82" s="9">
        <v>98</v>
      </c>
      <c r="C82" s="9" t="s">
        <v>73</v>
      </c>
      <c r="D82" s="6" t="s">
        <v>1217</v>
      </c>
      <c r="E82" s="6" t="s">
        <v>1217</v>
      </c>
    </row>
    <row r="83" spans="1:5" x14ac:dyDescent="0.25">
      <c r="A83" s="27" t="s">
        <v>1228</v>
      </c>
      <c r="B83" s="9">
        <v>97</v>
      </c>
      <c r="C83" s="9" t="s">
        <v>1226</v>
      </c>
      <c r="D83" s="9" t="s">
        <v>1227</v>
      </c>
      <c r="E83" s="9" t="s">
        <v>1227</v>
      </c>
    </row>
    <row r="84" spans="1:5" x14ac:dyDescent="0.25">
      <c r="C84" s="9"/>
      <c r="D84" s="9"/>
    </row>
    <row r="85" spans="1:5" x14ac:dyDescent="0.25">
      <c r="A85" s="27" t="s">
        <v>1655</v>
      </c>
      <c r="B85" s="9">
        <v>2</v>
      </c>
      <c r="C85" s="9" t="s">
        <v>1222</v>
      </c>
      <c r="D85" s="6" t="s">
        <v>1218</v>
      </c>
      <c r="E85" s="6" t="s">
        <v>1218</v>
      </c>
    </row>
    <row r="86" spans="1:5" x14ac:dyDescent="0.25">
      <c r="A86" s="27" t="s">
        <v>1655</v>
      </c>
      <c r="B86" s="9">
        <v>3</v>
      </c>
      <c r="C86" s="9" t="s">
        <v>1223</v>
      </c>
      <c r="D86" s="6" t="s">
        <v>1219</v>
      </c>
      <c r="E86" s="6" t="s">
        <v>1219</v>
      </c>
    </row>
    <row r="87" spans="1:5" x14ac:dyDescent="0.25">
      <c r="A87" s="27" t="s">
        <v>1655</v>
      </c>
      <c r="B87" s="9">
        <v>4</v>
      </c>
      <c r="C87" s="9" t="s">
        <v>1224</v>
      </c>
      <c r="D87" s="6" t="s">
        <v>1220</v>
      </c>
      <c r="E87" s="6" t="s">
        <v>1220</v>
      </c>
    </row>
    <row r="88" spans="1:5" x14ac:dyDescent="0.25">
      <c r="A88" s="27" t="s">
        <v>1655</v>
      </c>
      <c r="B88" s="9">
        <v>5</v>
      </c>
      <c r="C88" s="9" t="s">
        <v>1225</v>
      </c>
      <c r="D88" s="6" t="s">
        <v>1221</v>
      </c>
      <c r="E88" s="6" t="s">
        <v>1221</v>
      </c>
    </row>
    <row r="89" spans="1:5" x14ac:dyDescent="0.25">
      <c r="A89" s="27" t="s">
        <v>1655</v>
      </c>
      <c r="B89" s="9">
        <v>8</v>
      </c>
      <c r="C89" s="9" t="s">
        <v>73</v>
      </c>
      <c r="D89" s="6" t="s">
        <v>1217</v>
      </c>
      <c r="E89" s="6" t="s">
        <v>1217</v>
      </c>
    </row>
    <row r="90" spans="1:5" x14ac:dyDescent="0.25">
      <c r="A90" s="27" t="s">
        <v>1655</v>
      </c>
      <c r="B90" s="9">
        <v>7</v>
      </c>
      <c r="C90" s="9" t="s">
        <v>1226</v>
      </c>
      <c r="D90" s="9" t="s">
        <v>1227</v>
      </c>
      <c r="E90" s="9" t="s">
        <v>1227</v>
      </c>
    </row>
    <row r="91" spans="1:5" x14ac:dyDescent="0.25">
      <c r="A91" s="27"/>
      <c r="B91" s="9"/>
      <c r="C91" s="9"/>
      <c r="D91" s="9"/>
    </row>
    <row r="92" spans="1:5" x14ac:dyDescent="0.25">
      <c r="A92" s="6" t="s">
        <v>132</v>
      </c>
      <c r="B92" s="6">
        <v>1</v>
      </c>
      <c r="C92" s="6" t="str">
        <f t="shared" ref="C92:E111" si="0">"${mem_nm_"&amp;$B92&amp;"}"</f>
        <v>${mem_nm_1}</v>
      </c>
      <c r="D92" s="6" t="str">
        <f t="shared" si="0"/>
        <v>${mem_nm_1}</v>
      </c>
      <c r="E92" s="6" t="str">
        <f t="shared" si="0"/>
        <v>${mem_nm_1}</v>
      </c>
    </row>
    <row r="93" spans="1:5" x14ac:dyDescent="0.25">
      <c r="A93" s="6" t="s">
        <v>132</v>
      </c>
      <c r="B93" s="6">
        <v>2</v>
      </c>
      <c r="C93" s="6" t="str">
        <f t="shared" si="0"/>
        <v>${mem_nm_2}</v>
      </c>
      <c r="D93" s="6" t="str">
        <f t="shared" si="0"/>
        <v>${mem_nm_2}</v>
      </c>
      <c r="E93" s="6" t="str">
        <f t="shared" si="0"/>
        <v>${mem_nm_2}</v>
      </c>
    </row>
    <row r="94" spans="1:5" x14ac:dyDescent="0.25">
      <c r="A94" s="6" t="s">
        <v>132</v>
      </c>
      <c r="B94" s="6">
        <v>3</v>
      </c>
      <c r="C94" s="6" t="str">
        <f t="shared" si="0"/>
        <v>${mem_nm_3}</v>
      </c>
      <c r="D94" s="6" t="str">
        <f t="shared" si="0"/>
        <v>${mem_nm_3}</v>
      </c>
      <c r="E94" s="6" t="str">
        <f t="shared" si="0"/>
        <v>${mem_nm_3}</v>
      </c>
    </row>
    <row r="95" spans="1:5" x14ac:dyDescent="0.25">
      <c r="A95" s="6" t="s">
        <v>132</v>
      </c>
      <c r="B95" s="6">
        <v>4</v>
      </c>
      <c r="C95" s="6" t="str">
        <f t="shared" si="0"/>
        <v>${mem_nm_4}</v>
      </c>
      <c r="D95" s="6" t="str">
        <f t="shared" si="0"/>
        <v>${mem_nm_4}</v>
      </c>
      <c r="E95" s="6" t="str">
        <f t="shared" si="0"/>
        <v>${mem_nm_4}</v>
      </c>
    </row>
    <row r="96" spans="1:5" x14ac:dyDescent="0.25">
      <c r="A96" s="6" t="s">
        <v>132</v>
      </c>
      <c r="B96" s="6">
        <v>5</v>
      </c>
      <c r="C96" s="6" t="str">
        <f t="shared" si="0"/>
        <v>${mem_nm_5}</v>
      </c>
      <c r="D96" s="6" t="str">
        <f t="shared" si="0"/>
        <v>${mem_nm_5}</v>
      </c>
      <c r="E96" s="6" t="str">
        <f t="shared" si="0"/>
        <v>${mem_nm_5}</v>
      </c>
    </row>
    <row r="97" spans="1:5" x14ac:dyDescent="0.25">
      <c r="A97" s="6" t="s">
        <v>132</v>
      </c>
      <c r="B97" s="6">
        <v>6</v>
      </c>
      <c r="C97" s="6" t="str">
        <f t="shared" si="0"/>
        <v>${mem_nm_6}</v>
      </c>
      <c r="D97" s="6" t="str">
        <f t="shared" si="0"/>
        <v>${mem_nm_6}</v>
      </c>
      <c r="E97" s="6" t="str">
        <f t="shared" si="0"/>
        <v>${mem_nm_6}</v>
      </c>
    </row>
    <row r="98" spans="1:5" x14ac:dyDescent="0.25">
      <c r="A98" s="6" t="s">
        <v>132</v>
      </c>
      <c r="B98" s="6">
        <v>7</v>
      </c>
      <c r="C98" s="6" t="str">
        <f t="shared" si="0"/>
        <v>${mem_nm_7}</v>
      </c>
      <c r="D98" s="6" t="str">
        <f t="shared" si="0"/>
        <v>${mem_nm_7}</v>
      </c>
      <c r="E98" s="6" t="str">
        <f t="shared" si="0"/>
        <v>${mem_nm_7}</v>
      </c>
    </row>
    <row r="99" spans="1:5" x14ac:dyDescent="0.25">
      <c r="A99" s="6" t="s">
        <v>132</v>
      </c>
      <c r="B99" s="6">
        <v>8</v>
      </c>
      <c r="C99" s="6" t="str">
        <f t="shared" si="0"/>
        <v>${mem_nm_8}</v>
      </c>
      <c r="D99" s="6" t="str">
        <f t="shared" si="0"/>
        <v>${mem_nm_8}</v>
      </c>
      <c r="E99" s="6" t="str">
        <f t="shared" si="0"/>
        <v>${mem_nm_8}</v>
      </c>
    </row>
    <row r="100" spans="1:5" x14ac:dyDescent="0.25">
      <c r="A100" s="6" t="s">
        <v>132</v>
      </c>
      <c r="B100" s="6">
        <v>9</v>
      </c>
      <c r="C100" s="6" t="str">
        <f t="shared" si="0"/>
        <v>${mem_nm_9}</v>
      </c>
      <c r="D100" s="6" t="str">
        <f t="shared" si="0"/>
        <v>${mem_nm_9}</v>
      </c>
      <c r="E100" s="6" t="str">
        <f t="shared" si="0"/>
        <v>${mem_nm_9}</v>
      </c>
    </row>
    <row r="101" spans="1:5" x14ac:dyDescent="0.25">
      <c r="A101" s="6" t="s">
        <v>132</v>
      </c>
      <c r="B101" s="6">
        <v>10</v>
      </c>
      <c r="C101" s="6" t="str">
        <f t="shared" si="0"/>
        <v>${mem_nm_10}</v>
      </c>
      <c r="D101" s="6" t="str">
        <f t="shared" si="0"/>
        <v>${mem_nm_10}</v>
      </c>
      <c r="E101" s="6" t="str">
        <f t="shared" si="0"/>
        <v>${mem_nm_10}</v>
      </c>
    </row>
    <row r="102" spans="1:5" x14ac:dyDescent="0.25">
      <c r="A102" s="6" t="s">
        <v>132</v>
      </c>
      <c r="B102" s="6">
        <v>11</v>
      </c>
      <c r="C102" s="6" t="str">
        <f t="shared" si="0"/>
        <v>${mem_nm_11}</v>
      </c>
      <c r="D102" s="6" t="str">
        <f t="shared" si="0"/>
        <v>${mem_nm_11}</v>
      </c>
      <c r="E102" s="6" t="str">
        <f t="shared" si="0"/>
        <v>${mem_nm_11}</v>
      </c>
    </row>
    <row r="103" spans="1:5" x14ac:dyDescent="0.25">
      <c r="A103" s="6" t="s">
        <v>132</v>
      </c>
      <c r="B103" s="6">
        <v>12</v>
      </c>
      <c r="C103" s="6" t="str">
        <f t="shared" si="0"/>
        <v>${mem_nm_12}</v>
      </c>
      <c r="D103" s="6" t="str">
        <f t="shared" si="0"/>
        <v>${mem_nm_12}</v>
      </c>
      <c r="E103" s="6" t="str">
        <f t="shared" si="0"/>
        <v>${mem_nm_12}</v>
      </c>
    </row>
    <row r="104" spans="1:5" x14ac:dyDescent="0.25">
      <c r="A104" s="6" t="s">
        <v>132</v>
      </c>
      <c r="B104" s="6">
        <v>13</v>
      </c>
      <c r="C104" s="6" t="str">
        <f t="shared" si="0"/>
        <v>${mem_nm_13}</v>
      </c>
      <c r="D104" s="6" t="str">
        <f t="shared" si="0"/>
        <v>${mem_nm_13}</v>
      </c>
      <c r="E104" s="6" t="str">
        <f t="shared" si="0"/>
        <v>${mem_nm_13}</v>
      </c>
    </row>
    <row r="105" spans="1:5" x14ac:dyDescent="0.25">
      <c r="A105" s="6" t="s">
        <v>132</v>
      </c>
      <c r="B105" s="6">
        <v>14</v>
      </c>
      <c r="C105" s="6" t="str">
        <f t="shared" si="0"/>
        <v>${mem_nm_14}</v>
      </c>
      <c r="D105" s="6" t="str">
        <f t="shared" si="0"/>
        <v>${mem_nm_14}</v>
      </c>
      <c r="E105" s="6" t="str">
        <f t="shared" si="0"/>
        <v>${mem_nm_14}</v>
      </c>
    </row>
    <row r="106" spans="1:5" x14ac:dyDescent="0.25">
      <c r="A106" s="6" t="s">
        <v>132</v>
      </c>
      <c r="B106" s="6">
        <v>15</v>
      </c>
      <c r="C106" s="6" t="str">
        <f t="shared" si="0"/>
        <v>${mem_nm_15}</v>
      </c>
      <c r="D106" s="6" t="str">
        <f t="shared" si="0"/>
        <v>${mem_nm_15}</v>
      </c>
      <c r="E106" s="6" t="str">
        <f t="shared" si="0"/>
        <v>${mem_nm_15}</v>
      </c>
    </row>
    <row r="107" spans="1:5" x14ac:dyDescent="0.25">
      <c r="A107" s="6" t="s">
        <v>132</v>
      </c>
      <c r="B107" s="6">
        <v>16</v>
      </c>
      <c r="C107" s="6" t="str">
        <f t="shared" si="0"/>
        <v>${mem_nm_16}</v>
      </c>
      <c r="D107" s="6" t="str">
        <f t="shared" si="0"/>
        <v>${mem_nm_16}</v>
      </c>
      <c r="E107" s="6" t="str">
        <f t="shared" si="0"/>
        <v>${mem_nm_16}</v>
      </c>
    </row>
    <row r="108" spans="1:5" x14ac:dyDescent="0.25">
      <c r="A108" s="6" t="s">
        <v>132</v>
      </c>
      <c r="B108" s="6">
        <v>17</v>
      </c>
      <c r="C108" s="6" t="str">
        <f t="shared" si="0"/>
        <v>${mem_nm_17}</v>
      </c>
      <c r="D108" s="6" t="str">
        <f t="shared" si="0"/>
        <v>${mem_nm_17}</v>
      </c>
      <c r="E108" s="6" t="str">
        <f t="shared" si="0"/>
        <v>${mem_nm_17}</v>
      </c>
    </row>
    <row r="109" spans="1:5" x14ac:dyDescent="0.25">
      <c r="A109" s="6" t="s">
        <v>132</v>
      </c>
      <c r="B109" s="6">
        <v>18</v>
      </c>
      <c r="C109" s="6" t="str">
        <f t="shared" si="0"/>
        <v>${mem_nm_18}</v>
      </c>
      <c r="D109" s="6" t="str">
        <f t="shared" si="0"/>
        <v>${mem_nm_18}</v>
      </c>
      <c r="E109" s="6" t="str">
        <f t="shared" si="0"/>
        <v>${mem_nm_18}</v>
      </c>
    </row>
    <row r="110" spans="1:5" x14ac:dyDescent="0.25">
      <c r="A110" s="6" t="s">
        <v>132</v>
      </c>
      <c r="B110" s="6">
        <v>19</v>
      </c>
      <c r="C110" s="6" t="str">
        <f t="shared" si="0"/>
        <v>${mem_nm_19}</v>
      </c>
      <c r="D110" s="6" t="str">
        <f t="shared" si="0"/>
        <v>${mem_nm_19}</v>
      </c>
      <c r="E110" s="6" t="str">
        <f t="shared" si="0"/>
        <v>${mem_nm_19}</v>
      </c>
    </row>
    <row r="111" spans="1:5" x14ac:dyDescent="0.25">
      <c r="A111" s="6" t="s">
        <v>132</v>
      </c>
      <c r="B111" s="6">
        <v>20</v>
      </c>
      <c r="C111" s="6" t="str">
        <f t="shared" si="0"/>
        <v>${mem_nm_20}</v>
      </c>
      <c r="D111" s="6" t="str">
        <f t="shared" si="0"/>
        <v>${mem_nm_20}</v>
      </c>
      <c r="E111" s="6" t="str">
        <f t="shared" si="0"/>
        <v>${mem_nm_20}</v>
      </c>
    </row>
    <row r="113" spans="1:5" x14ac:dyDescent="0.25">
      <c r="A113" s="91" t="s">
        <v>288</v>
      </c>
      <c r="B113" s="91">
        <v>1</v>
      </c>
      <c r="C113" s="92" t="s">
        <v>289</v>
      </c>
      <c r="D113" s="93" t="s">
        <v>317</v>
      </c>
      <c r="E113" s="9" t="s">
        <v>727</v>
      </c>
    </row>
    <row r="114" spans="1:5" x14ac:dyDescent="0.25">
      <c r="A114" s="91" t="s">
        <v>288</v>
      </c>
      <c r="B114" s="91">
        <v>2</v>
      </c>
      <c r="C114" s="91" t="s">
        <v>290</v>
      </c>
      <c r="D114" s="50" t="s">
        <v>291</v>
      </c>
      <c r="E114" s="9" t="s">
        <v>728</v>
      </c>
    </row>
    <row r="115" spans="1:5" x14ac:dyDescent="0.25">
      <c r="A115" s="91" t="s">
        <v>288</v>
      </c>
      <c r="B115" s="91">
        <v>3</v>
      </c>
      <c r="C115" s="91" t="s">
        <v>292</v>
      </c>
      <c r="D115" s="50" t="s">
        <v>293</v>
      </c>
      <c r="E115" s="9" t="s">
        <v>729</v>
      </c>
    </row>
    <row r="116" spans="1:5" x14ac:dyDescent="0.25">
      <c r="A116" s="91" t="s">
        <v>288</v>
      </c>
      <c r="B116" s="91">
        <v>4</v>
      </c>
      <c r="C116" s="91" t="s">
        <v>294</v>
      </c>
      <c r="D116" s="50" t="s">
        <v>295</v>
      </c>
      <c r="E116" s="9" t="s">
        <v>730</v>
      </c>
    </row>
    <row r="117" spans="1:5" x14ac:dyDescent="0.25">
      <c r="A117" s="91" t="s">
        <v>288</v>
      </c>
      <c r="B117" s="91">
        <v>5</v>
      </c>
      <c r="C117" s="91" t="s">
        <v>296</v>
      </c>
      <c r="D117" s="50" t="s">
        <v>297</v>
      </c>
      <c r="E117" s="9" t="s">
        <v>731</v>
      </c>
    </row>
    <row r="118" spans="1:5" x14ac:dyDescent="0.25">
      <c r="A118" s="91" t="s">
        <v>288</v>
      </c>
      <c r="B118" s="91">
        <v>6</v>
      </c>
      <c r="C118" s="91" t="s">
        <v>298</v>
      </c>
      <c r="D118" s="50" t="s">
        <v>299</v>
      </c>
      <c r="E118" s="9" t="s">
        <v>732</v>
      </c>
    </row>
    <row r="119" spans="1:5" x14ac:dyDescent="0.25">
      <c r="A119" s="91" t="s">
        <v>288</v>
      </c>
      <c r="B119" s="91">
        <v>7</v>
      </c>
      <c r="C119" s="91" t="s">
        <v>300</v>
      </c>
      <c r="D119" s="50" t="s">
        <v>301</v>
      </c>
      <c r="E119" s="9" t="s">
        <v>733</v>
      </c>
    </row>
    <row r="120" spans="1:5" x14ac:dyDescent="0.25">
      <c r="A120" s="91" t="s">
        <v>288</v>
      </c>
      <c r="B120" s="91">
        <v>8</v>
      </c>
      <c r="C120" s="92" t="s">
        <v>578</v>
      </c>
      <c r="D120" s="50" t="s">
        <v>577</v>
      </c>
      <c r="E120" s="9" t="s">
        <v>734</v>
      </c>
    </row>
    <row r="121" spans="1:5" x14ac:dyDescent="0.25">
      <c r="A121" s="91" t="s">
        <v>288</v>
      </c>
      <c r="B121" s="91">
        <v>9</v>
      </c>
      <c r="C121" s="91" t="s">
        <v>302</v>
      </c>
      <c r="D121" s="50" t="s">
        <v>303</v>
      </c>
      <c r="E121" s="9" t="s">
        <v>735</v>
      </c>
    </row>
    <row r="122" spans="1:5" x14ac:dyDescent="0.25">
      <c r="A122" s="91" t="s">
        <v>288</v>
      </c>
      <c r="B122" s="91">
        <v>10</v>
      </c>
      <c r="C122" s="92" t="s">
        <v>626</v>
      </c>
      <c r="D122" s="50" t="s">
        <v>919</v>
      </c>
      <c r="E122" s="9" t="s">
        <v>919</v>
      </c>
    </row>
    <row r="123" spans="1:5" x14ac:dyDescent="0.25">
      <c r="A123" s="91" t="s">
        <v>288</v>
      </c>
      <c r="B123" s="91">
        <v>11</v>
      </c>
      <c r="C123" s="91" t="s">
        <v>304</v>
      </c>
      <c r="D123" s="50" t="s">
        <v>305</v>
      </c>
      <c r="E123" s="9" t="s">
        <v>736</v>
      </c>
    </row>
    <row r="124" spans="1:5" x14ac:dyDescent="0.25">
      <c r="A124" s="91" t="s">
        <v>288</v>
      </c>
      <c r="B124" s="91">
        <v>12</v>
      </c>
      <c r="C124" s="92" t="s">
        <v>814</v>
      </c>
      <c r="D124" s="50" t="s">
        <v>816</v>
      </c>
      <c r="E124" s="9" t="s">
        <v>816</v>
      </c>
    </row>
    <row r="125" spans="1:5" x14ac:dyDescent="0.25">
      <c r="A125" s="91" t="s">
        <v>288</v>
      </c>
      <c r="B125" s="91">
        <v>13</v>
      </c>
      <c r="C125" s="92" t="s">
        <v>815</v>
      </c>
      <c r="D125" s="50" t="s">
        <v>306</v>
      </c>
      <c r="E125" s="27" t="s">
        <v>306</v>
      </c>
    </row>
    <row r="126" spans="1:5" x14ac:dyDescent="0.25">
      <c r="A126" s="91" t="s">
        <v>288</v>
      </c>
      <c r="B126" s="91">
        <v>16</v>
      </c>
      <c r="C126" s="92" t="s">
        <v>1921</v>
      </c>
      <c r="D126" s="92" t="s">
        <v>1921</v>
      </c>
      <c r="E126" s="92" t="s">
        <v>1921</v>
      </c>
    </row>
    <row r="127" spans="1:5" x14ac:dyDescent="0.25">
      <c r="A127" s="91" t="s">
        <v>288</v>
      </c>
      <c r="B127" s="91">
        <v>21</v>
      </c>
      <c r="C127" s="91" t="s">
        <v>307</v>
      </c>
      <c r="D127" s="50" t="s">
        <v>308</v>
      </c>
      <c r="E127" s="9" t="s">
        <v>737</v>
      </c>
    </row>
    <row r="128" spans="1:5" x14ac:dyDescent="0.25">
      <c r="A128" s="91" t="s">
        <v>288</v>
      </c>
      <c r="B128" s="91">
        <v>22</v>
      </c>
      <c r="C128" s="91" t="s">
        <v>309</v>
      </c>
      <c r="D128" s="50" t="s">
        <v>310</v>
      </c>
      <c r="E128" s="9" t="s">
        <v>738</v>
      </c>
    </row>
    <row r="129" spans="1:5" x14ac:dyDescent="0.25">
      <c r="A129" s="91" t="s">
        <v>288</v>
      </c>
      <c r="B129" s="91">
        <v>23</v>
      </c>
      <c r="C129" s="91" t="s">
        <v>311</v>
      </c>
      <c r="D129" s="50" t="s">
        <v>312</v>
      </c>
      <c r="E129" s="9" t="s">
        <v>739</v>
      </c>
    </row>
    <row r="130" spans="1:5" x14ac:dyDescent="0.25">
      <c r="A130" s="91" t="s">
        <v>288</v>
      </c>
      <c r="B130" s="91">
        <v>26</v>
      </c>
      <c r="C130" s="92" t="s">
        <v>1922</v>
      </c>
      <c r="D130" s="50" t="s">
        <v>1923</v>
      </c>
      <c r="E130" s="50" t="s">
        <v>1923</v>
      </c>
    </row>
    <row r="131" spans="1:5" x14ac:dyDescent="0.25">
      <c r="A131" s="4" t="s">
        <v>288</v>
      </c>
      <c r="B131" s="4">
        <v>97</v>
      </c>
      <c r="C131" s="4" t="s">
        <v>103</v>
      </c>
      <c r="D131" s="27" t="s">
        <v>75</v>
      </c>
      <c r="E131" s="27" t="s">
        <v>75</v>
      </c>
    </row>
    <row r="132" spans="1:5" x14ac:dyDescent="0.25">
      <c r="A132" s="50"/>
      <c r="B132" s="50"/>
      <c r="C132" s="4"/>
      <c r="D132" s="50"/>
      <c r="E132" s="27"/>
    </row>
    <row r="133" spans="1:5" x14ac:dyDescent="0.25">
      <c r="A133" s="4" t="s">
        <v>314</v>
      </c>
      <c r="B133" s="4">
        <v>1</v>
      </c>
      <c r="C133" s="5" t="s">
        <v>315</v>
      </c>
      <c r="D133" s="50" t="s">
        <v>315</v>
      </c>
      <c r="E133" s="9" t="s">
        <v>315</v>
      </c>
    </row>
    <row r="134" spans="1:5" x14ac:dyDescent="0.25">
      <c r="A134" s="4" t="s">
        <v>314</v>
      </c>
      <c r="B134" s="4">
        <v>2</v>
      </c>
      <c r="C134" s="5" t="s">
        <v>316</v>
      </c>
      <c r="D134" s="50" t="s">
        <v>316</v>
      </c>
      <c r="E134" s="9" t="s">
        <v>316</v>
      </c>
    </row>
    <row r="136" spans="1:5" x14ac:dyDescent="0.25">
      <c r="A136" s="91" t="s">
        <v>318</v>
      </c>
      <c r="B136" s="50">
        <v>1</v>
      </c>
      <c r="C136" s="50" t="s">
        <v>319</v>
      </c>
      <c r="D136" s="50" t="s">
        <v>319</v>
      </c>
      <c r="E136" s="9" t="s">
        <v>740</v>
      </c>
    </row>
    <row r="137" spans="1:5" x14ac:dyDescent="0.25">
      <c r="A137" s="91" t="s">
        <v>318</v>
      </c>
      <c r="B137" s="50">
        <v>2</v>
      </c>
      <c r="C137" s="50" t="s">
        <v>320</v>
      </c>
      <c r="D137" s="50" t="s">
        <v>320</v>
      </c>
      <c r="E137" s="9" t="s">
        <v>741</v>
      </c>
    </row>
    <row r="138" spans="1:5" x14ac:dyDescent="0.25">
      <c r="A138" s="91" t="s">
        <v>318</v>
      </c>
      <c r="B138" s="50">
        <v>3</v>
      </c>
      <c r="C138" s="50" t="s">
        <v>321</v>
      </c>
      <c r="D138" s="50" t="s">
        <v>321</v>
      </c>
      <c r="E138" s="9" t="s">
        <v>742</v>
      </c>
    </row>
    <row r="139" spans="1:5" x14ac:dyDescent="0.25">
      <c r="A139" s="91" t="s">
        <v>318</v>
      </c>
      <c r="B139" s="50">
        <v>4</v>
      </c>
      <c r="C139" s="50" t="s">
        <v>322</v>
      </c>
      <c r="D139" s="50" t="s">
        <v>322</v>
      </c>
      <c r="E139" s="9" t="s">
        <v>743</v>
      </c>
    </row>
    <row r="140" spans="1:5" x14ac:dyDescent="0.25">
      <c r="A140" s="91" t="s">
        <v>318</v>
      </c>
      <c r="B140" s="50">
        <v>5</v>
      </c>
      <c r="C140" s="50" t="s">
        <v>323</v>
      </c>
      <c r="D140" s="50" t="s">
        <v>323</v>
      </c>
      <c r="E140" s="9" t="s">
        <v>744</v>
      </c>
    </row>
    <row r="141" spans="1:5" x14ac:dyDescent="0.25">
      <c r="A141" s="91" t="s">
        <v>318</v>
      </c>
      <c r="B141" s="50">
        <v>6</v>
      </c>
      <c r="C141" s="50" t="s">
        <v>324</v>
      </c>
      <c r="D141" s="50" t="s">
        <v>324</v>
      </c>
      <c r="E141" s="9" t="s">
        <v>745</v>
      </c>
    </row>
    <row r="142" spans="1:5" x14ac:dyDescent="0.25">
      <c r="A142" s="91" t="s">
        <v>318</v>
      </c>
      <c r="B142" s="50">
        <v>7</v>
      </c>
      <c r="C142" s="50" t="s">
        <v>325</v>
      </c>
      <c r="D142" s="50" t="s">
        <v>325</v>
      </c>
      <c r="E142" s="9" t="s">
        <v>746</v>
      </c>
    </row>
    <row r="143" spans="1:5" x14ac:dyDescent="0.25">
      <c r="A143" s="91" t="s">
        <v>318</v>
      </c>
      <c r="B143" s="50">
        <v>8</v>
      </c>
      <c r="C143" s="50" t="s">
        <v>326</v>
      </c>
      <c r="D143" s="50" t="s">
        <v>326</v>
      </c>
      <c r="E143" s="9" t="s">
        <v>326</v>
      </c>
    </row>
    <row r="144" spans="1:5" x14ac:dyDescent="0.25">
      <c r="A144" s="91" t="s">
        <v>318</v>
      </c>
      <c r="B144" s="50">
        <v>9</v>
      </c>
      <c r="C144" s="50" t="s">
        <v>327</v>
      </c>
      <c r="D144" s="50" t="s">
        <v>327</v>
      </c>
      <c r="E144" s="9" t="s">
        <v>747</v>
      </c>
    </row>
    <row r="145" spans="1:5" x14ac:dyDescent="0.25">
      <c r="A145" s="91" t="s">
        <v>318</v>
      </c>
      <c r="B145" s="50">
        <v>10</v>
      </c>
      <c r="C145" s="50" t="s">
        <v>328</v>
      </c>
      <c r="D145" s="50" t="s">
        <v>328</v>
      </c>
      <c r="E145" s="9" t="s">
        <v>748</v>
      </c>
    </row>
    <row r="146" spans="1:5" x14ac:dyDescent="0.25">
      <c r="A146" s="91" t="s">
        <v>318</v>
      </c>
      <c r="B146" s="50">
        <v>11</v>
      </c>
      <c r="C146" s="50" t="s">
        <v>329</v>
      </c>
      <c r="D146" s="50" t="s">
        <v>329</v>
      </c>
      <c r="E146" s="9" t="s">
        <v>749</v>
      </c>
    </row>
    <row r="147" spans="1:5" x14ac:dyDescent="0.25">
      <c r="A147" s="91" t="s">
        <v>318</v>
      </c>
      <c r="B147" s="50">
        <v>12</v>
      </c>
      <c r="C147" s="50" t="s">
        <v>330</v>
      </c>
      <c r="D147" s="50" t="s">
        <v>330</v>
      </c>
      <c r="E147" s="9" t="s">
        <v>750</v>
      </c>
    </row>
    <row r="148" spans="1:5" x14ac:dyDescent="0.25">
      <c r="A148" s="91" t="s">
        <v>318</v>
      </c>
      <c r="B148" s="50">
        <v>13</v>
      </c>
      <c r="C148" s="50" t="s">
        <v>331</v>
      </c>
      <c r="D148" s="50" t="s">
        <v>331</v>
      </c>
      <c r="E148" s="9" t="s">
        <v>751</v>
      </c>
    </row>
    <row r="149" spans="1:5" x14ac:dyDescent="0.25">
      <c r="A149" s="91" t="s">
        <v>318</v>
      </c>
      <c r="B149" s="50">
        <v>14</v>
      </c>
      <c r="C149" s="50" t="s">
        <v>332</v>
      </c>
      <c r="D149" s="50" t="s">
        <v>332</v>
      </c>
      <c r="E149" s="9" t="s">
        <v>752</v>
      </c>
    </row>
    <row r="150" spans="1:5" ht="21" customHeight="1" x14ac:dyDescent="0.25">
      <c r="A150" s="91" t="s">
        <v>318</v>
      </c>
      <c r="B150" s="50">
        <v>15</v>
      </c>
      <c r="C150" s="50" t="s">
        <v>333</v>
      </c>
      <c r="D150" s="50" t="s">
        <v>333</v>
      </c>
      <c r="E150" s="9" t="s">
        <v>753</v>
      </c>
    </row>
    <row r="151" spans="1:5" x14ac:dyDescent="0.25">
      <c r="A151" s="91" t="s">
        <v>318</v>
      </c>
      <c r="B151" s="50">
        <v>16</v>
      </c>
      <c r="C151" s="50" t="s">
        <v>334</v>
      </c>
      <c r="D151" s="50" t="s">
        <v>334</v>
      </c>
      <c r="E151" s="9" t="s">
        <v>754</v>
      </c>
    </row>
    <row r="152" spans="1:5" x14ac:dyDescent="0.25">
      <c r="A152" s="91" t="s">
        <v>318</v>
      </c>
      <c r="B152" s="50">
        <v>17</v>
      </c>
      <c r="C152" s="50" t="s">
        <v>335</v>
      </c>
      <c r="D152" s="50" t="s">
        <v>335</v>
      </c>
      <c r="E152" s="9" t="s">
        <v>755</v>
      </c>
    </row>
    <row r="153" spans="1:5" x14ac:dyDescent="0.25">
      <c r="A153" s="91" t="s">
        <v>318</v>
      </c>
      <c r="B153" s="50">
        <v>18</v>
      </c>
      <c r="C153" s="50" t="s">
        <v>336</v>
      </c>
      <c r="D153" s="50" t="s">
        <v>336</v>
      </c>
      <c r="E153" s="9" t="s">
        <v>336</v>
      </c>
    </row>
    <row r="154" spans="1:5" ht="15.75" customHeight="1" x14ac:dyDescent="0.25">
      <c r="A154" s="91" t="s">
        <v>318</v>
      </c>
      <c r="B154" s="50">
        <v>19</v>
      </c>
      <c r="C154" s="50" t="s">
        <v>337</v>
      </c>
      <c r="D154" s="50" t="s">
        <v>337</v>
      </c>
      <c r="E154" s="9" t="s">
        <v>756</v>
      </c>
    </row>
    <row r="155" spans="1:5" ht="15.75" customHeight="1" x14ac:dyDescent="0.25">
      <c r="A155" s="91" t="s">
        <v>318</v>
      </c>
      <c r="B155" s="50">
        <v>20</v>
      </c>
      <c r="C155" s="50" t="s">
        <v>131</v>
      </c>
      <c r="D155" s="50" t="s">
        <v>131</v>
      </c>
      <c r="E155" s="9" t="s">
        <v>757</v>
      </c>
    </row>
    <row r="156" spans="1:5" ht="15.75" customHeight="1" x14ac:dyDescent="0.25">
      <c r="A156" s="91" t="s">
        <v>318</v>
      </c>
      <c r="B156" s="50">
        <v>98</v>
      </c>
      <c r="C156" s="50" t="s">
        <v>65</v>
      </c>
      <c r="D156" s="50" t="s">
        <v>65</v>
      </c>
      <c r="E156" s="9" t="s">
        <v>758</v>
      </c>
    </row>
    <row r="157" spans="1:5" x14ac:dyDescent="0.25">
      <c r="A157" s="91"/>
      <c r="B157" s="50"/>
      <c r="C157" s="50"/>
      <c r="D157" s="50"/>
    </row>
    <row r="159" spans="1:5" x14ac:dyDescent="0.25">
      <c r="A159" s="89"/>
      <c r="B159" s="89" t="s">
        <v>817</v>
      </c>
      <c r="C159" s="89"/>
      <c r="D159" s="89"/>
      <c r="E159" s="26"/>
    </row>
    <row r="160" spans="1:5" x14ac:dyDescent="0.25">
      <c r="A160" s="94" t="s">
        <v>45</v>
      </c>
      <c r="B160" s="94">
        <v>1</v>
      </c>
      <c r="C160" s="94" t="s">
        <v>46</v>
      </c>
      <c r="D160" s="6" t="s">
        <v>136</v>
      </c>
      <c r="E160" s="9" t="s">
        <v>136</v>
      </c>
    </row>
    <row r="161" spans="1:5" x14ac:dyDescent="0.25">
      <c r="A161" s="6" t="s">
        <v>45</v>
      </c>
      <c r="B161" s="6">
        <v>2</v>
      </c>
      <c r="C161" s="6" t="s">
        <v>47</v>
      </c>
      <c r="D161" s="6" t="s">
        <v>135</v>
      </c>
      <c r="E161" s="9" t="s">
        <v>135</v>
      </c>
    </row>
    <row r="163" spans="1:5" x14ac:dyDescent="0.25">
      <c r="A163" s="6" t="s">
        <v>50</v>
      </c>
      <c r="B163" s="6">
        <v>1</v>
      </c>
      <c r="C163" s="6" t="s">
        <v>51</v>
      </c>
      <c r="D163" s="6" t="s">
        <v>95</v>
      </c>
      <c r="E163" s="9" t="s">
        <v>95</v>
      </c>
    </row>
    <row r="164" spans="1:5" x14ac:dyDescent="0.25">
      <c r="A164" s="6" t="s">
        <v>50</v>
      </c>
      <c r="B164" s="6">
        <v>0</v>
      </c>
      <c r="C164" s="6" t="s">
        <v>52</v>
      </c>
      <c r="D164" s="6" t="s">
        <v>96</v>
      </c>
      <c r="E164" s="9" t="s">
        <v>96</v>
      </c>
    </row>
    <row r="166" spans="1:5" x14ac:dyDescent="0.25">
      <c r="A166" s="6" t="s">
        <v>99</v>
      </c>
      <c r="B166" s="6">
        <v>1</v>
      </c>
      <c r="C166" s="6" t="s">
        <v>100</v>
      </c>
      <c r="D166" s="6" t="s">
        <v>106</v>
      </c>
      <c r="E166" s="9" t="s">
        <v>759</v>
      </c>
    </row>
    <row r="167" spans="1:5" x14ac:dyDescent="0.25">
      <c r="A167" s="6" t="s">
        <v>99</v>
      </c>
      <c r="B167" s="6">
        <v>2</v>
      </c>
      <c r="C167" s="6" t="s">
        <v>101</v>
      </c>
      <c r="D167" s="6" t="s">
        <v>105</v>
      </c>
      <c r="E167" s="9" t="s">
        <v>760</v>
      </c>
    </row>
    <row r="168" spans="1:5" x14ac:dyDescent="0.25">
      <c r="A168" s="6" t="s">
        <v>99</v>
      </c>
      <c r="B168" s="6">
        <v>3</v>
      </c>
      <c r="C168" s="6" t="s">
        <v>102</v>
      </c>
      <c r="D168" s="6" t="s">
        <v>102</v>
      </c>
      <c r="E168" s="9" t="s">
        <v>761</v>
      </c>
    </row>
    <row r="169" spans="1:5" x14ac:dyDescent="0.25">
      <c r="A169" s="6" t="s">
        <v>99</v>
      </c>
      <c r="B169" s="6">
        <v>96</v>
      </c>
      <c r="C169" s="6" t="s">
        <v>39</v>
      </c>
      <c r="D169" s="6" t="s">
        <v>81</v>
      </c>
      <c r="E169" s="9" t="s">
        <v>762</v>
      </c>
    </row>
    <row r="170" spans="1:5" x14ac:dyDescent="0.25">
      <c r="A170" s="6" t="s">
        <v>99</v>
      </c>
      <c r="B170" s="6">
        <v>98</v>
      </c>
      <c r="C170" s="6" t="s">
        <v>73</v>
      </c>
      <c r="D170" s="6" t="s">
        <v>104</v>
      </c>
      <c r="E170" s="9" t="s">
        <v>763</v>
      </c>
    </row>
    <row r="171" spans="1:5" x14ac:dyDescent="0.25">
      <c r="A171" s="6" t="s">
        <v>99</v>
      </c>
      <c r="B171" s="6">
        <v>97</v>
      </c>
      <c r="C171" s="6" t="s">
        <v>103</v>
      </c>
      <c r="D171" s="6" t="s">
        <v>75</v>
      </c>
      <c r="E171" s="9" t="s">
        <v>764</v>
      </c>
    </row>
    <row r="174" spans="1:5" x14ac:dyDescent="0.25">
      <c r="A174" s="6" t="s">
        <v>53</v>
      </c>
      <c r="B174" s="6">
        <v>0</v>
      </c>
      <c r="C174" s="6" t="s">
        <v>21</v>
      </c>
      <c r="D174" s="6" t="s">
        <v>66</v>
      </c>
      <c r="E174" s="22" t="s">
        <v>826</v>
      </c>
    </row>
    <row r="175" spans="1:5" x14ac:dyDescent="0.25">
      <c r="A175" s="6" t="s">
        <v>53</v>
      </c>
      <c r="B175" s="6">
        <v>1</v>
      </c>
      <c r="C175" s="6" t="s">
        <v>67</v>
      </c>
      <c r="D175" s="6" t="s">
        <v>59</v>
      </c>
      <c r="E175" s="22" t="s">
        <v>827</v>
      </c>
    </row>
    <row r="176" spans="1:5" x14ac:dyDescent="0.25">
      <c r="A176" s="6" t="s">
        <v>53</v>
      </c>
      <c r="B176" s="6">
        <v>2</v>
      </c>
      <c r="C176" s="6" t="s">
        <v>68</v>
      </c>
      <c r="D176" s="6" t="s">
        <v>60</v>
      </c>
      <c r="E176" s="22" t="s">
        <v>828</v>
      </c>
    </row>
    <row r="177" spans="1:5" x14ac:dyDescent="0.25">
      <c r="A177" s="6" t="s">
        <v>53</v>
      </c>
      <c r="B177" s="6">
        <v>3</v>
      </c>
      <c r="C177" s="6" t="s">
        <v>69</v>
      </c>
      <c r="D177" s="6" t="s">
        <v>61</v>
      </c>
      <c r="E177" s="22" t="s">
        <v>829</v>
      </c>
    </row>
    <row r="178" spans="1:5" x14ac:dyDescent="0.25">
      <c r="A178" s="6" t="s">
        <v>53</v>
      </c>
      <c r="B178" s="6">
        <v>4</v>
      </c>
      <c r="C178" s="6" t="s">
        <v>70</v>
      </c>
      <c r="D178" s="6" t="s">
        <v>62</v>
      </c>
      <c r="E178" s="22" t="s">
        <v>830</v>
      </c>
    </row>
    <row r="179" spans="1:5" x14ac:dyDescent="0.25">
      <c r="A179" s="6" t="s">
        <v>53</v>
      </c>
      <c r="B179" s="6">
        <v>5</v>
      </c>
      <c r="C179" s="9" t="s">
        <v>1459</v>
      </c>
      <c r="D179" s="9" t="s">
        <v>1460</v>
      </c>
      <c r="E179" s="9" t="s">
        <v>1460</v>
      </c>
    </row>
    <row r="180" spans="1:5" x14ac:dyDescent="0.25">
      <c r="A180" s="6" t="s">
        <v>53</v>
      </c>
      <c r="B180" s="6">
        <v>6</v>
      </c>
      <c r="C180" s="6" t="s">
        <v>71</v>
      </c>
      <c r="D180" s="6" t="s">
        <v>63</v>
      </c>
      <c r="E180" s="22" t="s">
        <v>831</v>
      </c>
    </row>
    <row r="181" spans="1:5" x14ac:dyDescent="0.25">
      <c r="A181" s="6" t="s">
        <v>53</v>
      </c>
      <c r="B181" s="6">
        <v>7</v>
      </c>
      <c r="C181" s="6" t="s">
        <v>72</v>
      </c>
      <c r="D181" s="6" t="s">
        <v>64</v>
      </c>
      <c r="E181" s="22" t="s">
        <v>832</v>
      </c>
    </row>
    <row r="182" spans="1:5" x14ac:dyDescent="0.25">
      <c r="A182" s="6" t="s">
        <v>53</v>
      </c>
      <c r="B182" s="6">
        <v>98</v>
      </c>
      <c r="C182" s="6" t="s">
        <v>73</v>
      </c>
      <c r="D182" s="6" t="s">
        <v>65</v>
      </c>
      <c r="E182" s="22" t="s">
        <v>833</v>
      </c>
    </row>
    <row r="183" spans="1:5" x14ac:dyDescent="0.25">
      <c r="A183" s="6" t="s">
        <v>53</v>
      </c>
      <c r="B183" s="6">
        <v>97</v>
      </c>
      <c r="C183" s="6" t="s">
        <v>74</v>
      </c>
      <c r="D183" s="6" t="s">
        <v>75</v>
      </c>
      <c r="E183" s="22" t="s">
        <v>834</v>
      </c>
    </row>
    <row r="184" spans="1:5" x14ac:dyDescent="0.25">
      <c r="E184" s="22"/>
    </row>
    <row r="185" spans="1:5" x14ac:dyDescent="0.25">
      <c r="A185" s="6" t="s">
        <v>76</v>
      </c>
      <c r="B185" s="6">
        <v>1</v>
      </c>
      <c r="C185" s="6" t="s">
        <v>77</v>
      </c>
      <c r="D185" s="9" t="s">
        <v>1047</v>
      </c>
      <c r="E185" s="9" t="s">
        <v>1047</v>
      </c>
    </row>
    <row r="186" spans="1:5" x14ac:dyDescent="0.25">
      <c r="A186" s="6" t="s">
        <v>76</v>
      </c>
      <c r="B186" s="6">
        <v>2</v>
      </c>
      <c r="C186" s="6" t="s">
        <v>1048</v>
      </c>
      <c r="D186" s="6" t="s">
        <v>1043</v>
      </c>
      <c r="E186" s="6" t="s">
        <v>1043</v>
      </c>
    </row>
    <row r="187" spans="1:5" x14ac:dyDescent="0.25">
      <c r="A187" s="6" t="s">
        <v>76</v>
      </c>
      <c r="B187" s="6">
        <v>3</v>
      </c>
      <c r="C187" s="6" t="s">
        <v>1049</v>
      </c>
      <c r="D187" s="6" t="s">
        <v>1044</v>
      </c>
      <c r="E187" s="6" t="s">
        <v>1044</v>
      </c>
    </row>
    <row r="188" spans="1:5" x14ac:dyDescent="0.25">
      <c r="A188" s="6" t="s">
        <v>76</v>
      </c>
      <c r="B188" s="6">
        <v>4</v>
      </c>
      <c r="C188" s="9" t="s">
        <v>1052</v>
      </c>
      <c r="D188" s="9" t="s">
        <v>1045</v>
      </c>
      <c r="E188" s="9" t="s">
        <v>1045</v>
      </c>
    </row>
    <row r="189" spans="1:5" x14ac:dyDescent="0.25">
      <c r="A189" s="6" t="s">
        <v>76</v>
      </c>
      <c r="B189" s="6">
        <v>5</v>
      </c>
      <c r="C189" s="6" t="s">
        <v>79</v>
      </c>
      <c r="D189" s="6" t="s">
        <v>80</v>
      </c>
      <c r="E189" s="6" t="s">
        <v>80</v>
      </c>
    </row>
    <row r="190" spans="1:5" x14ac:dyDescent="0.25">
      <c r="A190" s="6" t="s">
        <v>76</v>
      </c>
      <c r="B190" s="6">
        <v>6</v>
      </c>
      <c r="C190" s="6" t="s">
        <v>1053</v>
      </c>
      <c r="D190" s="6" t="s">
        <v>1042</v>
      </c>
      <c r="E190" s="6" t="s">
        <v>1042</v>
      </c>
    </row>
    <row r="191" spans="1:5" x14ac:dyDescent="0.25">
      <c r="A191" s="6" t="s">
        <v>76</v>
      </c>
      <c r="B191" s="6">
        <v>7</v>
      </c>
      <c r="C191" s="6" t="s">
        <v>78</v>
      </c>
      <c r="D191" s="6" t="s">
        <v>1038</v>
      </c>
      <c r="E191" s="6" t="s">
        <v>1038</v>
      </c>
    </row>
    <row r="192" spans="1:5" x14ac:dyDescent="0.25">
      <c r="A192" s="6" t="s">
        <v>76</v>
      </c>
      <c r="B192" s="6">
        <v>8</v>
      </c>
      <c r="C192" s="6" t="s">
        <v>1054</v>
      </c>
      <c r="D192" s="6" t="s">
        <v>1039</v>
      </c>
      <c r="E192" s="6" t="s">
        <v>1039</v>
      </c>
    </row>
    <row r="193" spans="1:5" x14ac:dyDescent="0.25">
      <c r="A193" s="6" t="s">
        <v>76</v>
      </c>
      <c r="B193" s="6">
        <v>9</v>
      </c>
      <c r="C193" s="6" t="s">
        <v>1055</v>
      </c>
      <c r="D193" s="6" t="s">
        <v>1040</v>
      </c>
      <c r="E193" s="6" t="s">
        <v>1040</v>
      </c>
    </row>
    <row r="194" spans="1:5" x14ac:dyDescent="0.25">
      <c r="A194" s="6" t="s">
        <v>76</v>
      </c>
      <c r="B194" s="6">
        <v>10</v>
      </c>
      <c r="C194" s="9" t="s">
        <v>1050</v>
      </c>
      <c r="D194" s="6" t="s">
        <v>1046</v>
      </c>
      <c r="E194" s="6" t="s">
        <v>1046</v>
      </c>
    </row>
    <row r="195" spans="1:5" x14ac:dyDescent="0.25">
      <c r="A195" s="6" t="s">
        <v>76</v>
      </c>
      <c r="B195" s="6">
        <v>11</v>
      </c>
      <c r="C195" s="9" t="s">
        <v>1051</v>
      </c>
      <c r="D195" s="6" t="s">
        <v>1037</v>
      </c>
      <c r="E195" s="6" t="s">
        <v>1037</v>
      </c>
    </row>
    <row r="196" spans="1:5" x14ac:dyDescent="0.25">
      <c r="A196" s="6" t="s">
        <v>76</v>
      </c>
      <c r="B196" s="9">
        <v>0</v>
      </c>
      <c r="C196" s="9" t="s">
        <v>21</v>
      </c>
      <c r="D196" s="9" t="s">
        <v>66</v>
      </c>
      <c r="E196" s="9" t="s">
        <v>66</v>
      </c>
    </row>
    <row r="197" spans="1:5" x14ac:dyDescent="0.25">
      <c r="C197" s="9"/>
      <c r="E197" s="6"/>
    </row>
    <row r="198" spans="1:5" x14ac:dyDescent="0.25">
      <c r="E198" s="22"/>
    </row>
    <row r="199" spans="1:5" x14ac:dyDescent="0.25">
      <c r="A199" s="9" t="s">
        <v>1066</v>
      </c>
      <c r="B199" s="9">
        <v>1</v>
      </c>
      <c r="C199" s="6" t="s">
        <v>1069</v>
      </c>
      <c r="D199" s="6" t="s">
        <v>1067</v>
      </c>
      <c r="E199" s="6" t="s">
        <v>1067</v>
      </c>
    </row>
    <row r="200" spans="1:5" x14ac:dyDescent="0.25">
      <c r="A200" s="9" t="s">
        <v>1066</v>
      </c>
      <c r="B200" s="9">
        <v>2</v>
      </c>
      <c r="C200" s="6" t="s">
        <v>1070</v>
      </c>
      <c r="D200" s="6" t="s">
        <v>1068</v>
      </c>
      <c r="E200" s="6" t="s">
        <v>1068</v>
      </c>
    </row>
    <row r="201" spans="1:5" x14ac:dyDescent="0.25">
      <c r="A201" s="9" t="s">
        <v>1066</v>
      </c>
      <c r="B201" s="9">
        <v>96</v>
      </c>
      <c r="C201" s="6" t="s">
        <v>39</v>
      </c>
      <c r="D201" s="6" t="s">
        <v>81</v>
      </c>
      <c r="E201" s="6" t="s">
        <v>81</v>
      </c>
    </row>
    <row r="202" spans="1:5" x14ac:dyDescent="0.25">
      <c r="A202" s="9" t="s">
        <v>1066</v>
      </c>
      <c r="B202" s="6">
        <v>98</v>
      </c>
      <c r="C202" s="6" t="s">
        <v>73</v>
      </c>
      <c r="D202" s="9" t="s">
        <v>65</v>
      </c>
      <c r="E202" s="9" t="s">
        <v>65</v>
      </c>
    </row>
    <row r="203" spans="1:5" x14ac:dyDescent="0.25">
      <c r="A203" s="9" t="s">
        <v>1066</v>
      </c>
      <c r="B203" s="6">
        <v>97</v>
      </c>
      <c r="C203" s="6" t="s">
        <v>74</v>
      </c>
      <c r="D203" s="9" t="s">
        <v>75</v>
      </c>
      <c r="E203" s="9" t="s">
        <v>75</v>
      </c>
    </row>
    <row r="204" spans="1:5" x14ac:dyDescent="0.25">
      <c r="E204" s="22"/>
    </row>
    <row r="205" spans="1:5" x14ac:dyDescent="0.25">
      <c r="A205" s="6" t="s">
        <v>54</v>
      </c>
      <c r="B205" s="6">
        <v>1</v>
      </c>
      <c r="C205" s="6" t="s">
        <v>115</v>
      </c>
      <c r="D205" s="6" t="s">
        <v>110</v>
      </c>
      <c r="E205" s="22" t="s">
        <v>835</v>
      </c>
    </row>
    <row r="206" spans="1:5" x14ac:dyDescent="0.25">
      <c r="A206" s="6" t="s">
        <v>54</v>
      </c>
      <c r="B206" s="6">
        <v>2</v>
      </c>
      <c r="C206" s="6" t="s">
        <v>111</v>
      </c>
      <c r="D206" s="6" t="s">
        <v>111</v>
      </c>
      <c r="E206" s="22" t="s">
        <v>836</v>
      </c>
    </row>
    <row r="207" spans="1:5" x14ac:dyDescent="0.25">
      <c r="A207" s="6" t="s">
        <v>54</v>
      </c>
      <c r="B207" s="6">
        <v>3</v>
      </c>
      <c r="C207" s="6" t="s">
        <v>55</v>
      </c>
      <c r="D207" s="6" t="s">
        <v>112</v>
      </c>
      <c r="E207" s="22" t="s">
        <v>837</v>
      </c>
    </row>
    <row r="208" spans="1:5" x14ac:dyDescent="0.25">
      <c r="A208" s="6" t="s">
        <v>54</v>
      </c>
      <c r="B208" s="6">
        <v>4</v>
      </c>
      <c r="C208" s="6" t="s">
        <v>113</v>
      </c>
      <c r="D208" s="6" t="s">
        <v>113</v>
      </c>
      <c r="E208" s="22" t="s">
        <v>838</v>
      </c>
    </row>
    <row r="209" spans="1:5" x14ac:dyDescent="0.25">
      <c r="A209" s="6" t="s">
        <v>54</v>
      </c>
      <c r="B209" s="6">
        <v>5</v>
      </c>
      <c r="C209" s="6" t="s">
        <v>907</v>
      </c>
      <c r="D209" s="6" t="s">
        <v>908</v>
      </c>
      <c r="E209" s="22" t="s">
        <v>908</v>
      </c>
    </row>
    <row r="210" spans="1:5" x14ac:dyDescent="0.25">
      <c r="A210" s="6" t="s">
        <v>54</v>
      </c>
      <c r="B210" s="6">
        <v>96</v>
      </c>
      <c r="C210" s="6" t="s">
        <v>39</v>
      </c>
      <c r="D210" s="6" t="s">
        <v>114</v>
      </c>
      <c r="E210" s="22" t="s">
        <v>839</v>
      </c>
    </row>
    <row r="211" spans="1:5" x14ac:dyDescent="0.25">
      <c r="A211" s="6" t="s">
        <v>54</v>
      </c>
      <c r="B211" s="6">
        <v>98</v>
      </c>
      <c r="C211" s="6" t="s">
        <v>73</v>
      </c>
      <c r="D211" s="6" t="s">
        <v>65</v>
      </c>
      <c r="E211" s="22" t="s">
        <v>833</v>
      </c>
    </row>
    <row r="212" spans="1:5" x14ac:dyDescent="0.25">
      <c r="A212" s="6" t="s">
        <v>54</v>
      </c>
      <c r="B212" s="6">
        <v>97</v>
      </c>
      <c r="C212" s="6" t="s">
        <v>103</v>
      </c>
      <c r="D212" s="6" t="s">
        <v>75</v>
      </c>
      <c r="E212" s="22" t="s">
        <v>764</v>
      </c>
    </row>
    <row r="213" spans="1:5" x14ac:dyDescent="0.25">
      <c r="E213" s="22"/>
    </row>
    <row r="214" spans="1:5" x14ac:dyDescent="0.25">
      <c r="A214" s="6" t="s">
        <v>56</v>
      </c>
      <c r="B214" s="6">
        <v>1</v>
      </c>
      <c r="C214" s="6" t="s">
        <v>116</v>
      </c>
      <c r="D214" s="6" t="s">
        <v>116</v>
      </c>
      <c r="E214" s="22" t="s">
        <v>116</v>
      </c>
    </row>
    <row r="215" spans="1:5" x14ac:dyDescent="0.25">
      <c r="A215" s="6" t="s">
        <v>56</v>
      </c>
      <c r="B215" s="6">
        <v>2</v>
      </c>
      <c r="C215" s="6" t="s">
        <v>117</v>
      </c>
      <c r="D215" s="6" t="s">
        <v>117</v>
      </c>
      <c r="E215" s="22" t="s">
        <v>117</v>
      </c>
    </row>
    <row r="216" spans="1:5" x14ac:dyDescent="0.25">
      <c r="A216" s="6" t="s">
        <v>56</v>
      </c>
      <c r="B216" s="6">
        <v>3</v>
      </c>
      <c r="C216" s="6" t="s">
        <v>118</v>
      </c>
      <c r="D216" s="6" t="s">
        <v>118</v>
      </c>
      <c r="E216" s="22" t="s">
        <v>118</v>
      </c>
    </row>
    <row r="217" spans="1:5" x14ac:dyDescent="0.25">
      <c r="A217" s="6" t="s">
        <v>56</v>
      </c>
      <c r="B217" s="6">
        <v>4</v>
      </c>
      <c r="C217" s="6" t="s">
        <v>119</v>
      </c>
      <c r="D217" s="6" t="s">
        <v>119</v>
      </c>
      <c r="E217" s="22" t="s">
        <v>119</v>
      </c>
    </row>
    <row r="218" spans="1:5" x14ac:dyDescent="0.25">
      <c r="A218" s="6" t="s">
        <v>56</v>
      </c>
      <c r="B218" s="6">
        <v>5</v>
      </c>
      <c r="C218" s="6" t="s">
        <v>120</v>
      </c>
      <c r="D218" s="6" t="s">
        <v>120</v>
      </c>
      <c r="E218" s="22" t="s">
        <v>120</v>
      </c>
    </row>
    <row r="219" spans="1:5" x14ac:dyDescent="0.25">
      <c r="A219" s="6" t="s">
        <v>56</v>
      </c>
      <c r="B219" s="6">
        <v>6</v>
      </c>
      <c r="C219" s="6" t="s">
        <v>121</v>
      </c>
      <c r="D219" s="6" t="s">
        <v>121</v>
      </c>
      <c r="E219" s="22" t="s">
        <v>121</v>
      </c>
    </row>
    <row r="220" spans="1:5" x14ac:dyDescent="0.25">
      <c r="A220" s="6" t="s">
        <v>56</v>
      </c>
      <c r="B220" s="6">
        <v>7</v>
      </c>
      <c r="C220" s="6" t="s">
        <v>122</v>
      </c>
      <c r="D220" s="6" t="s">
        <v>122</v>
      </c>
      <c r="E220" s="22" t="s">
        <v>122</v>
      </c>
    </row>
    <row r="221" spans="1:5" x14ac:dyDescent="0.25">
      <c r="A221" s="6" t="s">
        <v>56</v>
      </c>
      <c r="B221" s="6">
        <v>8</v>
      </c>
      <c r="C221" s="6" t="s">
        <v>123</v>
      </c>
      <c r="D221" s="6" t="s">
        <v>123</v>
      </c>
      <c r="E221" s="22" t="s">
        <v>123</v>
      </c>
    </row>
    <row r="222" spans="1:5" x14ac:dyDescent="0.25">
      <c r="A222" s="6" t="s">
        <v>56</v>
      </c>
      <c r="B222" s="6">
        <v>9</v>
      </c>
      <c r="C222" s="6" t="s">
        <v>124</v>
      </c>
      <c r="D222" s="6" t="s">
        <v>124</v>
      </c>
      <c r="E222" s="22" t="s">
        <v>124</v>
      </c>
    </row>
    <row r="223" spans="1:5" x14ac:dyDescent="0.25">
      <c r="A223" s="6" t="s">
        <v>56</v>
      </c>
      <c r="B223" s="6">
        <v>10</v>
      </c>
      <c r="C223" s="6" t="s">
        <v>125</v>
      </c>
      <c r="D223" s="6" t="s">
        <v>125</v>
      </c>
      <c r="E223" s="22" t="s">
        <v>125</v>
      </c>
    </row>
    <row r="224" spans="1:5" x14ac:dyDescent="0.25">
      <c r="A224" s="6" t="s">
        <v>56</v>
      </c>
      <c r="B224" s="6">
        <v>11</v>
      </c>
      <c r="C224" s="6" t="s">
        <v>126</v>
      </c>
      <c r="D224" s="6" t="s">
        <v>126</v>
      </c>
      <c r="E224" s="22" t="s">
        <v>126</v>
      </c>
    </row>
    <row r="225" spans="1:5" x14ac:dyDescent="0.25">
      <c r="A225" s="6" t="s">
        <v>56</v>
      </c>
      <c r="B225" s="6">
        <v>12</v>
      </c>
      <c r="C225" s="6" t="s">
        <v>127</v>
      </c>
      <c r="D225" s="6" t="s">
        <v>127</v>
      </c>
      <c r="E225" s="22" t="s">
        <v>127</v>
      </c>
    </row>
    <row r="226" spans="1:5" x14ac:dyDescent="0.25">
      <c r="A226" s="6" t="s">
        <v>56</v>
      </c>
      <c r="B226" s="6">
        <v>13</v>
      </c>
      <c r="C226" s="6" t="s">
        <v>128</v>
      </c>
      <c r="D226" s="6" t="s">
        <v>128</v>
      </c>
      <c r="E226" s="22" t="s">
        <v>128</v>
      </c>
    </row>
    <row r="227" spans="1:5" x14ac:dyDescent="0.25">
      <c r="A227" s="6" t="s">
        <v>56</v>
      </c>
      <c r="B227" s="6">
        <v>14</v>
      </c>
      <c r="C227" s="6" t="s">
        <v>129</v>
      </c>
      <c r="D227" s="6" t="s">
        <v>129</v>
      </c>
      <c r="E227" s="22" t="s">
        <v>129</v>
      </c>
    </row>
    <row r="228" spans="1:5" x14ac:dyDescent="0.25">
      <c r="A228" s="6" t="s">
        <v>56</v>
      </c>
      <c r="B228" s="6">
        <v>15</v>
      </c>
      <c r="C228" s="6" t="s">
        <v>130</v>
      </c>
      <c r="D228" s="6" t="s">
        <v>130</v>
      </c>
      <c r="E228" s="22" t="s">
        <v>130</v>
      </c>
    </row>
    <row r="229" spans="1:5" x14ac:dyDescent="0.25">
      <c r="A229" s="6" t="s">
        <v>56</v>
      </c>
      <c r="B229" s="6">
        <v>96</v>
      </c>
      <c r="C229" s="6" t="s">
        <v>39</v>
      </c>
      <c r="D229" s="6" t="s">
        <v>131</v>
      </c>
      <c r="E229" s="22" t="s">
        <v>840</v>
      </c>
    </row>
    <row r="230" spans="1:5" x14ac:dyDescent="0.25">
      <c r="A230" s="6" t="s">
        <v>56</v>
      </c>
      <c r="B230" s="6">
        <v>98</v>
      </c>
      <c r="C230" s="6" t="s">
        <v>73</v>
      </c>
      <c r="D230" s="6" t="s">
        <v>65</v>
      </c>
      <c r="E230" s="22" t="s">
        <v>833</v>
      </c>
    </row>
    <row r="231" spans="1:5" x14ac:dyDescent="0.25">
      <c r="A231" s="6" t="s">
        <v>56</v>
      </c>
      <c r="B231" s="6">
        <v>97</v>
      </c>
      <c r="C231" s="6" t="s">
        <v>103</v>
      </c>
      <c r="D231" s="6" t="s">
        <v>75</v>
      </c>
      <c r="E231" s="22" t="s">
        <v>764</v>
      </c>
    </row>
    <row r="232" spans="1:5" x14ac:dyDescent="0.25">
      <c r="E232" s="22"/>
    </row>
    <row r="233" spans="1:5" x14ac:dyDescent="0.25">
      <c r="E233" s="22"/>
    </row>
    <row r="234" spans="1:5" x14ac:dyDescent="0.25">
      <c r="A234" s="6" t="s">
        <v>0</v>
      </c>
      <c r="B234" s="6">
        <v>1</v>
      </c>
      <c r="C234" s="6" t="s">
        <v>1</v>
      </c>
      <c r="D234" s="6" t="s">
        <v>579</v>
      </c>
      <c r="E234" s="22" t="s">
        <v>841</v>
      </c>
    </row>
    <row r="235" spans="1:5" x14ac:dyDescent="0.25">
      <c r="A235" s="6" t="s">
        <v>0</v>
      </c>
      <c r="B235" s="6">
        <v>2</v>
      </c>
      <c r="C235" s="6" t="s">
        <v>2</v>
      </c>
      <c r="D235" s="6" t="s">
        <v>580</v>
      </c>
      <c r="E235" s="22" t="s">
        <v>842</v>
      </c>
    </row>
    <row r="236" spans="1:5" x14ac:dyDescent="0.25">
      <c r="A236" s="6" t="s">
        <v>0</v>
      </c>
      <c r="B236" s="6">
        <v>3</v>
      </c>
      <c r="C236" s="6" t="s">
        <v>3</v>
      </c>
      <c r="D236" s="6" t="s">
        <v>581</v>
      </c>
      <c r="E236" s="22" t="s">
        <v>843</v>
      </c>
    </row>
    <row r="237" spans="1:5" x14ac:dyDescent="0.25">
      <c r="A237" s="6" t="s">
        <v>0</v>
      </c>
      <c r="B237" s="6">
        <v>4</v>
      </c>
      <c r="C237" s="6" t="s">
        <v>4</v>
      </c>
      <c r="D237" s="6" t="s">
        <v>582</v>
      </c>
      <c r="E237" s="22" t="s">
        <v>844</v>
      </c>
    </row>
    <row r="238" spans="1:5" x14ac:dyDescent="0.25">
      <c r="A238" s="6" t="s">
        <v>0</v>
      </c>
      <c r="B238" s="6">
        <v>5</v>
      </c>
      <c r="C238" s="6" t="s">
        <v>5</v>
      </c>
      <c r="D238" s="6" t="s">
        <v>583</v>
      </c>
      <c r="E238" s="22" t="s">
        <v>845</v>
      </c>
    </row>
    <row r="239" spans="1:5" x14ac:dyDescent="0.25">
      <c r="A239" s="6" t="s">
        <v>0</v>
      </c>
      <c r="B239" s="6">
        <v>6</v>
      </c>
      <c r="C239" s="6" t="s">
        <v>6</v>
      </c>
      <c r="D239" s="6" t="s">
        <v>584</v>
      </c>
      <c r="E239" s="22" t="s">
        <v>846</v>
      </c>
    </row>
    <row r="240" spans="1:5" x14ac:dyDescent="0.25">
      <c r="A240" s="6" t="s">
        <v>0</v>
      </c>
      <c r="B240" s="6">
        <v>0</v>
      </c>
      <c r="C240" s="6" t="s">
        <v>21</v>
      </c>
      <c r="D240" s="6" t="s">
        <v>66</v>
      </c>
      <c r="E240" s="22" t="s">
        <v>66</v>
      </c>
    </row>
    <row r="241" spans="1:5" x14ac:dyDescent="0.25">
      <c r="E241" s="22"/>
    </row>
    <row r="242" spans="1:5" x14ac:dyDescent="0.25">
      <c r="A242" s="6" t="s">
        <v>7</v>
      </c>
      <c r="B242" s="6">
        <v>2</v>
      </c>
      <c r="C242" s="6" t="s">
        <v>38</v>
      </c>
      <c r="D242" s="6" t="s">
        <v>2060</v>
      </c>
      <c r="E242" s="22" t="s">
        <v>847</v>
      </c>
    </row>
    <row r="243" spans="1:5" x14ac:dyDescent="0.25">
      <c r="A243" s="6" t="s">
        <v>7</v>
      </c>
      <c r="B243" s="6">
        <v>3</v>
      </c>
      <c r="C243" s="6" t="s">
        <v>8</v>
      </c>
      <c r="D243" s="6" t="s">
        <v>137</v>
      </c>
      <c r="E243" s="22" t="s">
        <v>848</v>
      </c>
    </row>
    <row r="244" spans="1:5" x14ac:dyDescent="0.25">
      <c r="A244" s="6" t="s">
        <v>7</v>
      </c>
      <c r="B244" s="6">
        <v>4</v>
      </c>
      <c r="C244" s="6" t="s">
        <v>9</v>
      </c>
      <c r="D244" s="6" t="s">
        <v>138</v>
      </c>
      <c r="E244" s="22" t="s">
        <v>849</v>
      </c>
    </row>
    <row r="245" spans="1:5" x14ac:dyDescent="0.25">
      <c r="A245" s="6" t="s">
        <v>7</v>
      </c>
      <c r="B245" s="6">
        <v>5</v>
      </c>
      <c r="C245" s="6" t="s">
        <v>10</v>
      </c>
      <c r="D245" s="6" t="s">
        <v>10</v>
      </c>
      <c r="E245" s="22" t="s">
        <v>850</v>
      </c>
    </row>
    <row r="246" spans="1:5" x14ac:dyDescent="0.25">
      <c r="A246" s="6" t="s">
        <v>7</v>
      </c>
      <c r="B246" s="6">
        <v>6</v>
      </c>
      <c r="C246" s="6" t="s">
        <v>11</v>
      </c>
      <c r="D246" s="6" t="s">
        <v>139</v>
      </c>
      <c r="E246" s="22" t="s">
        <v>851</v>
      </c>
    </row>
    <row r="247" spans="1:5" x14ac:dyDescent="0.25">
      <c r="A247" s="6" t="s">
        <v>7</v>
      </c>
      <c r="B247" s="6">
        <v>7</v>
      </c>
      <c r="C247" s="6" t="s">
        <v>12</v>
      </c>
      <c r="D247" s="6" t="s">
        <v>140</v>
      </c>
      <c r="E247" s="22" t="s">
        <v>852</v>
      </c>
    </row>
    <row r="248" spans="1:5" x14ac:dyDescent="0.25">
      <c r="A248" s="6" t="s">
        <v>7</v>
      </c>
      <c r="B248" s="6">
        <v>8</v>
      </c>
      <c r="C248" s="6" t="s">
        <v>13</v>
      </c>
      <c r="D248" s="6" t="s">
        <v>141</v>
      </c>
      <c r="E248" s="22" t="s">
        <v>853</v>
      </c>
    </row>
    <row r="249" spans="1:5" x14ac:dyDescent="0.25">
      <c r="A249" s="6" t="s">
        <v>7</v>
      </c>
      <c r="B249" s="6">
        <v>9</v>
      </c>
      <c r="C249" s="6" t="s">
        <v>14</v>
      </c>
      <c r="D249" s="6" t="s">
        <v>142</v>
      </c>
      <c r="E249" s="22" t="s">
        <v>854</v>
      </c>
    </row>
    <row r="250" spans="1:5" x14ac:dyDescent="0.25">
      <c r="A250" s="6" t="s">
        <v>7</v>
      </c>
      <c r="B250" s="6">
        <v>98</v>
      </c>
      <c r="C250" s="6" t="s">
        <v>73</v>
      </c>
      <c r="D250" s="6" t="s">
        <v>104</v>
      </c>
      <c r="E250" s="22" t="s">
        <v>833</v>
      </c>
    </row>
    <row r="251" spans="1:5" x14ac:dyDescent="0.25">
      <c r="A251" s="6" t="s">
        <v>7</v>
      </c>
      <c r="B251" s="6">
        <v>97</v>
      </c>
      <c r="C251" s="6" t="s">
        <v>103</v>
      </c>
      <c r="D251" s="6" t="s">
        <v>75</v>
      </c>
      <c r="E251" s="22" t="s">
        <v>764</v>
      </c>
    </row>
    <row r="252" spans="1:5" x14ac:dyDescent="0.25">
      <c r="E252" s="22"/>
    </row>
    <row r="253" spans="1:5" x14ac:dyDescent="0.25">
      <c r="A253" s="9" t="s">
        <v>1078</v>
      </c>
      <c r="B253" s="9">
        <v>1</v>
      </c>
      <c r="C253" s="9" t="s">
        <v>439</v>
      </c>
      <c r="D253" s="6" t="s">
        <v>440</v>
      </c>
      <c r="E253" s="6" t="s">
        <v>440</v>
      </c>
    </row>
    <row r="254" spans="1:5" x14ac:dyDescent="0.25">
      <c r="A254" s="9" t="s">
        <v>1078</v>
      </c>
      <c r="B254" s="9">
        <v>2</v>
      </c>
      <c r="C254" s="9" t="s">
        <v>1083</v>
      </c>
      <c r="D254" s="6" t="s">
        <v>1079</v>
      </c>
      <c r="E254" s="6" t="s">
        <v>1079</v>
      </c>
    </row>
    <row r="255" spans="1:5" x14ac:dyDescent="0.25">
      <c r="A255" s="9" t="s">
        <v>1078</v>
      </c>
      <c r="B255" s="9">
        <v>3</v>
      </c>
      <c r="C255" s="9" t="s">
        <v>1084</v>
      </c>
      <c r="D255" s="6" t="s">
        <v>1080</v>
      </c>
      <c r="E255" s="6" t="s">
        <v>1080</v>
      </c>
    </row>
    <row r="256" spans="1:5" x14ac:dyDescent="0.25">
      <c r="A256" s="9" t="s">
        <v>1078</v>
      </c>
      <c r="B256" s="9">
        <v>4</v>
      </c>
      <c r="C256" s="6" t="s">
        <v>1082</v>
      </c>
      <c r="D256" s="6" t="s">
        <v>1081</v>
      </c>
      <c r="E256" s="6" t="s">
        <v>1081</v>
      </c>
    </row>
    <row r="257" spans="1:5" x14ac:dyDescent="0.25">
      <c r="A257" s="9" t="s">
        <v>1078</v>
      </c>
      <c r="B257" s="9">
        <v>5</v>
      </c>
      <c r="C257" s="9" t="s">
        <v>1086</v>
      </c>
      <c r="D257" s="6" t="s">
        <v>1085</v>
      </c>
      <c r="E257" s="6" t="s">
        <v>1085</v>
      </c>
    </row>
    <row r="258" spans="1:5" x14ac:dyDescent="0.25">
      <c r="A258" s="9" t="s">
        <v>1078</v>
      </c>
      <c r="B258" s="9">
        <v>0</v>
      </c>
      <c r="C258" s="9" t="s">
        <v>21</v>
      </c>
      <c r="D258" s="9" t="s">
        <v>66</v>
      </c>
      <c r="E258" s="9" t="s">
        <v>66</v>
      </c>
    </row>
    <row r="259" spans="1:5" x14ac:dyDescent="0.25">
      <c r="A259" s="9" t="s">
        <v>1078</v>
      </c>
      <c r="B259" s="6">
        <v>98</v>
      </c>
      <c r="C259" s="6" t="s">
        <v>73</v>
      </c>
      <c r="D259" s="6" t="s">
        <v>104</v>
      </c>
      <c r="E259" s="22" t="s">
        <v>833</v>
      </c>
    </row>
    <row r="260" spans="1:5" x14ac:dyDescent="0.25">
      <c r="A260" s="9" t="s">
        <v>1078</v>
      </c>
      <c r="B260" s="6">
        <v>97</v>
      </c>
      <c r="C260" s="6" t="s">
        <v>103</v>
      </c>
      <c r="D260" s="6" t="s">
        <v>75</v>
      </c>
      <c r="E260" s="22" t="s">
        <v>764</v>
      </c>
    </row>
    <row r="261" spans="1:5" x14ac:dyDescent="0.25">
      <c r="A261" s="9"/>
      <c r="B261" s="9"/>
      <c r="C261" s="9"/>
      <c r="E261" s="6"/>
    </row>
    <row r="262" spans="1:5" x14ac:dyDescent="0.25">
      <c r="A262" s="9"/>
      <c r="B262" s="9"/>
      <c r="C262" s="9"/>
      <c r="E262" s="6"/>
    </row>
    <row r="263" spans="1:5" x14ac:dyDescent="0.25">
      <c r="A263" s="9"/>
      <c r="B263" s="9"/>
      <c r="C263" s="9"/>
      <c r="E263" s="6"/>
    </row>
    <row r="264" spans="1:5" x14ac:dyDescent="0.25">
      <c r="A264" s="9" t="s">
        <v>1087</v>
      </c>
      <c r="B264" s="9">
        <v>1</v>
      </c>
      <c r="C264" s="9" t="s">
        <v>1089</v>
      </c>
      <c r="D264" s="9" t="s">
        <v>1091</v>
      </c>
      <c r="E264" s="9" t="s">
        <v>1091</v>
      </c>
    </row>
    <row r="265" spans="1:5" x14ac:dyDescent="0.25">
      <c r="A265" s="9" t="s">
        <v>1087</v>
      </c>
      <c r="B265" s="9">
        <v>2</v>
      </c>
      <c r="C265" s="9" t="s">
        <v>1088</v>
      </c>
      <c r="D265" s="9" t="s">
        <v>1090</v>
      </c>
      <c r="E265" s="9" t="s">
        <v>1090</v>
      </c>
    </row>
    <row r="266" spans="1:5" x14ac:dyDescent="0.25">
      <c r="A266" s="6" t="s">
        <v>1087</v>
      </c>
      <c r="B266" s="6">
        <v>3</v>
      </c>
      <c r="C266" s="6" t="s">
        <v>1830</v>
      </c>
      <c r="D266" s="6" t="s">
        <v>1830</v>
      </c>
      <c r="E266" s="9" t="s">
        <v>1830</v>
      </c>
    </row>
    <row r="267" spans="1:5" x14ac:dyDescent="0.25">
      <c r="A267" s="89"/>
      <c r="B267" s="89" t="s">
        <v>440</v>
      </c>
      <c r="C267" s="89"/>
      <c r="D267" s="89"/>
      <c r="E267" s="89"/>
    </row>
    <row r="268" spans="1:5" x14ac:dyDescent="0.25">
      <c r="A268" s="6" t="s">
        <v>627</v>
      </c>
      <c r="B268" s="6">
        <v>1</v>
      </c>
      <c r="C268" s="95" t="s">
        <v>628</v>
      </c>
      <c r="D268" s="6" t="s">
        <v>629</v>
      </c>
      <c r="E268" s="22" t="s">
        <v>855</v>
      </c>
    </row>
    <row r="269" spans="1:5" x14ac:dyDescent="0.25">
      <c r="A269" s="6" t="s">
        <v>627</v>
      </c>
      <c r="B269" s="6">
        <v>2</v>
      </c>
      <c r="C269" s="6" t="s">
        <v>630</v>
      </c>
      <c r="D269" s="6" t="s">
        <v>631</v>
      </c>
      <c r="E269" s="22" t="s">
        <v>856</v>
      </c>
    </row>
    <row r="270" spans="1:5" x14ac:dyDescent="0.25">
      <c r="A270" s="6" t="s">
        <v>627</v>
      </c>
      <c r="B270" s="6">
        <v>3</v>
      </c>
      <c r="C270" s="96" t="s">
        <v>632</v>
      </c>
      <c r="D270" s="6" t="s">
        <v>633</v>
      </c>
      <c r="E270" s="22" t="s">
        <v>857</v>
      </c>
    </row>
    <row r="271" spans="1:5" x14ac:dyDescent="0.25">
      <c r="A271" s="6" t="s">
        <v>627</v>
      </c>
      <c r="B271" s="6">
        <v>98</v>
      </c>
      <c r="C271" s="6" t="s">
        <v>73</v>
      </c>
      <c r="D271" s="6" t="s">
        <v>65</v>
      </c>
      <c r="E271" s="22" t="s">
        <v>833</v>
      </c>
    </row>
    <row r="272" spans="1:5" x14ac:dyDescent="0.25">
      <c r="A272" s="6" t="s">
        <v>627</v>
      </c>
      <c r="B272" s="6">
        <v>97</v>
      </c>
      <c r="C272" s="6" t="s">
        <v>103</v>
      </c>
      <c r="D272" s="6" t="s">
        <v>75</v>
      </c>
      <c r="E272" s="22" t="s">
        <v>764</v>
      </c>
    </row>
    <row r="273" spans="1:5" x14ac:dyDescent="0.25">
      <c r="C273" s="96"/>
      <c r="E273" s="22"/>
    </row>
    <row r="274" spans="1:5" ht="30" x14ac:dyDescent="0.25">
      <c r="A274" s="6" t="s">
        <v>634</v>
      </c>
      <c r="B274" s="6">
        <v>1</v>
      </c>
      <c r="C274" s="96" t="s">
        <v>858</v>
      </c>
      <c r="D274" s="96" t="s">
        <v>635</v>
      </c>
      <c r="E274" s="97" t="s">
        <v>862</v>
      </c>
    </row>
    <row r="275" spans="1:5" x14ac:dyDescent="0.25">
      <c r="A275" s="6" t="s">
        <v>634</v>
      </c>
      <c r="B275" s="6">
        <v>2</v>
      </c>
      <c r="C275" s="96" t="s">
        <v>859</v>
      </c>
      <c r="D275" s="96" t="s">
        <v>636</v>
      </c>
      <c r="E275" s="97" t="s">
        <v>863</v>
      </c>
    </row>
    <row r="276" spans="1:5" x14ac:dyDescent="0.25">
      <c r="A276" s="6" t="s">
        <v>634</v>
      </c>
      <c r="B276" s="6">
        <v>3</v>
      </c>
      <c r="C276" s="96" t="s">
        <v>860</v>
      </c>
      <c r="D276" s="96" t="s">
        <v>637</v>
      </c>
      <c r="E276" s="97" t="s">
        <v>864</v>
      </c>
    </row>
    <row r="277" spans="1:5" x14ac:dyDescent="0.25">
      <c r="A277" s="6" t="s">
        <v>634</v>
      </c>
      <c r="B277" s="6">
        <v>4</v>
      </c>
      <c r="C277" s="96" t="s">
        <v>861</v>
      </c>
      <c r="D277" s="96" t="s">
        <v>818</v>
      </c>
      <c r="E277" s="97" t="s">
        <v>865</v>
      </c>
    </row>
    <row r="278" spans="1:5" x14ac:dyDescent="0.25">
      <c r="C278" s="96"/>
      <c r="D278" s="96"/>
      <c r="E278" s="97"/>
    </row>
    <row r="279" spans="1:5" x14ac:dyDescent="0.25">
      <c r="A279" s="6" t="s">
        <v>819</v>
      </c>
      <c r="B279" s="6">
        <v>1</v>
      </c>
      <c r="C279" s="96" t="s">
        <v>820</v>
      </c>
      <c r="D279" s="96" t="s">
        <v>821</v>
      </c>
      <c r="E279" s="97" t="s">
        <v>866</v>
      </c>
    </row>
    <row r="280" spans="1:5" x14ac:dyDescent="0.25">
      <c r="A280" s="6" t="s">
        <v>819</v>
      </c>
      <c r="B280" s="6">
        <v>2</v>
      </c>
      <c r="C280" s="96" t="s">
        <v>867</v>
      </c>
      <c r="D280" s="96" t="s">
        <v>823</v>
      </c>
      <c r="E280" s="97" t="s">
        <v>868</v>
      </c>
    </row>
    <row r="281" spans="1:5" x14ac:dyDescent="0.25">
      <c r="A281" s="6" t="s">
        <v>819</v>
      </c>
      <c r="B281" s="6">
        <v>3</v>
      </c>
      <c r="C281" s="96" t="s">
        <v>822</v>
      </c>
      <c r="D281" s="96" t="s">
        <v>102</v>
      </c>
      <c r="E281" s="97" t="s">
        <v>869</v>
      </c>
    </row>
    <row r="282" spans="1:5" x14ac:dyDescent="0.25">
      <c r="C282" s="96"/>
      <c r="D282" s="96"/>
      <c r="E282" s="97"/>
    </row>
    <row r="283" spans="1:5" x14ac:dyDescent="0.25">
      <c r="A283" s="9" t="s">
        <v>1096</v>
      </c>
      <c r="B283" s="9">
        <v>0</v>
      </c>
      <c r="C283" s="96" t="s">
        <v>1098</v>
      </c>
      <c r="D283" s="96" t="s">
        <v>1097</v>
      </c>
      <c r="E283" s="97" t="s">
        <v>1097</v>
      </c>
    </row>
    <row r="284" spans="1:5" x14ac:dyDescent="0.25">
      <c r="A284" s="6" t="s">
        <v>1096</v>
      </c>
      <c r="B284" s="6">
        <v>1</v>
      </c>
      <c r="C284" s="6" t="str">
        <f t="shared" ref="C284:E303" si="1">"${mem_nm_"&amp;$B284&amp;"}"</f>
        <v>${mem_nm_1}</v>
      </c>
      <c r="D284" s="6" t="str">
        <f t="shared" si="1"/>
        <v>${mem_nm_1}</v>
      </c>
      <c r="E284" s="6" t="str">
        <f t="shared" si="1"/>
        <v>${mem_nm_1}</v>
      </c>
    </row>
    <row r="285" spans="1:5" x14ac:dyDescent="0.25">
      <c r="A285" s="6" t="s">
        <v>1096</v>
      </c>
      <c r="B285" s="6">
        <v>2</v>
      </c>
      <c r="C285" s="6" t="str">
        <f t="shared" si="1"/>
        <v>${mem_nm_2}</v>
      </c>
      <c r="D285" s="6" t="str">
        <f t="shared" si="1"/>
        <v>${mem_nm_2}</v>
      </c>
      <c r="E285" s="6" t="str">
        <f t="shared" si="1"/>
        <v>${mem_nm_2}</v>
      </c>
    </row>
    <row r="286" spans="1:5" x14ac:dyDescent="0.25">
      <c r="A286" s="6" t="s">
        <v>1096</v>
      </c>
      <c r="B286" s="6">
        <v>3</v>
      </c>
      <c r="C286" s="6" t="str">
        <f t="shared" si="1"/>
        <v>${mem_nm_3}</v>
      </c>
      <c r="D286" s="6" t="str">
        <f t="shared" si="1"/>
        <v>${mem_nm_3}</v>
      </c>
      <c r="E286" s="6" t="str">
        <f t="shared" si="1"/>
        <v>${mem_nm_3}</v>
      </c>
    </row>
    <row r="287" spans="1:5" x14ac:dyDescent="0.25">
      <c r="A287" s="6" t="s">
        <v>1096</v>
      </c>
      <c r="B287" s="6">
        <v>4</v>
      </c>
      <c r="C287" s="6" t="str">
        <f t="shared" si="1"/>
        <v>${mem_nm_4}</v>
      </c>
      <c r="D287" s="6" t="str">
        <f t="shared" si="1"/>
        <v>${mem_nm_4}</v>
      </c>
      <c r="E287" s="6" t="str">
        <f t="shared" si="1"/>
        <v>${mem_nm_4}</v>
      </c>
    </row>
    <row r="288" spans="1:5" x14ac:dyDescent="0.25">
      <c r="A288" s="6" t="s">
        <v>1096</v>
      </c>
      <c r="B288" s="6">
        <v>5</v>
      </c>
      <c r="C288" s="6" t="str">
        <f t="shared" si="1"/>
        <v>${mem_nm_5}</v>
      </c>
      <c r="D288" s="6" t="str">
        <f t="shared" si="1"/>
        <v>${mem_nm_5}</v>
      </c>
      <c r="E288" s="6" t="str">
        <f t="shared" si="1"/>
        <v>${mem_nm_5}</v>
      </c>
    </row>
    <row r="289" spans="1:5" x14ac:dyDescent="0.25">
      <c r="A289" s="6" t="s">
        <v>1096</v>
      </c>
      <c r="B289" s="6">
        <v>6</v>
      </c>
      <c r="C289" s="6" t="str">
        <f t="shared" si="1"/>
        <v>${mem_nm_6}</v>
      </c>
      <c r="D289" s="6" t="str">
        <f t="shared" si="1"/>
        <v>${mem_nm_6}</v>
      </c>
      <c r="E289" s="6" t="str">
        <f t="shared" si="1"/>
        <v>${mem_nm_6}</v>
      </c>
    </row>
    <row r="290" spans="1:5" x14ac:dyDescent="0.25">
      <c r="A290" s="6" t="s">
        <v>1096</v>
      </c>
      <c r="B290" s="6">
        <v>7</v>
      </c>
      <c r="C290" s="6" t="str">
        <f t="shared" si="1"/>
        <v>${mem_nm_7}</v>
      </c>
      <c r="D290" s="6" t="str">
        <f t="shared" si="1"/>
        <v>${mem_nm_7}</v>
      </c>
      <c r="E290" s="6" t="str">
        <f t="shared" si="1"/>
        <v>${mem_nm_7}</v>
      </c>
    </row>
    <row r="291" spans="1:5" x14ac:dyDescent="0.25">
      <c r="A291" s="6" t="s">
        <v>1096</v>
      </c>
      <c r="B291" s="6">
        <v>8</v>
      </c>
      <c r="C291" s="6" t="str">
        <f t="shared" si="1"/>
        <v>${mem_nm_8}</v>
      </c>
      <c r="D291" s="6" t="str">
        <f t="shared" si="1"/>
        <v>${mem_nm_8}</v>
      </c>
      <c r="E291" s="6" t="str">
        <f t="shared" si="1"/>
        <v>${mem_nm_8}</v>
      </c>
    </row>
    <row r="292" spans="1:5" x14ac:dyDescent="0.25">
      <c r="A292" s="6" t="s">
        <v>1096</v>
      </c>
      <c r="B292" s="6">
        <v>9</v>
      </c>
      <c r="C292" s="6" t="str">
        <f t="shared" si="1"/>
        <v>${mem_nm_9}</v>
      </c>
      <c r="D292" s="6" t="str">
        <f t="shared" si="1"/>
        <v>${mem_nm_9}</v>
      </c>
      <c r="E292" s="6" t="str">
        <f t="shared" si="1"/>
        <v>${mem_nm_9}</v>
      </c>
    </row>
    <row r="293" spans="1:5" x14ac:dyDescent="0.25">
      <c r="A293" s="6" t="s">
        <v>1096</v>
      </c>
      <c r="B293" s="6">
        <v>10</v>
      </c>
      <c r="C293" s="6" t="str">
        <f t="shared" si="1"/>
        <v>${mem_nm_10}</v>
      </c>
      <c r="D293" s="6" t="str">
        <f t="shared" si="1"/>
        <v>${mem_nm_10}</v>
      </c>
      <c r="E293" s="6" t="str">
        <f t="shared" si="1"/>
        <v>${mem_nm_10}</v>
      </c>
    </row>
    <row r="294" spans="1:5" x14ac:dyDescent="0.25">
      <c r="A294" s="6" t="s">
        <v>1096</v>
      </c>
      <c r="B294" s="6">
        <v>11</v>
      </c>
      <c r="C294" s="6" t="str">
        <f t="shared" si="1"/>
        <v>${mem_nm_11}</v>
      </c>
      <c r="D294" s="6" t="str">
        <f t="shared" si="1"/>
        <v>${mem_nm_11}</v>
      </c>
      <c r="E294" s="6" t="str">
        <f t="shared" si="1"/>
        <v>${mem_nm_11}</v>
      </c>
    </row>
    <row r="295" spans="1:5" x14ac:dyDescent="0.25">
      <c r="A295" s="6" t="s">
        <v>1096</v>
      </c>
      <c r="B295" s="6">
        <v>12</v>
      </c>
      <c r="C295" s="6" t="str">
        <f t="shared" si="1"/>
        <v>${mem_nm_12}</v>
      </c>
      <c r="D295" s="6" t="str">
        <f t="shared" si="1"/>
        <v>${mem_nm_12}</v>
      </c>
      <c r="E295" s="6" t="str">
        <f t="shared" si="1"/>
        <v>${mem_nm_12}</v>
      </c>
    </row>
    <row r="296" spans="1:5" x14ac:dyDescent="0.25">
      <c r="A296" s="6" t="s">
        <v>1096</v>
      </c>
      <c r="B296" s="6">
        <v>13</v>
      </c>
      <c r="C296" s="6" t="str">
        <f t="shared" si="1"/>
        <v>${mem_nm_13}</v>
      </c>
      <c r="D296" s="6" t="str">
        <f t="shared" si="1"/>
        <v>${mem_nm_13}</v>
      </c>
      <c r="E296" s="6" t="str">
        <f t="shared" si="1"/>
        <v>${mem_nm_13}</v>
      </c>
    </row>
    <row r="297" spans="1:5" x14ac:dyDescent="0.25">
      <c r="A297" s="6" t="s">
        <v>1096</v>
      </c>
      <c r="B297" s="6">
        <v>14</v>
      </c>
      <c r="C297" s="6" t="str">
        <f t="shared" si="1"/>
        <v>${mem_nm_14}</v>
      </c>
      <c r="D297" s="6" t="str">
        <f t="shared" si="1"/>
        <v>${mem_nm_14}</v>
      </c>
      <c r="E297" s="6" t="str">
        <f t="shared" si="1"/>
        <v>${mem_nm_14}</v>
      </c>
    </row>
    <row r="298" spans="1:5" x14ac:dyDescent="0.25">
      <c r="A298" s="6" t="s">
        <v>1096</v>
      </c>
      <c r="B298" s="6">
        <v>15</v>
      </c>
      <c r="C298" s="6" t="str">
        <f t="shared" si="1"/>
        <v>${mem_nm_15}</v>
      </c>
      <c r="D298" s="6" t="str">
        <f t="shared" si="1"/>
        <v>${mem_nm_15}</v>
      </c>
      <c r="E298" s="6" t="str">
        <f t="shared" si="1"/>
        <v>${mem_nm_15}</v>
      </c>
    </row>
    <row r="299" spans="1:5" x14ac:dyDescent="0.25">
      <c r="A299" s="6" t="s">
        <v>1096</v>
      </c>
      <c r="B299" s="6">
        <v>16</v>
      </c>
      <c r="C299" s="6" t="str">
        <f t="shared" si="1"/>
        <v>${mem_nm_16}</v>
      </c>
      <c r="D299" s="6" t="str">
        <f t="shared" si="1"/>
        <v>${mem_nm_16}</v>
      </c>
      <c r="E299" s="6" t="str">
        <f t="shared" si="1"/>
        <v>${mem_nm_16}</v>
      </c>
    </row>
    <row r="300" spans="1:5" x14ac:dyDescent="0.25">
      <c r="A300" s="6" t="s">
        <v>1096</v>
      </c>
      <c r="B300" s="6">
        <v>17</v>
      </c>
      <c r="C300" s="6" t="str">
        <f t="shared" si="1"/>
        <v>${mem_nm_17}</v>
      </c>
      <c r="D300" s="6" t="str">
        <f t="shared" si="1"/>
        <v>${mem_nm_17}</v>
      </c>
      <c r="E300" s="6" t="str">
        <f t="shared" si="1"/>
        <v>${mem_nm_17}</v>
      </c>
    </row>
    <row r="301" spans="1:5" x14ac:dyDescent="0.25">
      <c r="A301" s="6" t="s">
        <v>1096</v>
      </c>
      <c r="B301" s="6">
        <v>18</v>
      </c>
      <c r="C301" s="6" t="str">
        <f t="shared" si="1"/>
        <v>${mem_nm_18}</v>
      </c>
      <c r="D301" s="6" t="str">
        <f t="shared" si="1"/>
        <v>${mem_nm_18}</v>
      </c>
      <c r="E301" s="6" t="str">
        <f t="shared" si="1"/>
        <v>${mem_nm_18}</v>
      </c>
    </row>
    <row r="302" spans="1:5" x14ac:dyDescent="0.25">
      <c r="A302" s="6" t="s">
        <v>1096</v>
      </c>
      <c r="B302" s="6">
        <v>19</v>
      </c>
      <c r="C302" s="6" t="str">
        <f t="shared" si="1"/>
        <v>${mem_nm_19}</v>
      </c>
      <c r="D302" s="6" t="str">
        <f t="shared" si="1"/>
        <v>${mem_nm_19}</v>
      </c>
      <c r="E302" s="6" t="str">
        <f t="shared" si="1"/>
        <v>${mem_nm_19}</v>
      </c>
    </row>
    <row r="303" spans="1:5" x14ac:dyDescent="0.25">
      <c r="A303" s="6" t="s">
        <v>1096</v>
      </c>
      <c r="B303" s="6">
        <v>20</v>
      </c>
      <c r="C303" s="6" t="str">
        <f t="shared" si="1"/>
        <v>${mem_nm_20}</v>
      </c>
      <c r="D303" s="6" t="str">
        <f t="shared" si="1"/>
        <v>${mem_nm_20}</v>
      </c>
      <c r="E303" s="6" t="str">
        <f t="shared" si="1"/>
        <v>${mem_nm_20}</v>
      </c>
    </row>
    <row r="304" spans="1:5" x14ac:dyDescent="0.25">
      <c r="C304" s="96"/>
      <c r="D304" s="96"/>
      <c r="E304" s="97"/>
    </row>
    <row r="305" spans="1:5" x14ac:dyDescent="0.25">
      <c r="C305" s="96"/>
      <c r="E305" s="22"/>
    </row>
    <row r="306" spans="1:5" x14ac:dyDescent="0.25">
      <c r="A306" s="6" t="s">
        <v>638</v>
      </c>
      <c r="B306" s="6">
        <v>1</v>
      </c>
      <c r="C306" s="96" t="s">
        <v>872</v>
      </c>
      <c r="D306" s="6" t="s">
        <v>871</v>
      </c>
      <c r="E306" s="22" t="s">
        <v>870</v>
      </c>
    </row>
    <row r="307" spans="1:5" x14ac:dyDescent="0.25">
      <c r="A307" s="6" t="s">
        <v>638</v>
      </c>
      <c r="B307" s="6">
        <v>2</v>
      </c>
      <c r="C307" s="6" t="s">
        <v>639</v>
      </c>
      <c r="D307" s="6" t="s">
        <v>640</v>
      </c>
      <c r="E307" s="22" t="s">
        <v>873</v>
      </c>
    </row>
    <row r="308" spans="1:5" x14ac:dyDescent="0.25">
      <c r="A308" s="6" t="s">
        <v>638</v>
      </c>
      <c r="B308" s="9">
        <v>0</v>
      </c>
      <c r="C308" s="30" t="s">
        <v>1461</v>
      </c>
      <c r="D308" s="6" t="s">
        <v>1462</v>
      </c>
      <c r="E308" s="22" t="s">
        <v>1462</v>
      </c>
    </row>
    <row r="309" spans="1:5" x14ac:dyDescent="0.25">
      <c r="A309" s="6" t="s">
        <v>641</v>
      </c>
      <c r="B309" s="6">
        <v>1</v>
      </c>
      <c r="C309" s="30" t="s">
        <v>642</v>
      </c>
      <c r="D309" s="6" t="s">
        <v>643</v>
      </c>
      <c r="E309" s="22" t="s">
        <v>874</v>
      </c>
    </row>
    <row r="310" spans="1:5" x14ac:dyDescent="0.25">
      <c r="A310" s="6" t="s">
        <v>641</v>
      </c>
      <c r="B310" s="6">
        <v>2</v>
      </c>
      <c r="C310" s="30" t="s">
        <v>644</v>
      </c>
      <c r="D310" s="6" t="s">
        <v>645</v>
      </c>
      <c r="E310" s="22" t="s">
        <v>847</v>
      </c>
    </row>
    <row r="311" spans="1:5" x14ac:dyDescent="0.25">
      <c r="A311" s="6" t="s">
        <v>641</v>
      </c>
      <c r="B311" s="6">
        <v>3</v>
      </c>
      <c r="C311" s="30" t="s">
        <v>646</v>
      </c>
      <c r="D311" s="6" t="s">
        <v>647</v>
      </c>
      <c r="E311" s="22" t="s">
        <v>875</v>
      </c>
    </row>
    <row r="312" spans="1:5" x14ac:dyDescent="0.25">
      <c r="C312" s="30"/>
      <c r="E312" s="22"/>
    </row>
    <row r="313" spans="1:5" x14ac:dyDescent="0.25">
      <c r="A313" s="9" t="s">
        <v>1463</v>
      </c>
      <c r="B313" s="9">
        <v>1</v>
      </c>
      <c r="C313" s="30" t="s">
        <v>1464</v>
      </c>
      <c r="D313" s="9" t="s">
        <v>1465</v>
      </c>
      <c r="E313" s="9" t="s">
        <v>1465</v>
      </c>
    </row>
    <row r="314" spans="1:5" x14ac:dyDescent="0.25">
      <c r="A314" s="9" t="s">
        <v>1463</v>
      </c>
      <c r="B314" s="9">
        <v>2</v>
      </c>
      <c r="C314" s="30" t="s">
        <v>1466</v>
      </c>
      <c r="D314" s="9" t="s">
        <v>1467</v>
      </c>
      <c r="E314" s="9" t="s">
        <v>1467</v>
      </c>
    </row>
    <row r="315" spans="1:5" x14ac:dyDescent="0.25">
      <c r="A315" s="9" t="s">
        <v>1463</v>
      </c>
      <c r="B315" s="9">
        <v>3</v>
      </c>
      <c r="C315" s="30" t="s">
        <v>867</v>
      </c>
      <c r="D315" s="9" t="s">
        <v>1468</v>
      </c>
      <c r="E315" s="9" t="s">
        <v>1468</v>
      </c>
    </row>
    <row r="316" spans="1:5" x14ac:dyDescent="0.25">
      <c r="A316" s="9" t="s">
        <v>1463</v>
      </c>
      <c r="B316" s="9">
        <v>4</v>
      </c>
      <c r="C316" s="30" t="s">
        <v>1469</v>
      </c>
      <c r="D316" s="9" t="s">
        <v>1470</v>
      </c>
      <c r="E316" s="9" t="s">
        <v>1470</v>
      </c>
    </row>
    <row r="317" spans="1:5" x14ac:dyDescent="0.25">
      <c r="A317" s="9" t="s">
        <v>1463</v>
      </c>
      <c r="B317" s="9">
        <v>97</v>
      </c>
      <c r="C317" s="30" t="s">
        <v>103</v>
      </c>
      <c r="D317" s="9" t="s">
        <v>75</v>
      </c>
      <c r="E317" s="9" t="s">
        <v>75</v>
      </c>
    </row>
    <row r="318" spans="1:5" x14ac:dyDescent="0.25">
      <c r="A318" s="9" t="s">
        <v>1463</v>
      </c>
      <c r="B318" s="9">
        <v>98</v>
      </c>
      <c r="C318" s="30" t="s">
        <v>73</v>
      </c>
      <c r="D318" s="9" t="s">
        <v>1458</v>
      </c>
      <c r="E318" s="9" t="s">
        <v>1458</v>
      </c>
    </row>
    <row r="319" spans="1:5" x14ac:dyDescent="0.25">
      <c r="A319" s="9"/>
      <c r="B319" s="9"/>
      <c r="C319" s="30"/>
      <c r="D319" s="9"/>
    </row>
    <row r="320" spans="1:5" x14ac:dyDescent="0.25">
      <c r="A320" s="42"/>
      <c r="B320" s="98" t="s">
        <v>237</v>
      </c>
      <c r="C320" s="42"/>
      <c r="D320" s="42"/>
      <c r="E320" s="99"/>
    </row>
    <row r="321" spans="1:5" x14ac:dyDescent="0.25">
      <c r="A321" s="50" t="s">
        <v>160</v>
      </c>
      <c r="B321" s="6">
        <v>1</v>
      </c>
      <c r="C321" s="50" t="s">
        <v>161</v>
      </c>
      <c r="D321" s="6" t="s">
        <v>162</v>
      </c>
      <c r="E321" s="22" t="s">
        <v>876</v>
      </c>
    </row>
    <row r="322" spans="1:5" x14ac:dyDescent="0.25">
      <c r="A322" s="50" t="s">
        <v>160</v>
      </c>
      <c r="B322" s="6">
        <v>2</v>
      </c>
      <c r="C322" s="6" t="s">
        <v>163</v>
      </c>
      <c r="D322" s="6" t="s">
        <v>164</v>
      </c>
      <c r="E322" s="22" t="s">
        <v>877</v>
      </c>
    </row>
    <row r="323" spans="1:5" x14ac:dyDescent="0.25">
      <c r="A323" s="50" t="s">
        <v>160</v>
      </c>
      <c r="B323" s="6">
        <v>3</v>
      </c>
      <c r="C323" s="6" t="s">
        <v>165</v>
      </c>
      <c r="D323" s="6" t="s">
        <v>166</v>
      </c>
      <c r="E323" s="22" t="s">
        <v>878</v>
      </c>
    </row>
    <row r="324" spans="1:5" x14ac:dyDescent="0.25">
      <c r="A324" s="50" t="s">
        <v>160</v>
      </c>
      <c r="B324" s="6">
        <v>4</v>
      </c>
      <c r="C324" s="6" t="s">
        <v>167</v>
      </c>
      <c r="D324" s="6" t="s">
        <v>168</v>
      </c>
      <c r="E324" s="22" t="s">
        <v>879</v>
      </c>
    </row>
    <row r="325" spans="1:5" x14ac:dyDescent="0.25">
      <c r="A325" s="50" t="s">
        <v>160</v>
      </c>
      <c r="B325" s="6">
        <v>98</v>
      </c>
      <c r="C325" s="6" t="s">
        <v>73</v>
      </c>
      <c r="D325" s="6" t="s">
        <v>104</v>
      </c>
      <c r="E325" s="22" t="s">
        <v>833</v>
      </c>
    </row>
    <row r="326" spans="1:5" x14ac:dyDescent="0.25">
      <c r="A326" s="50" t="s">
        <v>160</v>
      </c>
      <c r="B326" s="6">
        <v>97</v>
      </c>
      <c r="C326" s="6" t="s">
        <v>103</v>
      </c>
      <c r="D326" s="6" t="s">
        <v>75</v>
      </c>
      <c r="E326" s="22" t="s">
        <v>764</v>
      </c>
    </row>
    <row r="327" spans="1:5" x14ac:dyDescent="0.25">
      <c r="A327" s="94"/>
      <c r="B327" s="94"/>
      <c r="C327" s="94"/>
      <c r="E327" s="22"/>
    </row>
    <row r="328" spans="1:5" x14ac:dyDescent="0.25">
      <c r="A328" s="9" t="s">
        <v>1012</v>
      </c>
      <c r="B328" s="9">
        <v>1</v>
      </c>
      <c r="C328" s="9" t="s">
        <v>1017</v>
      </c>
      <c r="D328" s="9" t="s">
        <v>1013</v>
      </c>
      <c r="E328" s="9" t="s">
        <v>1013</v>
      </c>
    </row>
    <row r="329" spans="1:5" x14ac:dyDescent="0.25">
      <c r="A329" s="9" t="s">
        <v>1012</v>
      </c>
      <c r="B329" s="9">
        <v>2</v>
      </c>
      <c r="C329" s="9" t="s">
        <v>1018</v>
      </c>
      <c r="D329" s="9" t="s">
        <v>1014</v>
      </c>
      <c r="E329" s="9" t="s">
        <v>1014</v>
      </c>
    </row>
    <row r="330" spans="1:5" x14ac:dyDescent="0.25">
      <c r="A330" s="9" t="s">
        <v>1012</v>
      </c>
      <c r="B330" s="9">
        <v>3</v>
      </c>
      <c r="C330" s="9" t="s">
        <v>439</v>
      </c>
      <c r="D330" s="9" t="s">
        <v>439</v>
      </c>
      <c r="E330" s="9" t="s">
        <v>439</v>
      </c>
    </row>
    <row r="331" spans="1:5" x14ac:dyDescent="0.25">
      <c r="A331" s="9" t="s">
        <v>1012</v>
      </c>
      <c r="B331" s="9">
        <v>4</v>
      </c>
      <c r="C331" s="9" t="s">
        <v>1019</v>
      </c>
      <c r="D331" s="9" t="s">
        <v>1015</v>
      </c>
      <c r="E331" s="9" t="s">
        <v>1015</v>
      </c>
    </row>
    <row r="332" spans="1:5" x14ac:dyDescent="0.25">
      <c r="A332" s="9" t="s">
        <v>1012</v>
      </c>
      <c r="B332" s="9">
        <v>5</v>
      </c>
      <c r="C332" s="9" t="s">
        <v>1020</v>
      </c>
      <c r="D332" s="9" t="s">
        <v>1016</v>
      </c>
      <c r="E332" s="9" t="s">
        <v>1016</v>
      </c>
    </row>
    <row r="333" spans="1:5" x14ac:dyDescent="0.25">
      <c r="A333" s="9" t="s">
        <v>1012</v>
      </c>
      <c r="B333" s="6">
        <v>96</v>
      </c>
      <c r="C333" s="9" t="s">
        <v>39</v>
      </c>
      <c r="D333" s="9" t="s">
        <v>81</v>
      </c>
      <c r="E333" s="9" t="s">
        <v>81</v>
      </c>
    </row>
    <row r="334" spans="1:5" x14ac:dyDescent="0.25">
      <c r="A334" s="9" t="s">
        <v>1012</v>
      </c>
      <c r="B334" s="94">
        <v>98</v>
      </c>
      <c r="C334" s="9" t="s">
        <v>73</v>
      </c>
      <c r="D334" s="9" t="s">
        <v>65</v>
      </c>
      <c r="E334" s="9" t="s">
        <v>65</v>
      </c>
    </row>
    <row r="335" spans="1:5" x14ac:dyDescent="0.25">
      <c r="A335" s="9" t="s">
        <v>1012</v>
      </c>
      <c r="B335" s="94">
        <v>97</v>
      </c>
      <c r="C335" s="9" t="s">
        <v>103</v>
      </c>
      <c r="D335" s="9" t="s">
        <v>75</v>
      </c>
      <c r="E335" s="9" t="s">
        <v>75</v>
      </c>
    </row>
    <row r="336" spans="1:5" x14ac:dyDescent="0.25">
      <c r="A336" s="94"/>
      <c r="B336" s="94"/>
      <c r="C336" s="94"/>
      <c r="D336" s="9"/>
      <c r="E336" s="22"/>
    </row>
    <row r="337" spans="1:5" x14ac:dyDescent="0.25">
      <c r="A337" s="94"/>
      <c r="B337" s="94"/>
      <c r="C337" s="94"/>
      <c r="D337" s="9"/>
      <c r="E337" s="22"/>
    </row>
    <row r="338" spans="1:5" x14ac:dyDescent="0.25">
      <c r="A338" s="94"/>
      <c r="B338" s="94"/>
      <c r="C338" s="94"/>
      <c r="D338" s="9"/>
      <c r="E338" s="22"/>
    </row>
    <row r="339" spans="1:5" x14ac:dyDescent="0.25">
      <c r="A339" s="94"/>
      <c r="B339" s="94"/>
      <c r="C339" s="94"/>
      <c r="E339" s="22"/>
    </row>
    <row r="340" spans="1:5" x14ac:dyDescent="0.25">
      <c r="A340" s="6" t="s">
        <v>169</v>
      </c>
      <c r="B340" s="6">
        <v>1</v>
      </c>
      <c r="C340" s="6" t="s">
        <v>170</v>
      </c>
      <c r="D340" s="6" t="s">
        <v>171</v>
      </c>
      <c r="E340" s="22" t="s">
        <v>880</v>
      </c>
    </row>
    <row r="341" spans="1:5" x14ac:dyDescent="0.25">
      <c r="A341" s="6" t="s">
        <v>169</v>
      </c>
      <c r="B341" s="6">
        <v>2</v>
      </c>
      <c r="C341" s="6" t="s">
        <v>172</v>
      </c>
      <c r="D341" s="6" t="s">
        <v>173</v>
      </c>
      <c r="E341" s="22" t="s">
        <v>881</v>
      </c>
    </row>
    <row r="342" spans="1:5" x14ac:dyDescent="0.25">
      <c r="E342" s="22"/>
    </row>
    <row r="343" spans="1:5" x14ac:dyDescent="0.25">
      <c r="A343" s="6" t="s">
        <v>174</v>
      </c>
      <c r="B343" s="6">
        <v>1</v>
      </c>
      <c r="C343" s="6" t="s">
        <v>175</v>
      </c>
      <c r="D343" s="6" t="s">
        <v>176</v>
      </c>
      <c r="E343" s="22" t="s">
        <v>890</v>
      </c>
    </row>
    <row r="344" spans="1:5" x14ac:dyDescent="0.25">
      <c r="A344" s="6" t="s">
        <v>174</v>
      </c>
      <c r="B344" s="6">
        <v>2</v>
      </c>
      <c r="C344" s="6" t="s">
        <v>177</v>
      </c>
      <c r="D344" s="6" t="s">
        <v>178</v>
      </c>
      <c r="E344" s="22" t="s">
        <v>882</v>
      </c>
    </row>
    <row r="345" spans="1:5" x14ac:dyDescent="0.25">
      <c r="A345" s="6" t="s">
        <v>174</v>
      </c>
      <c r="B345" s="6">
        <v>3</v>
      </c>
      <c r="C345" s="9" t="s">
        <v>196</v>
      </c>
      <c r="D345" s="9" t="s">
        <v>197</v>
      </c>
      <c r="E345" s="9" t="s">
        <v>197</v>
      </c>
    </row>
    <row r="346" spans="1:5" x14ac:dyDescent="0.25">
      <c r="A346" s="6" t="s">
        <v>174</v>
      </c>
      <c r="B346" s="6">
        <v>4</v>
      </c>
      <c r="C346" s="6" t="s">
        <v>179</v>
      </c>
      <c r="D346" s="6" t="s">
        <v>180</v>
      </c>
      <c r="E346" s="22" t="s">
        <v>883</v>
      </c>
    </row>
    <row r="347" spans="1:5" x14ac:dyDescent="0.25">
      <c r="A347" s="6" t="s">
        <v>174</v>
      </c>
      <c r="B347" s="6">
        <v>5</v>
      </c>
      <c r="C347" s="6" t="s">
        <v>181</v>
      </c>
      <c r="D347" s="6" t="s">
        <v>182</v>
      </c>
      <c r="E347" s="22" t="s">
        <v>182</v>
      </c>
    </row>
    <row r="348" spans="1:5" x14ac:dyDescent="0.25">
      <c r="A348" s="6" t="s">
        <v>174</v>
      </c>
      <c r="B348" s="6">
        <v>6</v>
      </c>
      <c r="C348" s="6" t="s">
        <v>884</v>
      </c>
      <c r="D348" s="6" t="s">
        <v>183</v>
      </c>
      <c r="E348" s="22" t="s">
        <v>886</v>
      </c>
    </row>
    <row r="349" spans="1:5" x14ac:dyDescent="0.25">
      <c r="A349" s="6" t="s">
        <v>174</v>
      </c>
      <c r="B349" s="6">
        <v>7</v>
      </c>
      <c r="C349" s="6" t="s">
        <v>885</v>
      </c>
      <c r="D349" s="6" t="s">
        <v>184</v>
      </c>
      <c r="E349" s="22" t="s">
        <v>887</v>
      </c>
    </row>
    <row r="350" spans="1:5" x14ac:dyDescent="0.25">
      <c r="A350" s="6" t="s">
        <v>174</v>
      </c>
      <c r="B350" s="6">
        <v>8</v>
      </c>
      <c r="C350" s="6" t="s">
        <v>185</v>
      </c>
      <c r="D350" s="6" t="s">
        <v>186</v>
      </c>
      <c r="E350" s="22" t="s">
        <v>888</v>
      </c>
    </row>
    <row r="351" spans="1:5" x14ac:dyDescent="0.25">
      <c r="A351" s="6" t="s">
        <v>174</v>
      </c>
      <c r="B351" s="6">
        <v>96</v>
      </c>
      <c r="C351" s="6" t="s">
        <v>39</v>
      </c>
      <c r="D351" s="6" t="s">
        <v>187</v>
      </c>
      <c r="E351" s="22" t="s">
        <v>889</v>
      </c>
    </row>
    <row r="352" spans="1:5" x14ac:dyDescent="0.25">
      <c r="A352" s="6" t="s">
        <v>174</v>
      </c>
      <c r="B352" s="6">
        <v>98</v>
      </c>
      <c r="C352" s="6" t="s">
        <v>73</v>
      </c>
      <c r="D352" s="6" t="s">
        <v>104</v>
      </c>
      <c r="E352" s="22" t="s">
        <v>833</v>
      </c>
    </row>
    <row r="353" spans="1:5" x14ac:dyDescent="0.25">
      <c r="A353" s="6" t="s">
        <v>174</v>
      </c>
      <c r="B353" s="6">
        <v>97</v>
      </c>
      <c r="C353" s="6" t="s">
        <v>103</v>
      </c>
      <c r="D353" s="6" t="s">
        <v>75</v>
      </c>
      <c r="E353" s="22" t="s">
        <v>764</v>
      </c>
    </row>
    <row r="354" spans="1:5" x14ac:dyDescent="0.25">
      <c r="E354" s="22"/>
    </row>
    <row r="355" spans="1:5" x14ac:dyDescent="0.25">
      <c r="A355" s="6" t="s">
        <v>188</v>
      </c>
      <c r="B355" s="6">
        <v>1</v>
      </c>
      <c r="C355" s="6" t="s">
        <v>189</v>
      </c>
      <c r="D355" s="6" t="s">
        <v>190</v>
      </c>
      <c r="E355" s="22" t="s">
        <v>891</v>
      </c>
    </row>
    <row r="356" spans="1:5" x14ac:dyDescent="0.25">
      <c r="A356" s="6" t="s">
        <v>188</v>
      </c>
      <c r="B356" s="6">
        <v>2</v>
      </c>
      <c r="C356" s="6" t="s">
        <v>185</v>
      </c>
      <c r="D356" s="6" t="s">
        <v>191</v>
      </c>
      <c r="E356" s="22" t="s">
        <v>888</v>
      </c>
    </row>
    <row r="357" spans="1:5" x14ac:dyDescent="0.25">
      <c r="A357" s="6" t="s">
        <v>188</v>
      </c>
      <c r="B357" s="6">
        <v>3</v>
      </c>
      <c r="C357" s="6" t="s">
        <v>192</v>
      </c>
      <c r="D357" s="6" t="s">
        <v>193</v>
      </c>
      <c r="E357" s="22" t="s">
        <v>892</v>
      </c>
    </row>
    <row r="358" spans="1:5" x14ac:dyDescent="0.25">
      <c r="A358" s="6" t="s">
        <v>188</v>
      </c>
      <c r="B358" s="6">
        <v>4</v>
      </c>
      <c r="C358" s="100" t="s">
        <v>194</v>
      </c>
      <c r="D358" s="100" t="s">
        <v>195</v>
      </c>
      <c r="E358" s="101" t="s">
        <v>883</v>
      </c>
    </row>
    <row r="359" spans="1:5" x14ac:dyDescent="0.25">
      <c r="A359" s="6" t="s">
        <v>188</v>
      </c>
      <c r="B359" s="6">
        <v>5</v>
      </c>
      <c r="C359" s="6" t="s">
        <v>196</v>
      </c>
      <c r="D359" s="6" t="s">
        <v>197</v>
      </c>
      <c r="E359" s="22" t="s">
        <v>893</v>
      </c>
    </row>
    <row r="360" spans="1:5" x14ac:dyDescent="0.25">
      <c r="A360" s="6" t="s">
        <v>188</v>
      </c>
      <c r="B360" s="6">
        <v>96</v>
      </c>
      <c r="C360" s="6" t="s">
        <v>39</v>
      </c>
      <c r="D360" s="6" t="s">
        <v>187</v>
      </c>
      <c r="E360" s="22" t="s">
        <v>889</v>
      </c>
    </row>
    <row r="361" spans="1:5" x14ac:dyDescent="0.25">
      <c r="A361" s="6" t="s">
        <v>188</v>
      </c>
      <c r="B361" s="6">
        <v>98</v>
      </c>
      <c r="C361" s="6" t="s">
        <v>73</v>
      </c>
      <c r="D361" s="6" t="s">
        <v>104</v>
      </c>
      <c r="E361" s="22" t="s">
        <v>833</v>
      </c>
    </row>
    <row r="362" spans="1:5" x14ac:dyDescent="0.25">
      <c r="A362" s="6" t="s">
        <v>188</v>
      </c>
      <c r="B362" s="6">
        <v>97</v>
      </c>
      <c r="C362" s="6" t="s">
        <v>103</v>
      </c>
      <c r="D362" s="6" t="s">
        <v>75</v>
      </c>
      <c r="E362" s="22" t="s">
        <v>764</v>
      </c>
    </row>
    <row r="363" spans="1:5" x14ac:dyDescent="0.25">
      <c r="E363" s="22"/>
    </row>
    <row r="364" spans="1:5" x14ac:dyDescent="0.25">
      <c r="A364" s="6" t="s">
        <v>198</v>
      </c>
      <c r="B364" s="6">
        <v>1</v>
      </c>
      <c r="C364" s="6" t="s">
        <v>894</v>
      </c>
      <c r="D364" s="6" t="s">
        <v>178</v>
      </c>
      <c r="E364" s="22" t="s">
        <v>895</v>
      </c>
    </row>
    <row r="365" spans="1:5" x14ac:dyDescent="0.25">
      <c r="A365" s="6" t="s">
        <v>198</v>
      </c>
      <c r="B365" s="9">
        <v>2</v>
      </c>
      <c r="C365" s="9" t="s">
        <v>196</v>
      </c>
      <c r="D365" s="9" t="s">
        <v>197</v>
      </c>
      <c r="E365" s="9" t="s">
        <v>197</v>
      </c>
    </row>
    <row r="366" spans="1:5" x14ac:dyDescent="0.25">
      <c r="A366" s="6" t="s">
        <v>198</v>
      </c>
      <c r="B366" s="6">
        <v>3</v>
      </c>
      <c r="C366" s="6" t="s">
        <v>199</v>
      </c>
      <c r="D366" s="6" t="s">
        <v>896</v>
      </c>
      <c r="E366" s="22" t="s">
        <v>896</v>
      </c>
    </row>
    <row r="367" spans="1:5" x14ac:dyDescent="0.25">
      <c r="A367" s="6" t="s">
        <v>198</v>
      </c>
      <c r="B367" s="6">
        <v>96</v>
      </c>
      <c r="C367" s="6" t="s">
        <v>39</v>
      </c>
      <c r="D367" s="6" t="s">
        <v>187</v>
      </c>
      <c r="E367" s="22" t="s">
        <v>889</v>
      </c>
    </row>
    <row r="368" spans="1:5" x14ac:dyDescent="0.25">
      <c r="A368" s="6" t="s">
        <v>198</v>
      </c>
      <c r="B368" s="6">
        <v>98</v>
      </c>
      <c r="C368" s="6" t="s">
        <v>73</v>
      </c>
      <c r="D368" s="6" t="s">
        <v>104</v>
      </c>
      <c r="E368" s="22" t="s">
        <v>833</v>
      </c>
    </row>
    <row r="369" spans="1:5" x14ac:dyDescent="0.25">
      <c r="A369" s="6" t="s">
        <v>198</v>
      </c>
      <c r="B369" s="6">
        <v>97</v>
      </c>
      <c r="C369" s="6" t="s">
        <v>103</v>
      </c>
      <c r="D369" s="6" t="s">
        <v>75</v>
      </c>
      <c r="E369" s="22" t="s">
        <v>764</v>
      </c>
    </row>
    <row r="370" spans="1:5" x14ac:dyDescent="0.25">
      <c r="E370" s="22"/>
    </row>
    <row r="371" spans="1:5" x14ac:dyDescent="0.25">
      <c r="E371" s="22"/>
    </row>
    <row r="372" spans="1:5" x14ac:dyDescent="0.25">
      <c r="A372" s="6" t="s">
        <v>200</v>
      </c>
      <c r="B372" s="6">
        <v>1</v>
      </c>
      <c r="C372" s="6" t="s">
        <v>201</v>
      </c>
      <c r="D372" s="6" t="s">
        <v>202</v>
      </c>
      <c r="E372" s="22" t="s">
        <v>202</v>
      </c>
    </row>
    <row r="373" spans="1:5" x14ac:dyDescent="0.25">
      <c r="A373" s="6" t="s">
        <v>200</v>
      </c>
      <c r="B373" s="6">
        <v>2</v>
      </c>
      <c r="C373" s="6" t="s">
        <v>203</v>
      </c>
      <c r="D373" s="6" t="s">
        <v>204</v>
      </c>
      <c r="E373" s="22" t="s">
        <v>204</v>
      </c>
    </row>
    <row r="374" spans="1:5" x14ac:dyDescent="0.25">
      <c r="A374" s="6" t="s">
        <v>200</v>
      </c>
      <c r="B374" s="6">
        <v>3</v>
      </c>
      <c r="C374" s="6" t="s">
        <v>205</v>
      </c>
      <c r="D374" s="6" t="s">
        <v>206</v>
      </c>
      <c r="E374" s="22" t="s">
        <v>206</v>
      </c>
    </row>
    <row r="375" spans="1:5" x14ac:dyDescent="0.25">
      <c r="A375" s="6" t="s">
        <v>200</v>
      </c>
      <c r="B375" s="6">
        <v>4</v>
      </c>
      <c r="C375" s="6" t="s">
        <v>207</v>
      </c>
      <c r="D375" s="6" t="s">
        <v>208</v>
      </c>
      <c r="E375" s="22" t="s">
        <v>208</v>
      </c>
    </row>
    <row r="376" spans="1:5" x14ac:dyDescent="0.25">
      <c r="A376" s="6" t="s">
        <v>200</v>
      </c>
      <c r="B376" s="6">
        <v>5</v>
      </c>
      <c r="C376" s="6" t="s">
        <v>209</v>
      </c>
      <c r="D376" s="6" t="s">
        <v>210</v>
      </c>
      <c r="E376" s="22" t="s">
        <v>210</v>
      </c>
    </row>
    <row r="377" spans="1:5" x14ac:dyDescent="0.25">
      <c r="A377" s="6" t="s">
        <v>200</v>
      </c>
      <c r="B377" s="6">
        <v>6</v>
      </c>
      <c r="C377" s="6" t="s">
        <v>211</v>
      </c>
      <c r="D377" s="6" t="s">
        <v>212</v>
      </c>
      <c r="E377" s="22" t="s">
        <v>212</v>
      </c>
    </row>
    <row r="378" spans="1:5" x14ac:dyDescent="0.25">
      <c r="A378" s="6" t="s">
        <v>200</v>
      </c>
      <c r="B378" s="6">
        <v>7</v>
      </c>
      <c r="C378" s="6" t="s">
        <v>213</v>
      </c>
      <c r="D378" s="6" t="s">
        <v>214</v>
      </c>
      <c r="E378" s="22" t="s">
        <v>214</v>
      </c>
    </row>
    <row r="379" spans="1:5" x14ac:dyDescent="0.25">
      <c r="A379" s="6" t="s">
        <v>200</v>
      </c>
      <c r="B379" s="6">
        <v>96</v>
      </c>
      <c r="C379" s="6" t="s">
        <v>39</v>
      </c>
      <c r="D379" s="6" t="s">
        <v>215</v>
      </c>
      <c r="E379" s="22" t="s">
        <v>215</v>
      </c>
    </row>
    <row r="380" spans="1:5" x14ac:dyDescent="0.25">
      <c r="A380" s="6" t="s">
        <v>200</v>
      </c>
      <c r="B380" s="6">
        <v>98</v>
      </c>
      <c r="C380" s="6" t="s">
        <v>73</v>
      </c>
      <c r="D380" s="6" t="s">
        <v>104</v>
      </c>
      <c r="E380" s="22" t="s">
        <v>104</v>
      </c>
    </row>
    <row r="381" spans="1:5" x14ac:dyDescent="0.25">
      <c r="A381" s="6" t="s">
        <v>200</v>
      </c>
      <c r="B381" s="6">
        <v>97</v>
      </c>
      <c r="C381" s="6" t="s">
        <v>103</v>
      </c>
      <c r="D381" s="6" t="s">
        <v>75</v>
      </c>
      <c r="E381" s="22" t="s">
        <v>75</v>
      </c>
    </row>
    <row r="382" spans="1:5" x14ac:dyDescent="0.25">
      <c r="E382" s="22"/>
    </row>
    <row r="383" spans="1:5" x14ac:dyDescent="0.25">
      <c r="A383" s="6" t="s">
        <v>216</v>
      </c>
      <c r="B383" s="6">
        <v>1</v>
      </c>
      <c r="C383" s="6" t="s">
        <v>217</v>
      </c>
      <c r="D383" s="6" t="s">
        <v>218</v>
      </c>
      <c r="E383" s="22" t="s">
        <v>218</v>
      </c>
    </row>
    <row r="384" spans="1:5" x14ac:dyDescent="0.25">
      <c r="A384" s="6" t="s">
        <v>216</v>
      </c>
      <c r="B384" s="6">
        <v>2</v>
      </c>
      <c r="C384" s="6" t="s">
        <v>219</v>
      </c>
      <c r="D384" s="6" t="s">
        <v>220</v>
      </c>
      <c r="E384" s="22" t="s">
        <v>220</v>
      </c>
    </row>
    <row r="385" spans="1:5" x14ac:dyDescent="0.25">
      <c r="A385" s="6" t="s">
        <v>216</v>
      </c>
      <c r="B385" s="6">
        <v>3</v>
      </c>
      <c r="C385" s="6" t="s">
        <v>221</v>
      </c>
      <c r="D385" s="6" t="s">
        <v>222</v>
      </c>
      <c r="E385" s="22" t="s">
        <v>222</v>
      </c>
    </row>
    <row r="386" spans="1:5" x14ac:dyDescent="0.25">
      <c r="A386" s="6" t="s">
        <v>216</v>
      </c>
      <c r="B386" s="6">
        <v>96</v>
      </c>
      <c r="C386" s="6" t="s">
        <v>223</v>
      </c>
      <c r="D386" s="6" t="s">
        <v>187</v>
      </c>
      <c r="E386" s="22" t="s">
        <v>187</v>
      </c>
    </row>
    <row r="387" spans="1:5" x14ac:dyDescent="0.25">
      <c r="A387" s="6" t="s">
        <v>216</v>
      </c>
      <c r="B387" s="6">
        <v>98</v>
      </c>
      <c r="C387" s="6" t="s">
        <v>73</v>
      </c>
      <c r="D387" s="6" t="s">
        <v>104</v>
      </c>
      <c r="E387" s="22" t="s">
        <v>104</v>
      </c>
    </row>
    <row r="388" spans="1:5" x14ac:dyDescent="0.25">
      <c r="A388" s="6" t="s">
        <v>216</v>
      </c>
      <c r="B388" s="6">
        <v>97</v>
      </c>
      <c r="C388" s="6" t="s">
        <v>103</v>
      </c>
      <c r="D388" s="6" t="s">
        <v>75</v>
      </c>
      <c r="E388" s="22" t="s">
        <v>75</v>
      </c>
    </row>
    <row r="389" spans="1:5" x14ac:dyDescent="0.25">
      <c r="E389" s="22"/>
    </row>
    <row r="390" spans="1:5" x14ac:dyDescent="0.25">
      <c r="A390" s="6" t="s">
        <v>224</v>
      </c>
      <c r="B390" s="6">
        <v>2</v>
      </c>
      <c r="C390" t="s">
        <v>226</v>
      </c>
      <c r="D390" t="s">
        <v>227</v>
      </c>
      <c r="E390" t="s">
        <v>227</v>
      </c>
    </row>
    <row r="391" spans="1:5" x14ac:dyDescent="0.25">
      <c r="A391" s="6" t="s">
        <v>224</v>
      </c>
      <c r="B391" s="6">
        <v>1</v>
      </c>
      <c r="C391" t="s">
        <v>1569</v>
      </c>
      <c r="D391" t="s">
        <v>225</v>
      </c>
      <c r="E391" t="s">
        <v>225</v>
      </c>
    </row>
    <row r="392" spans="1:5" x14ac:dyDescent="0.25">
      <c r="A392" s="6" t="s">
        <v>224</v>
      </c>
      <c r="B392" s="6">
        <v>3</v>
      </c>
      <c r="C392" t="s">
        <v>1117</v>
      </c>
      <c r="D392" t="s">
        <v>1115</v>
      </c>
      <c r="E392" t="s">
        <v>1115</v>
      </c>
    </row>
    <row r="393" spans="1:5" x14ac:dyDescent="0.25">
      <c r="A393" s="6" t="s">
        <v>224</v>
      </c>
      <c r="B393" s="6">
        <v>4</v>
      </c>
      <c r="C393" t="s">
        <v>1118</v>
      </c>
      <c r="D393" t="s">
        <v>480</v>
      </c>
      <c r="E393" t="s">
        <v>480</v>
      </c>
    </row>
    <row r="394" spans="1:5" x14ac:dyDescent="0.25">
      <c r="A394" s="6" t="s">
        <v>224</v>
      </c>
      <c r="B394" s="6">
        <v>5</v>
      </c>
      <c r="C394" t="s">
        <v>1119</v>
      </c>
      <c r="D394" t="s">
        <v>1116</v>
      </c>
      <c r="E394" t="s">
        <v>1116</v>
      </c>
    </row>
    <row r="395" spans="1:5" x14ac:dyDescent="0.25">
      <c r="A395" s="6" t="s">
        <v>224</v>
      </c>
      <c r="B395" s="6">
        <v>6</v>
      </c>
      <c r="C395" t="s">
        <v>1120</v>
      </c>
      <c r="D395" t="s">
        <v>461</v>
      </c>
      <c r="E395" t="s">
        <v>461</v>
      </c>
    </row>
    <row r="396" spans="1:5" x14ac:dyDescent="0.25">
      <c r="A396" s="6" t="s">
        <v>224</v>
      </c>
      <c r="B396" s="6">
        <v>7</v>
      </c>
      <c r="C396" t="s">
        <v>228</v>
      </c>
      <c r="D396" t="s">
        <v>229</v>
      </c>
      <c r="E396" t="s">
        <v>229</v>
      </c>
    </row>
    <row r="397" spans="1:5" x14ac:dyDescent="0.25">
      <c r="A397" s="6" t="s">
        <v>224</v>
      </c>
      <c r="B397" s="6">
        <v>8</v>
      </c>
      <c r="C397" t="s">
        <v>230</v>
      </c>
      <c r="D397" t="s">
        <v>230</v>
      </c>
      <c r="E397" t="s">
        <v>230</v>
      </c>
    </row>
    <row r="398" spans="1:5" x14ac:dyDescent="0.25">
      <c r="A398" s="6" t="s">
        <v>224</v>
      </c>
      <c r="B398" s="6">
        <v>9</v>
      </c>
      <c r="C398" t="s">
        <v>1121</v>
      </c>
      <c r="D398" t="s">
        <v>231</v>
      </c>
      <c r="E398" t="s">
        <v>231</v>
      </c>
    </row>
    <row r="399" spans="1:5" x14ac:dyDescent="0.25">
      <c r="A399" s="6" t="s">
        <v>224</v>
      </c>
      <c r="B399" s="6">
        <v>10</v>
      </c>
      <c r="C399" t="s">
        <v>1122</v>
      </c>
      <c r="D399" t="s">
        <v>232</v>
      </c>
      <c r="E399" t="s">
        <v>232</v>
      </c>
    </row>
    <row r="400" spans="1:5" x14ac:dyDescent="0.25">
      <c r="A400" s="6" t="s">
        <v>224</v>
      </c>
      <c r="B400" s="6">
        <v>11</v>
      </c>
      <c r="C400" t="s">
        <v>233</v>
      </c>
      <c r="D400" t="s">
        <v>234</v>
      </c>
      <c r="E400" t="s">
        <v>234</v>
      </c>
    </row>
    <row r="401" spans="1:5" x14ac:dyDescent="0.25">
      <c r="A401" s="6" t="s">
        <v>224</v>
      </c>
      <c r="B401" s="6">
        <v>12</v>
      </c>
      <c r="C401" t="s">
        <v>235</v>
      </c>
      <c r="D401" t="s">
        <v>236</v>
      </c>
      <c r="E401" t="s">
        <v>236</v>
      </c>
    </row>
    <row r="402" spans="1:5" x14ac:dyDescent="0.25">
      <c r="A402" s="6" t="s">
        <v>224</v>
      </c>
      <c r="B402" s="6">
        <v>0</v>
      </c>
      <c r="C402" s="6" t="s">
        <v>21</v>
      </c>
      <c r="D402" s="6" t="s">
        <v>313</v>
      </c>
      <c r="E402" s="22" t="s">
        <v>104</v>
      </c>
    </row>
    <row r="403" spans="1:5" x14ac:dyDescent="0.25">
      <c r="A403" s="6" t="s">
        <v>224</v>
      </c>
      <c r="B403" s="6">
        <v>97</v>
      </c>
      <c r="C403" s="6" t="s">
        <v>103</v>
      </c>
      <c r="D403" s="6" t="s">
        <v>75</v>
      </c>
      <c r="E403" s="22" t="s">
        <v>75</v>
      </c>
    </row>
    <row r="404" spans="1:5" x14ac:dyDescent="0.25">
      <c r="C404" s="30"/>
      <c r="E404" s="22"/>
    </row>
    <row r="405" spans="1:5" x14ac:dyDescent="0.25">
      <c r="A405" s="89"/>
      <c r="B405" s="89" t="s">
        <v>550</v>
      </c>
      <c r="C405" s="89"/>
      <c r="D405" s="89"/>
      <c r="E405" s="22"/>
    </row>
    <row r="406" spans="1:5" x14ac:dyDescent="0.25">
      <c r="A406" s="9" t="s">
        <v>653</v>
      </c>
      <c r="B406" s="9">
        <v>1</v>
      </c>
      <c r="C406" s="6" t="s">
        <v>654</v>
      </c>
      <c r="D406" s="9" t="s">
        <v>920</v>
      </c>
      <c r="E406" s="9" t="s">
        <v>920</v>
      </c>
    </row>
    <row r="407" spans="1:5" x14ac:dyDescent="0.25">
      <c r="A407" s="9" t="s">
        <v>653</v>
      </c>
      <c r="B407" s="9">
        <v>2</v>
      </c>
      <c r="C407" s="6" t="s">
        <v>655</v>
      </c>
      <c r="D407" s="9" t="s">
        <v>659</v>
      </c>
      <c r="E407" s="22" t="s">
        <v>659</v>
      </c>
    </row>
    <row r="408" spans="1:5" x14ac:dyDescent="0.25">
      <c r="A408" s="9" t="s">
        <v>653</v>
      </c>
      <c r="B408" s="9">
        <v>3</v>
      </c>
      <c r="C408" s="6" t="s">
        <v>657</v>
      </c>
      <c r="D408" s="9" t="s">
        <v>656</v>
      </c>
      <c r="E408" s="22" t="s">
        <v>656</v>
      </c>
    </row>
    <row r="409" spans="1:5" x14ac:dyDescent="0.25">
      <c r="A409" s="9"/>
      <c r="B409" s="9"/>
      <c r="D409" s="9"/>
      <c r="E409" s="22"/>
    </row>
    <row r="410" spans="1:5" x14ac:dyDescent="0.25">
      <c r="A410" s="9"/>
      <c r="B410" s="9"/>
      <c r="D410" s="9"/>
      <c r="E410" s="22"/>
    </row>
    <row r="411" spans="1:5" x14ac:dyDescent="0.25">
      <c r="A411" s="9"/>
      <c r="B411" s="9"/>
      <c r="D411" s="9"/>
      <c r="E411" s="22"/>
    </row>
    <row r="412" spans="1:5" x14ac:dyDescent="0.25">
      <c r="A412" s="9" t="s">
        <v>551</v>
      </c>
      <c r="B412" s="9">
        <v>1</v>
      </c>
      <c r="C412" s="6" t="s">
        <v>552</v>
      </c>
      <c r="D412" s="9" t="s">
        <v>554</v>
      </c>
      <c r="E412" s="22" t="s">
        <v>554</v>
      </c>
    </row>
    <row r="413" spans="1:5" x14ac:dyDescent="0.25">
      <c r="A413" s="9" t="s">
        <v>551</v>
      </c>
      <c r="B413" s="9">
        <v>2</v>
      </c>
      <c r="C413" s="6" t="s">
        <v>553</v>
      </c>
      <c r="D413" s="9" t="s">
        <v>555</v>
      </c>
      <c r="E413" s="22" t="s">
        <v>555</v>
      </c>
    </row>
    <row r="414" spans="1:5" x14ac:dyDescent="0.25">
      <c r="A414" s="9"/>
      <c r="B414" s="9"/>
      <c r="D414" s="9"/>
      <c r="E414" s="22"/>
    </row>
    <row r="415" spans="1:5" x14ac:dyDescent="0.25">
      <c r="A415" s="9" t="s">
        <v>556</v>
      </c>
      <c r="B415" s="9">
        <v>1</v>
      </c>
      <c r="C415" s="6" t="s">
        <v>558</v>
      </c>
      <c r="D415" s="9" t="s">
        <v>557</v>
      </c>
      <c r="E415" s="22" t="s">
        <v>557</v>
      </c>
    </row>
    <row r="416" spans="1:5" x14ac:dyDescent="0.25">
      <c r="A416" s="9" t="s">
        <v>556</v>
      </c>
      <c r="B416" s="9">
        <v>2</v>
      </c>
      <c r="C416" s="6" t="s">
        <v>559</v>
      </c>
      <c r="D416" s="9" t="s">
        <v>559</v>
      </c>
      <c r="E416" s="22" t="s">
        <v>559</v>
      </c>
    </row>
    <row r="417" spans="1:5" x14ac:dyDescent="0.25">
      <c r="A417" s="9" t="s">
        <v>556</v>
      </c>
      <c r="B417" s="9">
        <v>3</v>
      </c>
      <c r="C417" s="6" t="s">
        <v>560</v>
      </c>
      <c r="D417" s="9" t="s">
        <v>560</v>
      </c>
      <c r="E417" s="22" t="s">
        <v>560</v>
      </c>
    </row>
    <row r="418" spans="1:5" x14ac:dyDescent="0.25">
      <c r="A418" s="9" t="s">
        <v>556</v>
      </c>
      <c r="B418" s="9">
        <v>4</v>
      </c>
      <c r="C418" s="6" t="s">
        <v>561</v>
      </c>
      <c r="D418" s="9" t="s">
        <v>561</v>
      </c>
      <c r="E418" s="22" t="s">
        <v>561</v>
      </c>
    </row>
    <row r="419" spans="1:5" x14ac:dyDescent="0.25">
      <c r="A419" s="9"/>
      <c r="B419" s="9"/>
      <c r="D419" s="9"/>
      <c r="E419" s="22"/>
    </row>
    <row r="420" spans="1:5" x14ac:dyDescent="0.25">
      <c r="A420" s="9" t="s">
        <v>482</v>
      </c>
      <c r="B420" s="9">
        <v>1</v>
      </c>
      <c r="C420" s="6" t="s">
        <v>485</v>
      </c>
      <c r="D420" s="9" t="s">
        <v>483</v>
      </c>
      <c r="E420" s="22" t="s">
        <v>483</v>
      </c>
    </row>
    <row r="421" spans="1:5" x14ac:dyDescent="0.25">
      <c r="A421" s="9" t="s">
        <v>482</v>
      </c>
      <c r="B421" s="9">
        <v>2</v>
      </c>
      <c r="C421" s="6" t="s">
        <v>486</v>
      </c>
      <c r="D421" s="9" t="s">
        <v>484</v>
      </c>
      <c r="E421" s="22" t="s">
        <v>484</v>
      </c>
    </row>
    <row r="422" spans="1:5" x14ac:dyDescent="0.25">
      <c r="A422" s="9" t="s">
        <v>482</v>
      </c>
      <c r="B422" s="9">
        <v>3</v>
      </c>
      <c r="C422" s="6" t="s">
        <v>921</v>
      </c>
      <c r="D422" s="9" t="s">
        <v>922</v>
      </c>
      <c r="E422" s="22" t="s">
        <v>922</v>
      </c>
    </row>
    <row r="423" spans="1:5" x14ac:dyDescent="0.25">
      <c r="A423" s="9" t="s">
        <v>482</v>
      </c>
      <c r="B423" s="9">
        <v>4</v>
      </c>
      <c r="C423" s="6" t="s">
        <v>962</v>
      </c>
      <c r="D423" s="9" t="s">
        <v>963</v>
      </c>
      <c r="E423" s="22" t="s">
        <v>963</v>
      </c>
    </row>
    <row r="424" spans="1:5" x14ac:dyDescent="0.25">
      <c r="A424" s="9"/>
      <c r="B424" s="9"/>
      <c r="D424" s="9"/>
      <c r="E424" s="22"/>
    </row>
    <row r="425" spans="1:5" x14ac:dyDescent="0.25">
      <c r="A425" s="9"/>
      <c r="B425" s="9"/>
      <c r="C425" s="9"/>
      <c r="D425" s="9"/>
      <c r="E425" s="22"/>
    </row>
    <row r="426" spans="1:5" x14ac:dyDescent="0.25">
      <c r="A426" s="9"/>
      <c r="B426" s="9"/>
      <c r="C426" s="9"/>
      <c r="D426" s="9"/>
      <c r="E426" s="22"/>
    </row>
    <row r="427" spans="1:5" x14ac:dyDescent="0.25">
      <c r="A427" s="9"/>
      <c r="B427" s="9"/>
      <c r="C427" s="9"/>
      <c r="D427" s="9"/>
      <c r="E427" s="22"/>
    </row>
    <row r="428" spans="1:5" x14ac:dyDescent="0.25">
      <c r="A428" s="6" t="s">
        <v>338</v>
      </c>
      <c r="B428" s="6">
        <v>1</v>
      </c>
      <c r="C428" s="50" t="s">
        <v>339</v>
      </c>
      <c r="D428" s="50" t="s">
        <v>340</v>
      </c>
      <c r="E428" s="102" t="s">
        <v>340</v>
      </c>
    </row>
    <row r="429" spans="1:5" x14ac:dyDescent="0.25">
      <c r="A429" s="6" t="s">
        <v>338</v>
      </c>
      <c r="B429" s="6">
        <v>2</v>
      </c>
      <c r="C429" s="50" t="s">
        <v>341</v>
      </c>
      <c r="D429" s="50" t="s">
        <v>342</v>
      </c>
      <c r="E429" s="102" t="s">
        <v>342</v>
      </c>
    </row>
    <row r="430" spans="1:5" x14ac:dyDescent="0.25">
      <c r="A430" s="6" t="s">
        <v>338</v>
      </c>
      <c r="B430" s="6">
        <v>3</v>
      </c>
      <c r="C430" s="50" t="s">
        <v>343</v>
      </c>
      <c r="D430" s="50" t="s">
        <v>344</v>
      </c>
      <c r="E430" s="102" t="s">
        <v>344</v>
      </c>
    </row>
    <row r="431" spans="1:5" x14ac:dyDescent="0.25">
      <c r="D431" s="50"/>
      <c r="E431" s="102"/>
    </row>
    <row r="432" spans="1:5" x14ac:dyDescent="0.25">
      <c r="A432" s="50" t="s">
        <v>345</v>
      </c>
      <c r="B432" s="50">
        <v>1</v>
      </c>
      <c r="C432" s="50" t="s">
        <v>346</v>
      </c>
      <c r="D432" s="50" t="s">
        <v>347</v>
      </c>
      <c r="E432" s="102" t="s">
        <v>347</v>
      </c>
    </row>
    <row r="433" spans="1:5" x14ac:dyDescent="0.25">
      <c r="A433" s="50" t="s">
        <v>345</v>
      </c>
      <c r="B433" s="50">
        <v>2</v>
      </c>
      <c r="C433" s="50" t="s">
        <v>348</v>
      </c>
      <c r="D433" s="50" t="s">
        <v>348</v>
      </c>
      <c r="E433" s="102" t="s">
        <v>348</v>
      </c>
    </row>
    <row r="434" spans="1:5" x14ac:dyDescent="0.25">
      <c r="A434" s="50" t="s">
        <v>345</v>
      </c>
      <c r="B434" s="50">
        <v>3</v>
      </c>
      <c r="C434" s="50" t="s">
        <v>349</v>
      </c>
      <c r="D434" s="50" t="s">
        <v>349</v>
      </c>
      <c r="E434" s="102" t="s">
        <v>349</v>
      </c>
    </row>
    <row r="435" spans="1:5" x14ac:dyDescent="0.25">
      <c r="A435" s="50" t="s">
        <v>345</v>
      </c>
      <c r="B435" s="50">
        <v>4</v>
      </c>
      <c r="C435" s="50" t="s">
        <v>350</v>
      </c>
      <c r="D435" s="50" t="s">
        <v>351</v>
      </c>
      <c r="E435" s="102" t="s">
        <v>351</v>
      </c>
    </row>
    <row r="436" spans="1:5" x14ac:dyDescent="0.25">
      <c r="A436" s="50" t="s">
        <v>345</v>
      </c>
      <c r="B436" s="50">
        <v>5</v>
      </c>
      <c r="C436" s="50" t="s">
        <v>352</v>
      </c>
      <c r="D436" s="50" t="s">
        <v>353</v>
      </c>
      <c r="E436" s="102" t="s">
        <v>353</v>
      </c>
    </row>
    <row r="437" spans="1:5" x14ac:dyDescent="0.25">
      <c r="A437" s="50" t="s">
        <v>345</v>
      </c>
      <c r="B437" s="50">
        <v>97</v>
      </c>
      <c r="C437" s="50" t="s">
        <v>103</v>
      </c>
      <c r="D437" s="50" t="s">
        <v>75</v>
      </c>
      <c r="E437" s="102" t="s">
        <v>75</v>
      </c>
    </row>
    <row r="438" spans="1:5" x14ac:dyDescent="0.25">
      <c r="A438" s="50" t="s">
        <v>345</v>
      </c>
      <c r="B438" s="50">
        <v>98</v>
      </c>
      <c r="C438" s="50" t="s">
        <v>354</v>
      </c>
      <c r="D438" s="50" t="s">
        <v>104</v>
      </c>
      <c r="E438" s="102" t="s">
        <v>104</v>
      </c>
    </row>
    <row r="439" spans="1:5" x14ac:dyDescent="0.25">
      <c r="A439" s="50"/>
      <c r="B439" s="50"/>
      <c r="C439" s="50"/>
      <c r="D439" s="50"/>
      <c r="E439" s="102"/>
    </row>
    <row r="440" spans="1:5" x14ac:dyDescent="0.25">
      <c r="A440" s="6" t="s">
        <v>355</v>
      </c>
      <c r="B440" s="6">
        <v>1</v>
      </c>
      <c r="C440" s="6" t="s">
        <v>356</v>
      </c>
      <c r="D440" s="50" t="s">
        <v>357</v>
      </c>
      <c r="E440" s="102" t="s">
        <v>357</v>
      </c>
    </row>
    <row r="441" spans="1:5" x14ac:dyDescent="0.25">
      <c r="A441" s="6" t="s">
        <v>355</v>
      </c>
      <c r="B441" s="6">
        <v>2</v>
      </c>
      <c r="C441" s="6" t="s">
        <v>358</v>
      </c>
      <c r="D441" s="50" t="s">
        <v>481</v>
      </c>
      <c r="E441" s="102" t="s">
        <v>481</v>
      </c>
    </row>
    <row r="442" spans="1:5" x14ac:dyDescent="0.25">
      <c r="A442" s="6" t="s">
        <v>355</v>
      </c>
      <c r="B442" s="6">
        <v>3</v>
      </c>
      <c r="C442" s="6" t="s">
        <v>359</v>
      </c>
      <c r="D442" s="50" t="s">
        <v>360</v>
      </c>
      <c r="E442" s="102" t="s">
        <v>360</v>
      </c>
    </row>
    <row r="443" spans="1:5" x14ac:dyDescent="0.25">
      <c r="A443" s="6" t="s">
        <v>355</v>
      </c>
      <c r="B443" s="6">
        <v>4</v>
      </c>
      <c r="C443" s="6" t="s">
        <v>361</v>
      </c>
      <c r="D443" s="50" t="s">
        <v>362</v>
      </c>
      <c r="E443" s="102" t="s">
        <v>362</v>
      </c>
    </row>
    <row r="444" spans="1:5" x14ac:dyDescent="0.25">
      <c r="A444" s="6" t="s">
        <v>355</v>
      </c>
      <c r="B444" s="6">
        <v>96</v>
      </c>
      <c r="C444" s="6" t="s">
        <v>39</v>
      </c>
      <c r="D444" s="50" t="s">
        <v>81</v>
      </c>
      <c r="E444" s="102" t="s">
        <v>81</v>
      </c>
    </row>
    <row r="445" spans="1:5" x14ac:dyDescent="0.25">
      <c r="A445" s="50"/>
      <c r="B445" s="50"/>
      <c r="C445" s="50"/>
      <c r="D445" s="50"/>
      <c r="E445" s="102"/>
    </row>
    <row r="446" spans="1:5" x14ac:dyDescent="0.25">
      <c r="A446" s="6" t="s">
        <v>363</v>
      </c>
      <c r="B446" s="6">
        <v>1</v>
      </c>
      <c r="C446" s="50" t="s">
        <v>364</v>
      </c>
      <c r="D446" s="50" t="s">
        <v>365</v>
      </c>
      <c r="E446" s="102" t="s">
        <v>365</v>
      </c>
    </row>
    <row r="447" spans="1:5" x14ac:dyDescent="0.25">
      <c r="A447" s="6" t="s">
        <v>363</v>
      </c>
      <c r="B447" s="6">
        <v>2</v>
      </c>
      <c r="C447" s="50" t="s">
        <v>366</v>
      </c>
      <c r="D447" s="50" t="s">
        <v>367</v>
      </c>
      <c r="E447" s="102" t="s">
        <v>367</v>
      </c>
    </row>
    <row r="448" spans="1:5" x14ac:dyDescent="0.25">
      <c r="A448" s="6" t="s">
        <v>363</v>
      </c>
      <c r="B448" s="6">
        <v>3</v>
      </c>
      <c r="C448" s="50" t="s">
        <v>368</v>
      </c>
      <c r="D448" s="50" t="s">
        <v>369</v>
      </c>
      <c r="E448" s="102" t="s">
        <v>369</v>
      </c>
    </row>
    <row r="449" spans="1:5" x14ac:dyDescent="0.25">
      <c r="A449" s="6" t="s">
        <v>363</v>
      </c>
      <c r="B449" s="6">
        <v>4</v>
      </c>
      <c r="C449" s="50" t="s">
        <v>370</v>
      </c>
      <c r="D449" s="50" t="s">
        <v>371</v>
      </c>
      <c r="E449" s="102" t="s">
        <v>371</v>
      </c>
    </row>
    <row r="450" spans="1:5" x14ac:dyDescent="0.25">
      <c r="A450" s="6" t="s">
        <v>363</v>
      </c>
      <c r="B450" s="6">
        <v>96</v>
      </c>
      <c r="C450" s="50" t="s">
        <v>39</v>
      </c>
      <c r="D450" s="50" t="s">
        <v>81</v>
      </c>
      <c r="E450" s="102" t="s">
        <v>81</v>
      </c>
    </row>
    <row r="451" spans="1:5" x14ac:dyDescent="0.25">
      <c r="D451" s="50"/>
      <c r="E451" s="102"/>
    </row>
    <row r="452" spans="1:5" x14ac:dyDescent="0.25">
      <c r="A452" s="6" t="s">
        <v>372</v>
      </c>
      <c r="B452" s="6">
        <v>1</v>
      </c>
      <c r="C452" s="50" t="s">
        <v>373</v>
      </c>
      <c r="D452" s="50" t="s">
        <v>373</v>
      </c>
      <c r="E452" s="102" t="s">
        <v>373</v>
      </c>
    </row>
    <row r="453" spans="1:5" x14ac:dyDescent="0.25">
      <c r="A453" s="6" t="s">
        <v>372</v>
      </c>
      <c r="B453" s="6">
        <v>2</v>
      </c>
      <c r="C453" s="50" t="s">
        <v>374</v>
      </c>
      <c r="D453" s="50" t="s">
        <v>579</v>
      </c>
      <c r="E453" s="102" t="s">
        <v>375</v>
      </c>
    </row>
    <row r="454" spans="1:5" x14ac:dyDescent="0.25">
      <c r="A454" s="6" t="s">
        <v>372</v>
      </c>
      <c r="B454" s="6">
        <v>3</v>
      </c>
      <c r="C454" s="50" t="s">
        <v>376</v>
      </c>
      <c r="D454" s="50" t="s">
        <v>377</v>
      </c>
      <c r="E454" s="102" t="s">
        <v>377</v>
      </c>
    </row>
    <row r="455" spans="1:5" x14ac:dyDescent="0.25">
      <c r="A455" s="6" t="s">
        <v>372</v>
      </c>
      <c r="B455" s="6">
        <v>96</v>
      </c>
      <c r="C455" s="50" t="s">
        <v>39</v>
      </c>
      <c r="D455" s="50" t="s">
        <v>81</v>
      </c>
      <c r="E455" s="102" t="s">
        <v>81</v>
      </c>
    </row>
    <row r="456" spans="1:5" x14ac:dyDescent="0.25">
      <c r="C456" s="50"/>
      <c r="D456" s="50"/>
      <c r="E456" s="102"/>
    </row>
    <row r="457" spans="1:5" x14ac:dyDescent="0.25">
      <c r="A457" s="9" t="s">
        <v>929</v>
      </c>
      <c r="B457" s="9">
        <v>0</v>
      </c>
      <c r="C457" s="27" t="s">
        <v>1598</v>
      </c>
      <c r="D457" s="27" t="s">
        <v>1599</v>
      </c>
      <c r="E457" s="27" t="s">
        <v>1599</v>
      </c>
    </row>
    <row r="458" spans="1:5" x14ac:dyDescent="0.25">
      <c r="A458" s="9" t="s">
        <v>929</v>
      </c>
      <c r="B458" s="9">
        <v>1</v>
      </c>
      <c r="C458" s="50" t="s">
        <v>930</v>
      </c>
      <c r="D458" s="50" t="s">
        <v>933</v>
      </c>
      <c r="E458" s="50" t="s">
        <v>933</v>
      </c>
    </row>
    <row r="459" spans="1:5" x14ac:dyDescent="0.25">
      <c r="A459" s="9" t="s">
        <v>929</v>
      </c>
      <c r="B459" s="9">
        <v>2</v>
      </c>
      <c r="C459" s="50" t="s">
        <v>931</v>
      </c>
      <c r="D459" s="50" t="s">
        <v>934</v>
      </c>
      <c r="E459" s="50" t="s">
        <v>934</v>
      </c>
    </row>
    <row r="460" spans="1:5" x14ac:dyDescent="0.25">
      <c r="A460" s="9" t="s">
        <v>929</v>
      </c>
      <c r="B460" s="9">
        <v>3</v>
      </c>
      <c r="C460" s="50" t="s">
        <v>932</v>
      </c>
      <c r="D460" s="50" t="s">
        <v>935</v>
      </c>
      <c r="E460" s="50" t="s">
        <v>935</v>
      </c>
    </row>
    <row r="461" spans="1:5" x14ac:dyDescent="0.25">
      <c r="A461" s="9" t="s">
        <v>929</v>
      </c>
      <c r="B461" s="9">
        <v>96</v>
      </c>
      <c r="C461" s="50" t="s">
        <v>39</v>
      </c>
      <c r="D461" s="50" t="s">
        <v>81</v>
      </c>
      <c r="E461" s="50" t="s">
        <v>81</v>
      </c>
    </row>
    <row r="462" spans="1:5" x14ac:dyDescent="0.25">
      <c r="A462" s="9" t="s">
        <v>929</v>
      </c>
      <c r="B462" s="9">
        <v>97</v>
      </c>
      <c r="C462" s="9" t="s">
        <v>103</v>
      </c>
      <c r="D462" s="27" t="s">
        <v>75</v>
      </c>
      <c r="E462" s="27" t="s">
        <v>75</v>
      </c>
    </row>
    <row r="463" spans="1:5" x14ac:dyDescent="0.25">
      <c r="A463" s="9" t="s">
        <v>929</v>
      </c>
      <c r="B463" s="9">
        <v>98</v>
      </c>
      <c r="C463" s="9" t="s">
        <v>354</v>
      </c>
      <c r="D463" s="27" t="s">
        <v>1458</v>
      </c>
      <c r="E463" s="102" t="s">
        <v>1458</v>
      </c>
    </row>
    <row r="464" spans="1:5" x14ac:dyDescent="0.25">
      <c r="C464" s="50"/>
      <c r="D464" s="50"/>
      <c r="E464" s="102"/>
    </row>
    <row r="465" spans="1:5" x14ac:dyDescent="0.25">
      <c r="C465" s="50"/>
      <c r="D465" s="50"/>
      <c r="E465" s="102"/>
    </row>
    <row r="466" spans="1:5" x14ac:dyDescent="0.25">
      <c r="A466" s="9" t="s">
        <v>1847</v>
      </c>
      <c r="B466" s="9">
        <v>1</v>
      </c>
      <c r="C466" s="27" t="s">
        <v>1868</v>
      </c>
      <c r="D466" s="27" t="s">
        <v>1868</v>
      </c>
      <c r="E466" s="27" t="s">
        <v>1868</v>
      </c>
    </row>
    <row r="467" spans="1:5" x14ac:dyDescent="0.25">
      <c r="A467" s="9" t="s">
        <v>1847</v>
      </c>
      <c r="B467" s="9">
        <v>2</v>
      </c>
      <c r="C467" s="27" t="s">
        <v>1869</v>
      </c>
      <c r="D467" s="27" t="s">
        <v>1869</v>
      </c>
      <c r="E467" s="27" t="s">
        <v>1869</v>
      </c>
    </row>
    <row r="468" spans="1:5" x14ac:dyDescent="0.25">
      <c r="A468" s="9" t="s">
        <v>1847</v>
      </c>
      <c r="B468" s="9">
        <v>3</v>
      </c>
      <c r="C468" s="27" t="s">
        <v>81</v>
      </c>
      <c r="D468" s="27" t="s">
        <v>81</v>
      </c>
      <c r="E468" s="27" t="s">
        <v>81</v>
      </c>
    </row>
    <row r="469" spans="1:5" x14ac:dyDescent="0.25">
      <c r="A469" s="6" t="s">
        <v>1847</v>
      </c>
      <c r="B469" s="9">
        <v>4</v>
      </c>
      <c r="C469" s="6" t="s">
        <v>1848</v>
      </c>
      <c r="D469" s="6" t="s">
        <v>1848</v>
      </c>
      <c r="E469" s="6" t="s">
        <v>1848</v>
      </c>
    </row>
    <row r="470" spans="1:5" x14ac:dyDescent="0.25">
      <c r="A470" s="6" t="s">
        <v>1847</v>
      </c>
      <c r="B470" s="9">
        <v>5</v>
      </c>
      <c r="C470" s="6" t="s">
        <v>1849</v>
      </c>
      <c r="D470" s="6" t="s">
        <v>1849</v>
      </c>
      <c r="E470" s="6" t="s">
        <v>1849</v>
      </c>
    </row>
    <row r="471" spans="1:5" x14ac:dyDescent="0.25">
      <c r="A471" s="6" t="s">
        <v>1847</v>
      </c>
      <c r="B471" s="9">
        <v>6</v>
      </c>
      <c r="C471" s="6" t="s">
        <v>1850</v>
      </c>
      <c r="D471" s="6" t="s">
        <v>1850</v>
      </c>
      <c r="E471" s="6" t="s">
        <v>1850</v>
      </c>
    </row>
    <row r="472" spans="1:5" x14ac:dyDescent="0.25">
      <c r="A472" s="6" t="s">
        <v>1847</v>
      </c>
      <c r="B472" s="9">
        <v>7</v>
      </c>
      <c r="C472" s="6" t="s">
        <v>1851</v>
      </c>
      <c r="D472" s="6" t="s">
        <v>1851</v>
      </c>
      <c r="E472" s="6" t="s">
        <v>1851</v>
      </c>
    </row>
    <row r="473" spans="1:5" x14ac:dyDescent="0.25">
      <c r="A473" s="6" t="s">
        <v>1847</v>
      </c>
      <c r="B473" s="9">
        <v>8</v>
      </c>
      <c r="C473" s="6" t="s">
        <v>1852</v>
      </c>
      <c r="D473" s="6" t="s">
        <v>1852</v>
      </c>
      <c r="E473" s="6" t="s">
        <v>1852</v>
      </c>
    </row>
    <row r="474" spans="1:5" x14ac:dyDescent="0.25">
      <c r="A474" s="6" t="s">
        <v>1847</v>
      </c>
      <c r="B474" s="9">
        <v>9</v>
      </c>
      <c r="C474" s="6" t="s">
        <v>1853</v>
      </c>
      <c r="D474" s="6" t="s">
        <v>1853</v>
      </c>
      <c r="E474" s="6" t="s">
        <v>1853</v>
      </c>
    </row>
    <row r="475" spans="1:5" x14ac:dyDescent="0.25">
      <c r="A475" s="6" t="s">
        <v>1847</v>
      </c>
      <c r="B475" s="9">
        <v>10</v>
      </c>
      <c r="C475" s="6" t="s">
        <v>1854</v>
      </c>
      <c r="D475" s="6" t="s">
        <v>1854</v>
      </c>
      <c r="E475" s="6" t="s">
        <v>1854</v>
      </c>
    </row>
    <row r="476" spans="1:5" x14ac:dyDescent="0.25">
      <c r="A476" s="6" t="s">
        <v>1847</v>
      </c>
      <c r="B476" s="9">
        <v>11</v>
      </c>
      <c r="C476" s="6" t="s">
        <v>1855</v>
      </c>
      <c r="D476" s="6" t="s">
        <v>1855</v>
      </c>
      <c r="E476" s="6" t="s">
        <v>1855</v>
      </c>
    </row>
    <row r="477" spans="1:5" x14ac:dyDescent="0.25">
      <c r="A477" s="6" t="s">
        <v>1847</v>
      </c>
      <c r="B477" s="9">
        <v>12</v>
      </c>
      <c r="C477" s="6" t="s">
        <v>1856</v>
      </c>
      <c r="D477" s="6" t="s">
        <v>1856</v>
      </c>
      <c r="E477" s="6" t="s">
        <v>1856</v>
      </c>
    </row>
    <row r="478" spans="1:5" x14ac:dyDescent="0.25">
      <c r="A478" s="6" t="s">
        <v>1847</v>
      </c>
      <c r="B478" s="9">
        <v>13</v>
      </c>
      <c r="C478" s="6" t="s">
        <v>1857</v>
      </c>
      <c r="D478" s="6" t="s">
        <v>1857</v>
      </c>
      <c r="E478" s="6" t="s">
        <v>1857</v>
      </c>
    </row>
    <row r="479" spans="1:5" x14ac:dyDescent="0.25">
      <c r="A479" s="6" t="s">
        <v>1847</v>
      </c>
      <c r="B479" s="9">
        <v>14</v>
      </c>
      <c r="C479" s="6" t="s">
        <v>1858</v>
      </c>
      <c r="D479" s="6" t="s">
        <v>1858</v>
      </c>
      <c r="E479" s="6" t="s">
        <v>1858</v>
      </c>
    </row>
    <row r="480" spans="1:5" x14ac:dyDescent="0.25">
      <c r="A480" s="6" t="s">
        <v>1847</v>
      </c>
      <c r="B480" s="9">
        <v>15</v>
      </c>
      <c r="C480" s="6" t="s">
        <v>1859</v>
      </c>
      <c r="D480" s="6" t="s">
        <v>1859</v>
      </c>
      <c r="E480" s="6" t="s">
        <v>1859</v>
      </c>
    </row>
    <row r="481" spans="1:5" x14ac:dyDescent="0.25">
      <c r="A481" s="6" t="s">
        <v>1847</v>
      </c>
      <c r="B481" s="9">
        <v>16</v>
      </c>
      <c r="C481" s="6" t="s">
        <v>1860</v>
      </c>
      <c r="D481" s="6" t="s">
        <v>1860</v>
      </c>
      <c r="E481" s="6" t="s">
        <v>1860</v>
      </c>
    </row>
    <row r="482" spans="1:5" x14ac:dyDescent="0.25">
      <c r="A482" s="6" t="s">
        <v>1847</v>
      </c>
      <c r="B482" s="9">
        <v>17</v>
      </c>
      <c r="C482" s="6" t="s">
        <v>1861</v>
      </c>
      <c r="D482" s="6" t="s">
        <v>1861</v>
      </c>
      <c r="E482" s="6" t="s">
        <v>1861</v>
      </c>
    </row>
    <row r="483" spans="1:5" x14ac:dyDescent="0.25">
      <c r="A483" s="6" t="s">
        <v>1847</v>
      </c>
      <c r="B483" s="9">
        <v>18</v>
      </c>
      <c r="C483" s="6" t="s">
        <v>1862</v>
      </c>
      <c r="D483" s="6" t="s">
        <v>1862</v>
      </c>
      <c r="E483" s="6" t="s">
        <v>1862</v>
      </c>
    </row>
    <row r="484" spans="1:5" x14ac:dyDescent="0.25">
      <c r="A484" s="6" t="s">
        <v>1847</v>
      </c>
      <c r="B484" s="9">
        <v>19</v>
      </c>
      <c r="C484" s="6" t="s">
        <v>1863</v>
      </c>
      <c r="D484" s="6" t="s">
        <v>1863</v>
      </c>
      <c r="E484" s="6" t="s">
        <v>1863</v>
      </c>
    </row>
    <row r="485" spans="1:5" x14ac:dyDescent="0.25">
      <c r="A485" s="6" t="s">
        <v>1847</v>
      </c>
      <c r="B485" s="9">
        <v>20</v>
      </c>
      <c r="C485" s="6" t="s">
        <v>1864</v>
      </c>
      <c r="D485" s="6" t="s">
        <v>1864</v>
      </c>
      <c r="E485" s="6" t="s">
        <v>1864</v>
      </c>
    </row>
    <row r="486" spans="1:5" x14ac:dyDescent="0.25">
      <c r="A486" s="6" t="s">
        <v>1847</v>
      </c>
      <c r="B486" s="9">
        <v>21</v>
      </c>
      <c r="C486" s="6" t="s">
        <v>1865</v>
      </c>
      <c r="D486" s="6" t="s">
        <v>1865</v>
      </c>
      <c r="E486" s="6" t="s">
        <v>1865</v>
      </c>
    </row>
    <row r="487" spans="1:5" x14ac:dyDescent="0.25">
      <c r="A487" s="6" t="s">
        <v>1847</v>
      </c>
      <c r="B487" s="9">
        <v>22</v>
      </c>
      <c r="C487" s="6" t="s">
        <v>1866</v>
      </c>
      <c r="D487" s="6" t="s">
        <v>1866</v>
      </c>
      <c r="E487" s="6" t="s">
        <v>1866</v>
      </c>
    </row>
    <row r="488" spans="1:5" x14ac:dyDescent="0.25">
      <c r="A488" s="6" t="s">
        <v>1847</v>
      </c>
      <c r="B488" s="9">
        <v>23</v>
      </c>
      <c r="C488" s="6" t="s">
        <v>1867</v>
      </c>
      <c r="D488" s="6" t="s">
        <v>1867</v>
      </c>
      <c r="E488" s="6" t="s">
        <v>1867</v>
      </c>
    </row>
    <row r="490" spans="1:5" x14ac:dyDescent="0.25">
      <c r="C490" s="50"/>
      <c r="D490" s="50"/>
      <c r="E490" s="102"/>
    </row>
    <row r="491" spans="1:5" x14ac:dyDescent="0.25">
      <c r="C491" s="50"/>
      <c r="D491" s="50"/>
      <c r="E491" s="102"/>
    </row>
    <row r="492" spans="1:5" x14ac:dyDescent="0.25">
      <c r="A492" s="50"/>
      <c r="B492" s="50"/>
      <c r="C492" s="50"/>
      <c r="D492" s="50"/>
      <c r="E492" s="102"/>
    </row>
    <row r="493" spans="1:5" x14ac:dyDescent="0.25">
      <c r="A493" s="50" t="s">
        <v>378</v>
      </c>
      <c r="B493" s="50">
        <v>1</v>
      </c>
      <c r="C493" s="50" t="s">
        <v>315</v>
      </c>
      <c r="D493" s="50" t="s">
        <v>379</v>
      </c>
      <c r="E493" s="102" t="s">
        <v>379</v>
      </c>
    </row>
    <row r="494" spans="1:5" x14ac:dyDescent="0.25">
      <c r="A494" s="50" t="s">
        <v>378</v>
      </c>
      <c r="B494" s="50">
        <v>2</v>
      </c>
      <c r="C494" s="50" t="s">
        <v>316</v>
      </c>
      <c r="D494" s="50" t="s">
        <v>316</v>
      </c>
      <c r="E494" s="102" t="s">
        <v>316</v>
      </c>
    </row>
    <row r="495" spans="1:5" x14ac:dyDescent="0.25">
      <c r="A495" s="50" t="s">
        <v>378</v>
      </c>
      <c r="B495" s="50">
        <v>3</v>
      </c>
      <c r="C495" s="50" t="s">
        <v>380</v>
      </c>
      <c r="D495" s="50" t="s">
        <v>381</v>
      </c>
      <c r="E495" s="102" t="s">
        <v>381</v>
      </c>
    </row>
    <row r="496" spans="1:5" x14ac:dyDescent="0.25">
      <c r="A496" s="50"/>
      <c r="B496" s="50"/>
      <c r="C496" s="50"/>
      <c r="D496" s="50"/>
      <c r="E496" s="102"/>
    </row>
    <row r="497" spans="1:5" x14ac:dyDescent="0.25">
      <c r="A497" s="50" t="s">
        <v>564</v>
      </c>
      <c r="B497" s="50">
        <v>1</v>
      </c>
      <c r="C497" s="50" t="s">
        <v>565</v>
      </c>
      <c r="D497" s="50" t="s">
        <v>571</v>
      </c>
      <c r="E497" s="102" t="s">
        <v>571</v>
      </c>
    </row>
    <row r="498" spans="1:5" x14ac:dyDescent="0.25">
      <c r="A498" s="50" t="s">
        <v>564</v>
      </c>
      <c r="B498" s="50">
        <v>2</v>
      </c>
      <c r="C498" s="6" t="s">
        <v>569</v>
      </c>
      <c r="D498" s="50" t="s">
        <v>572</v>
      </c>
      <c r="E498" s="102" t="s">
        <v>572</v>
      </c>
    </row>
    <row r="499" spans="1:5" x14ac:dyDescent="0.25">
      <c r="A499" s="50" t="s">
        <v>564</v>
      </c>
      <c r="B499" s="50">
        <v>3</v>
      </c>
      <c r="C499" s="9" t="s">
        <v>570</v>
      </c>
      <c r="D499" s="50" t="s">
        <v>573</v>
      </c>
      <c r="E499" s="102" t="s">
        <v>573</v>
      </c>
    </row>
    <row r="500" spans="1:5" x14ac:dyDescent="0.25">
      <c r="A500" s="50" t="s">
        <v>564</v>
      </c>
      <c r="B500" s="50">
        <v>4</v>
      </c>
      <c r="C500" s="9" t="s">
        <v>567</v>
      </c>
      <c r="D500" s="50" t="s">
        <v>574</v>
      </c>
      <c r="E500" s="102" t="s">
        <v>574</v>
      </c>
    </row>
    <row r="501" spans="1:5" x14ac:dyDescent="0.25">
      <c r="A501" s="50" t="s">
        <v>564</v>
      </c>
      <c r="B501" s="50">
        <v>5</v>
      </c>
      <c r="C501" s="9" t="s">
        <v>568</v>
      </c>
      <c r="D501" s="50" t="s">
        <v>575</v>
      </c>
      <c r="E501" s="102" t="s">
        <v>575</v>
      </c>
    </row>
    <row r="502" spans="1:5" x14ac:dyDescent="0.25">
      <c r="A502" s="50" t="s">
        <v>564</v>
      </c>
      <c r="B502" s="50">
        <v>6</v>
      </c>
      <c r="C502" s="50" t="s">
        <v>566</v>
      </c>
      <c r="D502" s="50" t="s">
        <v>576</v>
      </c>
      <c r="E502" s="102" t="s">
        <v>576</v>
      </c>
    </row>
    <row r="503" spans="1:5" x14ac:dyDescent="0.25">
      <c r="A503" s="50"/>
      <c r="B503" s="50"/>
      <c r="C503" s="50"/>
      <c r="D503" s="50"/>
      <c r="E503" s="102"/>
    </row>
    <row r="504" spans="1:5" x14ac:dyDescent="0.25">
      <c r="A504" s="50"/>
      <c r="B504" s="50"/>
      <c r="C504" s="50"/>
      <c r="D504" s="50"/>
      <c r="E504" s="102"/>
    </row>
    <row r="505" spans="1:5" x14ac:dyDescent="0.25">
      <c r="A505" s="3" t="s">
        <v>382</v>
      </c>
      <c r="B505" s="50">
        <v>1</v>
      </c>
      <c r="C505" s="50" t="s">
        <v>383</v>
      </c>
      <c r="D505" s="50" t="s">
        <v>384</v>
      </c>
      <c r="E505" s="102" t="s">
        <v>384</v>
      </c>
    </row>
    <row r="506" spans="1:5" x14ac:dyDescent="0.25">
      <c r="A506" s="3" t="s">
        <v>382</v>
      </c>
      <c r="B506" s="50">
        <v>2</v>
      </c>
      <c r="C506" s="50" t="s">
        <v>385</v>
      </c>
      <c r="D506" s="50" t="s">
        <v>386</v>
      </c>
      <c r="E506" s="102" t="s">
        <v>386</v>
      </c>
    </row>
    <row r="507" spans="1:5" x14ac:dyDescent="0.25">
      <c r="A507" s="3" t="s">
        <v>382</v>
      </c>
      <c r="B507" s="50">
        <v>3</v>
      </c>
      <c r="C507" s="50" t="s">
        <v>387</v>
      </c>
      <c r="D507" s="50" t="s">
        <v>388</v>
      </c>
      <c r="E507" s="102" t="s">
        <v>388</v>
      </c>
    </row>
    <row r="508" spans="1:5" x14ac:dyDescent="0.25">
      <c r="A508" s="3" t="s">
        <v>382</v>
      </c>
      <c r="B508" s="50">
        <v>98</v>
      </c>
      <c r="C508" s="50" t="s">
        <v>73</v>
      </c>
      <c r="D508" s="50" t="s">
        <v>104</v>
      </c>
      <c r="E508" s="102" t="s">
        <v>104</v>
      </c>
    </row>
    <row r="509" spans="1:5" x14ac:dyDescent="0.25">
      <c r="A509" s="50"/>
      <c r="B509" s="50"/>
      <c r="C509" s="50"/>
      <c r="D509" s="50"/>
      <c r="E509" s="102"/>
    </row>
    <row r="510" spans="1:5" x14ac:dyDescent="0.25">
      <c r="A510" s="3" t="s">
        <v>389</v>
      </c>
      <c r="B510" s="50">
        <v>1</v>
      </c>
      <c r="C510" s="50" t="s">
        <v>390</v>
      </c>
      <c r="D510" s="50" t="s">
        <v>391</v>
      </c>
      <c r="E510" s="102" t="s">
        <v>391</v>
      </c>
    </row>
    <row r="511" spans="1:5" x14ac:dyDescent="0.25">
      <c r="A511" s="3" t="s">
        <v>389</v>
      </c>
      <c r="B511" s="50">
        <v>2</v>
      </c>
      <c r="C511" s="50" t="s">
        <v>392</v>
      </c>
      <c r="D511" s="50" t="s">
        <v>393</v>
      </c>
      <c r="E511" s="102" t="s">
        <v>393</v>
      </c>
    </row>
    <row r="512" spans="1:5" x14ac:dyDescent="0.25">
      <c r="A512" s="3" t="s">
        <v>389</v>
      </c>
      <c r="B512" s="50">
        <v>3</v>
      </c>
      <c r="C512" s="50" t="s">
        <v>394</v>
      </c>
      <c r="D512" s="50" t="s">
        <v>395</v>
      </c>
      <c r="E512" s="102" t="s">
        <v>395</v>
      </c>
    </row>
    <row r="513" spans="1:5" x14ac:dyDescent="0.25">
      <c r="A513" s="3" t="s">
        <v>389</v>
      </c>
      <c r="B513" s="50">
        <v>4</v>
      </c>
      <c r="C513" s="50" t="s">
        <v>396</v>
      </c>
      <c r="D513" s="50" t="s">
        <v>396</v>
      </c>
      <c r="E513" s="102" t="s">
        <v>396</v>
      </c>
    </row>
    <row r="514" spans="1:5" x14ac:dyDescent="0.25">
      <c r="A514" s="3" t="s">
        <v>389</v>
      </c>
      <c r="B514" s="50">
        <v>5</v>
      </c>
      <c r="C514" s="50" t="s">
        <v>39</v>
      </c>
      <c r="D514" s="50" t="s">
        <v>81</v>
      </c>
      <c r="E514" s="102" t="s">
        <v>81</v>
      </c>
    </row>
    <row r="515" spans="1:5" x14ac:dyDescent="0.25">
      <c r="A515" s="3" t="s">
        <v>389</v>
      </c>
      <c r="B515" s="50">
        <v>99</v>
      </c>
      <c r="C515" s="50" t="s">
        <v>73</v>
      </c>
      <c r="D515" s="50" t="s">
        <v>104</v>
      </c>
      <c r="E515" s="102" t="s">
        <v>104</v>
      </c>
    </row>
    <row r="516" spans="1:5" x14ac:dyDescent="0.25">
      <c r="A516" s="50"/>
      <c r="B516" s="50"/>
      <c r="C516" s="50"/>
      <c r="D516" s="50"/>
      <c r="E516" s="102"/>
    </row>
    <row r="517" spans="1:5" x14ac:dyDescent="0.25">
      <c r="A517" s="3" t="s">
        <v>397</v>
      </c>
      <c r="B517" s="4">
        <v>1</v>
      </c>
      <c r="C517" s="4" t="s">
        <v>398</v>
      </c>
      <c r="D517" s="50" t="s">
        <v>399</v>
      </c>
      <c r="E517" s="102" t="s">
        <v>399</v>
      </c>
    </row>
    <row r="518" spans="1:5" x14ac:dyDescent="0.25">
      <c r="A518" s="3" t="s">
        <v>397</v>
      </c>
      <c r="B518" s="4">
        <v>2</v>
      </c>
      <c r="C518" s="4" t="s">
        <v>400</v>
      </c>
      <c r="D518" s="50" t="s">
        <v>401</v>
      </c>
      <c r="E518" s="102" t="s">
        <v>401</v>
      </c>
    </row>
    <row r="519" spans="1:5" x14ac:dyDescent="0.25">
      <c r="A519" s="3" t="s">
        <v>397</v>
      </c>
      <c r="B519" s="4">
        <v>3</v>
      </c>
      <c r="C519" s="4" t="s">
        <v>402</v>
      </c>
      <c r="D519" s="50" t="s">
        <v>403</v>
      </c>
      <c r="E519" s="102" t="s">
        <v>403</v>
      </c>
    </row>
    <row r="520" spans="1:5" x14ac:dyDescent="0.25">
      <c r="A520" s="3"/>
      <c r="B520" s="4"/>
      <c r="C520" s="4"/>
      <c r="D520" s="50"/>
      <c r="E520" s="102"/>
    </row>
    <row r="521" spans="1:5" x14ac:dyDescent="0.25">
      <c r="A521" s="3" t="s">
        <v>397</v>
      </c>
      <c r="B521" s="4">
        <v>96</v>
      </c>
      <c r="C521" s="4" t="s">
        <v>39</v>
      </c>
      <c r="D521" s="50" t="s">
        <v>81</v>
      </c>
      <c r="E521" s="102" t="s">
        <v>81</v>
      </c>
    </row>
    <row r="522" spans="1:5" x14ac:dyDescent="0.25">
      <c r="A522" s="91"/>
      <c r="B522" s="91"/>
      <c r="C522" s="91"/>
      <c r="D522" s="50"/>
      <c r="E522" s="102"/>
    </row>
    <row r="523" spans="1:5" x14ac:dyDescent="0.25">
      <c r="A523" s="91" t="s">
        <v>404</v>
      </c>
      <c r="B523" s="50">
        <v>2</v>
      </c>
      <c r="C523" s="6" t="s">
        <v>808</v>
      </c>
      <c r="D523" s="6" t="s">
        <v>808</v>
      </c>
      <c r="E523" s="22" t="s">
        <v>808</v>
      </c>
    </row>
    <row r="524" spans="1:5" x14ac:dyDescent="0.25">
      <c r="A524" s="91" t="s">
        <v>404</v>
      </c>
      <c r="B524" s="50">
        <v>3</v>
      </c>
      <c r="C524" s="6" t="s">
        <v>809</v>
      </c>
      <c r="D524" s="6" t="s">
        <v>809</v>
      </c>
      <c r="E524" s="22" t="s">
        <v>809</v>
      </c>
    </row>
    <row r="525" spans="1:5" x14ac:dyDescent="0.25">
      <c r="A525" s="91" t="s">
        <v>404</v>
      </c>
      <c r="B525" s="50">
        <v>4</v>
      </c>
      <c r="C525" s="6" t="s">
        <v>810</v>
      </c>
      <c r="D525" s="6" t="s">
        <v>810</v>
      </c>
      <c r="E525" s="22" t="s">
        <v>810</v>
      </c>
    </row>
    <row r="526" spans="1:5" x14ac:dyDescent="0.25">
      <c r="A526" s="91" t="s">
        <v>404</v>
      </c>
      <c r="B526" s="50">
        <v>5</v>
      </c>
      <c r="C526" s="6" t="s">
        <v>811</v>
      </c>
      <c r="D526" s="6" t="s">
        <v>811</v>
      </c>
      <c r="E526" s="22" t="s">
        <v>811</v>
      </c>
    </row>
    <row r="527" spans="1:5" x14ac:dyDescent="0.25">
      <c r="A527" s="91" t="s">
        <v>404</v>
      </c>
      <c r="B527" s="50">
        <v>6</v>
      </c>
      <c r="C527" s="6" t="s">
        <v>812</v>
      </c>
      <c r="D527" s="6" t="s">
        <v>812</v>
      </c>
      <c r="E527" s="22" t="s">
        <v>812</v>
      </c>
    </row>
    <row r="528" spans="1:5" x14ac:dyDescent="0.25">
      <c r="A528" s="91" t="s">
        <v>404</v>
      </c>
      <c r="B528" s="50">
        <v>7</v>
      </c>
      <c r="C528" s="6" t="s">
        <v>813</v>
      </c>
      <c r="D528" s="6" t="s">
        <v>813</v>
      </c>
      <c r="E528" s="22" t="s">
        <v>813</v>
      </c>
    </row>
    <row r="529" spans="1:5" x14ac:dyDescent="0.25">
      <c r="A529" s="91" t="s">
        <v>404</v>
      </c>
      <c r="B529" s="50">
        <v>97</v>
      </c>
      <c r="C529" s="9" t="s">
        <v>75</v>
      </c>
      <c r="D529" s="6" t="s">
        <v>75</v>
      </c>
      <c r="E529" s="22" t="s">
        <v>75</v>
      </c>
    </row>
    <row r="530" spans="1:5" x14ac:dyDescent="0.25">
      <c r="A530" s="91" t="s">
        <v>404</v>
      </c>
      <c r="B530" s="50">
        <v>98</v>
      </c>
      <c r="C530" s="103" t="s">
        <v>73</v>
      </c>
      <c r="D530" s="6" t="s">
        <v>104</v>
      </c>
      <c r="E530" s="22" t="s">
        <v>104</v>
      </c>
    </row>
    <row r="531" spans="1:5" x14ac:dyDescent="0.25">
      <c r="A531" s="91"/>
      <c r="B531" s="50"/>
      <c r="C531" s="103"/>
      <c r="E531" s="22"/>
    </row>
    <row r="532" spans="1:5" x14ac:dyDescent="0.25">
      <c r="A532" s="92" t="s">
        <v>1600</v>
      </c>
      <c r="B532" s="27">
        <v>1</v>
      </c>
      <c r="C532" s="103" t="s">
        <v>285</v>
      </c>
      <c r="D532" s="6" t="s">
        <v>286</v>
      </c>
      <c r="E532" s="22" t="s">
        <v>702</v>
      </c>
    </row>
    <row r="533" spans="1:5" x14ac:dyDescent="0.25">
      <c r="A533" s="92" t="s">
        <v>1600</v>
      </c>
      <c r="B533" s="27">
        <v>2</v>
      </c>
      <c r="C533" s="135" t="s">
        <v>282</v>
      </c>
      <c r="D533" s="9" t="s">
        <v>1601</v>
      </c>
      <c r="E533" s="9" t="s">
        <v>1601</v>
      </c>
    </row>
    <row r="534" spans="1:5" x14ac:dyDescent="0.25">
      <c r="A534" s="92" t="s">
        <v>1600</v>
      </c>
      <c r="B534" s="27">
        <v>3</v>
      </c>
      <c r="C534" s="103" t="s">
        <v>1101</v>
      </c>
      <c r="D534" s="6" t="s">
        <v>1101</v>
      </c>
      <c r="E534" s="22" t="s">
        <v>1101</v>
      </c>
    </row>
    <row r="535" spans="1:5" x14ac:dyDescent="0.25">
      <c r="A535" s="92" t="s">
        <v>1600</v>
      </c>
      <c r="B535" s="27">
        <v>4</v>
      </c>
      <c r="C535" s="103" t="s">
        <v>2040</v>
      </c>
      <c r="D535" s="9" t="s">
        <v>2041</v>
      </c>
      <c r="E535" s="9" t="s">
        <v>2041</v>
      </c>
    </row>
    <row r="536" spans="1:5" x14ac:dyDescent="0.25">
      <c r="A536" s="92" t="s">
        <v>1600</v>
      </c>
      <c r="B536" s="27">
        <v>0</v>
      </c>
      <c r="C536" s="103" t="s">
        <v>21</v>
      </c>
      <c r="D536" s="9" t="s">
        <v>313</v>
      </c>
      <c r="E536" s="22" t="s">
        <v>313</v>
      </c>
    </row>
    <row r="537" spans="1:5" x14ac:dyDescent="0.25">
      <c r="A537" s="92" t="s">
        <v>1600</v>
      </c>
      <c r="B537" s="27">
        <v>97</v>
      </c>
      <c r="C537" s="103" t="s">
        <v>103</v>
      </c>
      <c r="D537" s="9" t="s">
        <v>75</v>
      </c>
      <c r="E537" s="22" t="s">
        <v>75</v>
      </c>
    </row>
    <row r="538" spans="1:5" x14ac:dyDescent="0.25">
      <c r="A538" s="92" t="s">
        <v>1600</v>
      </c>
      <c r="B538" s="50">
        <v>98</v>
      </c>
      <c r="C538" s="103" t="s">
        <v>73</v>
      </c>
      <c r="D538" s="6" t="s">
        <v>104</v>
      </c>
      <c r="E538" s="22" t="s">
        <v>104</v>
      </c>
    </row>
    <row r="539" spans="1:5" x14ac:dyDescent="0.25">
      <c r="A539" s="92"/>
      <c r="B539" s="50"/>
      <c r="C539" s="103"/>
      <c r="E539" s="22"/>
    </row>
    <row r="540" spans="1:5" x14ac:dyDescent="0.25">
      <c r="A540" s="92" t="s">
        <v>1602</v>
      </c>
      <c r="B540" s="27">
        <v>1</v>
      </c>
      <c r="C540" s="103" t="s">
        <v>1603</v>
      </c>
      <c r="D540" s="20" t="s">
        <v>1105</v>
      </c>
      <c r="E540" s="20" t="s">
        <v>1105</v>
      </c>
    </row>
    <row r="541" spans="1:5" x14ac:dyDescent="0.25">
      <c r="A541" s="92" t="s">
        <v>1602</v>
      </c>
      <c r="B541" s="27">
        <v>2</v>
      </c>
      <c r="C541" s="103" t="s">
        <v>1103</v>
      </c>
      <c r="D541" s="9" t="s">
        <v>1104</v>
      </c>
      <c r="E541" s="9" t="s">
        <v>1104</v>
      </c>
    </row>
    <row r="542" spans="1:5" x14ac:dyDescent="0.25">
      <c r="A542" s="92" t="s">
        <v>1602</v>
      </c>
      <c r="B542" s="27">
        <v>3</v>
      </c>
      <c r="C542" s="103" t="s">
        <v>1102</v>
      </c>
      <c r="D542" s="9" t="s">
        <v>1102</v>
      </c>
      <c r="E542" s="9" t="s">
        <v>1102</v>
      </c>
    </row>
    <row r="543" spans="1:5" x14ac:dyDescent="0.25">
      <c r="A543" s="92" t="s">
        <v>1602</v>
      </c>
      <c r="B543" s="27">
        <v>4</v>
      </c>
      <c r="C543" s="103" t="s">
        <v>2042</v>
      </c>
      <c r="D543" s="103" t="s">
        <v>2042</v>
      </c>
      <c r="E543" s="103" t="s">
        <v>2042</v>
      </c>
    </row>
    <row r="544" spans="1:5" x14ac:dyDescent="0.25">
      <c r="A544" s="92" t="s">
        <v>1602</v>
      </c>
      <c r="B544" s="27">
        <v>0</v>
      </c>
      <c r="C544" s="103" t="s">
        <v>21</v>
      </c>
      <c r="D544" s="9" t="s">
        <v>66</v>
      </c>
      <c r="E544" s="9" t="s">
        <v>66</v>
      </c>
    </row>
    <row r="545" spans="1:5" x14ac:dyDescent="0.25">
      <c r="A545" s="92" t="s">
        <v>1602</v>
      </c>
      <c r="B545" s="27">
        <v>97</v>
      </c>
      <c r="C545" s="103" t="s">
        <v>103</v>
      </c>
      <c r="D545" s="9" t="s">
        <v>75</v>
      </c>
      <c r="E545" s="22" t="s">
        <v>75</v>
      </c>
    </row>
    <row r="546" spans="1:5" x14ac:dyDescent="0.25">
      <c r="A546" s="92" t="s">
        <v>1602</v>
      </c>
      <c r="B546" s="50">
        <v>98</v>
      </c>
      <c r="C546" s="103" t="s">
        <v>73</v>
      </c>
      <c r="D546" s="6" t="s">
        <v>104</v>
      </c>
      <c r="E546" s="22" t="s">
        <v>104</v>
      </c>
    </row>
    <row r="547" spans="1:5" x14ac:dyDescent="0.25">
      <c r="A547" s="92"/>
      <c r="B547" s="50"/>
      <c r="C547" s="103"/>
      <c r="E547" s="22"/>
    </row>
    <row r="548" spans="1:5" x14ac:dyDescent="0.25">
      <c r="A548" s="92" t="s">
        <v>1604</v>
      </c>
      <c r="B548" s="27">
        <v>1</v>
      </c>
      <c r="C548" s="103" t="s">
        <v>170</v>
      </c>
      <c r="D548" s="9" t="s">
        <v>1605</v>
      </c>
      <c r="E548" s="9" t="s">
        <v>1605</v>
      </c>
    </row>
    <row r="549" spans="1:5" x14ac:dyDescent="0.25">
      <c r="A549" s="92" t="s">
        <v>1604</v>
      </c>
      <c r="B549" s="27">
        <v>2</v>
      </c>
      <c r="C549" s="103" t="s">
        <v>1606</v>
      </c>
      <c r="D549" s="9" t="s">
        <v>1607</v>
      </c>
      <c r="E549" s="9" t="s">
        <v>1607</v>
      </c>
    </row>
    <row r="550" spans="1:5" x14ac:dyDescent="0.25">
      <c r="A550" s="92" t="s">
        <v>1604</v>
      </c>
      <c r="B550" s="27">
        <v>3</v>
      </c>
      <c r="C550" s="103" t="s">
        <v>1608</v>
      </c>
      <c r="D550" s="103" t="s">
        <v>1608</v>
      </c>
      <c r="E550" s="103" t="s">
        <v>1608</v>
      </c>
    </row>
    <row r="551" spans="1:5" x14ac:dyDescent="0.25">
      <c r="A551" s="92" t="s">
        <v>1604</v>
      </c>
      <c r="B551" s="27">
        <v>4</v>
      </c>
      <c r="C551" s="103" t="s">
        <v>1609</v>
      </c>
      <c r="D551" s="103" t="s">
        <v>1609</v>
      </c>
      <c r="E551" s="103" t="s">
        <v>1609</v>
      </c>
    </row>
    <row r="552" spans="1:5" x14ac:dyDescent="0.25">
      <c r="A552" s="92" t="s">
        <v>1604</v>
      </c>
      <c r="B552" s="50">
        <v>96</v>
      </c>
      <c r="C552" s="103" t="s">
        <v>39</v>
      </c>
      <c r="D552" s="6" t="s">
        <v>81</v>
      </c>
      <c r="E552" s="22"/>
    </row>
    <row r="553" spans="1:5" x14ac:dyDescent="0.25">
      <c r="A553" s="92" t="s">
        <v>1604</v>
      </c>
      <c r="B553" s="27">
        <v>97</v>
      </c>
      <c r="C553" s="103" t="s">
        <v>103</v>
      </c>
      <c r="D553" s="9" t="s">
        <v>75</v>
      </c>
      <c r="E553" s="22" t="s">
        <v>75</v>
      </c>
    </row>
    <row r="554" spans="1:5" x14ac:dyDescent="0.25">
      <c r="A554" s="92" t="s">
        <v>1604</v>
      </c>
      <c r="B554" s="50">
        <v>98</v>
      </c>
      <c r="C554" s="103" t="s">
        <v>73</v>
      </c>
      <c r="D554" s="6" t="s">
        <v>104</v>
      </c>
      <c r="E554" s="22" t="s">
        <v>104</v>
      </c>
    </row>
    <row r="555" spans="1:5" x14ac:dyDescent="0.25">
      <c r="A555" s="92"/>
      <c r="B555" s="50"/>
      <c r="C555" s="103"/>
      <c r="E555" s="22"/>
    </row>
    <row r="556" spans="1:5" x14ac:dyDescent="0.25">
      <c r="A556" s="92"/>
      <c r="B556" s="50"/>
      <c r="C556" s="103"/>
      <c r="E556" s="22"/>
    </row>
    <row r="557" spans="1:5" x14ac:dyDescent="0.25">
      <c r="A557" s="91"/>
      <c r="B557" s="50"/>
      <c r="C557" s="103"/>
      <c r="E557" s="22"/>
    </row>
    <row r="558" spans="1:5" x14ac:dyDescent="0.25">
      <c r="A558" s="92" t="s">
        <v>1106</v>
      </c>
      <c r="B558" s="27">
        <v>1</v>
      </c>
      <c r="C558" s="135" t="s">
        <v>1112</v>
      </c>
      <c r="D558" s="133" t="s">
        <v>1107</v>
      </c>
      <c r="E558" s="22" t="s">
        <v>1113</v>
      </c>
    </row>
    <row r="559" spans="1:5" x14ac:dyDescent="0.25">
      <c r="A559" s="92" t="s">
        <v>1106</v>
      </c>
      <c r="B559" s="27">
        <v>2</v>
      </c>
      <c r="C559" s="103" t="s">
        <v>1112</v>
      </c>
      <c r="D559" s="133" t="s">
        <v>1108</v>
      </c>
      <c r="E559" s="22" t="s">
        <v>1112</v>
      </c>
    </row>
    <row r="560" spans="1:5" x14ac:dyDescent="0.25">
      <c r="A560" s="92" t="s">
        <v>1106</v>
      </c>
      <c r="B560" s="91">
        <v>3</v>
      </c>
      <c r="C560" s="92" t="s">
        <v>1112</v>
      </c>
      <c r="D560" s="133" t="s">
        <v>1109</v>
      </c>
      <c r="E560" s="102" t="s">
        <v>1112</v>
      </c>
    </row>
    <row r="561" spans="1:5" x14ac:dyDescent="0.25">
      <c r="A561" s="92" t="s">
        <v>1106</v>
      </c>
      <c r="B561" s="91">
        <v>4</v>
      </c>
      <c r="C561" s="92" t="s">
        <v>1112</v>
      </c>
      <c r="D561" s="133" t="s">
        <v>1110</v>
      </c>
      <c r="E561" s="102" t="s">
        <v>1112</v>
      </c>
    </row>
    <row r="562" spans="1:5" x14ac:dyDescent="0.25">
      <c r="A562" s="92" t="s">
        <v>1106</v>
      </c>
      <c r="B562" s="91">
        <v>5</v>
      </c>
      <c r="C562" s="92" t="s">
        <v>1112</v>
      </c>
      <c r="D562" s="134" t="s">
        <v>1111</v>
      </c>
      <c r="E562" s="102" t="s">
        <v>1112</v>
      </c>
    </row>
    <row r="563" spans="1:5" x14ac:dyDescent="0.25">
      <c r="A563" s="92" t="s">
        <v>1106</v>
      </c>
      <c r="B563" s="91">
        <v>0</v>
      </c>
      <c r="C563" s="92" t="s">
        <v>21</v>
      </c>
      <c r="D563" s="134" t="s">
        <v>66</v>
      </c>
      <c r="E563" s="102" t="s">
        <v>66</v>
      </c>
    </row>
    <row r="564" spans="1:5" x14ac:dyDescent="0.25">
      <c r="A564" s="92" t="s">
        <v>1106</v>
      </c>
      <c r="B564" s="27">
        <v>97</v>
      </c>
      <c r="C564" s="103" t="s">
        <v>103</v>
      </c>
      <c r="D564" s="9" t="s">
        <v>75</v>
      </c>
      <c r="E564" s="22" t="s">
        <v>75</v>
      </c>
    </row>
    <row r="565" spans="1:5" x14ac:dyDescent="0.25">
      <c r="A565" s="92" t="s">
        <v>1106</v>
      </c>
      <c r="B565" s="50">
        <v>98</v>
      </c>
      <c r="C565" s="103" t="s">
        <v>73</v>
      </c>
      <c r="D565" s="6" t="s">
        <v>104</v>
      </c>
      <c r="E565" s="22" t="s">
        <v>104</v>
      </c>
    </row>
    <row r="566" spans="1:5" x14ac:dyDescent="0.25">
      <c r="E566" s="22"/>
    </row>
    <row r="567" spans="1:5" x14ac:dyDescent="0.25">
      <c r="A567" s="104"/>
      <c r="B567" s="104" t="s">
        <v>460</v>
      </c>
      <c r="C567" s="105"/>
      <c r="D567" s="104"/>
      <c r="E567" s="22"/>
    </row>
    <row r="568" spans="1:5" x14ac:dyDescent="0.25">
      <c r="A568" s="3" t="s">
        <v>417</v>
      </c>
      <c r="B568" s="50">
        <v>1</v>
      </c>
      <c r="C568" s="50" t="s">
        <v>418</v>
      </c>
      <c r="D568" s="50" t="s">
        <v>419</v>
      </c>
      <c r="E568" s="102" t="s">
        <v>419</v>
      </c>
    </row>
    <row r="569" spans="1:5" x14ac:dyDescent="0.25">
      <c r="A569" s="3" t="s">
        <v>417</v>
      </c>
      <c r="B569" s="50">
        <v>2</v>
      </c>
      <c r="C569" s="50" t="s">
        <v>420</v>
      </c>
      <c r="D569" s="50" t="s">
        <v>421</v>
      </c>
      <c r="E569" s="102" t="s">
        <v>421</v>
      </c>
    </row>
    <row r="570" spans="1:5" x14ac:dyDescent="0.25">
      <c r="A570" s="3" t="s">
        <v>417</v>
      </c>
      <c r="B570" s="6">
        <v>3</v>
      </c>
      <c r="C570" s="50" t="s">
        <v>422</v>
      </c>
      <c r="D570" s="50" t="s">
        <v>423</v>
      </c>
      <c r="E570" s="102" t="s">
        <v>423</v>
      </c>
    </row>
    <row r="571" spans="1:5" x14ac:dyDescent="0.25">
      <c r="A571" s="3" t="s">
        <v>417</v>
      </c>
      <c r="B571" s="6">
        <v>4</v>
      </c>
      <c r="C571" s="50" t="s">
        <v>424</v>
      </c>
      <c r="D571" s="50" t="s">
        <v>425</v>
      </c>
      <c r="E571" s="102" t="s">
        <v>425</v>
      </c>
    </row>
    <row r="572" spans="1:5" ht="15.75" customHeight="1" x14ac:dyDescent="0.25">
      <c r="A572" s="3" t="s">
        <v>417</v>
      </c>
      <c r="B572" s="6">
        <v>5</v>
      </c>
      <c r="C572" s="50" t="s">
        <v>426</v>
      </c>
      <c r="D572" s="50" t="s">
        <v>427</v>
      </c>
      <c r="E572" s="102" t="s">
        <v>427</v>
      </c>
    </row>
    <row r="573" spans="1:5" x14ac:dyDescent="0.25">
      <c r="A573" s="3" t="s">
        <v>417</v>
      </c>
      <c r="B573" s="6">
        <v>96</v>
      </c>
      <c r="C573" s="50" t="s">
        <v>39</v>
      </c>
      <c r="D573" s="50" t="s">
        <v>81</v>
      </c>
      <c r="E573" s="102" t="s">
        <v>81</v>
      </c>
    </row>
    <row r="574" spans="1:5" x14ac:dyDescent="0.25">
      <c r="A574" s="3" t="s">
        <v>417</v>
      </c>
      <c r="B574" s="6">
        <v>97</v>
      </c>
      <c r="C574" s="50" t="s">
        <v>103</v>
      </c>
      <c r="D574" s="50" t="s">
        <v>75</v>
      </c>
      <c r="E574" s="102" t="s">
        <v>75</v>
      </c>
    </row>
    <row r="575" spans="1:5" x14ac:dyDescent="0.25">
      <c r="A575" s="3" t="s">
        <v>417</v>
      </c>
      <c r="B575" s="6">
        <v>98</v>
      </c>
      <c r="C575" s="50" t="s">
        <v>73</v>
      </c>
      <c r="D575" s="50" t="s">
        <v>1458</v>
      </c>
      <c r="E575" s="102" t="s">
        <v>1458</v>
      </c>
    </row>
    <row r="576" spans="1:5" x14ac:dyDescent="0.25">
      <c r="A576" s="50"/>
      <c r="C576" s="50"/>
      <c r="D576" s="50"/>
      <c r="E576" s="102"/>
    </row>
    <row r="577" spans="1:5" x14ac:dyDescent="0.25">
      <c r="A577" s="3" t="s">
        <v>428</v>
      </c>
      <c r="B577" s="6">
        <v>1</v>
      </c>
      <c r="C577" s="50" t="s">
        <v>429</v>
      </c>
      <c r="D577" s="50" t="s">
        <v>430</v>
      </c>
      <c r="E577" s="102" t="s">
        <v>430</v>
      </c>
    </row>
    <row r="578" spans="1:5" x14ac:dyDescent="0.25">
      <c r="A578" s="3" t="s">
        <v>428</v>
      </c>
      <c r="B578" s="6">
        <v>2</v>
      </c>
      <c r="C578" s="50" t="s">
        <v>431</v>
      </c>
      <c r="D578" s="50" t="s">
        <v>432</v>
      </c>
      <c r="E578" s="102" t="s">
        <v>432</v>
      </c>
    </row>
    <row r="579" spans="1:5" x14ac:dyDescent="0.25">
      <c r="A579" s="3" t="s">
        <v>428</v>
      </c>
      <c r="B579" s="6">
        <v>3</v>
      </c>
      <c r="C579" s="6" t="s">
        <v>433</v>
      </c>
      <c r="D579" s="50" t="s">
        <v>434</v>
      </c>
      <c r="E579" s="102" t="s">
        <v>434</v>
      </c>
    </row>
    <row r="580" spans="1:5" x14ac:dyDescent="0.25">
      <c r="A580" s="3" t="s">
        <v>428</v>
      </c>
      <c r="B580" s="9">
        <v>4</v>
      </c>
      <c r="C580" s="9" t="s">
        <v>435</v>
      </c>
      <c r="D580" s="50" t="s">
        <v>537</v>
      </c>
      <c r="E580" s="102" t="s">
        <v>537</v>
      </c>
    </row>
    <row r="581" spans="1:5" x14ac:dyDescent="0.25">
      <c r="A581" s="3" t="s">
        <v>428</v>
      </c>
      <c r="B581" s="9">
        <v>5</v>
      </c>
      <c r="C581" s="9" t="s">
        <v>910</v>
      </c>
      <c r="D581" s="50" t="s">
        <v>909</v>
      </c>
      <c r="E581" s="102" t="s">
        <v>909</v>
      </c>
    </row>
    <row r="582" spans="1:5" x14ac:dyDescent="0.25">
      <c r="A582" s="3" t="s">
        <v>428</v>
      </c>
      <c r="B582" s="9">
        <v>6</v>
      </c>
      <c r="C582" s="9" t="s">
        <v>916</v>
      </c>
      <c r="D582" s="50" t="s">
        <v>915</v>
      </c>
      <c r="E582" s="102" t="s">
        <v>914</v>
      </c>
    </row>
    <row r="583" spans="1:5" x14ac:dyDescent="0.25">
      <c r="A583" s="3" t="s">
        <v>428</v>
      </c>
      <c r="B583" s="9">
        <v>7</v>
      </c>
      <c r="C583" s="9" t="s">
        <v>917</v>
      </c>
      <c r="D583" s="50" t="s">
        <v>917</v>
      </c>
      <c r="E583" s="102" t="s">
        <v>917</v>
      </c>
    </row>
    <row r="584" spans="1:5" x14ac:dyDescent="0.25">
      <c r="A584" s="3" t="s">
        <v>428</v>
      </c>
      <c r="B584" s="9">
        <v>96</v>
      </c>
      <c r="C584" s="9" t="s">
        <v>39</v>
      </c>
      <c r="D584" s="50" t="s">
        <v>81</v>
      </c>
      <c r="E584" s="102" t="s">
        <v>81</v>
      </c>
    </row>
    <row r="585" spans="1:5" x14ac:dyDescent="0.25">
      <c r="A585" s="50"/>
      <c r="B585" s="50"/>
      <c r="C585" s="50"/>
      <c r="D585" s="50"/>
      <c r="E585" s="102"/>
    </row>
    <row r="586" spans="1:5" x14ac:dyDescent="0.25">
      <c r="A586" s="50"/>
      <c r="B586" s="50"/>
      <c r="C586" s="50"/>
      <c r="D586" s="50"/>
      <c r="E586" s="102"/>
    </row>
    <row r="587" spans="1:5" x14ac:dyDescent="0.25">
      <c r="A587" s="3" t="s">
        <v>436</v>
      </c>
      <c r="B587" s="50">
        <v>1</v>
      </c>
      <c r="C587" s="50" t="s">
        <v>437</v>
      </c>
      <c r="D587" s="50" t="s">
        <v>438</v>
      </c>
      <c r="E587" s="102" t="s">
        <v>438</v>
      </c>
    </row>
    <row r="588" spans="1:5" ht="24" customHeight="1" x14ac:dyDescent="0.25">
      <c r="A588" s="3" t="s">
        <v>436</v>
      </c>
      <c r="B588" s="50">
        <v>2</v>
      </c>
      <c r="C588" s="50" t="s">
        <v>439</v>
      </c>
      <c r="D588" s="50" t="s">
        <v>440</v>
      </c>
      <c r="E588" s="102" t="s">
        <v>440</v>
      </c>
    </row>
    <row r="589" spans="1:5" ht="24" customHeight="1" x14ac:dyDescent="0.25">
      <c r="A589" s="3" t="s">
        <v>436</v>
      </c>
      <c r="B589" s="6">
        <v>3</v>
      </c>
      <c r="C589" s="6" t="s">
        <v>441</v>
      </c>
      <c r="D589" s="50" t="s">
        <v>442</v>
      </c>
      <c r="E589" s="102" t="s">
        <v>442</v>
      </c>
    </row>
    <row r="590" spans="1:5" ht="24" customHeight="1" x14ac:dyDescent="0.25">
      <c r="A590" s="3" t="s">
        <v>436</v>
      </c>
      <c r="B590" s="6">
        <v>4</v>
      </c>
      <c r="C590" s="6" t="s">
        <v>443</v>
      </c>
      <c r="D590" s="50" t="s">
        <v>444</v>
      </c>
      <c r="E590" s="102" t="s">
        <v>444</v>
      </c>
    </row>
    <row r="591" spans="1:5" ht="24" customHeight="1" x14ac:dyDescent="0.25">
      <c r="A591" s="3" t="s">
        <v>436</v>
      </c>
      <c r="B591" s="6">
        <v>5</v>
      </c>
      <c r="C591" s="6" t="s">
        <v>445</v>
      </c>
      <c r="D591" s="50" t="s">
        <v>446</v>
      </c>
      <c r="E591" s="102" t="s">
        <v>446</v>
      </c>
    </row>
    <row r="592" spans="1:5" ht="24" customHeight="1" x14ac:dyDescent="0.25">
      <c r="A592" s="3" t="s">
        <v>436</v>
      </c>
      <c r="B592" s="6">
        <v>6</v>
      </c>
      <c r="C592" s="6" t="s">
        <v>447</v>
      </c>
      <c r="D592" s="50" t="s">
        <v>448</v>
      </c>
      <c r="E592" s="102" t="s">
        <v>448</v>
      </c>
    </row>
    <row r="593" spans="1:5" ht="24" customHeight="1" x14ac:dyDescent="0.25">
      <c r="A593" s="3" t="s">
        <v>436</v>
      </c>
      <c r="B593" s="6">
        <v>7</v>
      </c>
      <c r="C593" s="6" t="s">
        <v>449</v>
      </c>
      <c r="D593" s="50" t="s">
        <v>450</v>
      </c>
      <c r="E593" s="102" t="s">
        <v>450</v>
      </c>
    </row>
    <row r="594" spans="1:5" ht="24" customHeight="1" x14ac:dyDescent="0.25">
      <c r="A594" s="3" t="s">
        <v>436</v>
      </c>
      <c r="B594" s="9">
        <v>8</v>
      </c>
      <c r="C594" s="9" t="s">
        <v>451</v>
      </c>
      <c r="D594" s="50" t="s">
        <v>452</v>
      </c>
      <c r="E594" s="102" t="s">
        <v>452</v>
      </c>
    </row>
    <row r="595" spans="1:5" ht="24" customHeight="1" x14ac:dyDescent="0.25">
      <c r="A595" s="3" t="s">
        <v>436</v>
      </c>
      <c r="B595" s="6">
        <v>9</v>
      </c>
      <c r="C595" s="9" t="s">
        <v>453</v>
      </c>
      <c r="D595" s="50" t="s">
        <v>454</v>
      </c>
      <c r="E595" s="102" t="s">
        <v>454</v>
      </c>
    </row>
    <row r="596" spans="1:5" x14ac:dyDescent="0.25">
      <c r="A596" s="3" t="s">
        <v>436</v>
      </c>
      <c r="B596" s="6">
        <v>10</v>
      </c>
      <c r="C596" s="9" t="s">
        <v>923</v>
      </c>
      <c r="D596" s="50" t="s">
        <v>924</v>
      </c>
      <c r="E596" s="50" t="s">
        <v>924</v>
      </c>
    </row>
    <row r="597" spans="1:5" x14ac:dyDescent="0.25">
      <c r="A597" s="3" t="s">
        <v>436</v>
      </c>
      <c r="B597" s="6">
        <v>96</v>
      </c>
      <c r="C597" s="9" t="s">
        <v>81</v>
      </c>
      <c r="D597" s="50" t="s">
        <v>81</v>
      </c>
      <c r="E597" s="50" t="s">
        <v>81</v>
      </c>
    </row>
    <row r="598" spans="1:5" x14ac:dyDescent="0.25">
      <c r="A598" s="3"/>
      <c r="C598" s="9"/>
      <c r="D598" s="50"/>
      <c r="E598" s="102"/>
    </row>
    <row r="599" spans="1:5" x14ac:dyDescent="0.25">
      <c r="A599" s="3" t="s">
        <v>455</v>
      </c>
      <c r="B599" s="6">
        <v>1</v>
      </c>
      <c r="C599" s="50" t="s">
        <v>429</v>
      </c>
      <c r="D599" s="50" t="s">
        <v>430</v>
      </c>
      <c r="E599" s="102" t="s">
        <v>430</v>
      </c>
    </row>
    <row r="600" spans="1:5" x14ac:dyDescent="0.25">
      <c r="A600" s="3" t="s">
        <v>455</v>
      </c>
      <c r="B600" s="6">
        <v>2</v>
      </c>
      <c r="C600" s="50" t="s">
        <v>456</v>
      </c>
      <c r="D600" s="50" t="s">
        <v>432</v>
      </c>
      <c r="E600" s="102" t="s">
        <v>432</v>
      </c>
    </row>
    <row r="601" spans="1:5" x14ac:dyDescent="0.25">
      <c r="A601" s="3" t="s">
        <v>455</v>
      </c>
      <c r="B601" s="6">
        <v>3</v>
      </c>
      <c r="C601" s="50" t="s">
        <v>457</v>
      </c>
      <c r="D601" s="50" t="s">
        <v>458</v>
      </c>
      <c r="E601" s="102" t="s">
        <v>458</v>
      </c>
    </row>
    <row r="602" spans="1:5" x14ac:dyDescent="0.25">
      <c r="A602" s="3" t="s">
        <v>455</v>
      </c>
      <c r="B602" s="6">
        <v>96</v>
      </c>
      <c r="C602" s="6" t="s">
        <v>39</v>
      </c>
      <c r="D602" s="50" t="s">
        <v>81</v>
      </c>
      <c r="E602" s="102" t="s">
        <v>81</v>
      </c>
    </row>
    <row r="603" spans="1:5" x14ac:dyDescent="0.25">
      <c r="C603" s="50"/>
      <c r="D603" s="50"/>
      <c r="E603" s="102"/>
    </row>
    <row r="604" spans="1:5" x14ac:dyDescent="0.25">
      <c r="C604" s="50"/>
      <c r="D604" s="50"/>
      <c r="E604" s="102"/>
    </row>
    <row r="605" spans="1:5" ht="17.100000000000001" customHeight="1" x14ac:dyDescent="0.25">
      <c r="A605" s="1" t="s">
        <v>459</v>
      </c>
      <c r="B605" s="6">
        <v>1</v>
      </c>
      <c r="C605" s="6" t="s">
        <v>433</v>
      </c>
      <c r="D605" s="50" t="s">
        <v>434</v>
      </c>
      <c r="E605" s="102" t="s">
        <v>434</v>
      </c>
    </row>
    <row r="606" spans="1:5" ht="17.100000000000001" customHeight="1" x14ac:dyDescent="0.25">
      <c r="A606" s="1" t="s">
        <v>459</v>
      </c>
      <c r="B606" s="6">
        <v>2</v>
      </c>
      <c r="C606" s="9" t="s">
        <v>909</v>
      </c>
      <c r="D606" s="50" t="s">
        <v>909</v>
      </c>
      <c r="E606" s="102" t="s">
        <v>909</v>
      </c>
    </row>
    <row r="607" spans="1:5" ht="17.100000000000001" customHeight="1" x14ac:dyDescent="0.25">
      <c r="A607" s="1" t="s">
        <v>459</v>
      </c>
      <c r="B607" s="9">
        <v>3</v>
      </c>
      <c r="C607" s="9" t="s">
        <v>911</v>
      </c>
      <c r="D607" s="50" t="s">
        <v>912</v>
      </c>
      <c r="E607" s="102" t="s">
        <v>913</v>
      </c>
    </row>
    <row r="608" spans="1:5" ht="17.100000000000001" customHeight="1" x14ac:dyDescent="0.25">
      <c r="A608" s="1" t="s">
        <v>459</v>
      </c>
      <c r="B608" s="9">
        <v>4</v>
      </c>
      <c r="C608" s="9" t="s">
        <v>916</v>
      </c>
      <c r="D608" s="50" t="s">
        <v>915</v>
      </c>
      <c r="E608" s="102" t="s">
        <v>914</v>
      </c>
    </row>
    <row r="609" spans="1:5" ht="17.100000000000001" customHeight="1" x14ac:dyDescent="0.25">
      <c r="A609" s="1" t="s">
        <v>459</v>
      </c>
      <c r="B609" s="9">
        <v>5</v>
      </c>
      <c r="C609" s="9" t="s">
        <v>917</v>
      </c>
      <c r="D609" s="50" t="s">
        <v>917</v>
      </c>
      <c r="E609" s="102" t="s">
        <v>917</v>
      </c>
    </row>
    <row r="610" spans="1:5" ht="17.100000000000001" customHeight="1" x14ac:dyDescent="0.25">
      <c r="A610" s="1" t="s">
        <v>459</v>
      </c>
      <c r="B610" s="9">
        <v>96</v>
      </c>
      <c r="C610" s="9" t="s">
        <v>39</v>
      </c>
      <c r="D610" s="50" t="s">
        <v>81</v>
      </c>
      <c r="E610" s="102" t="s">
        <v>81</v>
      </c>
    </row>
    <row r="611" spans="1:5" ht="17.100000000000001" customHeight="1" x14ac:dyDescent="0.25">
      <c r="A611" s="1"/>
      <c r="B611" s="9"/>
      <c r="C611" s="9"/>
      <c r="D611" s="50"/>
      <c r="E611" s="102"/>
    </row>
    <row r="612" spans="1:5" ht="17.100000000000001" customHeight="1" x14ac:dyDescent="0.25">
      <c r="A612" s="1" t="s">
        <v>1902</v>
      </c>
      <c r="B612" s="9">
        <v>1</v>
      </c>
      <c r="C612" s="9" t="s">
        <v>1906</v>
      </c>
      <c r="D612" s="9" t="s">
        <v>1906</v>
      </c>
      <c r="E612" s="9" t="s">
        <v>1906</v>
      </c>
    </row>
    <row r="613" spans="1:5" ht="17.100000000000001" customHeight="1" x14ac:dyDescent="0.25">
      <c r="A613" s="1" t="s">
        <v>1902</v>
      </c>
      <c r="B613" s="9">
        <v>2</v>
      </c>
      <c r="C613" s="9" t="s">
        <v>1907</v>
      </c>
      <c r="D613" s="9" t="s">
        <v>1907</v>
      </c>
      <c r="E613" s="9" t="s">
        <v>1907</v>
      </c>
    </row>
    <row r="614" spans="1:5" ht="17.100000000000001" customHeight="1" x14ac:dyDescent="0.25">
      <c r="A614" s="1" t="s">
        <v>1902</v>
      </c>
      <c r="B614" s="9">
        <v>3</v>
      </c>
      <c r="C614" s="9" t="s">
        <v>103</v>
      </c>
      <c r="D614" s="9" t="s">
        <v>103</v>
      </c>
      <c r="E614" s="9" t="s">
        <v>103</v>
      </c>
    </row>
    <row r="615" spans="1:5" ht="17.100000000000001" customHeight="1" x14ac:dyDescent="0.25">
      <c r="A615" s="1" t="s">
        <v>1902</v>
      </c>
      <c r="B615" s="9">
        <v>4</v>
      </c>
      <c r="C615" s="9" t="s">
        <v>1908</v>
      </c>
      <c r="D615" s="9" t="s">
        <v>1908</v>
      </c>
      <c r="E615" s="9" t="s">
        <v>1908</v>
      </c>
    </row>
    <row r="616" spans="1:5" ht="17.100000000000001" customHeight="1" x14ac:dyDescent="0.25">
      <c r="A616" s="1" t="s">
        <v>1902</v>
      </c>
      <c r="B616" s="9">
        <v>5</v>
      </c>
      <c r="C616" s="9" t="s">
        <v>1909</v>
      </c>
      <c r="D616" s="9" t="s">
        <v>1909</v>
      </c>
      <c r="E616" s="9" t="s">
        <v>1909</v>
      </c>
    </row>
    <row r="617" spans="1:5" ht="17.100000000000001" customHeight="1" x14ac:dyDescent="0.25">
      <c r="A617" s="1" t="s">
        <v>1902</v>
      </c>
      <c r="B617" s="9">
        <v>96</v>
      </c>
      <c r="C617" s="9" t="s">
        <v>81</v>
      </c>
      <c r="D617" s="9" t="s">
        <v>81</v>
      </c>
      <c r="E617" s="9" t="s">
        <v>81</v>
      </c>
    </row>
    <row r="618" spans="1:5" ht="17.100000000000001" customHeight="1" x14ac:dyDescent="0.25">
      <c r="A618" s="1"/>
      <c r="B618" s="9"/>
      <c r="C618" s="9"/>
      <c r="D618" s="50"/>
      <c r="E618" s="102"/>
    </row>
    <row r="619" spans="1:5" ht="17.100000000000001" customHeight="1" x14ac:dyDescent="0.25">
      <c r="C619" s="106"/>
      <c r="E619" s="22"/>
    </row>
    <row r="620" spans="1:5" x14ac:dyDescent="0.25">
      <c r="A620" s="89"/>
      <c r="B620" s="89"/>
      <c r="C620" s="89" t="s">
        <v>789</v>
      </c>
      <c r="D620" s="89"/>
      <c r="E620" s="89"/>
    </row>
    <row r="621" spans="1:5" x14ac:dyDescent="0.25">
      <c r="A621" s="6" t="s">
        <v>790</v>
      </c>
      <c r="B621" s="107">
        <v>1</v>
      </c>
      <c r="C621" s="6" t="s">
        <v>791</v>
      </c>
      <c r="D621" s="6" t="s">
        <v>792</v>
      </c>
      <c r="E621" s="6" t="s">
        <v>792</v>
      </c>
    </row>
    <row r="622" spans="1:5" x14ac:dyDescent="0.25">
      <c r="A622" s="6" t="s">
        <v>790</v>
      </c>
      <c r="B622" s="107">
        <v>2</v>
      </c>
      <c r="C622" s="6" t="s">
        <v>793</v>
      </c>
      <c r="D622" s="6" t="s">
        <v>794</v>
      </c>
      <c r="E622" s="6" t="s">
        <v>794</v>
      </c>
    </row>
    <row r="623" spans="1:5" x14ac:dyDescent="0.25">
      <c r="A623" s="6" t="s">
        <v>790</v>
      </c>
      <c r="B623" s="107">
        <v>3</v>
      </c>
      <c r="C623" s="6" t="s">
        <v>795</v>
      </c>
      <c r="D623" s="6" t="s">
        <v>796</v>
      </c>
      <c r="E623" s="6" t="s">
        <v>796</v>
      </c>
    </row>
    <row r="624" spans="1:5" x14ac:dyDescent="0.25">
      <c r="A624" s="6" t="s">
        <v>790</v>
      </c>
      <c r="B624" s="107">
        <v>4</v>
      </c>
      <c r="C624" s="6" t="s">
        <v>654</v>
      </c>
      <c r="D624" s="6" t="s">
        <v>797</v>
      </c>
      <c r="E624" s="6" t="s">
        <v>797</v>
      </c>
    </row>
    <row r="625" spans="1:6" x14ac:dyDescent="0.25">
      <c r="A625" s="6" t="s">
        <v>790</v>
      </c>
      <c r="B625" s="107">
        <v>97</v>
      </c>
      <c r="C625" s="6" t="s">
        <v>103</v>
      </c>
      <c r="D625" s="9" t="s">
        <v>75</v>
      </c>
      <c r="E625" s="9" t="s">
        <v>75</v>
      </c>
    </row>
    <row r="626" spans="1:6" x14ac:dyDescent="0.25">
      <c r="A626" s="6" t="s">
        <v>790</v>
      </c>
      <c r="B626" s="108">
        <v>98</v>
      </c>
      <c r="C626" s="6" t="s">
        <v>73</v>
      </c>
      <c r="D626" s="109" t="s">
        <v>65</v>
      </c>
      <c r="E626" s="109" t="s">
        <v>65</v>
      </c>
    </row>
    <row r="627" spans="1:6" x14ac:dyDescent="0.25">
      <c r="B627" s="108"/>
    </row>
    <row r="628" spans="1:6" x14ac:dyDescent="0.25">
      <c r="A628" s="47" t="s">
        <v>798</v>
      </c>
      <c r="B628" s="110">
        <v>0</v>
      </c>
      <c r="C628" s="111" t="s">
        <v>799</v>
      </c>
      <c r="D628" s="111" t="s">
        <v>800</v>
      </c>
      <c r="E628" s="111" t="s">
        <v>800</v>
      </c>
    </row>
    <row r="629" spans="1:6" x14ac:dyDescent="0.25">
      <c r="A629" s="47" t="s">
        <v>798</v>
      </c>
      <c r="B629" s="110">
        <v>1</v>
      </c>
      <c r="C629" s="92" t="s">
        <v>801</v>
      </c>
      <c r="D629" s="111" t="s">
        <v>825</v>
      </c>
      <c r="E629" s="111" t="s">
        <v>825</v>
      </c>
    </row>
    <row r="630" spans="1:6" x14ac:dyDescent="0.25">
      <c r="A630" s="47" t="s">
        <v>798</v>
      </c>
      <c r="B630" s="110">
        <v>2</v>
      </c>
      <c r="C630" s="47" t="s">
        <v>802</v>
      </c>
      <c r="D630" s="112" t="s">
        <v>803</v>
      </c>
      <c r="E630" s="112" t="s">
        <v>803</v>
      </c>
    </row>
    <row r="631" spans="1:6" x14ac:dyDescent="0.25">
      <c r="A631" s="47" t="s">
        <v>798</v>
      </c>
      <c r="B631" s="110">
        <v>3</v>
      </c>
      <c r="C631" s="92" t="s">
        <v>804</v>
      </c>
      <c r="D631" s="111" t="s">
        <v>824</v>
      </c>
      <c r="E631" s="111" t="s">
        <v>824</v>
      </c>
    </row>
    <row r="632" spans="1:6" x14ac:dyDescent="0.25">
      <c r="A632" s="47" t="s">
        <v>798</v>
      </c>
      <c r="B632" s="110">
        <v>4</v>
      </c>
      <c r="C632" s="92" t="s">
        <v>805</v>
      </c>
      <c r="D632" s="111" t="s">
        <v>806</v>
      </c>
      <c r="E632" s="111" t="s">
        <v>806</v>
      </c>
    </row>
    <row r="633" spans="1:6" x14ac:dyDescent="0.25">
      <c r="A633" s="47" t="s">
        <v>798</v>
      </c>
      <c r="B633" s="107">
        <v>97</v>
      </c>
      <c r="C633" s="6" t="s">
        <v>103</v>
      </c>
      <c r="D633" s="9" t="s">
        <v>75</v>
      </c>
      <c r="E633" s="9" t="s">
        <v>75</v>
      </c>
    </row>
    <row r="634" spans="1:6" x14ac:dyDescent="0.25">
      <c r="A634" s="47" t="s">
        <v>798</v>
      </c>
      <c r="B634" s="108">
        <v>98</v>
      </c>
      <c r="C634" s="6" t="s">
        <v>73</v>
      </c>
      <c r="D634" s="113" t="s">
        <v>65</v>
      </c>
      <c r="E634" s="113" t="s">
        <v>65</v>
      </c>
    </row>
    <row r="638" spans="1:6" x14ac:dyDescent="0.25">
      <c r="A638" s="6" t="s">
        <v>1172</v>
      </c>
      <c r="B638" s="6">
        <v>1</v>
      </c>
      <c r="C638" s="6" t="s">
        <v>289</v>
      </c>
      <c r="D638" s="6" t="s">
        <v>1126</v>
      </c>
      <c r="E638" s="6" t="s">
        <v>1126</v>
      </c>
      <c r="F638" s="9" t="s">
        <v>1182</v>
      </c>
    </row>
    <row r="639" spans="1:6" x14ac:dyDescent="0.25">
      <c r="A639" s="6" t="s">
        <v>1172</v>
      </c>
      <c r="B639" s="6">
        <v>2</v>
      </c>
      <c r="C639" s="6" t="s">
        <v>1150</v>
      </c>
      <c r="D639" s="6" t="s">
        <v>1127</v>
      </c>
      <c r="E639" s="6" t="s">
        <v>1127</v>
      </c>
      <c r="F639" s="9" t="s">
        <v>1188</v>
      </c>
    </row>
    <row r="640" spans="1:6" x14ac:dyDescent="0.25">
      <c r="A640" s="6" t="s">
        <v>1172</v>
      </c>
      <c r="B640" s="6">
        <v>3</v>
      </c>
      <c r="C640" s="6" t="s">
        <v>1151</v>
      </c>
      <c r="D640" s="6" t="s">
        <v>299</v>
      </c>
      <c r="E640" s="6" t="s">
        <v>299</v>
      </c>
      <c r="F640" s="9" t="s">
        <v>1214</v>
      </c>
    </row>
    <row r="641" spans="1:6" x14ac:dyDescent="0.25">
      <c r="A641" s="6" t="s">
        <v>1172</v>
      </c>
      <c r="B641" s="6">
        <v>4</v>
      </c>
      <c r="C641" s="9" t="s">
        <v>1152</v>
      </c>
      <c r="D641" s="6" t="s">
        <v>1128</v>
      </c>
      <c r="E641" s="6" t="s">
        <v>1128</v>
      </c>
      <c r="F641" s="9" t="s">
        <v>1183</v>
      </c>
    </row>
    <row r="642" spans="1:6" x14ac:dyDescent="0.25">
      <c r="A642" s="6" t="s">
        <v>1172</v>
      </c>
      <c r="B642" s="6">
        <v>5</v>
      </c>
      <c r="C642" s="9" t="s">
        <v>1153</v>
      </c>
      <c r="D642" s="6" t="s">
        <v>1129</v>
      </c>
      <c r="E642" s="6" t="s">
        <v>1129</v>
      </c>
      <c r="F642" s="9" t="s">
        <v>1184</v>
      </c>
    </row>
    <row r="643" spans="1:6" x14ac:dyDescent="0.25">
      <c r="A643" s="6" t="s">
        <v>1172</v>
      </c>
      <c r="B643" s="6">
        <v>6</v>
      </c>
      <c r="C643" s="9" t="s">
        <v>292</v>
      </c>
      <c r="D643" s="6" t="s">
        <v>293</v>
      </c>
      <c r="E643" s="6" t="s">
        <v>293</v>
      </c>
      <c r="F643" s="9" t="s">
        <v>1185</v>
      </c>
    </row>
    <row r="644" spans="1:6" x14ac:dyDescent="0.25">
      <c r="A644" s="6" t="s">
        <v>1172</v>
      </c>
      <c r="B644" s="6">
        <v>7</v>
      </c>
      <c r="C644" s="9" t="s">
        <v>294</v>
      </c>
      <c r="D644" s="6" t="s">
        <v>1130</v>
      </c>
      <c r="E644" s="6" t="s">
        <v>1130</v>
      </c>
      <c r="F644" s="9" t="s">
        <v>1186</v>
      </c>
    </row>
    <row r="645" spans="1:6" x14ac:dyDescent="0.25">
      <c r="A645" s="6" t="s">
        <v>1172</v>
      </c>
      <c r="B645" s="6">
        <v>8</v>
      </c>
      <c r="C645" s="9" t="s">
        <v>1154</v>
      </c>
      <c r="D645" s="6" t="s">
        <v>1131</v>
      </c>
      <c r="E645" s="6" t="s">
        <v>1131</v>
      </c>
      <c r="F645" s="9" t="s">
        <v>1187</v>
      </c>
    </row>
    <row r="646" spans="1:6" x14ac:dyDescent="0.25">
      <c r="A646" s="6" t="s">
        <v>1172</v>
      </c>
      <c r="B646" s="6">
        <v>9</v>
      </c>
      <c r="C646" s="9" t="s">
        <v>1155</v>
      </c>
      <c r="D646" s="6" t="s">
        <v>1132</v>
      </c>
      <c r="E646" s="6" t="s">
        <v>1132</v>
      </c>
      <c r="F646" s="9" t="s">
        <v>1189</v>
      </c>
    </row>
    <row r="647" spans="1:6" x14ac:dyDescent="0.25">
      <c r="A647" s="6" t="s">
        <v>1172</v>
      </c>
      <c r="B647" s="6">
        <v>10</v>
      </c>
      <c r="C647" s="9" t="s">
        <v>1156</v>
      </c>
      <c r="D647" s="6" t="s">
        <v>1133</v>
      </c>
      <c r="E647" s="6" t="s">
        <v>1133</v>
      </c>
      <c r="F647" s="9" t="s">
        <v>1190</v>
      </c>
    </row>
    <row r="648" spans="1:6" x14ac:dyDescent="0.25">
      <c r="A648" s="6" t="s">
        <v>1172</v>
      </c>
      <c r="B648" s="6">
        <v>11</v>
      </c>
      <c r="C648" s="9" t="s">
        <v>300</v>
      </c>
      <c r="D648" s="6" t="s">
        <v>301</v>
      </c>
      <c r="E648" s="6" t="s">
        <v>301</v>
      </c>
      <c r="F648" s="9" t="s">
        <v>1191</v>
      </c>
    </row>
    <row r="649" spans="1:6" x14ac:dyDescent="0.25">
      <c r="A649" s="6" t="s">
        <v>1172</v>
      </c>
      <c r="B649" s="6">
        <v>12</v>
      </c>
      <c r="C649" s="9" t="s">
        <v>307</v>
      </c>
      <c r="D649" s="6" t="s">
        <v>1134</v>
      </c>
      <c r="E649" s="6" t="s">
        <v>1134</v>
      </c>
      <c r="F649" s="9" t="s">
        <v>1192</v>
      </c>
    </row>
    <row r="650" spans="1:6" x14ac:dyDescent="0.25">
      <c r="A650" s="6" t="s">
        <v>1172</v>
      </c>
      <c r="B650" s="6">
        <v>13</v>
      </c>
      <c r="C650" s="9" t="s">
        <v>1157</v>
      </c>
      <c r="D650" s="6" t="s">
        <v>1135</v>
      </c>
      <c r="E650" s="6" t="s">
        <v>1135</v>
      </c>
      <c r="F650" s="9" t="s">
        <v>1193</v>
      </c>
    </row>
    <row r="651" spans="1:6" x14ac:dyDescent="0.25">
      <c r="A651" s="6" t="s">
        <v>1172</v>
      </c>
      <c r="B651" s="6">
        <v>14</v>
      </c>
      <c r="C651" s="9" t="s">
        <v>1158</v>
      </c>
      <c r="D651" s="6" t="s">
        <v>1136</v>
      </c>
      <c r="E651" s="6" t="s">
        <v>1136</v>
      </c>
      <c r="F651" s="9" t="s">
        <v>1194</v>
      </c>
    </row>
    <row r="652" spans="1:6" x14ac:dyDescent="0.25">
      <c r="A652" s="6" t="s">
        <v>1172</v>
      </c>
      <c r="B652" s="6">
        <v>15</v>
      </c>
      <c r="C652" s="9" t="s">
        <v>1159</v>
      </c>
      <c r="D652" s="6" t="s">
        <v>1137</v>
      </c>
      <c r="E652" s="6" t="s">
        <v>1137</v>
      </c>
      <c r="F652" s="9" t="s">
        <v>1195</v>
      </c>
    </row>
    <row r="653" spans="1:6" x14ac:dyDescent="0.25">
      <c r="A653" s="6" t="s">
        <v>1172</v>
      </c>
      <c r="B653" s="6">
        <v>16</v>
      </c>
      <c r="C653" s="9" t="s">
        <v>1160</v>
      </c>
      <c r="D653" s="6" t="s">
        <v>1138</v>
      </c>
      <c r="E653" s="6" t="s">
        <v>1138</v>
      </c>
      <c r="F653" s="9" t="s">
        <v>1196</v>
      </c>
    </row>
    <row r="654" spans="1:6" x14ac:dyDescent="0.25">
      <c r="A654" s="6" t="s">
        <v>1172</v>
      </c>
      <c r="B654" s="6">
        <v>17</v>
      </c>
      <c r="C654" s="9" t="s">
        <v>1161</v>
      </c>
      <c r="D654" s="6" t="s">
        <v>1139</v>
      </c>
      <c r="E654" s="6" t="s">
        <v>1139</v>
      </c>
      <c r="F654" s="9" t="s">
        <v>1197</v>
      </c>
    </row>
    <row r="655" spans="1:6" x14ac:dyDescent="0.25">
      <c r="A655" s="6" t="s">
        <v>1172</v>
      </c>
      <c r="B655" s="6">
        <v>18</v>
      </c>
      <c r="C655" s="9" t="s">
        <v>1162</v>
      </c>
      <c r="D655" s="6" t="s">
        <v>1140</v>
      </c>
      <c r="E655" s="6" t="s">
        <v>1140</v>
      </c>
      <c r="F655" s="9" t="s">
        <v>1198</v>
      </c>
    </row>
    <row r="656" spans="1:6" x14ac:dyDescent="0.25">
      <c r="A656" s="6" t="s">
        <v>1172</v>
      </c>
      <c r="B656" s="6">
        <v>19</v>
      </c>
      <c r="C656" s="9" t="s">
        <v>1163</v>
      </c>
      <c r="D656" s="6" t="s">
        <v>1141</v>
      </c>
      <c r="E656" s="6" t="s">
        <v>1141</v>
      </c>
      <c r="F656" s="9" t="s">
        <v>1199</v>
      </c>
    </row>
    <row r="657" spans="1:6" x14ac:dyDescent="0.25">
      <c r="A657" s="6" t="s">
        <v>1172</v>
      </c>
      <c r="B657" s="6">
        <v>20</v>
      </c>
      <c r="C657" s="9" t="s">
        <v>1164</v>
      </c>
      <c r="D657" s="6" t="s">
        <v>1142</v>
      </c>
      <c r="E657" s="6" t="s">
        <v>1142</v>
      </c>
      <c r="F657" s="9" t="s">
        <v>1200</v>
      </c>
    </row>
    <row r="658" spans="1:6" x14ac:dyDescent="0.25">
      <c r="A658" s="6" t="s">
        <v>1172</v>
      </c>
      <c r="B658" s="6">
        <v>21</v>
      </c>
      <c r="C658" s="9" t="s">
        <v>1165</v>
      </c>
      <c r="D658" s="6" t="s">
        <v>1143</v>
      </c>
      <c r="E658" s="6" t="s">
        <v>1143</v>
      </c>
      <c r="F658" s="9" t="s">
        <v>1201</v>
      </c>
    </row>
    <row r="659" spans="1:6" x14ac:dyDescent="0.25">
      <c r="A659" s="6" t="s">
        <v>1172</v>
      </c>
      <c r="B659" s="6">
        <v>22</v>
      </c>
      <c r="C659" s="9" t="s">
        <v>1166</v>
      </c>
      <c r="D659" s="6" t="s">
        <v>1144</v>
      </c>
      <c r="E659" s="6" t="s">
        <v>1144</v>
      </c>
      <c r="F659" s="9" t="s">
        <v>1202</v>
      </c>
    </row>
    <row r="660" spans="1:6" x14ac:dyDescent="0.25">
      <c r="A660" s="6" t="s">
        <v>1172</v>
      </c>
      <c r="B660" s="6">
        <v>23</v>
      </c>
      <c r="C660" s="9" t="s">
        <v>1167</v>
      </c>
      <c r="D660" s="6" t="s">
        <v>1145</v>
      </c>
      <c r="E660" s="6" t="s">
        <v>1145</v>
      </c>
      <c r="F660" s="9" t="s">
        <v>1203</v>
      </c>
    </row>
    <row r="661" spans="1:6" x14ac:dyDescent="0.25">
      <c r="A661" s="6" t="s">
        <v>1172</v>
      </c>
      <c r="B661" s="6">
        <v>24</v>
      </c>
      <c r="C661" s="9" t="s">
        <v>1168</v>
      </c>
      <c r="D661" s="6" t="s">
        <v>1146</v>
      </c>
      <c r="E661" s="6" t="s">
        <v>1146</v>
      </c>
      <c r="F661" s="9" t="s">
        <v>1204</v>
      </c>
    </row>
    <row r="662" spans="1:6" x14ac:dyDescent="0.25">
      <c r="A662" s="6" t="s">
        <v>1172</v>
      </c>
      <c r="B662" s="6">
        <v>25</v>
      </c>
      <c r="C662" s="9" t="s">
        <v>1169</v>
      </c>
      <c r="D662" s="6" t="s">
        <v>1147</v>
      </c>
      <c r="E662" s="6" t="s">
        <v>1147</v>
      </c>
      <c r="F662" s="9" t="s">
        <v>1205</v>
      </c>
    </row>
    <row r="663" spans="1:6" x14ac:dyDescent="0.25">
      <c r="A663" s="6" t="s">
        <v>1172</v>
      </c>
      <c r="B663" s="6">
        <v>26</v>
      </c>
      <c r="C663" s="9" t="s">
        <v>1170</v>
      </c>
      <c r="D663" s="6" t="s">
        <v>1148</v>
      </c>
      <c r="E663" s="6" t="s">
        <v>1148</v>
      </c>
      <c r="F663" s="9" t="s">
        <v>1206</v>
      </c>
    </row>
    <row r="664" spans="1:6" x14ac:dyDescent="0.25">
      <c r="A664" s="6" t="s">
        <v>1172</v>
      </c>
      <c r="B664" s="6">
        <v>27</v>
      </c>
      <c r="C664" s="9" t="s">
        <v>1171</v>
      </c>
      <c r="D664" s="6" t="s">
        <v>1149</v>
      </c>
      <c r="E664" s="6" t="s">
        <v>1149</v>
      </c>
      <c r="F664" s="9" t="s">
        <v>1207</v>
      </c>
    </row>
    <row r="668" spans="1:6" x14ac:dyDescent="0.25">
      <c r="A668" s="6" t="s">
        <v>1610</v>
      </c>
      <c r="B668" s="6">
        <v>1</v>
      </c>
      <c r="C668" s="6" t="s">
        <v>1611</v>
      </c>
      <c r="D668" s="6" t="s">
        <v>1612</v>
      </c>
      <c r="E668" s="6" t="s">
        <v>1612</v>
      </c>
    </row>
    <row r="669" spans="1:6" x14ac:dyDescent="0.25">
      <c r="A669" s="6" t="s">
        <v>1610</v>
      </c>
      <c r="B669" s="6">
        <v>2</v>
      </c>
      <c r="C669" s="6" t="s">
        <v>1613</v>
      </c>
      <c r="D669" s="6" t="s">
        <v>1614</v>
      </c>
      <c r="E669" s="6" t="s">
        <v>1614</v>
      </c>
    </row>
    <row r="670" spans="1:6" x14ac:dyDescent="0.25">
      <c r="A670" s="6" t="s">
        <v>1610</v>
      </c>
      <c r="B670" s="6">
        <v>3</v>
      </c>
      <c r="C670" s="6" t="s">
        <v>1615</v>
      </c>
      <c r="D670" s="6" t="s">
        <v>1616</v>
      </c>
      <c r="E670" s="6" t="s">
        <v>1616</v>
      </c>
    </row>
    <row r="671" spans="1:6" x14ac:dyDescent="0.25">
      <c r="A671" s="6" t="s">
        <v>1610</v>
      </c>
      <c r="B671" s="9">
        <v>4</v>
      </c>
      <c r="C671" s="9" t="s">
        <v>1617</v>
      </c>
      <c r="D671" s="9" t="s">
        <v>1618</v>
      </c>
      <c r="E671" s="9" t="s">
        <v>1618</v>
      </c>
    </row>
    <row r="672" spans="1:6" x14ac:dyDescent="0.25">
      <c r="A672" s="6" t="s">
        <v>1610</v>
      </c>
      <c r="B672" s="9">
        <v>5</v>
      </c>
      <c r="C672" s="9" t="s">
        <v>1018</v>
      </c>
      <c r="D672" s="6" t="s">
        <v>1619</v>
      </c>
      <c r="E672" s="6" t="s">
        <v>1619</v>
      </c>
    </row>
    <row r="673" spans="1:5" x14ac:dyDescent="0.25">
      <c r="A673" s="6" t="s">
        <v>1610</v>
      </c>
      <c r="B673" s="9">
        <v>6</v>
      </c>
      <c r="C673" s="9" t="s">
        <v>1620</v>
      </c>
      <c r="D673" s="6" t="s">
        <v>1621</v>
      </c>
      <c r="E673" s="6" t="s">
        <v>1621</v>
      </c>
    </row>
    <row r="674" spans="1:5" x14ac:dyDescent="0.25">
      <c r="A674" s="6" t="s">
        <v>1610</v>
      </c>
      <c r="B674" s="9">
        <v>7</v>
      </c>
      <c r="C674" s="9" t="s">
        <v>1622</v>
      </c>
      <c r="D674" s="6" t="s">
        <v>1623</v>
      </c>
      <c r="E674" s="6" t="s">
        <v>1623</v>
      </c>
    </row>
    <row r="675" spans="1:5" x14ac:dyDescent="0.25">
      <c r="A675" s="6" t="s">
        <v>1610</v>
      </c>
      <c r="B675" s="9">
        <v>0</v>
      </c>
      <c r="C675" s="9" t="s">
        <v>21</v>
      </c>
      <c r="D675" s="9" t="s">
        <v>313</v>
      </c>
      <c r="E675" s="9" t="s">
        <v>313</v>
      </c>
    </row>
    <row r="676" spans="1:5" x14ac:dyDescent="0.25">
      <c r="A676" s="6" t="s">
        <v>1610</v>
      </c>
      <c r="B676" s="9">
        <v>97</v>
      </c>
      <c r="C676" s="9" t="s">
        <v>103</v>
      </c>
      <c r="D676" s="9" t="s">
        <v>75</v>
      </c>
      <c r="E676" s="9" t="s">
        <v>75</v>
      </c>
    </row>
    <row r="677" spans="1:5" x14ac:dyDescent="0.25">
      <c r="A677" s="6" t="s">
        <v>1610</v>
      </c>
      <c r="B677" s="9">
        <v>98</v>
      </c>
      <c r="C677" s="9" t="s">
        <v>73</v>
      </c>
      <c r="D677" s="9" t="s">
        <v>1458</v>
      </c>
      <c r="E677" s="9" t="s">
        <v>1458</v>
      </c>
    </row>
    <row r="679" spans="1:5" x14ac:dyDescent="0.25">
      <c r="A679" s="6" t="s">
        <v>1268</v>
      </c>
      <c r="B679" s="6">
        <v>1</v>
      </c>
      <c r="C679" s="6" t="s">
        <v>1276</v>
      </c>
      <c r="D679" s="9" t="s">
        <v>1271</v>
      </c>
      <c r="E679" s="9" t="s">
        <v>1271</v>
      </c>
    </row>
    <row r="680" spans="1:5" x14ac:dyDescent="0.25">
      <c r="A680" s="6" t="s">
        <v>1268</v>
      </c>
      <c r="B680" s="9">
        <v>2</v>
      </c>
      <c r="C680" s="9" t="s">
        <v>1624</v>
      </c>
      <c r="D680" s="9" t="s">
        <v>583</v>
      </c>
      <c r="E680" s="9" t="s">
        <v>583</v>
      </c>
    </row>
    <row r="681" spans="1:5" x14ac:dyDescent="0.25">
      <c r="A681" s="6" t="s">
        <v>1268</v>
      </c>
      <c r="B681" s="6">
        <v>3</v>
      </c>
      <c r="C681" s="6" t="s">
        <v>1275</v>
      </c>
      <c r="D681" s="9" t="s">
        <v>1270</v>
      </c>
      <c r="E681" s="9" t="s">
        <v>1270</v>
      </c>
    </row>
    <row r="682" spans="1:5" x14ac:dyDescent="0.25">
      <c r="A682" s="6" t="s">
        <v>1268</v>
      </c>
      <c r="B682" s="6">
        <v>4</v>
      </c>
      <c r="C682" s="6" t="s">
        <v>1274</v>
      </c>
      <c r="D682" s="9" t="s">
        <v>1269</v>
      </c>
      <c r="E682" s="9" t="s">
        <v>1269</v>
      </c>
    </row>
    <row r="683" spans="1:5" x14ac:dyDescent="0.25">
      <c r="A683" s="6" t="s">
        <v>1268</v>
      </c>
      <c r="B683" s="9">
        <v>5</v>
      </c>
      <c r="C683" s="9" t="s">
        <v>1625</v>
      </c>
      <c r="D683" s="9" t="s">
        <v>1626</v>
      </c>
      <c r="E683" s="9" t="s">
        <v>1626</v>
      </c>
    </row>
    <row r="684" spans="1:5" x14ac:dyDescent="0.25">
      <c r="A684" s="6" t="s">
        <v>1268</v>
      </c>
      <c r="B684" s="9">
        <v>6</v>
      </c>
      <c r="C684" s="9" t="s">
        <v>1277</v>
      </c>
      <c r="D684" s="9" t="s">
        <v>1272</v>
      </c>
      <c r="E684" s="9" t="s">
        <v>1272</v>
      </c>
    </row>
    <row r="685" spans="1:5" x14ac:dyDescent="0.25">
      <c r="A685" s="6" t="s">
        <v>1268</v>
      </c>
      <c r="B685" s="9">
        <v>96</v>
      </c>
      <c r="C685" s="9" t="s">
        <v>39</v>
      </c>
      <c r="D685" s="9" t="s">
        <v>1273</v>
      </c>
      <c r="E685" s="9" t="s">
        <v>1273</v>
      </c>
    </row>
    <row r="686" spans="1:5" x14ac:dyDescent="0.25">
      <c r="A686" s="6" t="s">
        <v>1268</v>
      </c>
      <c r="B686" s="6">
        <v>98</v>
      </c>
      <c r="C686" s="9" t="s">
        <v>73</v>
      </c>
      <c r="D686" s="9" t="s">
        <v>104</v>
      </c>
      <c r="E686" s="9" t="s">
        <v>104</v>
      </c>
    </row>
    <row r="687" spans="1:5" x14ac:dyDescent="0.25">
      <c r="A687" s="6" t="s">
        <v>1268</v>
      </c>
      <c r="B687" s="6">
        <v>97</v>
      </c>
      <c r="C687" s="9" t="s">
        <v>103</v>
      </c>
      <c r="D687" s="9" t="s">
        <v>75</v>
      </c>
      <c r="E687" s="9" t="s">
        <v>75</v>
      </c>
    </row>
    <row r="689" spans="1:5" x14ac:dyDescent="0.25">
      <c r="A689" s="9" t="s">
        <v>1289</v>
      </c>
      <c r="B689" s="9">
        <v>1</v>
      </c>
      <c r="C689" s="9" t="s">
        <v>1297</v>
      </c>
      <c r="D689" s="139" t="s">
        <v>1290</v>
      </c>
      <c r="E689" s="139" t="s">
        <v>1290</v>
      </c>
    </row>
    <row r="690" spans="1:5" x14ac:dyDescent="0.25">
      <c r="A690" s="9" t="s">
        <v>1289</v>
      </c>
      <c r="B690" s="9">
        <v>2</v>
      </c>
      <c r="C690" s="9" t="s">
        <v>1298</v>
      </c>
      <c r="D690" s="139" t="s">
        <v>1291</v>
      </c>
      <c r="E690" s="139" t="s">
        <v>1291</v>
      </c>
    </row>
    <row r="691" spans="1:5" x14ac:dyDescent="0.25">
      <c r="A691" s="9" t="s">
        <v>1289</v>
      </c>
      <c r="B691" s="9">
        <v>3</v>
      </c>
      <c r="C691" s="9" t="s">
        <v>1299</v>
      </c>
      <c r="D691" s="139" t="s">
        <v>1292</v>
      </c>
      <c r="E691" s="139" t="s">
        <v>1292</v>
      </c>
    </row>
    <row r="692" spans="1:5" x14ac:dyDescent="0.25">
      <c r="A692" s="9" t="s">
        <v>1289</v>
      </c>
      <c r="B692" s="9">
        <v>4</v>
      </c>
      <c r="C692" s="9" t="s">
        <v>1300</v>
      </c>
      <c r="D692" s="139" t="s">
        <v>1293</v>
      </c>
      <c r="E692" s="139" t="s">
        <v>1293</v>
      </c>
    </row>
    <row r="693" spans="1:5" x14ac:dyDescent="0.25">
      <c r="A693" s="9" t="s">
        <v>1289</v>
      </c>
      <c r="B693" s="9">
        <v>5</v>
      </c>
      <c r="C693" s="9" t="s">
        <v>1301</v>
      </c>
      <c r="D693" s="139" t="s">
        <v>1294</v>
      </c>
      <c r="E693" s="139" t="s">
        <v>1294</v>
      </c>
    </row>
    <row r="694" spans="1:5" x14ac:dyDescent="0.25">
      <c r="A694" s="9" t="s">
        <v>1289</v>
      </c>
      <c r="B694" s="9">
        <v>6</v>
      </c>
      <c r="C694" s="9" t="s">
        <v>1302</v>
      </c>
      <c r="D694" s="139" t="s">
        <v>1295</v>
      </c>
      <c r="E694" s="139" t="s">
        <v>1295</v>
      </c>
    </row>
    <row r="695" spans="1:5" x14ac:dyDescent="0.25">
      <c r="A695" s="9" t="s">
        <v>1289</v>
      </c>
      <c r="B695" s="9">
        <v>7</v>
      </c>
      <c r="C695" s="9" t="s">
        <v>1303</v>
      </c>
      <c r="D695" s="139" t="s">
        <v>1296</v>
      </c>
      <c r="E695" s="139" t="s">
        <v>1296</v>
      </c>
    </row>
    <row r="696" spans="1:5" x14ac:dyDescent="0.25">
      <c r="A696" s="9" t="s">
        <v>1289</v>
      </c>
      <c r="B696" s="9">
        <v>96</v>
      </c>
      <c r="C696" s="9" t="s">
        <v>1304</v>
      </c>
      <c r="D696" s="139" t="s">
        <v>1273</v>
      </c>
      <c r="E696" s="139" t="s">
        <v>1273</v>
      </c>
    </row>
    <row r="698" spans="1:5" x14ac:dyDescent="0.25">
      <c r="A698" s="9" t="s">
        <v>1313</v>
      </c>
      <c r="B698" s="9">
        <v>1</v>
      </c>
      <c r="C698" s="9" t="s">
        <v>1315</v>
      </c>
      <c r="D698" s="138" t="s">
        <v>792</v>
      </c>
      <c r="E698" s="138" t="s">
        <v>792</v>
      </c>
    </row>
    <row r="699" spans="1:5" x14ac:dyDescent="0.25">
      <c r="A699" s="9" t="s">
        <v>1313</v>
      </c>
      <c r="B699" s="9">
        <v>2</v>
      </c>
      <c r="C699" s="9" t="s">
        <v>630</v>
      </c>
      <c r="D699" s="138" t="s">
        <v>794</v>
      </c>
      <c r="E699" s="138" t="s">
        <v>794</v>
      </c>
    </row>
    <row r="700" spans="1:5" x14ac:dyDescent="0.25">
      <c r="A700" s="9" t="s">
        <v>1313</v>
      </c>
      <c r="B700" s="9">
        <v>3</v>
      </c>
      <c r="C700" s="9" t="s">
        <v>1316</v>
      </c>
      <c r="D700" s="138" t="s">
        <v>796</v>
      </c>
      <c r="E700" s="138" t="s">
        <v>796</v>
      </c>
    </row>
    <row r="701" spans="1:5" x14ac:dyDescent="0.25">
      <c r="A701" s="9" t="s">
        <v>1313</v>
      </c>
      <c r="B701" s="9">
        <v>4</v>
      </c>
      <c r="C701" s="9" t="s">
        <v>1317</v>
      </c>
      <c r="D701" s="138" t="s">
        <v>1314</v>
      </c>
      <c r="E701" s="138" t="s">
        <v>1314</v>
      </c>
    </row>
    <row r="702" spans="1:5" x14ac:dyDescent="0.25">
      <c r="A702" s="9" t="s">
        <v>1313</v>
      </c>
      <c r="B702" s="9">
        <v>8</v>
      </c>
      <c r="C702" s="9" t="s">
        <v>1318</v>
      </c>
      <c r="D702" s="133" t="s">
        <v>65</v>
      </c>
      <c r="E702" s="133" t="s">
        <v>65</v>
      </c>
    </row>
    <row r="703" spans="1:5" x14ac:dyDescent="0.25">
      <c r="A703" s="9" t="s">
        <v>1313</v>
      </c>
      <c r="B703" s="9">
        <v>7</v>
      </c>
      <c r="C703" s="9" t="s">
        <v>103</v>
      </c>
      <c r="D703" s="140" t="s">
        <v>75</v>
      </c>
      <c r="E703" s="141" t="s">
        <v>75</v>
      </c>
    </row>
    <row r="705" spans="1:5" x14ac:dyDescent="0.25">
      <c r="A705" s="9" t="s">
        <v>1627</v>
      </c>
      <c r="B705" s="9">
        <v>1</v>
      </c>
      <c r="C705" s="9" t="s">
        <v>1628</v>
      </c>
      <c r="D705" s="141" t="s">
        <v>1629</v>
      </c>
      <c r="E705" s="141" t="s">
        <v>1629</v>
      </c>
    </row>
    <row r="706" spans="1:5" x14ac:dyDescent="0.25">
      <c r="A706" s="9" t="s">
        <v>1627</v>
      </c>
      <c r="B706" s="9">
        <v>2</v>
      </c>
      <c r="C706" s="9" t="s">
        <v>1630</v>
      </c>
      <c r="D706" s="141" t="s">
        <v>1631</v>
      </c>
      <c r="E706" s="141" t="s">
        <v>1631</v>
      </c>
    </row>
    <row r="707" spans="1:5" x14ac:dyDescent="0.25">
      <c r="A707" s="9" t="s">
        <v>1627</v>
      </c>
      <c r="B707" s="9">
        <v>3</v>
      </c>
      <c r="C707" s="9" t="s">
        <v>909</v>
      </c>
      <c r="D707" s="141" t="s">
        <v>909</v>
      </c>
      <c r="E707" s="141" t="s">
        <v>909</v>
      </c>
    </row>
    <row r="708" spans="1:5" x14ac:dyDescent="0.25">
      <c r="A708" s="9" t="s">
        <v>1627</v>
      </c>
      <c r="B708" s="9">
        <v>4</v>
      </c>
      <c r="C708" s="9" t="s">
        <v>1632</v>
      </c>
      <c r="D708" s="141" t="s">
        <v>1633</v>
      </c>
      <c r="E708" s="141" t="s">
        <v>1633</v>
      </c>
    </row>
    <row r="709" spans="1:5" x14ac:dyDescent="0.25">
      <c r="A709" s="9" t="s">
        <v>1627</v>
      </c>
      <c r="B709" s="9">
        <v>5</v>
      </c>
      <c r="C709" s="9" t="s">
        <v>1634</v>
      </c>
      <c r="D709" s="141" t="s">
        <v>1635</v>
      </c>
      <c r="E709" s="141" t="s">
        <v>1636</v>
      </c>
    </row>
    <row r="710" spans="1:5" x14ac:dyDescent="0.25">
      <c r="A710" s="9" t="s">
        <v>1627</v>
      </c>
      <c r="B710" s="9">
        <v>6</v>
      </c>
      <c r="C710" s="9" t="s">
        <v>1637</v>
      </c>
      <c r="D710" s="141" t="s">
        <v>1638</v>
      </c>
      <c r="E710" s="141" t="s">
        <v>1638</v>
      </c>
    </row>
    <row r="711" spans="1:5" x14ac:dyDescent="0.25">
      <c r="A711" s="9" t="s">
        <v>1627</v>
      </c>
      <c r="B711" s="9">
        <v>7</v>
      </c>
      <c r="C711" s="9" t="s">
        <v>1639</v>
      </c>
      <c r="D711" s="141" t="s">
        <v>1640</v>
      </c>
      <c r="E711" s="141" t="s">
        <v>1640</v>
      </c>
    </row>
    <row r="712" spans="1:5" x14ac:dyDescent="0.25">
      <c r="A712" s="9" t="s">
        <v>1627</v>
      </c>
      <c r="B712" s="9">
        <v>8</v>
      </c>
      <c r="C712" s="9" t="s">
        <v>1641</v>
      </c>
      <c r="D712" s="141" t="s">
        <v>1642</v>
      </c>
      <c r="E712" s="141" t="s">
        <v>1642</v>
      </c>
    </row>
    <row r="713" spans="1:5" x14ac:dyDescent="0.25">
      <c r="A713" s="9" t="s">
        <v>1627</v>
      </c>
      <c r="B713" s="9">
        <v>9</v>
      </c>
      <c r="C713" s="9" t="s">
        <v>1643</v>
      </c>
      <c r="D713" s="141" t="s">
        <v>1644</v>
      </c>
      <c r="E713" s="141" t="s">
        <v>1644</v>
      </c>
    </row>
    <row r="714" spans="1:5" x14ac:dyDescent="0.25">
      <c r="A714" s="9" t="s">
        <v>1627</v>
      </c>
      <c r="B714" s="9">
        <v>0</v>
      </c>
      <c r="C714" s="9" t="s">
        <v>21</v>
      </c>
      <c r="D714" s="141" t="s">
        <v>66</v>
      </c>
      <c r="E714" s="141" t="s">
        <v>66</v>
      </c>
    </row>
    <row r="715" spans="1:5" x14ac:dyDescent="0.25">
      <c r="A715" s="9" t="s">
        <v>1627</v>
      </c>
      <c r="B715" s="9">
        <v>97</v>
      </c>
      <c r="C715" s="9" t="s">
        <v>103</v>
      </c>
      <c r="D715" s="141" t="s">
        <v>75</v>
      </c>
      <c r="E715" s="141" t="s">
        <v>75</v>
      </c>
    </row>
    <row r="716" spans="1:5" x14ac:dyDescent="0.25">
      <c r="A716" s="9" t="s">
        <v>1627</v>
      </c>
      <c r="B716" s="9">
        <v>98</v>
      </c>
      <c r="C716" s="9" t="s">
        <v>354</v>
      </c>
      <c r="D716" s="141" t="s">
        <v>1458</v>
      </c>
      <c r="E716" s="141" t="s">
        <v>1458</v>
      </c>
    </row>
    <row r="719" spans="1:5" x14ac:dyDescent="0.25">
      <c r="A719" s="9" t="s">
        <v>1645</v>
      </c>
      <c r="B719" s="9">
        <v>1</v>
      </c>
      <c r="C719" s="9" t="s">
        <v>1646</v>
      </c>
      <c r="D719" s="149" t="s">
        <v>1647</v>
      </c>
      <c r="E719" s="149" t="s">
        <v>1647</v>
      </c>
    </row>
    <row r="720" spans="1:5" x14ac:dyDescent="0.25">
      <c r="A720" s="9" t="s">
        <v>1645</v>
      </c>
      <c r="B720" s="9">
        <v>2</v>
      </c>
      <c r="C720" s="9" t="s">
        <v>1648</v>
      </c>
      <c r="D720" s="149" t="s">
        <v>1649</v>
      </c>
      <c r="E720" s="149" t="s">
        <v>1649</v>
      </c>
    </row>
    <row r="721" spans="1:5" x14ac:dyDescent="0.25">
      <c r="A721" s="9" t="s">
        <v>1645</v>
      </c>
      <c r="B721" s="9">
        <v>3</v>
      </c>
      <c r="C721" s="9" t="s">
        <v>802</v>
      </c>
      <c r="D721" s="149" t="s">
        <v>803</v>
      </c>
      <c r="E721" s="149" t="s">
        <v>803</v>
      </c>
    </row>
    <row r="722" spans="1:5" x14ac:dyDescent="0.25">
      <c r="A722" s="9" t="s">
        <v>1645</v>
      </c>
      <c r="B722" s="9">
        <v>4</v>
      </c>
      <c r="C722" s="9" t="s">
        <v>1650</v>
      </c>
      <c r="D722" s="149" t="s">
        <v>1651</v>
      </c>
      <c r="E722" s="149" t="s">
        <v>1651</v>
      </c>
    </row>
    <row r="723" spans="1:5" x14ac:dyDescent="0.25">
      <c r="A723" s="9" t="s">
        <v>1645</v>
      </c>
      <c r="B723" s="9">
        <v>5</v>
      </c>
      <c r="C723" s="9" t="s">
        <v>1652</v>
      </c>
      <c r="D723" s="149" t="s">
        <v>1653</v>
      </c>
      <c r="E723" s="149" t="s">
        <v>1653</v>
      </c>
    </row>
    <row r="724" spans="1:5" x14ac:dyDescent="0.25">
      <c r="A724" s="9" t="s">
        <v>1645</v>
      </c>
      <c r="B724" s="9">
        <v>97</v>
      </c>
      <c r="C724" s="9" t="s">
        <v>103</v>
      </c>
      <c r="D724" s="150" t="s">
        <v>75</v>
      </c>
      <c r="E724" s="150" t="s">
        <v>75</v>
      </c>
    </row>
    <row r="726" spans="1:5" x14ac:dyDescent="0.25">
      <c r="A726" s="9" t="s">
        <v>1568</v>
      </c>
      <c r="B726" s="9">
        <v>1</v>
      </c>
      <c r="C726" s="9" t="s">
        <v>1363</v>
      </c>
      <c r="D726" s="9" t="s">
        <v>149</v>
      </c>
      <c r="E726" s="9" t="s">
        <v>149</v>
      </c>
    </row>
    <row r="727" spans="1:5" x14ac:dyDescent="0.25">
      <c r="A727" s="9" t="s">
        <v>1568</v>
      </c>
      <c r="B727" s="9">
        <v>2</v>
      </c>
      <c r="C727" s="9" t="s">
        <v>38</v>
      </c>
      <c r="D727" s="9" t="s">
        <v>1654</v>
      </c>
      <c r="E727" s="9" t="s">
        <v>1654</v>
      </c>
    </row>
    <row r="730" spans="1:5" x14ac:dyDescent="0.25">
      <c r="A730" s="6" t="s">
        <v>1007</v>
      </c>
      <c r="B730" s="6">
        <v>0</v>
      </c>
      <c r="C730" s="6" t="s">
        <v>21</v>
      </c>
      <c r="D730" s="6" t="s">
        <v>313</v>
      </c>
      <c r="E730" s="6" t="s">
        <v>313</v>
      </c>
    </row>
    <row r="731" spans="1:5" x14ac:dyDescent="0.25">
      <c r="A731" s="6" t="s">
        <v>1007</v>
      </c>
      <c r="B731" s="6">
        <v>1</v>
      </c>
      <c r="C731" s="6" t="s">
        <v>1948</v>
      </c>
      <c r="D731" s="6" t="s">
        <v>1941</v>
      </c>
      <c r="E731" s="6" t="s">
        <v>1941</v>
      </c>
    </row>
    <row r="732" spans="1:5" x14ac:dyDescent="0.25">
      <c r="A732" s="6" t="s">
        <v>1007</v>
      </c>
      <c r="B732" s="9">
        <v>2</v>
      </c>
      <c r="C732" s="9" t="s">
        <v>1949</v>
      </c>
      <c r="D732" s="9" t="s">
        <v>1949</v>
      </c>
      <c r="E732" s="9" t="s">
        <v>1949</v>
      </c>
    </row>
    <row r="733" spans="1:5" x14ac:dyDescent="0.25">
      <c r="A733" s="6" t="s">
        <v>1007</v>
      </c>
      <c r="B733" s="9">
        <v>3</v>
      </c>
      <c r="C733" s="9" t="s">
        <v>443</v>
      </c>
      <c r="D733" s="9" t="s">
        <v>443</v>
      </c>
      <c r="E733" s="9" t="s">
        <v>443</v>
      </c>
    </row>
    <row r="734" spans="1:5" x14ac:dyDescent="0.25">
      <c r="A734" s="6" t="s">
        <v>1007</v>
      </c>
      <c r="B734" s="9">
        <v>4</v>
      </c>
      <c r="C734" s="9" t="s">
        <v>550</v>
      </c>
      <c r="D734" s="9" t="s">
        <v>550</v>
      </c>
      <c r="E734" s="9" t="s">
        <v>550</v>
      </c>
    </row>
    <row r="735" spans="1:5" x14ac:dyDescent="0.25">
      <c r="A735" s="6" t="s">
        <v>1007</v>
      </c>
      <c r="B735" s="9">
        <v>5</v>
      </c>
      <c r="C735" s="9" t="s">
        <v>1950</v>
      </c>
      <c r="D735" s="9" t="s">
        <v>1950</v>
      </c>
      <c r="E735" s="9" t="s">
        <v>1950</v>
      </c>
    </row>
    <row r="736" spans="1:5" x14ac:dyDescent="0.25">
      <c r="A736" s="6" t="s">
        <v>1007</v>
      </c>
      <c r="B736" s="9">
        <v>96</v>
      </c>
      <c r="C736" s="9" t="s">
        <v>39</v>
      </c>
      <c r="D736" s="9" t="s">
        <v>81</v>
      </c>
      <c r="E736" s="9" t="s">
        <v>81</v>
      </c>
    </row>
    <row r="737" spans="1:5" x14ac:dyDescent="0.25">
      <c r="A737" s="6" t="s">
        <v>1007</v>
      </c>
      <c r="B737" s="9">
        <v>97</v>
      </c>
      <c r="C737" s="9" t="s">
        <v>103</v>
      </c>
      <c r="D737" s="9" t="s">
        <v>1951</v>
      </c>
      <c r="E737" s="9" t="s">
        <v>1951</v>
      </c>
    </row>
    <row r="738" spans="1:5" x14ac:dyDescent="0.25">
      <c r="B738" s="9"/>
      <c r="C738" s="9"/>
      <c r="D738" s="9"/>
    </row>
    <row r="740" spans="1:5" x14ac:dyDescent="0.25">
      <c r="A740" s="6" t="s">
        <v>1940</v>
      </c>
      <c r="B740" s="9">
        <v>1</v>
      </c>
      <c r="C740" s="9" t="s">
        <v>1952</v>
      </c>
      <c r="D740" s="6" t="s">
        <v>1942</v>
      </c>
      <c r="E740" s="6" t="s">
        <v>1942</v>
      </c>
    </row>
    <row r="741" spans="1:5" x14ac:dyDescent="0.25">
      <c r="A741" s="6" t="s">
        <v>1940</v>
      </c>
      <c r="B741" s="9">
        <v>2</v>
      </c>
      <c r="C741" s="9" t="s">
        <v>1953</v>
      </c>
      <c r="D741" s="6" t="s">
        <v>1943</v>
      </c>
      <c r="E741" s="6" t="s">
        <v>1943</v>
      </c>
    </row>
    <row r="742" spans="1:5" x14ac:dyDescent="0.25">
      <c r="A742" s="6" t="s">
        <v>1940</v>
      </c>
      <c r="B742" s="9">
        <v>3</v>
      </c>
      <c r="C742" s="9" t="s">
        <v>1954</v>
      </c>
      <c r="D742" s="6" t="s">
        <v>1944</v>
      </c>
      <c r="E742" s="6" t="s">
        <v>1944</v>
      </c>
    </row>
    <row r="743" spans="1:5" x14ac:dyDescent="0.25">
      <c r="A743" s="6" t="s">
        <v>1940</v>
      </c>
      <c r="B743" s="9">
        <v>4</v>
      </c>
      <c r="C743" s="9" t="s">
        <v>1955</v>
      </c>
      <c r="D743" s="9" t="s">
        <v>1945</v>
      </c>
      <c r="E743" s="9" t="s">
        <v>1945</v>
      </c>
    </row>
    <row r="744" spans="1:5" x14ac:dyDescent="0.25">
      <c r="A744" s="6" t="s">
        <v>1940</v>
      </c>
      <c r="B744" s="9">
        <v>5</v>
      </c>
      <c r="C744" s="9" t="s">
        <v>1956</v>
      </c>
      <c r="D744" s="9" t="s">
        <v>1946</v>
      </c>
      <c r="E744" s="9" t="s">
        <v>1946</v>
      </c>
    </row>
    <row r="745" spans="1:5" x14ac:dyDescent="0.25">
      <c r="A745" s="6" t="s">
        <v>1940</v>
      </c>
      <c r="B745" s="9">
        <v>6</v>
      </c>
      <c r="C745" s="9" t="s">
        <v>1957</v>
      </c>
      <c r="D745" s="9" t="s">
        <v>1947</v>
      </c>
      <c r="E745" s="9" t="s">
        <v>1947</v>
      </c>
    </row>
    <row r="746" spans="1:5" x14ac:dyDescent="0.25">
      <c r="A746" s="6" t="s">
        <v>1940</v>
      </c>
      <c r="B746" s="9">
        <v>96</v>
      </c>
      <c r="C746" s="9" t="s">
        <v>39</v>
      </c>
      <c r="D746" s="9" t="s">
        <v>81</v>
      </c>
      <c r="E746" s="9" t="s">
        <v>81</v>
      </c>
    </row>
    <row r="747" spans="1:5" x14ac:dyDescent="0.25">
      <c r="A747" s="6" t="s">
        <v>1940</v>
      </c>
      <c r="B747" s="9">
        <v>97</v>
      </c>
      <c r="C747" s="9" t="s">
        <v>103</v>
      </c>
      <c r="D747" s="9" t="s">
        <v>75</v>
      </c>
      <c r="E747" s="9" t="s">
        <v>75</v>
      </c>
    </row>
    <row r="749" spans="1:5" x14ac:dyDescent="0.25">
      <c r="A749" s="9" t="s">
        <v>1968</v>
      </c>
      <c r="B749" s="9">
        <v>1</v>
      </c>
      <c r="C749" t="s">
        <v>1969</v>
      </c>
      <c r="D749" s="9" t="s">
        <v>1975</v>
      </c>
      <c r="E749" s="9" t="s">
        <v>1975</v>
      </c>
    </row>
    <row r="750" spans="1:5" x14ac:dyDescent="0.25">
      <c r="A750" s="9" t="s">
        <v>1968</v>
      </c>
      <c r="B750" s="9">
        <v>2</v>
      </c>
      <c r="C750" t="s">
        <v>1970</v>
      </c>
      <c r="D750" s="9" t="s">
        <v>1976</v>
      </c>
      <c r="E750" s="9" t="s">
        <v>1976</v>
      </c>
    </row>
    <row r="751" spans="1:5" x14ac:dyDescent="0.25">
      <c r="A751" s="9" t="s">
        <v>1968</v>
      </c>
      <c r="B751" s="9">
        <v>3</v>
      </c>
      <c r="C751" t="s">
        <v>1971</v>
      </c>
      <c r="D751" s="9" t="s">
        <v>1977</v>
      </c>
      <c r="E751" s="9" t="s">
        <v>1977</v>
      </c>
    </row>
    <row r="752" spans="1:5" x14ac:dyDescent="0.25">
      <c r="A752" s="9" t="s">
        <v>1968</v>
      </c>
      <c r="B752" s="9">
        <v>4</v>
      </c>
      <c r="C752" t="s">
        <v>1978</v>
      </c>
      <c r="D752" s="9" t="s">
        <v>1972</v>
      </c>
      <c r="E752" s="9" t="s">
        <v>1972</v>
      </c>
    </row>
    <row r="753" spans="1:5" x14ac:dyDescent="0.25">
      <c r="A753" s="9" t="s">
        <v>1968</v>
      </c>
      <c r="B753" s="9">
        <v>95</v>
      </c>
      <c r="C753" t="s">
        <v>1973</v>
      </c>
      <c r="D753" s="9" t="s">
        <v>1979</v>
      </c>
      <c r="E753" s="9" t="s">
        <v>1979</v>
      </c>
    </row>
    <row r="754" spans="1:5" x14ac:dyDescent="0.25">
      <c r="A754" s="9" t="s">
        <v>1968</v>
      </c>
      <c r="B754" s="9">
        <v>96</v>
      </c>
      <c r="C754" s="6" t="s">
        <v>1974</v>
      </c>
      <c r="D754" s="9" t="s">
        <v>1980</v>
      </c>
      <c r="E754" s="9" t="s">
        <v>1980</v>
      </c>
    </row>
    <row r="755" spans="1:5" x14ac:dyDescent="0.25">
      <c r="A755" s="9" t="s">
        <v>1968</v>
      </c>
      <c r="B755" s="9">
        <v>0</v>
      </c>
      <c r="C755" s="9" t="s">
        <v>21</v>
      </c>
      <c r="D755" s="9" t="s">
        <v>313</v>
      </c>
      <c r="E755" s="9" t="s">
        <v>313</v>
      </c>
    </row>
    <row r="757" spans="1:5" x14ac:dyDescent="0.25">
      <c r="A757" s="9" t="s">
        <v>2077</v>
      </c>
      <c r="B757" s="9">
        <v>1</v>
      </c>
      <c r="C757" s="9" t="s">
        <v>2080</v>
      </c>
      <c r="D757" s="9" t="s">
        <v>2080</v>
      </c>
      <c r="E757" s="9" t="s">
        <v>2080</v>
      </c>
    </row>
    <row r="758" spans="1:5" x14ac:dyDescent="0.25">
      <c r="A758" s="9" t="s">
        <v>2077</v>
      </c>
      <c r="B758" s="9">
        <v>2</v>
      </c>
      <c r="C758" s="9" t="s">
        <v>2079</v>
      </c>
      <c r="D758" s="9" t="s">
        <v>2079</v>
      </c>
      <c r="E758" s="9" t="s">
        <v>2079</v>
      </c>
    </row>
    <row r="759" spans="1:5" x14ac:dyDescent="0.25">
      <c r="A759" s="9" t="s">
        <v>2077</v>
      </c>
      <c r="B759" s="9">
        <v>96</v>
      </c>
      <c r="C759" s="9" t="s">
        <v>81</v>
      </c>
      <c r="D759" s="9" t="s">
        <v>81</v>
      </c>
      <c r="E759" s="9" t="s">
        <v>81</v>
      </c>
    </row>
    <row r="760" spans="1:5" x14ac:dyDescent="0.25">
      <c r="A760" s="9"/>
      <c r="B760" s="9"/>
    </row>
  </sheetData>
  <phoneticPr fontId="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opLeftCell="B1" workbookViewId="0">
      <selection activeCell="G3" sqref="G3"/>
    </sheetView>
  </sheetViews>
  <sheetFormatPr defaultRowHeight="15" x14ac:dyDescent="0.25"/>
  <cols>
    <col min="1" max="1" width="31.5703125" customWidth="1"/>
    <col min="2" max="2" width="41.42578125" customWidth="1"/>
    <col min="3" max="3" width="22.140625" customWidth="1"/>
    <col min="5" max="5" width="52.7109375" customWidth="1"/>
  </cols>
  <sheetData>
    <row r="1" spans="1:7" s="8" customFormat="1" ht="15.75" customHeight="1" x14ac:dyDescent="0.25">
      <c r="A1" s="8" t="s">
        <v>474</v>
      </c>
      <c r="B1" s="8" t="s">
        <v>1002</v>
      </c>
      <c r="C1" s="8" t="s">
        <v>475</v>
      </c>
      <c r="D1" s="8" t="s">
        <v>476</v>
      </c>
      <c r="E1" s="8" t="s">
        <v>477</v>
      </c>
      <c r="F1" s="8" t="s">
        <v>478</v>
      </c>
      <c r="G1" s="8" t="s">
        <v>1441</v>
      </c>
    </row>
    <row r="2" spans="1:7" s="8" customFormat="1" ht="15.75" customHeight="1" x14ac:dyDescent="0.25">
      <c r="A2" s="23" t="s">
        <v>2035</v>
      </c>
      <c r="B2" s="8" t="s">
        <v>2034</v>
      </c>
      <c r="C2" s="8" t="s">
        <v>1928</v>
      </c>
      <c r="D2" s="23"/>
      <c r="E2" s="24" t="s">
        <v>1319</v>
      </c>
      <c r="F2" s="8" t="s">
        <v>479</v>
      </c>
      <c r="G2" s="8">
        <v>20140707</v>
      </c>
    </row>
  </sheetData>
  <hyperlinks>
    <hyperlink ref="E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7" sqref="A7"/>
    </sheetView>
  </sheetViews>
  <sheetFormatPr defaultRowHeight="15" x14ac:dyDescent="0.25"/>
  <cols>
    <col min="1" max="1" width="42.85546875" customWidth="1"/>
  </cols>
  <sheetData>
    <row r="1" spans="1:2" x14ac:dyDescent="0.25">
      <c r="A1" t="s">
        <v>1584</v>
      </c>
    </row>
    <row r="2" spans="1:2" x14ac:dyDescent="0.25">
      <c r="A2" t="s">
        <v>1585</v>
      </c>
      <c r="B2" t="s">
        <v>1248</v>
      </c>
    </row>
    <row r="3" spans="1:2" x14ac:dyDescent="0.25">
      <c r="A3" t="s">
        <v>1586</v>
      </c>
      <c r="B3" t="s">
        <v>1587</v>
      </c>
    </row>
    <row r="4" spans="1:2" x14ac:dyDescent="0.25">
      <c r="A4" t="s">
        <v>1588</v>
      </c>
      <c r="B4" t="s">
        <v>1589</v>
      </c>
    </row>
    <row r="5" spans="1:2" x14ac:dyDescent="0.25">
      <c r="A5" t="s">
        <v>1590</v>
      </c>
      <c r="B5" t="s">
        <v>1591</v>
      </c>
    </row>
    <row r="6" spans="1:2" x14ac:dyDescent="0.25">
      <c r="A6" t="s">
        <v>1592</v>
      </c>
      <c r="B6" t="s">
        <v>1593</v>
      </c>
    </row>
    <row r="7" spans="1:2" x14ac:dyDescent="0.25">
      <c r="A7" t="s">
        <v>1594</v>
      </c>
      <c r="B7" t="s">
        <v>1595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props</vt:lpstr>
    </vt:vector>
  </TitlesOfParts>
  <Company>Wageningen UR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Moeller, Lena</dc:creator>
  <cp:lastModifiedBy>Leuveld, Koen</cp:lastModifiedBy>
  <cp:lastPrinted>2013-06-13T16:38:33Z</cp:lastPrinted>
  <dcterms:created xsi:type="dcterms:W3CDTF">2013-03-14T15:06:54Z</dcterms:created>
  <dcterms:modified xsi:type="dcterms:W3CDTF">2014-07-07T20:01:21Z</dcterms:modified>
</cp:coreProperties>
</file>