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z\Desktop\"/>
    </mc:Choice>
  </mc:AlternateContent>
  <xr:revisionPtr revIDLastSave="0" documentId="13_ncr:1_{966BAD8E-BF57-4FB2-BA27-6833EEC7FBD4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6" r:id="rId4"/>
    <sheet name="Sheet4" sheetId="7" r:id="rId5"/>
    <sheet name="Sheet5" sheetId="8" r:id="rId6"/>
  </sheets>
  <definedNames>
    <definedName name="_xlcn.WorksheetConnection_CrowdfundingA1T10011" hidden="1">Crowdfunding!$A$1:$T$1001</definedName>
  </definedNames>
  <calcPr calcId="191029"/>
  <pivotCaches>
    <pivotCache cacheId="0" r:id="rId7"/>
    <pivotCache cacheId="4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8" l="1"/>
  <c r="B17" i="8"/>
  <c r="B16" i="8"/>
  <c r="E16" i="8"/>
  <c r="E15" i="8"/>
  <c r="E14" i="8"/>
  <c r="E13" i="8"/>
  <c r="E12" i="8"/>
  <c r="B12" i="8"/>
  <c r="B15" i="8"/>
  <c r="B14" i="8"/>
  <c r="B13" i="8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2" i="7"/>
  <c r="C12" i="7"/>
  <c r="D11" i="7"/>
  <c r="C11" i="7"/>
  <c r="D7" i="7"/>
  <c r="D8" i="7"/>
  <c r="D9" i="7"/>
  <c r="D10" i="7"/>
  <c r="C10" i="7"/>
  <c r="C9" i="7"/>
  <c r="C8" i="7"/>
  <c r="C7" i="7"/>
  <c r="D6" i="7"/>
  <c r="C6" i="7"/>
  <c r="D5" i="7"/>
  <c r="C5" i="7"/>
  <c r="D4" i="7"/>
  <c r="C4" i="7"/>
  <c r="D3" i="7"/>
  <c r="C3" i="7"/>
  <c r="D13" i="7"/>
  <c r="D2" i="7"/>
  <c r="B3" i="7"/>
  <c r="C13" i="7"/>
  <c r="C2" i="7"/>
  <c r="B13" i="7"/>
  <c r="B2" i="7"/>
  <c r="B12" i="7"/>
  <c r="B11" i="7"/>
  <c r="B10" i="7"/>
  <c r="B9" i="7"/>
  <c r="B8" i="7"/>
  <c r="B7" i="7"/>
  <c r="B6" i="7"/>
  <c r="B5" i="7"/>
  <c r="B4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7" i="1"/>
  <c r="F8" i="1"/>
  <c r="F9" i="1"/>
  <c r="F4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1D85D2-83D7-422F-A517-799C370972D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E930541-1D0F-4A99-AA94-31A8C6A0FA6C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country].[All]}"/>
    <s v="{[Range].[Date created conversion (Year)].[All]}"/>
    <s v="{[Range].[Parent category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<sst xmlns="http://schemas.openxmlformats.org/spreadsheetml/2006/main" count="8157" uniqueCount="2117">
  <si>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</si>
  <si>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</si>
  <si>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</si>
  <si>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</si>
  <si>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</si>
  <si>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</si>
  <si>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</si>
  <si>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</si>
  <si>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</si>
  <si>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</si>
  <si>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</si>
  <si>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</si>
  <si>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</si>
  <si>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</si>
  <si>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</si>
  <si>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</si>
  <si>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</si>
  <si>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</si>
  <si>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</si>
  <si>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</si>
  <si>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</si>
  <si>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</si>
  <si>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</si>
  <si>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</si>
  <si>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</si>
  <si>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</si>
  <si>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</si>
  <si>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</si>
  <si>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</si>
  <si>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</si>
  <si>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</si>
  <si>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</si>
  <si>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</si>
  <si>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</si>
  <si>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</si>
  <si>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</si>
  <si>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</si>
  <si>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</si>
  <si>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</si>
  <si>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</si>
  <si>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</si>
  <si>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</si>
  <si>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</si>
  <si>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</si>
  <si>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</si>
  <si>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</si>
  <si>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</si>
  <si>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</si>
  <si>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</si>
  <si>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</si>
  <si>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</si>
  <si>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</si>
  <si>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</si>
  <si>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</si>
  <si>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</si>
  <si>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</si>
  <si>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</si>
  <si>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</si>
  <si>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</si>
  <si>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</si>
  <si>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</si>
  <si>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</si>
  <si>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</si>
  <si>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</si>
  <si>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</si>
  <si>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</si>
  <si>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</si>
  <si>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</si>
  <si>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</si>
  <si>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</si>
  <si>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</si>
  <si>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</si>
  <si>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</si>
  <si>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</si>
  <si>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</si>
  <si>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</si>
  <si>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</si>
  <si>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</si>
  <si>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</si>
  <si>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</si>
  <si>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</si>
  <si>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</si>
  <si>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</si>
  <si>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</si>
  <si>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</si>
  <si>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</si>
  <si>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</si>
  <si>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</si>
  <si>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</si>
  <si>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</si>
  <si>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</si>
  <si>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</si>
  <si>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</si>
  <si>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</si>
  <si>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</si>
  <si>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</si>
  <si>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</si>
  <si>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</si>
  <si>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</si>
  <si>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</si>
  <si>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</si>
  <si>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</si>
  <si>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</si>
  <si>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</si>
  <si>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</si>
  <si>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</si>
  <si>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</si>
  <si>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</si>
  <si>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</si>
  <si>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</si>
  <si>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</si>
  <si>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</si>
  <si>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</si>
  <si>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</si>
  <si>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</si>
  <si>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</si>
  <si>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</si>
  <si>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</si>
  <si>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</si>
  <si>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</si>
  <si>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</si>
  <si>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</si>
  <si>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</si>
  <si>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</si>
  <si>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</si>
  <si>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</si>
  <si>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</si>
  <si>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</si>
  <si>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</si>
  <si>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</si>
  <si>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</si>
  <si>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</si>
  <si>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</si>
  <si>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</si>
  <si>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</si>
  <si>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</si>
  <si>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</si>
  <si>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</si>
  <si>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</si>
  <si>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</si>
  <si>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</si>
  <si>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</si>
  <si>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</si>
  <si>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</si>
  <si>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</si>
  <si>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</si>
  <si>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</si>
  <si>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</si>
  <si>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</si>
  <si>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</si>
  <si>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</si>
  <si>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</si>
  <si>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</si>
  <si>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</si>
  <si>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</si>
  <si>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</si>
  <si>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</si>
  <si>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</si>
  <si>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</si>
  <si>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</si>
  <si>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</si>
  <si>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</si>
  <si>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</si>
  <si>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</si>
  <si>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</si>
  <si>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</si>
  <si>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</si>
  <si>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</si>
  <si>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</si>
  <si>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</si>
  <si>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</si>
  <si>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</si>
  <si>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</si>
  <si>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</si>
  <si>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</si>
  <si>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</si>
  <si>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</si>
  <si>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</si>
  <si>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</si>
  <si>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</si>
  <si>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</si>
  <si>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</si>
  <si>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</si>
  <si>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</si>
  <si>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</si>
  <si>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</si>
  <si>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</si>
  <si>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</si>
  <si>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</si>
  <si>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</si>
  <si>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</si>
  <si>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</si>
  <si>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</si>
  <si>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</si>
  <si>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</si>
  <si>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</si>
  <si>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</si>
  <si>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</si>
  <si>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</si>
  <si>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</si>
  <si>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</si>
  <si>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</si>
  <si>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</si>
  <si>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</si>
  <si>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</si>
  <si>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</si>
  <si>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</si>
  <si>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</si>
  <si>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</si>
  <si>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</si>
  <si>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</si>
  <si>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</si>
  <si>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</si>
  <si>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</si>
  <si>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</si>
  <si>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</si>
  <si>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</si>
  <si>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</si>
  <si>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</si>
  <si>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</si>
  <si>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</si>
  <si>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</si>
  <si>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</si>
  <si>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</si>
  <si>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</si>
  <si>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</si>
  <si>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</si>
  <si>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</si>
  <si>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</si>
  <si>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</si>
  <si>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</si>
  <si>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</si>
  <si>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</si>
  <si>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</si>
  <si>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</si>
  <si>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</si>
  <si>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</si>
  <si>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</si>
  <si>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</si>
  <si>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</si>
  <si>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</si>
  <si>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</si>
  <si>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</si>
  <si>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</si>
  <si>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</si>
  <si>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</si>
  <si>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</si>
  <si>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</si>
  <si>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</si>
  <si>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</si>
  <si>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</si>
  <si>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</si>
  <si>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</si>
  <si>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</si>
  <si>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</si>
  <si>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</si>
  <si>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</si>
  <si>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</si>
  <si>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</si>
  <si>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</si>
  <si>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</si>
  <si>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</si>
  <si>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</si>
  <si>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</si>
  <si>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</si>
  <si>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</si>
  <si>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</si>
  <si>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</si>
  <si>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</si>
  <si>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</si>
  <si>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</si>
  <si>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</si>
  <si>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</si>
  <si>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</si>
  <si>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</si>
  <si>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</si>
  <si>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</si>
  <si>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</si>
  <si>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</si>
  <si>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</si>
  <si>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</si>
  <si>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</si>
  <si>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</si>
  <si>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</si>
  <si>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</si>
  <si>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</si>
  <si>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</si>
  <si>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</si>
  <si>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</si>
  <si>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</si>
  <si>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</si>
  <si>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</si>
  <si>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</si>
  <si>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</si>
  <si>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</si>
  <si>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</si>
  <si>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</si>
  <si>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</si>
  <si>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</si>
  <si>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</si>
  <si>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</si>
  <si>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</si>
  <si>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</si>
  <si>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</si>
  <si>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</si>
  <si>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</si>
  <si>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</si>
  <si>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</si>
  <si>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</si>
  <si>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</si>
  <si>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</si>
  <si>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</si>
  <si>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</si>
  <si>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</si>
  <si>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</si>
  <si>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</si>
  <si>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</si>
  <si>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</si>
  <si>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</si>
  <si>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</si>
  <si>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</si>
  <si>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</si>
  <si>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</si>
  <si>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</si>
  <si>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</si>
  <si>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</si>
  <si>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</si>
  <si>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</si>
  <si>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</si>
  <si>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</si>
  <si>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</si>
  <si>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</si>
  <si>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</si>
  <si>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</si>
  <si>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</si>
  <si>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</si>
  <si>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</si>
  <si>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</si>
  <si>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</si>
  <si>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</si>
  <si>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</si>
  <si>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</si>
  <si>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</si>
  <si>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</si>
  <si>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</si>
  <si>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</si>
  <si>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</si>
  <si>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</si>
  <si>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</si>
  <si>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</si>
  <si>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</si>
  <si>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</si>
  <si>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</si>
  <si>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</si>
  <si>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</si>
  <si>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</si>
  <si>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</si>
  <si>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</si>
  <si>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</si>
  <si>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</si>
  <si>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</si>
  <si>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</si>
  <si>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</si>
  <si>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</si>
  <si>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</si>
  <si>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</si>
  <si>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</si>
  <si>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</si>
  <si>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</si>
  <si>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</si>
  <si>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</si>
  <si>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</si>
  <si>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</si>
  <si>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</si>
  <si>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</si>
  <si>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</si>
  <si>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</si>
  <si>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</si>
  <si>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</si>
  <si>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</si>
  <si>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</si>
  <si>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</si>
  <si>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</si>
  <si>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</si>
  <si>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</si>
  <si>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</si>
  <si>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</si>
  <si>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</si>
  <si>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</si>
  <si>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</si>
  <si>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</si>
  <si>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</si>
  <si>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</si>
  <si>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</si>
  <si>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</si>
  <si>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</si>
  <si>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</si>
  <si>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</si>
  <si>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</si>
  <si>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</si>
  <si>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</si>
  <si>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</si>
  <si>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</si>
  <si>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</si>
  <si>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</si>
  <si>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</si>
  <si>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</si>
  <si>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</si>
  <si>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</si>
  <si>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</si>
  <si>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</si>
  <si>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</si>
  <si>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</si>
  <si>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</si>
  <si>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</si>
  <si>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</si>
  <si>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</si>
  <si>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</si>
  <si>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</si>
  <si>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</si>
  <si>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</si>
  <si>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</si>
  <si>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</si>
  <si>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</si>
  <si>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</si>
  <si>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</si>
  <si>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</si>
  <si>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</si>
  <si>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</si>
  <si>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</si>
  <si>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</si>
  <si>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</si>
  <si>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</si>
  <si>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</si>
  <si>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</si>
  <si>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</si>
  <si>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</si>
  <si>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</si>
  <si>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</si>
  <si>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</si>
  <si>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</si>
  <si>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</si>
  <si>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</si>
  <si>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</si>
  <si>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</si>
  <si>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</si>
  <si>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</si>
  <si>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</si>
  <si>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</si>
  <si>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</si>
  <si>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</si>
  <si>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</si>
  <si>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</si>
  <si>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</si>
  <si>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</si>
  <si>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</si>
  <si>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</si>
  <si>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</si>
  <si>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</si>
  <si>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</si>
  <si>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</si>
  <si>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</si>
  <si>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</si>
  <si>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</si>
  <si>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</si>
  <si>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</si>
  <si>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</si>
  <si>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</si>
  <si>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</si>
  <si>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</si>
  <si>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</si>
  <si>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</si>
  <si>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</si>
  <si>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</si>
  <si>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</si>
  <si>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</si>
  <si>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</si>
  <si>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</si>
  <si>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</si>
  <si>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</si>
  <si>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</si>
  <si>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</si>
  <si>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</si>
  <si>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</si>
  <si>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</si>
  <si>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</si>
  <si>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</si>
  <si>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</si>
  <si>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</si>
  <si>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</si>
  <si>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</si>
  <si>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</si>
  <si>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</si>
  <si>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</si>
  <si>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</si>
  <si>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</si>
  <si>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</si>
  <si>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</si>
  <si>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</si>
  <si>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</si>
  <si>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</si>
  <si>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</si>
  <si>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</si>
  <si>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</si>
  <si>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</si>
  <si>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</si>
  <si>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</si>
  <si>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</si>
  <si>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</si>
  <si>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</si>
  <si>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</si>
  <si>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</si>
  <si>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</si>
  <si>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</si>
  <si>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</si>
  <si>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</si>
  <si>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</si>
  <si>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</si>
  <si>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</si>
  <si>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</si>
  <si>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</si>
  <si>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</si>
  <si>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</si>
  <si>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</si>
  <si>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</si>
  <si>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</si>
  <si>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</si>
  <si>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</si>
  <si>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</si>
  <si>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</si>
  <si>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</si>
  <si>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</si>
  <si>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</si>
  <si>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</si>
  <si>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</si>
  <si>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</si>
  <si>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</si>
  <si>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</si>
  <si>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</si>
  <si>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</si>
  <si>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</si>
  <si>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</si>
  <si>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</si>
  <si>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</si>
  <si>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</si>
  <si>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</si>
  <si>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</si>
  <si>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</si>
  <si>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</si>
  <si>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</si>
  <si>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</si>
  <si>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</si>
  <si>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</si>
  <si>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</si>
  <si>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</si>
  <si>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</si>
  <si>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</si>
  <si>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</si>
  <si>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</si>
  <si>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</si>
  <si>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</si>
  <si>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</si>
  <si>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</si>
  <si>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</si>
  <si>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</si>
  <si>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</si>
  <si>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</si>
  <si>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</si>
  <si>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</si>
  <si>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</si>
  <si>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</si>
  <si>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</si>
  <si>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</si>
  <si>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</si>
  <si>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</si>
  <si>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</si>
  <si>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</si>
  <si>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</si>
  <si>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</si>
  <si>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</si>
  <si>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</si>
  <si>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</si>
  <si>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</si>
  <si>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</si>
  <si>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</si>
  <si>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</si>
  <si>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</si>
  <si>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</si>
  <si>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</si>
  <si>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</si>
  <si>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</si>
  <si>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</si>
  <si>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</si>
  <si>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</si>
  <si>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</si>
  <si>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</si>
  <si>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</si>
  <si>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</si>
  <si>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</si>
  <si>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</si>
  <si>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</si>
  <si>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</si>
  <si>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</si>
  <si>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</si>
  <si>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</si>
  <si>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</si>
  <si>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</si>
  <si>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</si>
  <si>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</si>
  <si>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</si>
  <si>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</si>
  <si>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</si>
  <si>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</si>
  <si>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</si>
  <si>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</si>
  <si>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</si>
  <si>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</si>
  <si>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</si>
  <si>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</si>
  <si>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</si>
  <si>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</si>
  <si>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</si>
  <si>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</si>
  <si>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</si>
  <si>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</si>
  <si>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</si>
  <si>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</si>
  <si>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</si>
  <si>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</si>
  <si>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</si>
  <si>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</si>
  <si>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</si>
  <si>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</si>
  <si>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</si>
  <si>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</si>
  <si>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</si>
  <si>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</si>
  <si>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</si>
  <si>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</si>
  <si>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</si>
  <si>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</si>
  <si>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</si>
  <si>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</si>
  <si>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</si>
  <si>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</si>
  <si>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</si>
  <si>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</si>
  <si>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</si>
  <si>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</si>
  <si>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</si>
  <si>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</si>
  <si>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</si>
  <si>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</si>
  <si>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</si>
  <si>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</si>
  <si>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</si>
  <si>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</si>
  <si>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</si>
  <si>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</si>
  <si>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</si>
  <si>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</si>
  <si>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</si>
  <si>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</si>
  <si>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</si>
  <si>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</si>
  <si>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</si>
  <si>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</si>
  <si>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</si>
  <si>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</si>
  <si>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</si>
  <si>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</si>
  <si>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</si>
  <si>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</si>
  <si>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</si>
  <si>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</si>
  <si>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</si>
  <si>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</si>
  <si>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</si>
  <si>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</si>
  <si>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</si>
  <si>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</si>
  <si>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</si>
  <si>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</si>
  <si>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</si>
  <si>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</si>
  <si>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</si>
  <si>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</si>
  <si>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</si>
  <si>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</si>
  <si>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</si>
  <si>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</si>
  <si>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</si>
  <si>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</si>
  <si>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</si>
  <si>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</si>
  <si>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</si>
  <si>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</si>
  <si>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</si>
  <si>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</si>
  <si>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</si>
  <si>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</si>
  <si>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</si>
  <si>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</si>
  <si>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</si>
  <si>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</si>
  <si>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</si>
  <si>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</si>
  <si>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</si>
  <si>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</si>
  <si>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</si>
  <si>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</si>
  <si>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</si>
  <si>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</si>
  <si>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</si>
  <si>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</si>
  <si>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</si>
  <si>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</si>
  <si>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</si>
  <si>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</si>
  <si>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</si>
  <si>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</si>
  <si>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</si>
  <si>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</si>
  <si>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</si>
  <si>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</si>
  <si>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</si>
  <si>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</si>
  <si>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</si>
  <si>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</si>
  <si>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</si>
  <si>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</si>
  <si>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</si>
  <si>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</si>
  <si>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</si>
  <si>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</si>
  <si>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</si>
  <si>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</si>
  <si>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</si>
  <si>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</si>
  <si>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</si>
  <si>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</si>
  <si>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</si>
  <si>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</si>
  <si>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</si>
  <si>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</si>
  <si>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</si>
  <si>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</si>
  <si>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</si>
  <si>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</si>
  <si>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</si>
  <si>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</si>
  <si>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</si>
  <si>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</si>
  <si>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</si>
  <si>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</si>
  <si>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</si>
  <si>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</si>
  <si>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</si>
  <si>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</si>
  <si>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</si>
  <si>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</si>
  <si>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</si>
  <si>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</si>
  <si>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</si>
  <si>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</si>
  <si>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</si>
  <si>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</si>
  <si>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</si>
  <si>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</si>
  <si>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</si>
  <si>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</si>
  <si>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</si>
  <si>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</si>
  <si>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</si>
  <si>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</si>
  <si>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</si>
  <si>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</si>
  <si>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</si>
  <si>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</si>
  <si>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</si>
  <si>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</si>
  <si>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</si>
  <si>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</si>
  <si>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</si>
  <si>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</si>
  <si>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</si>
  <si>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</si>
  <si>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</si>
  <si>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</si>
  <si>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</si>
  <si>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</si>
  <si>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</si>
  <si>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</si>
  <si>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</si>
  <si>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</si>
  <si>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</si>
  <si>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</si>
  <si>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</si>
  <si>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</si>
  <si>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</si>
  <si>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</si>
  <si>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</si>
  <si>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</si>
  <si>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</si>
  <si>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</si>
  <si>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</si>
  <si>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</si>
  <si>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</si>
  <si>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</si>
  <si>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</si>
  <si>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</si>
  <si>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</si>
  <si>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</si>
  <si>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</si>
  <si>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</si>
  <si>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</si>
  <si>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</si>
  <si>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</si>
  <si>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</si>
  <si>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</si>
  <si>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</si>
  <si>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</si>
  <si>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</si>
  <si>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</si>
  <si>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</si>
  <si>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</si>
  <si>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</si>
  <si>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</si>
  <si>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</si>
  <si>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</si>
  <si>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</si>
  <si>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</si>
  <si>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</si>
  <si>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</si>
  <si>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</si>
  <si>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</si>
  <si>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</si>
  <si>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</si>
  <si>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</si>
  <si>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</si>
  <si>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</si>
  <si>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</si>
  <si>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</si>
  <si>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</si>
  <si>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</si>
  <si>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</si>
  <si>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</si>
  <si>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</si>
  <si>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</si>
  <si>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</si>
  <si>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</si>
  <si>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</si>
  <si>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</si>
  <si>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</si>
  <si>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</si>
  <si>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</si>
  <si>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</si>
  <si>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</si>
  <si>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</si>
  <si>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</si>
  <si>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</si>
  <si>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</si>
  <si>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</si>
  <si>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</si>
  <si>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</si>
  <si>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</si>
  <si>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</si>
  <si>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</si>
  <si>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</si>
  <si>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</si>
  <si>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</si>
  <si>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</si>
  <si>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</si>
  <si>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</si>
  <si>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</si>
  <si>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</si>
  <si>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</si>
  <si>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</si>
  <si>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</si>
  <si>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</si>
  <si>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</si>
  <si>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</si>
  <si>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</si>
  <si>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</si>
  <si>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</si>
  <si>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</si>
  <si>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</si>
  <si>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</si>
  <si>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</si>
  <si>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</si>
  <si>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</si>
  <si>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</si>
  <si>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</si>
  <si>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</si>
  <si>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</si>
  <si>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</si>
  <si>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</si>
  <si>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</si>
  <si>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</si>
  <si>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</si>
  <si>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</si>
  <si>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</si>
  <si>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</si>
  <si>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</si>
  <si>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</si>
  <si>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</si>
  <si>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</si>
  <si>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</si>
  <si>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</si>
  <si>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</si>
  <si>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</si>
  <si>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</si>
  <si>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</si>
  <si>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</si>
  <si>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</si>
  <si>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</si>
  <si>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</si>
  <si>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</si>
  <si>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</si>
  <si>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</si>
  <si>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</si>
  <si>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</si>
  <si>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</si>
  <si>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</si>
  <si>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</si>
  <si>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</si>
  <si>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</si>
  <si>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</si>
  <si>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</si>
  <si>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</si>
  <si>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</si>
  <si>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</si>
  <si>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</si>
  <si>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</si>
  <si>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</si>
  <si>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</si>
  <si>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</si>
  <si>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</si>
  <si>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</si>
  <si>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</si>
  <si>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</si>
  <si>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</si>
  <si>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</si>
  <si>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</si>
  <si>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</si>
  <si>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</si>
  <si>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</si>
  <si>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</si>
  <si>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</si>
  <si>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</si>
  <si>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</si>
  <si>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</si>
  <si>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</si>
  <si>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</si>
  <si>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</si>
  <si>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</si>
  <si>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</si>
  <si>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</si>
  <si>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</si>
  <si>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</si>
  <si>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</si>
  <si>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</si>
  <si>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</si>
  <si>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</si>
  <si>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</si>
  <si>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</si>
  <si>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</si>
  <si>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</si>
  <si>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</si>
  <si>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</si>
  <si>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</si>
  <si>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</si>
  <si>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</si>
  <si>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</si>
  <si>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</si>
  <si>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</si>
  <si>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</si>
  <si>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</si>
  <si>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</si>
  <si>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</si>
  <si>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</si>
  <si>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</si>
  <si>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</si>
  <si>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</si>
  <si>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</si>
  <si>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</si>
  <si>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</si>
  <si>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</si>
  <si>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</si>
  <si>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</si>
  <si>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</si>
  <si>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</si>
  <si>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</si>
  <si>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</si>
  <si>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</si>
  <si>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</si>
  <si>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</si>
  <si>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</si>
  <si>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</si>
  <si>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</si>
  <si>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</si>
  <si>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</si>
  <si>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</si>
  <si>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</si>
  <si>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</si>
  <si>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</si>
  <si>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</si>
  <si>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</si>
  <si>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</si>
  <si>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</si>
  <si>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</si>
  <si>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</si>
  <si>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</si>
  <si>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</si>
  <si>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</si>
  <si>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</si>
  <si>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</si>
  <si>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</si>
  <si>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</si>
  <si>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</si>
  <si>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</si>
  <si>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</si>
  <si>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</si>
  <si>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</si>
  <si>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</si>
  <si>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</si>
  <si>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</si>
  <si>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</si>
  <si>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</si>
  <si>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</si>
  <si>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</si>
  <si>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</si>
  <si>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</si>
  <si>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</si>
  <si>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</si>
  <si>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</si>
  <si>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</si>
  <si>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</si>
  <si>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</si>
  <si>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</si>
  <si>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</si>
  <si>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</si>
  <si>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</si>
  <si>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</si>
  <si>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</si>
  <si>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</si>
  <si>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</si>
  <si>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</si>
  <si>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</si>
  <si>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</si>
  <si>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</si>
  <si>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</si>
  <si>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</si>
  <si>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</si>
  <si>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</si>
  <si>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</si>
  <si>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</si>
  <si>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</si>
  <si>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</si>
  <si>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</si>
  <si>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</si>
  <si>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</si>
  <si>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</si>
  <si>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</si>
  <si>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</si>
  <si>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</si>
  <si>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</si>
  <si>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</si>
  <si>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</si>
  <si>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</si>
  <si>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</si>
  <si>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</si>
  <si>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</si>
  <si>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</si>
  <si>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</si>
  <si>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</si>
  <si>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</si>
  <si>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</si>
  <si>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</si>
  <si>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</si>
  <si>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</si>
  <si>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</si>
  <si>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</si>
  <si>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</si>
  <si>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</si>
  <si>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</si>
  <si>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</si>
  <si>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</si>
  <si>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</si>
  <si>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</si>
  <si>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</si>
  <si>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</si>
  <si>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</si>
  <si>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</si>
  <si>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</si>
  <si>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</si>
  <si>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</si>
  <si>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</si>
  <si>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</si>
  <si>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</si>
  <si>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</si>
  <si>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</si>
  <si>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</si>
  <si>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</si>
  <si>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</si>
  <si>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</si>
  <si>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</si>
  <si>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</si>
  <si>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</si>
  <si>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</si>
  <si>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</si>
  <si>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</si>
  <si>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</si>
  <si>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</si>
  <si>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</si>
  <si>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</si>
  <si>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</si>
  <si>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</si>
  <si>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</si>
  <si>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</si>
  <si>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</si>
  <si>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</si>
  <si>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</si>
  <si>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</si>
  <si>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</si>
  <si>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</si>
  <si>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</si>
  <si>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</si>
  <si>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</si>
  <si>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</si>
  <si>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</si>
  <si>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</si>
  <si>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</si>
  <si>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</si>
  <si>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</si>
  <si>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</si>
  <si>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</si>
  <si>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</si>
  <si>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</si>
  <si>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</si>
  <si>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</si>
  <si>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</si>
  <si>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</si>
  <si>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</si>
  <si>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</si>
  <si>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</si>
  <si>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</si>
  <si>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</si>
  <si>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</si>
  <si>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</si>
  <si>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</si>
  <si>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</si>
  <si>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</si>
  <si>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</si>
  <si>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</si>
  <si>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</si>
  <si>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</si>
  <si>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</si>
  <si>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</si>
  <si>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</si>
  <si>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</si>
  <si>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</si>
  <si>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</si>
  <si>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</si>
  <si>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</si>
  <si>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</si>
  <si>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</si>
  <si>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</si>
  <si>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</si>
  <si>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</si>
  <si>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</si>
  <si>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</si>
  <si>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</si>
  <si>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</si>
  <si>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</si>
  <si>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</si>
  <si>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</si>
  <si>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</si>
  <si>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</si>
  <si>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</si>
  <si>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</si>
  <si>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</si>
  <si>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</si>
  <si>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</si>
  <si>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</si>
  <si>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</si>
  <si>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</si>
  <si>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</si>
  <si>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</si>
  <si>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</si>
  <si>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</si>
  <si>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</si>
  <si>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</si>
  <si>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</si>
  <si>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</si>
  <si>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</si>
  <si>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</si>
  <si>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</si>
  <si>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</si>
  <si>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</si>
  <si>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</si>
  <si>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</si>
  <si>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</si>
  <si>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</si>
  <si>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</si>
  <si>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</si>
  <si>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</si>
  <si>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</si>
  <si>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</si>
  <si>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</si>
  <si>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</si>
  <si>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</si>
  <si>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</si>
  <si>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</si>
  <si>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</si>
  <si>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</si>
  <si>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</si>
  <si>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</si>
  <si>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</si>
  <si>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</si>
  <si>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</si>
  <si>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</si>
  <si>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</si>
  <si>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</si>
  <si>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</si>
  <si>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</si>
  <si>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</si>
  <si>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</si>
  <si>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</si>
  <si>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</si>
  <si>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</si>
  <si>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</si>
  <si>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</si>
  <si>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</si>
  <si>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</si>
  <si>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</si>
  <si>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</si>
  <si>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</si>
  <si>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</si>
  <si>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</si>
  <si>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</si>
  <si>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</si>
  <si>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</si>
  <si>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</si>
  <si>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</si>
  <si>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</si>
  <si>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</si>
  <si>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</si>
  <si>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</si>
  <si>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</si>
  <si>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</si>
  <si>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</si>
  <si>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</si>
  <si>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</si>
  <si>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</si>
  <si>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</si>
  <si>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</si>
  <si>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</si>
  <si>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</si>
  <si>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</si>
  <si>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</si>
  <si>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</si>
  <si>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</si>
  <si>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</si>
  <si>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</si>
  <si>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</si>
  <si>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</si>
  <si>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</si>
  <si>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</si>
  <si>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</si>
  <si>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</si>
  <si>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</si>
  <si>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</si>
  <si>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</si>
  <si>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</si>
  <si>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</si>
  <si>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</si>
  <si>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</si>
  <si>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</si>
  <si>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</si>
  <si>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</si>
  <si>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</si>
  <si>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</si>
  <si>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</si>
  <si>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</si>
  <si>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</si>
  <si>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</si>
  <si>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</si>
  <si>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</si>
  <si>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</si>
  <si>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</si>
  <si>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</si>
  <si>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</si>
  <si>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</si>
  <si>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</si>
  <si>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</si>
  <si>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</si>
  <si>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</si>
  <si>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</si>
  <si>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</si>
  <si>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</si>
  <si>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</si>
  <si>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</si>
  <si>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</si>
  <si>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</si>
  <si>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</si>
  <si>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</si>
  <si>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</si>
  <si>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</si>
  <si>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</si>
  <si>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</si>
  <si>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</si>
  <si>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</si>
  <si>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</si>
  <si>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</si>
  <si>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</si>
  <si>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</si>
  <si>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</si>
  <si>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</si>
  <si>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</si>
  <si>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</si>
  <si>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</si>
  <si>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</si>
  <si>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</si>
  <si>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</si>
  <si>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</si>
  <si>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</si>
  <si>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</si>
  <si>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</si>
  <si>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</si>
  <si>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</si>
  <si>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</si>
  <si>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</si>
  <si>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</si>
  <si>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</si>
  <si>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</si>
  <si>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</si>
  <si>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</si>
  <si>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</si>
  <si>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</si>
  <si>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</si>
  <si>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</si>
  <si>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</si>
  <si>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</si>
  <si>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</si>
  <si>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</si>
  <si>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</si>
  <si>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</si>
  <si>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</si>
  <si>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</si>
  <si>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</si>
  <si>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</si>
  <si>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</si>
  <si>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</si>
  <si>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</si>
  <si>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</si>
  <si>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</si>
  <si>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</si>
  <si>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</si>
  <si>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</si>
  <si>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</si>
  <si>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</si>
  <si>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</si>
  <si>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</si>
  <si>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</si>
  <si>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</si>
  <si>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</si>
  <si>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</si>
  <si>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</si>
  <si>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</si>
  <si>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</si>
  <si>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</si>
  <si>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</si>
  <si>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</si>
  <si>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</si>
  <si>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</si>
  <si>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</si>
  <si>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</si>
  <si>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</si>
  <si>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</si>
  <si>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</si>
  <si>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</si>
  <si>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</si>
  <si>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</si>
  <si>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</si>
  <si>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</si>
  <si>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</si>
  <si>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</si>
  <si>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</si>
  <si>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</si>
  <si>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</si>
  <si>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</si>
  <si>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</si>
  <si>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</si>
  <si>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</si>
  <si>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</si>
  <si>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</si>
  <si>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</si>
  <si>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</si>
  <si>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</si>
  <si>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</si>
  <si>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</si>
  <si>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</si>
  <si>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</si>
  <si>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</si>
  <si>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</si>
  <si>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</si>
  <si>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</si>
  <si>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</si>
  <si>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</si>
  <si>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</si>
  <si>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</si>
  <si>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</si>
  <si>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</si>
  <si>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</si>
  <si>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</si>
  <si>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</si>
  <si>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</si>
  <si>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</si>
  <si>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</si>
  <si>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</si>
  <si>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</si>
  <si>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</si>
  <si>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</si>
  <si>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</si>
  <si>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</si>
  <si>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</si>
  <si>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</si>
  <si>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</si>
  <si>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</si>
  <si>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</si>
  <si>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</si>
  <si>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</si>
  <si>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</si>
  <si>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</si>
  <si>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</si>
  <si>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</si>
  <si>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</si>
  <si>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</si>
  <si>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</si>
  <si>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</si>
  <si>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</si>
  <si>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</si>
  <si>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</si>
  <si>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</si>
  <si>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</si>
  <si>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</si>
  <si>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</si>
  <si>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</si>
  <si>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</si>
  <si>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</si>
  <si>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</si>
  <si>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</si>
  <si>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</si>
  <si>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</si>
  <si>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</si>
  <si>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</si>
  <si>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</si>
  <si>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</si>
  <si>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</si>
  <si>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</si>
  <si>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</si>
  <si>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</si>
  <si>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</si>
  <si>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</si>
  <si>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</si>
  <si>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</si>
  <si>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</si>
  <si>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</si>
  <si>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</si>
  <si>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</si>
  <si>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</si>
  <si>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</si>
  <si>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</si>
  <si>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</si>
  <si>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</si>
  <si>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</si>
  <si>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</si>
  <si>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</si>
  <si>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</si>
  <si>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</si>
  <si>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</si>
  <si>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</si>
  <si>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</si>
  <si>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</si>
  <si>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</si>
  <si>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</si>
  <si>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</si>
  <si>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</si>
  <si>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</si>
  <si>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</si>
  <si>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</si>
  <si>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</si>
  <si>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</si>
  <si>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</si>
  <si>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</si>
  <si>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</si>
  <si>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</si>
  <si>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</si>
  <si>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</si>
  <si>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</si>
  <si>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</si>
  <si>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</si>
  <si>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</si>
  <si>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</si>
  <si>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</si>
  <si>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</si>
  <si>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</si>
  <si>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</si>
  <si>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</si>
  <si>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</si>
  <si>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</si>
  <si>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</si>
  <si>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</si>
  <si>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</si>
  <si>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</si>
  <si>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</si>
  <si>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</si>
  <si>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</si>
  <si>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</si>
  <si>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</si>
  <si>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</si>
  <si>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</si>
  <si>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</si>
  <si>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</si>
  <si>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</si>
  <si>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</si>
  <si>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</si>
  <si>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</si>
  <si>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</si>
  <si>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</si>
  <si>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</si>
  <si>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</si>
  <si>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</si>
  <si>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</si>
  <si>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</si>
  <si>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</si>
  <si>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</si>
  <si>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</si>
  <si>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</si>
  <si>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</si>
  <si>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</si>
  <si>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</si>
  <si>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</si>
  <si>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</si>
  <si>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</si>
  <si>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</si>
  <si>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</si>
  <si>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</si>
  <si>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</si>
  <si>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</si>
  <si>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</si>
  <si>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</si>
  <si>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</si>
  <si>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</si>
  <si>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</si>
  <si>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</si>
  <si>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</si>
  <si>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</si>
  <si>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</si>
  <si>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</si>
  <si>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</si>
  <si>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</si>
  <si>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</si>
  <si>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</si>
  <si>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</si>
  <si>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</si>
  <si>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</si>
  <si>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</si>
  <si>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</si>
  <si>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</si>
  <si>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</si>
  <si>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</si>
  <si>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</si>
  <si>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</si>
  <si>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</si>
  <si>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</si>
  <si>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</si>
  <si>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</si>
  <si>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</si>
  <si>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</si>
  <si>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</si>
  <si>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</si>
  <si>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</si>
  <si>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</si>
  <si>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</si>
  <si>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</si>
  <si>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</si>
  <si>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</si>
  <si>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</si>
  <si>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</si>
  <si>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</si>
  <si>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</si>
  <si>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</si>
  <si>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</si>
  <si>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</si>
  <si>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</si>
  <si>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</si>
  <si>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</si>
  <si>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</si>
  <si>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</si>
  <si>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</si>
  <si>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</si>
  <si>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</si>
  <si>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</si>
  <si>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</si>
  <si>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</si>
  <si>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</si>
  <si>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</si>
  <si>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</si>
  <si>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</si>
  <si>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</si>
  <si>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</si>
  <si>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</si>
  <si>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</si>
  <si>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</si>
  <si>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</si>
  <si>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</si>
  <si>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</si>
  <si>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</si>
  <si>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</si>
  <si>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</si>
  <si>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</si>
  <si>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</si>
  <si>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</si>
  <si>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</si>
  <si>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</si>
  <si>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</si>
  <si>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</si>
  <si>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</si>
  <si>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</si>
  <si>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</si>
  <si>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</si>
  <si>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</si>
  <si>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</si>
  <si>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</si>
  <si>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</si>
  <si>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</si>
  <si>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</si>
  <si>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</si>
  <si>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</si>
  <si>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</si>
  <si>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</si>
  <si>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</si>
  <si>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</si>
  <si>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</si>
  <si>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</si>
  <si>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</si>
  <si>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</si>
  <si>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</si>
  <si>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</si>
  <si>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</si>
  <si>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</si>
  <si>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</si>
  <si>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</si>
  <si>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</si>
  <si>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</si>
  <si>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</si>
  <si>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</si>
  <si>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</si>
  <si>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</si>
  <si>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</si>
  <si>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</si>
  <si>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</si>
  <si>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</si>
  <si>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</si>
  <si>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</si>
  <si>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</si>
  <si>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</si>
  <si>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</si>
  <si>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</si>
  <si>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</si>
  <si>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</si>
  <si>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</si>
  <si>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</si>
  <si>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</si>
  <si>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</si>
  <si>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</si>
  <si>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</si>
  <si>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</si>
  <si>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</si>
  <si>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</si>
  <si>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</si>
  <si>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</si>
  <si>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</si>
  <si>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</si>
  <si>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</si>
  <si>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</si>
  <si>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</si>
  <si>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</si>
  <si>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</si>
  <si>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</si>
  <si>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</si>
  <si>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</si>
  <si>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</si>
  <si>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</si>
  <si>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</si>
  <si>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</si>
  <si>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</si>
  <si>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</si>
  <si>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</si>
  <si>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</si>
  <si>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</si>
  <si>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</si>
  <si>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</si>
  <si>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</si>
  <si>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</si>
  <si>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</si>
  <si>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</si>
  <si>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</si>
  <si>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</si>
  <si>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</si>
  <si>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</si>
  <si>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</si>
  <si>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</si>
  <si>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</si>
  <si>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</si>
  <si>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</si>
  <si>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</si>
  <si>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</si>
  <si>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</si>
  <si>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</si>
  <si>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</si>
  <si>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</si>
  <si>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</si>
  <si>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</si>
  <si>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</si>
  <si>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</si>
  <si>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</si>
  <si>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</si>
  <si>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</si>
  <si>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</si>
  <si>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</si>
  <si>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</si>
  <si>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</si>
  <si>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</si>
  <si>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</si>
  <si>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</si>
  <si>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</si>
  <si>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</si>
  <si>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</si>
  <si>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</si>
  <si>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</si>
  <si>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</si>
  <si>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</si>
  <si>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</si>
  <si>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</si>
  <si>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</si>
  <si>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</si>
  <si>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</si>
  <si>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</si>
  <si>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</si>
  <si>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</si>
  <si>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</si>
  <si>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</si>
  <si>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</si>
  <si>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</si>
  <si>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</si>
  <si>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</si>
  <si>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</si>
  <si>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</si>
  <si>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</si>
  <si>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</si>
  <si>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</si>
  <si>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</si>
  <si>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</si>
  <si>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</si>
  <si>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</si>
  <si>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</si>
  <si>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</si>
  <si>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</si>
  <si>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</si>
  <si>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</si>
  <si>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</si>
  <si>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</si>
  <si>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</si>
  <si>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</si>
  <si>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</si>
  <si>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</si>
  <si>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</si>
  <si>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</si>
  <si>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</si>
  <si>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</si>
  <si>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</si>
  <si>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</si>
  <si>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</si>
  <si>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</si>
  <si>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</si>
  <si>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</si>
  <si>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</si>
  <si>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</si>
  <si>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</si>
  <si>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</si>
  <si>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</si>
  <si>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</si>
  <si>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</si>
  <si>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</si>
  <si>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</si>
  <si>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</si>
  <si>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</si>
  <si>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</si>
  <si>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</si>
  <si>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</si>
  <si>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</si>
  <si>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</si>
  <si>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</si>
  <si>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</si>
  <si>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</si>
  <si>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</si>
  <si>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</si>
  <si>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</si>
  <si>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</si>
  <si>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</si>
  <si>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</si>
  <si>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</si>
  <si>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</si>
  <si>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</si>
  <si>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</si>
  <si>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</si>
  <si>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</si>
  <si>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</si>
  <si>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</si>
  <si>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</si>
  <si>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</si>
  <si>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</si>
  <si>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</si>
  <si>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</si>
  <si>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</si>
  <si>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</si>
  <si>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</si>
  <si>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</si>
  <si>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</si>
  <si>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</si>
  <si>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</si>
  <si>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</si>
  <si>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</si>
  <si>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</si>
  <si>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</si>
  <si>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</si>
  <si>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</si>
  <si>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</si>
  <si>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</si>
  <si>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</si>
  <si>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</si>
  <si>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</si>
  <si>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</si>
  <si>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</si>
  <si>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</si>
  <si>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</si>
  <si>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</si>
  <si>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</si>
  <si>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</si>
  <si>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</si>
  <si>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</si>
  <si>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</si>
  <si>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</si>
  <si>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</si>
  <si>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</si>
  <si>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</si>
  <si>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</si>
  <si>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</si>
  <si>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</si>
  <si>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</si>
  <si>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</si>
  <si>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</si>
  <si>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</si>
  <si>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</si>
  <si>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</si>
  <si>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</si>
  <si>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</si>
  <si>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</si>
  <si>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</si>
  <si>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</si>
  <si>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</si>
  <si>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</si>
  <si>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</si>
  <si>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</si>
  <si>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</si>
  <si>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</si>
  <si>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</si>
  <si>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</si>
  <si>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</si>
  <si>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</si>
  <si>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</si>
  <si>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</si>
  <si>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</si>
  <si>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</si>
  <si>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</si>
  <si>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</si>
  <si>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</si>
  <si>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</si>
  <si>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</si>
  <si>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</si>
  <si>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</si>
  <si>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</si>
  <si>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</si>
  <si>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</si>
  <si>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</si>
  <si>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</si>
  <si>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</si>
  <si>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</si>
  <si>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</si>
  <si>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</si>
  <si>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</si>
  <si>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</si>
  <si>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</si>
  <si>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</si>
  <si>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</si>
  <si>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</si>
  <si>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</si>
  <si>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</si>
  <si>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</si>
  <si>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</si>
  <si>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</si>
  <si>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</si>
  <si>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</si>
  <si>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</si>
  <si>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</si>
  <si>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</si>
  <si>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</si>
  <si>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</si>
  <si>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</si>
  <si>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</si>
  <si>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</si>
  <si>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</si>
  <si>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</si>
  <si>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</si>
  <si>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</si>
  <si>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</si>
  <si>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</si>
  <si>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</si>
  <si>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</si>
  <si>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</si>
  <si>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</si>
  <si>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</si>
  <si>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</si>
  <si>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</si>
  <si>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</si>
  <si>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</si>
  <si>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</si>
  <si>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</si>
  <si>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</si>
  <si>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</si>
  <si>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</si>
  <si>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</si>
  <si>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</si>
  <si>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</si>
  <si>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</si>
  <si>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</si>
  <si>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</si>
  <si>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</si>
  <si>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</si>
  <si>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</si>
  <si>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</si>
  <si>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</si>
  <si>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</si>
  <si>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</si>
  <si>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</si>
  <si>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</si>
  <si>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</si>
  <si>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</si>
  <si>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</si>
  <si>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</si>
  <si>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</si>
  <si>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</si>
  <si>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</si>
  <si>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</si>
  <si>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</si>
  <si>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</si>
  <si>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</si>
  <si>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</si>
  <si>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</si>
  <si>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</si>
  <si>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</si>
  <si>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</si>
  <si>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</si>
  <si>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</si>
  <si>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</si>
  <si>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</si>
  <si>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</si>
  <si>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</si>
  <si>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</si>
  <si>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</si>
  <si>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</si>
  <si>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</si>
  <si>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</si>
  <si>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</si>
  <si>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</si>
  <si>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</si>
  <si>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</si>
  <si>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</si>
  <si>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</si>
  <si>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</si>
  <si>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</si>
  <si>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</si>
  <si>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</si>
  <si>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</si>
  <si>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</si>
  <si>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</si>
  <si>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</si>
  <si>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</si>
  <si>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</si>
  <si>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</si>
  <si>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</si>
  <si>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</si>
  <si>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</si>
  <si>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</si>
  <si>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</si>
  <si>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</si>
  <si>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</si>
  <si>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</si>
  <si>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</si>
  <si>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</si>
  <si>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</si>
  <si>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</si>
  <si>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</si>
  <si>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</si>
  <si>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</si>
  <si>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</si>
  <si>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</si>
  <si>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</si>
  <si>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</si>
  <si>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</si>
  <si>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</si>
  <si>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</si>
  <si>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</si>
  <si>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</si>
  <si>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</si>
  <si>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</si>
  <si>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Percet funded</t>
  </si>
  <si>
    <t>Ave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</si>
  <si>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</si>
  <si>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</si>
  <si>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</si>
  <si>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</si>
  <si>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</si>
  <si>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</si>
  <si>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</si>
  <si>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</si>
  <si>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</si>
  <si>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</si>
  <si>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</si>
  <si>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</si>
  <si>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</si>
  <si>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</si>
  <si>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</si>
  <si>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</si>
  <si>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</si>
  <si>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</si>
  <si>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</si>
  <si>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</si>
  <si>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</si>
  <si>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</si>
  <si>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</si>
  <si>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</si>
  <si>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</si>
  <si>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</si>
  <si>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</si>
  <si>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</si>
  <si>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</si>
  <si>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</si>
  <si>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</si>
  <si>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</si>
  <si>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</si>
  <si>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</si>
  <si>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</si>
  <si>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</si>
  <si>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</si>
  <si>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</si>
  <si>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</si>
  <si>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</si>
  <si>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</si>
  <si>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Data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</si>
  <si>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</si>
  <si>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</si>
  <si>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</si>
  <si>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</si>
  <si>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</si>
  <si>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</si>
  <si>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</si>
  <si>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</si>
  <si>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</si>
  <si>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</si>
  <si>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</si>
  <si>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</si>
  <si>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</si>
  <si>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</si>
  <si>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</si>
  <si>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</si>
  <si>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</si>
  <si>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</si>
  <si>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</si>
  <si>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</si>
  <si>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</si>
  <si>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</si>
  <si>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</si>
  <si>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</si>
  <si>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</si>
  <si>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</si>
  <si>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</si>
  <si>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</si>
  <si>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</si>
  <si>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</si>
  <si>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</si>
  <si>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</si>
  <si>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</si>
  <si>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</si>
  <si>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</si>
  <si>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</si>
  <si>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</t>
  </si>
  <si>
    <t>Failed</t>
  </si>
  <si>
    <t>Mean</t>
  </si>
  <si>
    <t>Median</t>
  </si>
  <si>
    <t>Minimum</t>
  </si>
  <si>
    <t>Maximum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</si>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</sst>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7" fillId="3" borderId="0" xfId="7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A-412A-95D4-49C1FA6476B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A-412A-95D4-49C1FA6476B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A-412A-95D4-49C1FA6476B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A-412A-95D4-49C1FA647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678688"/>
        <c:axId val="117790512"/>
      </c:barChart>
      <c:catAx>
        <c:axId val="5586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0512"/>
        <c:crosses val="autoZero"/>
        <c:auto val="1"/>
        <c:lblAlgn val="ctr"/>
        <c:lblOffset val="100"/>
        <c:noMultiLvlLbl val="0"/>
      </c:catAx>
      <c:valAx>
        <c:axId val="1177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F-4D89-BB5F-D61D21FCCB7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F-4D89-BB5F-D61D21FCCB7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F-4D89-BB5F-D61D21FCCB7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F-4D89-BB5F-D61D21FC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353168"/>
        <c:axId val="1527108800"/>
      </c:barChart>
      <c:catAx>
        <c:axId val="6633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08800"/>
        <c:crosses val="autoZero"/>
        <c:auto val="1"/>
        <c:lblAlgn val="ctr"/>
        <c:lblOffset val="100"/>
        <c:noMultiLvlLbl val="0"/>
      </c:catAx>
      <c:valAx>
        <c:axId val="15271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2-4A36-9BAC-4D0D18FCDEFE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2-4A36-9BAC-4D0D18FCDEFE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2-4A36-9BAC-4D0D18FC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744592"/>
        <c:axId val="117803472"/>
      </c:lineChart>
      <c:catAx>
        <c:axId val="5997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3472"/>
        <c:crosses val="autoZero"/>
        <c:auto val="1"/>
        <c:lblAlgn val="ctr"/>
        <c:lblOffset val="100"/>
        <c:noMultiLvlLbl val="0"/>
      </c:catAx>
      <c:valAx>
        <c:axId val="1178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1-40E9-ACA2-7CAD72498C67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1-40E9-ACA2-7CAD72498C67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1-40E9-ACA2-7CAD72498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02448"/>
        <c:axId val="117800592"/>
      </c:lineChart>
      <c:catAx>
        <c:axId val="209840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0592"/>
        <c:crosses val="autoZero"/>
        <c:auto val="1"/>
        <c:lblAlgn val="ctr"/>
        <c:lblOffset val="100"/>
        <c:noMultiLvlLbl val="0"/>
      </c:catAx>
      <c:valAx>
        <c:axId val="117800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225424</xdr:colOff>
      <xdr:row>1</xdr:row>
      <xdr:rowOff>193674</xdr:rowOff>
    </xdr:from>
    <xdr:to>
      <xdr:col>16</xdr:col>
      <xdr:colOff>165099</xdr:colOff>
      <xdr:row>21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81EB4-9FF2-B836-770F-3332E53B5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2</xdr:row>
      <xdr:rowOff>174624</xdr:rowOff>
    </xdr:from>
    <xdr:to>
      <xdr:col>16</xdr:col>
      <xdr:colOff>546099</xdr:colOff>
      <xdr:row>30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36B75-2D71-F0B1-8E6D-E2E71A83C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2</xdr:row>
      <xdr:rowOff>193674</xdr:rowOff>
    </xdr:from>
    <xdr:to>
      <xdr:col>14</xdr:col>
      <xdr:colOff>488949</xdr:colOff>
      <xdr:row>23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B9DDE-A595-984E-D34A-1CBAC9C80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168274</xdr:rowOff>
    </xdr:from>
    <xdr:to>
      <xdr:col>7</xdr:col>
      <xdr:colOff>6350</xdr:colOff>
      <xdr:row>34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86860-5E33-167D-E4A6-EAD219D78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Hannigan" refreshedDate="45200.51274421296" createdVersion="8" refreshedVersion="8" minRefreshableVersion="3" recordCount="1000" xr:uid="{90D01069-203B-41F5-9F5E-633785784A7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yle Hannigan" refreshedDate="45201.627002083333" backgroundQuery="1" createdVersion="8" refreshedVersion="8" minRefreshableVersion="3" recordCount="0" supportSubquery="1" supportAdvancedDrill="1" xr:uid="{CBB995C3-089C-4DFE-8AF2-49E4202F79CE}">
  <cacheSource type="external" connectionId="1"/>
  <cacheFields count="6">
    <cacheField name="[Range].[country].[country]" caption="country" numFmtId="0" hierarchy="9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t funded]" caption="Percet funded" attribute="1" defaultMemberUniqueName="[Range].[Percet funded].[All]" allUniqueName="[Range].[Perce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 Donation]" caption="Ave Donation" attribute="1" defaultMemberUniqueName="[Range].[Ave Donation].[All]" allUniqueName="[Range].[Av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a ended conversion]" caption="Data ended conversion" attribute="1" time="1" defaultMemberUniqueName="[Range].[Data ended conversion].[All]" allUniqueName="[Range].[Data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5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83DD6-D969-4E2F-8EEA-0939554B10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E4C82-27F3-4CAA-B385-0F8A57F745F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152DC-761E-45A7-8EA3-4F60C8887A55}" name="PivotTable5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A5:E19" firstHeaderRow="1" firstDataRow="2" firstDataCol="1" rowPageCount="3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3">
    <pageField fld="0" hier="9" name="[Range].[country].[All]" cap="All"/>
    <pageField fld="5" hier="18" name="[Range].[Parent category].[All]" cap="All"/>
    <pageField fld="2" hier="20" name="[Range].[Date created conversion (Year)].[All]" cap="All"/>
  </pageFields>
  <dataFields count="1">
    <dataField name="Count of outcome" fld="4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F1" workbookViewId="0">
      <selection activeCell="G1007" sqref="G1007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3.1640625" customWidth="1"/>
    <col min="8" max="8" width="13" bestFit="1" customWidth="1"/>
    <col min="9" max="9" width="13" customWidth="1"/>
    <col min="12" max="13" width="11.1640625" bestFit="1" customWidth="1"/>
    <col min="14" max="14" width="22.08203125" customWidth="1"/>
    <col min="15" max="15" width="20.25" customWidth="1"/>
    <col min="18" max="18" width="28" bestFit="1" customWidth="1"/>
    <col min="19" max="19" width="14.58203125" customWidth="1"/>
    <col min="20" max="20" width="12.58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E3/D3*100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ref="I5:I68" si="3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5">(((L67/60)/60)/24)+DATE(1970,1,1)</f>
        <v>40570.25</v>
      </c>
      <c r="O67" s="12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7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5"/>
        <v>42102.208333333328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7">
        <f t="shared" ref="I69:I132" si="7"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5"/>
        <v>40203.25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5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5"/>
        <v>40531.25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5"/>
        <v>40484.208333333336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5"/>
        <v>43799.25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5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5"/>
        <v>42701.25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5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5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5"/>
        <v>42027.25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5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5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5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5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5"/>
        <v>43062.25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5"/>
        <v>43482.25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5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5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5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5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5"/>
        <v>40610.25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5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5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5"/>
        <v>42425.25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5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5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5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5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5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5"/>
        <v>40612.25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5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5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5"/>
        <v>41968.25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5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5"/>
        <v>42056.25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5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5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5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5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5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5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5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5"/>
        <v>41651.25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5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5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5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5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5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5"/>
        <v>43056.25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5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5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5"/>
        <v>41665.25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5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5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5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5"/>
        <v>41970.25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5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5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5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5"/>
        <v>40417.208333333336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9">(((L131/60)/60)/24)+DATE(1970,1,1)</f>
        <v>42038.25</v>
      </c>
      <c r="O131" s="12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7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9"/>
        <v>40842.208333333336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7">
        <f t="shared" ref="I133:I196" si="11"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9"/>
        <v>41607.25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9"/>
        <v>43112.25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9"/>
        <v>40767.208333333336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9"/>
        <v>40713.208333333336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9"/>
        <v>41340.25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9"/>
        <v>41797.208333333336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9"/>
        <v>40457.208333333336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9"/>
        <v>41180.208333333336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9"/>
        <v>42115.208333333328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9"/>
        <v>43156.25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9"/>
        <v>42167.208333333328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9"/>
        <v>41005.208333333336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9"/>
        <v>40357.208333333336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9"/>
        <v>43633.208333333328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9"/>
        <v>41889.208333333336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9"/>
        <v>40855.25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9"/>
        <v>42534.208333333328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9"/>
        <v>42941.208333333328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9"/>
        <v>41275.25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9"/>
        <v>43450.25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9"/>
        <v>41799.208333333336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9"/>
        <v>42783.25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9"/>
        <v>41201.208333333336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9"/>
        <v>42502.208333333328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9"/>
        <v>40262.208333333336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9"/>
        <v>43743.208333333328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9"/>
        <v>41638.25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9"/>
        <v>42346.25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9"/>
        <v>43551.208333333328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9"/>
        <v>43582.208333333328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9"/>
        <v>42270.208333333328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9"/>
        <v>43442.25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9"/>
        <v>43028.208333333328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9"/>
        <v>43016.208333333328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9"/>
        <v>42948.208333333328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9"/>
        <v>40534.25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9"/>
        <v>41435.208333333336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9"/>
        <v>43518.25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9"/>
        <v>41077.208333333336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9"/>
        <v>42950.208333333328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9"/>
        <v>41718.208333333336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9"/>
        <v>41839.208333333336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9"/>
        <v>41412.208333333336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9"/>
        <v>42282.208333333328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9"/>
        <v>42613.208333333328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9"/>
        <v>42616.208333333328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9"/>
        <v>40497.25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9"/>
        <v>42999.208333333328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9"/>
        <v>41350.208333333336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9"/>
        <v>40259.208333333336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9"/>
        <v>43012.208333333328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9"/>
        <v>43631.208333333328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9"/>
        <v>40430.208333333336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9"/>
        <v>43588.208333333328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9"/>
        <v>43233.208333333328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9"/>
        <v>41782.208333333336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9"/>
        <v>41328.25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9"/>
        <v>41975.25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9"/>
        <v>42433.25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9"/>
        <v>41429.208333333336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9"/>
        <v>43536.208333333328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9"/>
        <v>41817.208333333336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3">(((L195/60)/60)/24)+DATE(1970,1,1)</f>
        <v>43198.208333333328</v>
      </c>
      <c r="O195" s="12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7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3"/>
        <v>42261.208333333328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7">
        <f t="shared" ref="I197:I260" si="15"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3"/>
        <v>43310.208333333328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3"/>
        <v>42616.208333333328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3"/>
        <v>42909.208333333328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3"/>
        <v>40396.208333333336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3"/>
        <v>42192.208333333328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3"/>
        <v>40262.208333333336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3"/>
        <v>41845.208333333336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3"/>
        <v>40818.208333333336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3"/>
        <v>42752.25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3"/>
        <v>40636.208333333336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3"/>
        <v>43390.208333333328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3"/>
        <v>40236.25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3"/>
        <v>43340.208333333328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3"/>
        <v>43048.25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3"/>
        <v>42496.208333333328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3"/>
        <v>42797.25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3"/>
        <v>41513.208333333336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3"/>
        <v>43814.25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3"/>
        <v>40488.208333333336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3"/>
        <v>40409.208333333336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3"/>
        <v>43509.25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3"/>
        <v>40869.25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3"/>
        <v>43583.208333333328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3"/>
        <v>40858.25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3"/>
        <v>41137.208333333336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3"/>
        <v>40725.208333333336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3"/>
        <v>41081.208333333336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3"/>
        <v>41914.208333333336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3"/>
        <v>42445.208333333328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3"/>
        <v>41906.208333333336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3"/>
        <v>41762.208333333336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3"/>
        <v>40276.208333333336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3"/>
        <v>42139.208333333328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3"/>
        <v>42613.208333333328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3"/>
        <v>42887.208333333328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3"/>
        <v>43805.25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3"/>
        <v>41415.208333333336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3"/>
        <v>42576.208333333328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3"/>
        <v>40706.208333333336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3"/>
        <v>42969.208333333328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3"/>
        <v>42779.25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3"/>
        <v>43641.208333333328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3"/>
        <v>41754.208333333336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3"/>
        <v>43083.25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3"/>
        <v>42245.208333333328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3"/>
        <v>40396.208333333336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3"/>
        <v>41742.208333333336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3"/>
        <v>42865.208333333328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3"/>
        <v>43163.25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3"/>
        <v>41834.208333333336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3"/>
        <v>41736.208333333336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3"/>
        <v>41491.208333333336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3"/>
        <v>42726.25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3"/>
        <v>42004.25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3"/>
        <v>42006.25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3"/>
        <v>40203.25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3"/>
        <v>41252.25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3"/>
        <v>41572.208333333336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3"/>
        <v>40641.208333333336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3"/>
        <v>42787.25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3"/>
        <v>40590.25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3"/>
        <v>42393.25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7">(((L259/60)/60)/24)+DATE(1970,1,1)</f>
        <v>41338.25</v>
      </c>
      <c r="O259" s="12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7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7"/>
        <v>42712.25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7">
        <f t="shared" ref="I261:I324" si="19"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7"/>
        <v>41251.25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7"/>
        <v>41180.208333333336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7"/>
        <v>40415.208333333336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7"/>
        <v>40638.208333333336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7"/>
        <v>40187.25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7"/>
        <v>41317.25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7"/>
        <v>42372.25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7"/>
        <v>41950.25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7"/>
        <v>41206.208333333336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7"/>
        <v>41186.208333333336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7"/>
        <v>43496.25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7"/>
        <v>40514.25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7"/>
        <v>42345.25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7"/>
        <v>43656.208333333328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7"/>
        <v>42995.208333333328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7"/>
        <v>43045.25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7"/>
        <v>43561.208333333328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7"/>
        <v>41018.208333333336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7"/>
        <v>40378.208333333336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7"/>
        <v>41239.25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7"/>
        <v>43346.208333333328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7"/>
        <v>43060.25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7"/>
        <v>40979.25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7"/>
        <v>42701.25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7"/>
        <v>42520.208333333328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7"/>
        <v>41030.208333333336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7"/>
        <v>42623.208333333328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7"/>
        <v>42697.25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7"/>
        <v>42122.208333333328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7"/>
        <v>40982.208333333336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7"/>
        <v>42219.208333333328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7"/>
        <v>41404.208333333336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7"/>
        <v>40831.208333333336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7"/>
        <v>40984.208333333336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7"/>
        <v>40456.208333333336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7"/>
        <v>43399.208333333328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7"/>
        <v>41562.208333333336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7"/>
        <v>43493.25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7"/>
        <v>41653.25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7"/>
        <v>42426.25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7"/>
        <v>42432.25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7"/>
        <v>42977.208333333328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7"/>
        <v>42061.25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7"/>
        <v>43345.208333333328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7"/>
        <v>42376.25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7"/>
        <v>42589.208333333328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7"/>
        <v>42448.208333333328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7"/>
        <v>42930.208333333328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7"/>
        <v>41066.208333333336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7"/>
        <v>40651.208333333336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7"/>
        <v>40807.208333333336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7"/>
        <v>40277.208333333336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7"/>
        <v>40590.25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7"/>
        <v>41572.208333333336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7"/>
        <v>40966.25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7"/>
        <v>43536.208333333328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7"/>
        <v>41783.208333333336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7"/>
        <v>43788.25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7"/>
        <v>42869.208333333328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7"/>
        <v>41684.25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7"/>
        <v>40402.208333333336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7"/>
        <v>40673.208333333336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1">(((L323/60)/60)/24)+DATE(1970,1,1)</f>
        <v>40634.208333333336</v>
      </c>
      <c r="O323" s="12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7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1"/>
        <v>40507.25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7">
        <f t="shared" ref="I325:I388" si="23"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1"/>
        <v>41725.208333333336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1"/>
        <v>42176.208333333328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1"/>
        <v>43267.208333333328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1"/>
        <v>42364.25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1"/>
        <v>43705.208333333328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1"/>
        <v>43434.25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1"/>
        <v>42716.25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1"/>
        <v>43077.25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1"/>
        <v>40896.25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1"/>
        <v>41361.208333333336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1"/>
        <v>43424.25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1"/>
        <v>43110.25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1"/>
        <v>43784.25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1"/>
        <v>40527.25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1"/>
        <v>43780.25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1"/>
        <v>40821.208333333336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1"/>
        <v>42949.208333333328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1"/>
        <v>40889.25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1"/>
        <v>42244.208333333328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1"/>
        <v>41475.208333333336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1"/>
        <v>41597.25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1"/>
        <v>43122.25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1"/>
        <v>42194.208333333328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1"/>
        <v>42971.208333333328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1"/>
        <v>42046.25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1"/>
        <v>42782.25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1"/>
        <v>42930.208333333328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1"/>
        <v>42144.208333333328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1"/>
        <v>42240.208333333328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1"/>
        <v>42315.25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1"/>
        <v>43651.208333333328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1"/>
        <v>41520.208333333336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1"/>
        <v>42757.25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1"/>
        <v>40922.25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1"/>
        <v>42250.208333333328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1"/>
        <v>43322.208333333328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1"/>
        <v>40782.208333333336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1"/>
        <v>40544.25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1"/>
        <v>43015.208333333328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1"/>
        <v>40570.25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1"/>
        <v>40904.25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1"/>
        <v>43164.25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1"/>
        <v>42733.25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1"/>
        <v>40546.25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1"/>
        <v>41930.208333333336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1"/>
        <v>40464.208333333336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1"/>
        <v>41308.25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1"/>
        <v>43570.208333333328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1"/>
        <v>42043.25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1"/>
        <v>42012.25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1"/>
        <v>42964.208333333328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1"/>
        <v>43476.25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1"/>
        <v>42293.208333333328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1"/>
        <v>41826.208333333336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1"/>
        <v>43760.208333333328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1"/>
        <v>43241.208333333328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1"/>
        <v>40843.208333333336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1"/>
        <v>41448.208333333336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1"/>
        <v>42163.208333333328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1"/>
        <v>43024.208333333328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1"/>
        <v>43509.25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1"/>
        <v>42776.25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5">(((L387/60)/60)/24)+DATE(1970,1,1)</f>
        <v>43553.208333333328</v>
      </c>
      <c r="O387" s="12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7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5"/>
        <v>40355.208333333336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7">
        <f t="shared" ref="I389:I452" si="27"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5"/>
        <v>41072.208333333336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5"/>
        <v>40912.25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5"/>
        <v>40479.208333333336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5"/>
        <v>41530.208333333336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5"/>
        <v>41653.25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5"/>
        <v>40549.25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5"/>
        <v>42933.208333333328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5"/>
        <v>41484.208333333336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5"/>
        <v>40885.25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5"/>
        <v>43378.208333333328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5"/>
        <v>41417.208333333336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5"/>
        <v>43228.208333333328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5"/>
        <v>40576.25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5"/>
        <v>41502.208333333336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5"/>
        <v>43765.208333333328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5"/>
        <v>40914.25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5"/>
        <v>40310.208333333336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5"/>
        <v>43053.25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5"/>
        <v>43255.208333333328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5"/>
        <v>41304.25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5"/>
        <v>43751.208333333328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5"/>
        <v>42541.208333333328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5"/>
        <v>42843.208333333328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5"/>
        <v>42122.208333333328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5"/>
        <v>42884.208333333328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5"/>
        <v>41642.25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5"/>
        <v>43431.25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5"/>
        <v>40288.208333333336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5"/>
        <v>40921.25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5"/>
        <v>40560.25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5"/>
        <v>43407.208333333328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5"/>
        <v>41035.208333333336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5"/>
        <v>40899.25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5"/>
        <v>42911.208333333328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5"/>
        <v>42915.208333333328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5"/>
        <v>40285.208333333336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5"/>
        <v>40808.208333333336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5"/>
        <v>43208.208333333328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5"/>
        <v>42213.208333333328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5"/>
        <v>41332.25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5"/>
        <v>41895.208333333336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5"/>
        <v>40585.25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5"/>
        <v>41680.25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5"/>
        <v>43737.208333333328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5"/>
        <v>43273.208333333328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5"/>
        <v>41761.208333333336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5"/>
        <v>41603.25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5"/>
        <v>42705.25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5"/>
        <v>41988.25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5"/>
        <v>43575.208333333328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5"/>
        <v>42260.208333333328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5"/>
        <v>41337.25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5"/>
        <v>42680.208333333328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5"/>
        <v>42916.208333333328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5"/>
        <v>41025.208333333336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5"/>
        <v>42980.208333333328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5"/>
        <v>40451.208333333336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5"/>
        <v>40748.208333333336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5"/>
        <v>40515.25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5"/>
        <v>41261.25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5"/>
        <v>43088.25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5"/>
        <v>41378.208333333336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9">(((L451/60)/60)/24)+DATE(1970,1,1)</f>
        <v>43530.25</v>
      </c>
      <c r="O451" s="12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7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9"/>
        <v>43394.208333333328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7">
        <f t="shared" ref="I453:I516" si="31"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9"/>
        <v>42935.208333333328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9"/>
        <v>40365.208333333336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9"/>
        <v>42705.25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9"/>
        <v>41568.208333333336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9"/>
        <v>40809.208333333336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9"/>
        <v>43141.25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9"/>
        <v>42657.208333333328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9"/>
        <v>40265.208333333336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9"/>
        <v>42001.25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9"/>
        <v>40399.208333333336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9"/>
        <v>41757.208333333336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9"/>
        <v>41304.25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9"/>
        <v>41639.25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9"/>
        <v>43142.25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9"/>
        <v>43127.25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9"/>
        <v>41409.208333333336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9"/>
        <v>42331.25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9"/>
        <v>43569.208333333328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9"/>
        <v>42142.208333333328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9"/>
        <v>42716.25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9"/>
        <v>41031.208333333336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9"/>
        <v>43535.208333333328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9"/>
        <v>43277.208333333328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9"/>
        <v>41989.25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9"/>
        <v>41450.208333333336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9"/>
        <v>43322.208333333328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9"/>
        <v>40720.208333333336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9"/>
        <v>42072.208333333328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9"/>
        <v>42945.208333333328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9"/>
        <v>40248.25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9"/>
        <v>41913.208333333336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9"/>
        <v>40963.25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9"/>
        <v>43811.25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9"/>
        <v>41855.208333333336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9"/>
        <v>43626.208333333328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9"/>
        <v>43168.25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9"/>
        <v>42845.208333333328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9"/>
        <v>42403.25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9"/>
        <v>40406.208333333336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9"/>
        <v>43786.25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9"/>
        <v>41456.208333333336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9"/>
        <v>40336.208333333336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9"/>
        <v>43645.208333333328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9"/>
        <v>40990.208333333336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9"/>
        <v>41800.208333333336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9"/>
        <v>42876.208333333328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9"/>
        <v>42724.25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9"/>
        <v>42005.25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9"/>
        <v>42444.208333333328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9"/>
        <v>41395.208333333336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9"/>
        <v>41345.208333333336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9"/>
        <v>41117.208333333336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9"/>
        <v>42186.208333333328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9"/>
        <v>42142.208333333328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9"/>
        <v>41341.25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9"/>
        <v>43062.25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9"/>
        <v>41373.208333333336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9"/>
        <v>43310.208333333328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9"/>
        <v>41034.208333333336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9"/>
        <v>43251.208333333328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9"/>
        <v>43671.208333333328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9"/>
        <v>41825.208333333336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3">(((L515/60)/60)/24)+DATE(1970,1,1)</f>
        <v>40430.208333333336</v>
      </c>
      <c r="O515" s="12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7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3"/>
        <v>41614.25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7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3"/>
        <v>40900.25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3"/>
        <v>40396.208333333336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3"/>
        <v>42860.208333333328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3"/>
        <v>43154.25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3"/>
        <v>42012.25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3"/>
        <v>43574.208333333328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3"/>
        <v>42605.208333333328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3"/>
        <v>41093.208333333336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3"/>
        <v>40241.25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3"/>
        <v>40294.208333333336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3"/>
        <v>40505.25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3"/>
        <v>42364.25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3"/>
        <v>42405.25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3"/>
        <v>41601.25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3"/>
        <v>41769.208333333336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3"/>
        <v>40421.208333333336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3"/>
        <v>41589.25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3"/>
        <v>43125.25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3"/>
        <v>41479.208333333336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3"/>
        <v>43329.208333333328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3"/>
        <v>43259.208333333328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3"/>
        <v>40414.208333333336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3"/>
        <v>43342.208333333328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3"/>
        <v>41539.208333333336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3"/>
        <v>43647.208333333328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3"/>
        <v>43225.208333333328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3"/>
        <v>42165.208333333328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3"/>
        <v>42391.25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3"/>
        <v>41528.208333333336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3"/>
        <v>42377.25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3"/>
        <v>43824.25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3"/>
        <v>43360.208333333328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3"/>
        <v>42029.25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3"/>
        <v>42461.208333333328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3"/>
        <v>41422.208333333336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3"/>
        <v>40968.25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3"/>
        <v>41993.25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3"/>
        <v>42700.25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3"/>
        <v>40545.25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3"/>
        <v>42723.25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3"/>
        <v>41731.208333333336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3"/>
        <v>40792.208333333336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3"/>
        <v>42279.208333333328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3"/>
        <v>42424.25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3"/>
        <v>42584.208333333328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3"/>
        <v>40865.25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3"/>
        <v>40833.208333333336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3"/>
        <v>43536.208333333328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3"/>
        <v>43417.25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3"/>
        <v>42078.208333333328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3"/>
        <v>40862.25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3"/>
        <v>42424.25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3"/>
        <v>41830.208333333336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3"/>
        <v>40374.208333333336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3"/>
        <v>40554.25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3"/>
        <v>41993.25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3"/>
        <v>42174.208333333328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3"/>
        <v>42275.208333333328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3"/>
        <v>41761.208333333336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3"/>
        <v>43806.25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3"/>
        <v>41779.208333333336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3"/>
        <v>43040.208333333328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7">(((L579/60)/60)/24)+DATE(1970,1,1)</f>
        <v>40613.25</v>
      </c>
      <c r="O579" s="12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7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7"/>
        <v>40878.25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7">
        <f t="shared" ref="I581:I644" si="39"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7"/>
        <v>40762.208333333336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7"/>
        <v>41696.25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7"/>
        <v>40662.208333333336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7"/>
        <v>42165.208333333328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7"/>
        <v>40959.25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7"/>
        <v>41024.208333333336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7"/>
        <v>40255.208333333336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7"/>
        <v>40499.25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7"/>
        <v>43484.25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7"/>
        <v>40262.208333333336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7"/>
        <v>42190.208333333328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7"/>
        <v>41994.25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7"/>
        <v>40373.208333333336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7"/>
        <v>41789.208333333336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7"/>
        <v>41724.208333333336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7"/>
        <v>42548.208333333328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7"/>
        <v>40253.208333333336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7"/>
        <v>42434.25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7"/>
        <v>43786.25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7"/>
        <v>40344.208333333336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7"/>
        <v>42047.25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7"/>
        <v>41485.208333333336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7"/>
        <v>41789.208333333336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7"/>
        <v>42160.208333333328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7"/>
        <v>43573.208333333328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7"/>
        <v>40565.25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7"/>
        <v>42280.208333333328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7"/>
        <v>42436.25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7"/>
        <v>41721.208333333336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7"/>
        <v>43530.25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7"/>
        <v>43481.25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7"/>
        <v>41259.25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7"/>
        <v>41480.208333333336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7"/>
        <v>40474.208333333336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7"/>
        <v>42973.208333333328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7"/>
        <v>42746.25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7"/>
        <v>42489.208333333328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7"/>
        <v>41537.208333333336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7"/>
        <v>41794.208333333336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7"/>
        <v>41396.208333333336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7"/>
        <v>40669.208333333336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7"/>
        <v>42559.208333333328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7"/>
        <v>42626.208333333328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7"/>
        <v>43205.208333333328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7"/>
        <v>42201.208333333328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7"/>
        <v>42029.25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7"/>
        <v>43857.25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7"/>
        <v>40449.208333333336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7"/>
        <v>40345.208333333336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7"/>
        <v>40455.208333333336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7"/>
        <v>42557.208333333328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7"/>
        <v>43586.208333333328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7"/>
        <v>43550.208333333328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7"/>
        <v>41945.208333333336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7"/>
        <v>42315.25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7"/>
        <v>42819.208333333328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7"/>
        <v>41314.25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7"/>
        <v>40926.25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7"/>
        <v>42688.25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7"/>
        <v>40386.208333333336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7"/>
        <v>43309.208333333328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7"/>
        <v>42387.25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1">(((L643/60)/60)/24)+DATE(1970,1,1)</f>
        <v>42786.25</v>
      </c>
      <c r="O643" s="12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7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1"/>
        <v>43451.25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7">
        <f t="shared" ref="I645:I708" si="43"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1"/>
        <v>42795.25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1"/>
        <v>43452.25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1"/>
        <v>43369.208333333328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1"/>
        <v>41346.208333333336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1"/>
        <v>43199.208333333328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1"/>
        <v>42922.208333333328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1"/>
        <v>40471.208333333336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1"/>
        <v>41828.208333333336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1"/>
        <v>41692.25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1"/>
        <v>42587.208333333328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1"/>
        <v>42468.208333333328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1"/>
        <v>42240.208333333328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1"/>
        <v>42796.25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1"/>
        <v>43097.25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1"/>
        <v>43096.25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1"/>
        <v>42246.208333333328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1"/>
        <v>40570.25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1"/>
        <v>42237.208333333328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1"/>
        <v>40996.208333333336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1"/>
        <v>43443.25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1"/>
        <v>40458.208333333336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1"/>
        <v>40959.25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1"/>
        <v>40733.208333333336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1"/>
        <v>41516.208333333336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1"/>
        <v>41892.208333333336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1"/>
        <v>41122.208333333336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1"/>
        <v>42912.208333333328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1"/>
        <v>42425.25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1"/>
        <v>40390.208333333336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1"/>
        <v>43180.208333333328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1"/>
        <v>42475.208333333328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1"/>
        <v>40774.208333333336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1"/>
        <v>43719.208333333328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1"/>
        <v>41178.208333333336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1"/>
        <v>42561.208333333328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1"/>
        <v>43484.25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1"/>
        <v>43756.208333333328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1"/>
        <v>43813.25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1"/>
        <v>40898.25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1"/>
        <v>41619.25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1"/>
        <v>43359.208333333328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1"/>
        <v>40358.208333333336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1"/>
        <v>42239.208333333328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1"/>
        <v>43186.208333333328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1"/>
        <v>42806.25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1"/>
        <v>43475.25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1"/>
        <v>41576.208333333336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1"/>
        <v>40874.25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1"/>
        <v>41185.208333333336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1"/>
        <v>43655.208333333328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1"/>
        <v>43025.208333333328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1"/>
        <v>43066.25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1"/>
        <v>42322.25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1"/>
        <v>42114.208333333328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1"/>
        <v>43190.208333333328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1"/>
        <v>40871.25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1"/>
        <v>43641.208333333328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1"/>
        <v>40203.25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1"/>
        <v>40629.208333333336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1"/>
        <v>41477.208333333336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1"/>
        <v>41020.208333333336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1"/>
        <v>42555.208333333328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5">(((L707/60)/60)/24)+DATE(1970,1,1)</f>
        <v>41619.25</v>
      </c>
      <c r="O707" s="12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7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5"/>
        <v>43471.25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7">
        <f t="shared" ref="I709:I772" si="47"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5"/>
        <v>43442.25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5"/>
        <v>42877.208333333328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5"/>
        <v>41018.208333333336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5"/>
        <v>43295.208333333328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5"/>
        <v>42393.25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5"/>
        <v>42559.208333333328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5"/>
        <v>42604.208333333328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5"/>
        <v>41870.208333333336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5"/>
        <v>40397.208333333336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5"/>
        <v>41465.208333333336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5"/>
        <v>40777.208333333336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5"/>
        <v>41442.208333333336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5"/>
        <v>41058.208333333336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5"/>
        <v>43152.25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5"/>
        <v>43194.208333333328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5"/>
        <v>43045.25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5"/>
        <v>42431.25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5"/>
        <v>41934.208333333336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5"/>
        <v>41958.25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5"/>
        <v>40476.208333333336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5"/>
        <v>43485.25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5"/>
        <v>42515.208333333328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5"/>
        <v>41309.25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5"/>
        <v>42147.208333333328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5"/>
        <v>42939.208333333328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5"/>
        <v>42816.208333333328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5"/>
        <v>41844.208333333336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5"/>
        <v>42763.25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5"/>
        <v>42459.208333333328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5"/>
        <v>42055.25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5"/>
        <v>42685.25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5"/>
        <v>41959.25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5"/>
        <v>41089.208333333336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5"/>
        <v>42769.25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5"/>
        <v>40321.208333333336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5"/>
        <v>40197.25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5"/>
        <v>42298.208333333328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5"/>
        <v>43322.208333333328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5"/>
        <v>40328.208333333336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5"/>
        <v>40825.208333333336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5"/>
        <v>40423.208333333336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5"/>
        <v>40238.25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5"/>
        <v>41920.208333333336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5"/>
        <v>40360.208333333336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5"/>
        <v>42446.208333333328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5"/>
        <v>40395.208333333336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5"/>
        <v>40321.208333333336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5"/>
        <v>41210.208333333336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5"/>
        <v>43096.25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5"/>
        <v>42024.25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5"/>
        <v>40675.208333333336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5"/>
        <v>41936.208333333336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5"/>
        <v>43136.25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5"/>
        <v>43678.208333333328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5"/>
        <v>42938.208333333328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5"/>
        <v>41241.25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5"/>
        <v>41037.208333333336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5"/>
        <v>40676.208333333336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5"/>
        <v>42840.208333333328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5"/>
        <v>43362.208333333328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5"/>
        <v>42283.208333333328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5"/>
        <v>41619.25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49">(((L771/60)/60)/24)+DATE(1970,1,1)</f>
        <v>41501.208333333336</v>
      </c>
      <c r="O771" s="12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7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9"/>
        <v>41743.208333333336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7">
        <f t="shared" ref="I773:I836" si="51"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9"/>
        <v>43491.25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9"/>
        <v>43505.25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9"/>
        <v>42838.208333333328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9"/>
        <v>42513.208333333328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9"/>
        <v>41949.25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9"/>
        <v>43650.208333333328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9"/>
        <v>40809.208333333336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9"/>
        <v>40768.208333333336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9"/>
        <v>42230.208333333328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9"/>
        <v>42573.208333333328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9"/>
        <v>40482.208333333336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9"/>
        <v>40603.25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9"/>
        <v>41625.25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9"/>
        <v>42435.25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9"/>
        <v>43582.208333333328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9"/>
        <v>43186.208333333328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9"/>
        <v>40684.208333333336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9"/>
        <v>41202.208333333336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9"/>
        <v>41786.208333333336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9"/>
        <v>40223.25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9"/>
        <v>42715.25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9"/>
        <v>41451.208333333336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9"/>
        <v>41450.208333333336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9"/>
        <v>43091.25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9"/>
        <v>42675.208333333328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9"/>
        <v>41859.208333333336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9"/>
        <v>43464.25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9"/>
        <v>41060.208333333336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9"/>
        <v>42399.25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9"/>
        <v>42167.208333333328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9"/>
        <v>43830.25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9"/>
        <v>43650.208333333328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9"/>
        <v>43492.25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9"/>
        <v>43102.25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9"/>
        <v>41958.25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9"/>
        <v>40973.25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9"/>
        <v>43753.208333333328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9"/>
        <v>42507.208333333328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9"/>
        <v>41135.208333333336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9"/>
        <v>43067.25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9"/>
        <v>42378.25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9"/>
        <v>43206.208333333328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9"/>
        <v>41148.208333333336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9"/>
        <v>42517.208333333328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9"/>
        <v>43068.25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9"/>
        <v>41680.25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9"/>
        <v>43589.208333333328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9"/>
        <v>43486.25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9"/>
        <v>41237.25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9"/>
        <v>43310.208333333328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9"/>
        <v>42794.25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9"/>
        <v>41698.25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9"/>
        <v>41892.208333333336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9"/>
        <v>40348.208333333336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9"/>
        <v>42941.208333333328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9"/>
        <v>40525.25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9"/>
        <v>40666.208333333336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9"/>
        <v>43340.208333333328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9"/>
        <v>42164.208333333328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9"/>
        <v>43103.25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9"/>
        <v>40994.208333333336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49"/>
        <v>42299.208333333328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3">(((L835/60)/60)/24)+DATE(1970,1,1)</f>
        <v>40588.25</v>
      </c>
      <c r="O835" s="12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7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3"/>
        <v>41448.208333333336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7">
        <f t="shared" ref="I837:I900" si="55"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3"/>
        <v>42063.25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3"/>
        <v>40214.25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3"/>
        <v>40629.208333333336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3"/>
        <v>43370.208333333328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3"/>
        <v>41715.208333333336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3"/>
        <v>41836.208333333336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3"/>
        <v>42419.25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3"/>
        <v>43266.208333333328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3"/>
        <v>43338.208333333328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3"/>
        <v>40930.25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3"/>
        <v>43235.208333333328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3"/>
        <v>43302.208333333328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3"/>
        <v>43107.25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3"/>
        <v>40341.208333333336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3"/>
        <v>40948.25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3"/>
        <v>40866.25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3"/>
        <v>41031.208333333336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3"/>
        <v>40740.208333333336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3"/>
        <v>40714.208333333336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3"/>
        <v>43787.25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3"/>
        <v>40712.208333333336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3"/>
        <v>41023.208333333336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3"/>
        <v>40944.25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3"/>
        <v>43211.208333333328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3"/>
        <v>41334.25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3"/>
        <v>43515.25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3"/>
        <v>40258.208333333336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3"/>
        <v>40756.208333333336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3"/>
        <v>42172.208333333328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3"/>
        <v>42601.208333333328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3"/>
        <v>41897.208333333336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3"/>
        <v>40671.208333333336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3"/>
        <v>43382.208333333328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3"/>
        <v>41559.208333333336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3"/>
        <v>40350.208333333336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3"/>
        <v>42240.208333333328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3"/>
        <v>43040.208333333328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3"/>
        <v>43346.208333333328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3"/>
        <v>41647.25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3"/>
        <v>40291.208333333336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3"/>
        <v>40556.25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3"/>
        <v>43624.208333333328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3"/>
        <v>42577.208333333328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3"/>
        <v>43845.25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3"/>
        <v>42788.25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3"/>
        <v>43667.208333333328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3"/>
        <v>42194.208333333328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3"/>
        <v>42025.25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3"/>
        <v>40323.208333333336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3"/>
        <v>41763.208333333336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3"/>
        <v>40335.208333333336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3"/>
        <v>40416.208333333336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3"/>
        <v>42202.208333333328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3"/>
        <v>42836.208333333328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3"/>
        <v>41710.208333333336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3"/>
        <v>43640.208333333328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3"/>
        <v>40880.25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3"/>
        <v>40319.208333333336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3"/>
        <v>42170.208333333328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3"/>
        <v>41466.208333333336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3"/>
        <v>43134.25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3"/>
        <v>40738.208333333336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7">(((L899/60)/60)/24)+DATE(1970,1,1)</f>
        <v>43583.208333333328</v>
      </c>
      <c r="O899" s="12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7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7"/>
        <v>43815.25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7">
        <f t="shared" ref="I901:I964" si="59"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7"/>
        <v>41554.208333333336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7"/>
        <v>41901.208333333336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7"/>
        <v>43298.208333333328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7"/>
        <v>42399.25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7"/>
        <v>41034.208333333336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7"/>
        <v>41186.208333333336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7"/>
        <v>41536.208333333336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7"/>
        <v>42868.208333333328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7"/>
        <v>40660.208333333336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7"/>
        <v>41031.208333333336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7"/>
        <v>43255.208333333328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7"/>
        <v>42026.25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7"/>
        <v>43717.208333333328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7"/>
        <v>41157.208333333336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7"/>
        <v>43597.208333333328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7"/>
        <v>41490.208333333336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7"/>
        <v>42976.208333333328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7"/>
        <v>41991.25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7"/>
        <v>40722.208333333336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7"/>
        <v>41117.208333333336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7"/>
        <v>43022.208333333328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7"/>
        <v>43503.25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7"/>
        <v>40951.25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7"/>
        <v>43443.25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7"/>
        <v>40373.208333333336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7"/>
        <v>43769.208333333328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7"/>
        <v>43000.208333333328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7"/>
        <v>42502.208333333328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7"/>
        <v>41102.208333333336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7"/>
        <v>41637.25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7"/>
        <v>42858.208333333328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7"/>
        <v>42060.25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7"/>
        <v>41818.208333333336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7"/>
        <v>41709.208333333336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7"/>
        <v>41372.208333333336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7"/>
        <v>42422.25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7"/>
        <v>42209.208333333328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7"/>
        <v>43668.208333333328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7"/>
        <v>42334.25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7"/>
        <v>43263.208333333328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7"/>
        <v>40670.208333333336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7"/>
        <v>41244.25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7"/>
        <v>40552.25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7"/>
        <v>40568.25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7"/>
        <v>41906.208333333336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7"/>
        <v>42776.25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7"/>
        <v>41004.208333333336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7"/>
        <v>40710.208333333336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7"/>
        <v>41908.208333333336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7"/>
        <v>41985.25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7"/>
        <v>42112.208333333328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7"/>
        <v>43571.208333333328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7"/>
        <v>42730.25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7"/>
        <v>42591.208333333328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7"/>
        <v>42358.25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7"/>
        <v>41174.208333333336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7"/>
        <v>41238.25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7"/>
        <v>42360.25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7"/>
        <v>40955.25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7"/>
        <v>40350.208333333336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7"/>
        <v>40357.208333333336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7"/>
        <v>42408.25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1">(((L963/60)/60)/24)+DATE(1970,1,1)</f>
        <v>40591.25</v>
      </c>
      <c r="O963" s="12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7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1"/>
        <v>41592.25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7">
        <f t="shared" ref="I965:I1001" si="63"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1"/>
        <v>40607.25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1"/>
        <v>42135.208333333328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1"/>
        <v>40203.25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1"/>
        <v>42901.208333333328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1"/>
        <v>41005.208333333336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1"/>
        <v>40544.25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1"/>
        <v>43821.25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1"/>
        <v>40672.208333333336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1"/>
        <v>41555.208333333336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1"/>
        <v>41792.208333333336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1"/>
        <v>40522.25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1"/>
        <v>41412.208333333336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1"/>
        <v>42337.25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1"/>
        <v>40571.25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1"/>
        <v>43138.25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1"/>
        <v>42686.25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1"/>
        <v>42078.208333333328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1"/>
        <v>42307.208333333328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1"/>
        <v>43094.25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1"/>
        <v>40743.208333333336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1"/>
        <v>43681.208333333328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1"/>
        <v>43716.208333333328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1"/>
        <v>41614.25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1"/>
        <v>40638.208333333336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1"/>
        <v>42852.208333333328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1"/>
        <v>42686.25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1"/>
        <v>43571.208333333328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1"/>
        <v>42432.25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1"/>
        <v>41907.208333333336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1"/>
        <v>43227.208333333328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1"/>
        <v>42362.25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1"/>
        <v>41929.208333333336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1"/>
        <v>43408.208333333328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1"/>
        <v>41276.25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1"/>
        <v>41659.25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1"/>
        <v>40220.25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1"/>
        <v>42550.208333333328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2">
    <cfRule type="containsText" dxfId="7" priority="9" operator="containsText" text="failed">
      <formula>NOT(ISERROR(SEARCH("failed",G2)))</formula>
    </cfRule>
    <cfRule type="containsText" priority="10" operator="containsText" text="failed">
      <formula>NOT(ISERROR(SEARCH("failed",G2)))</formula>
    </cfRule>
    <cfRule type="containsText" priority="11" operator="containsText" text="faild">
      <formula>NOT(ISERROR(SEARCH("faild",G2)))</formula>
    </cfRule>
  </conditionalFormatting>
  <conditionalFormatting sqref="G1:G1048576">
    <cfRule type="containsText" dxfId="6" priority="5" operator="containsText" text="canceled">
      <formula>NOT(ISERROR(SEARCH("canceled",G1)))</formula>
    </cfRule>
    <cfRule type="containsText" dxfId="5" priority="6" operator="containsText" text="live">
      <formula>NOT(ISERROR(SEARCH("live",G1)))</formula>
    </cfRule>
    <cfRule type="containsText" dxfId="4" priority="7" operator="containsText" text="successful">
      <formula>NOT(ISERROR(SEARCH("successful",G1)))</formula>
    </cfRule>
    <cfRule type="containsText" dxfId="3" priority="8" operator="containsText" text="failed">
      <formula>NOT(ISERROR(SEARCH("failed",G1)))</formula>
    </cfRule>
  </conditionalFormatting>
  <conditionalFormatting sqref="F2:F1048576">
    <cfRule type="cellIs" dxfId="2" priority="1" operator="greaterThan">
      <formula>200</formula>
    </cfRule>
    <cfRule type="cellIs" dxfId="1" priority="2" operator="greaterThan">
      <formula>100</formula>
    </cfRule>
    <cfRule type="cellIs" priority="3" operator="greaterThanOrEqual">
      <formula>100</formula>
    </cfRule>
    <cfRule type="cellIs" dxfId="0" priority="4" operator="lessThan">
      <formula>100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53AF-09DA-459D-B09B-940F766F1641}">
  <dimension ref="A1:F14"/>
  <sheetViews>
    <sheetView workbookViewId="0">
      <selection activeCell="A5" sqref="A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2069</v>
      </c>
    </row>
    <row r="3" spans="1:6" x14ac:dyDescent="0.35">
      <c r="A3" s="8" t="s">
        <v>2068</v>
      </c>
      <c r="B3" s="8" t="s">
        <v>2070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31D-8A31-478F-B1D6-FA7E65875BFA}">
  <dimension ref="A1:F30"/>
  <sheetViews>
    <sheetView workbookViewId="0">
      <selection activeCell="D10" sqref="D10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2069</v>
      </c>
    </row>
    <row r="2" spans="1:6" x14ac:dyDescent="0.35">
      <c r="A2" s="8" t="s">
        <v>2031</v>
      </c>
      <c r="B2" t="s">
        <v>2069</v>
      </c>
    </row>
    <row r="4" spans="1:6" x14ac:dyDescent="0.35">
      <c r="A4" s="8" t="s">
        <v>2068</v>
      </c>
      <c r="B4" s="8" t="s">
        <v>2070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637D-84B1-41B2-B81F-AE9B49C80A3C}">
  <dimension ref="A1:E19"/>
  <sheetViews>
    <sheetView workbookViewId="0">
      <selection activeCell="D11" sqref="D11"/>
    </sheetView>
  </sheetViews>
  <sheetFormatPr defaultRowHeight="15.5" x14ac:dyDescent="0.35"/>
  <cols>
    <col min="1" max="1" width="26.3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8" t="s">
        <v>6</v>
      </c>
      <c r="B1" t="s" vm="1">
        <v>2073</v>
      </c>
    </row>
    <row r="2" spans="1:5" x14ac:dyDescent="0.35">
      <c r="A2" s="8" t="s">
        <v>2031</v>
      </c>
      <c r="B2" t="s" vm="3">
        <v>2073</v>
      </c>
    </row>
    <row r="3" spans="1:5" x14ac:dyDescent="0.35">
      <c r="A3" s="8" t="s">
        <v>2086</v>
      </c>
      <c r="B3" t="s" vm="2">
        <v>2073</v>
      </c>
    </row>
    <row r="5" spans="1:5" x14ac:dyDescent="0.35">
      <c r="A5" s="8" t="s">
        <v>2068</v>
      </c>
      <c r="B5" s="8" t="s">
        <v>2070</v>
      </c>
    </row>
    <row r="6" spans="1:5" x14ac:dyDescent="0.35">
      <c r="A6" s="8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5">
      <c r="A7" s="9" t="s">
        <v>2074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35">
      <c r="A8" s="9" t="s">
        <v>2075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35">
      <c r="A9" s="9" t="s">
        <v>2076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35">
      <c r="A10" s="9" t="s">
        <v>2077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35">
      <c r="A11" s="9" t="s">
        <v>2078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35">
      <c r="A12" s="9" t="s">
        <v>2079</v>
      </c>
      <c r="B12" s="10">
        <v>3</v>
      </c>
      <c r="C12" s="10">
        <v>28</v>
      </c>
      <c r="D12" s="10">
        <v>55</v>
      </c>
      <c r="E12" s="10">
        <v>86</v>
      </c>
    </row>
    <row r="13" spans="1:5" x14ac:dyDescent="0.35">
      <c r="A13" s="9" t="s">
        <v>2080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35">
      <c r="A14" s="9" t="s">
        <v>2081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35">
      <c r="A15" s="9" t="s">
        <v>2082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35">
      <c r="A16" s="9" t="s">
        <v>2083</v>
      </c>
      <c r="B16" s="10">
        <v>6</v>
      </c>
      <c r="C16" s="10">
        <v>26</v>
      </c>
      <c r="D16" s="10">
        <v>45</v>
      </c>
      <c r="E16" s="10">
        <v>77</v>
      </c>
    </row>
    <row r="17" spans="1:5" x14ac:dyDescent="0.35">
      <c r="A17" s="9" t="s">
        <v>2084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35">
      <c r="A18" s="9" t="s">
        <v>2085</v>
      </c>
      <c r="B18" s="10">
        <v>7</v>
      </c>
      <c r="C18" s="10">
        <v>32</v>
      </c>
      <c r="D18" s="10">
        <v>42</v>
      </c>
      <c r="E18" s="10">
        <v>81</v>
      </c>
    </row>
    <row r="19" spans="1:5" x14ac:dyDescent="0.35">
      <c r="A19" s="9" t="s">
        <v>2067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459C-CE4D-405A-A061-CB24ACEABF9D}">
  <dimension ref="A1:H13"/>
  <sheetViews>
    <sheetView workbookViewId="0">
      <selection activeCell="I26" sqref="I26"/>
    </sheetView>
  </sheetViews>
  <sheetFormatPr defaultRowHeight="15.5" x14ac:dyDescent="0.35"/>
  <cols>
    <col min="1" max="1" width="28.1640625" style="13" customWidth="1"/>
    <col min="2" max="2" width="16.4140625" style="13" customWidth="1"/>
    <col min="3" max="3" width="14" style="13" customWidth="1"/>
    <col min="4" max="4" width="16.75" style="13" customWidth="1"/>
    <col min="5" max="5" width="12.5" style="13" customWidth="1"/>
    <col min="6" max="6" width="19.1640625" style="13" customWidth="1"/>
    <col min="7" max="7" width="15.75" style="13" customWidth="1"/>
    <col min="8" max="8" width="18.25" style="13" customWidth="1"/>
  </cols>
  <sheetData>
    <row r="1" spans="1:8" x14ac:dyDescent="0.35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</row>
    <row r="2" spans="1:8" x14ac:dyDescent="0.35">
      <c r="A2" s="1" t="s">
        <v>2095</v>
      </c>
      <c r="B2" s="13">
        <f>COUNTIFS(Crowdfunding!$D$2:$D$1001,"&lt;1000",Crowdfunding!$G$2:$G$1001, "successful")</f>
        <v>30</v>
      </c>
      <c r="C2" s="13">
        <f>COUNTIFS(Crowdfunding!$D$2:$D$1001,"&lt;1000",Crowdfunding!$G$2:$G$1001, "failed")</f>
        <v>20</v>
      </c>
      <c r="D2" s="13">
        <f>COUNTIFS(Crowdfunding!$D$2:$D$1001, "&lt;1000", Crowdfunding!$G$2:$G$1001, "canceled")</f>
        <v>1</v>
      </c>
      <c r="E2" s="13">
        <f>B2+C2+D2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5">
      <c r="A3" s="1" t="s">
        <v>2096</v>
      </c>
      <c r="B3" s="13">
        <f>COUNTIFS(Crowdfunding!$D$2:$D$1001,"&gt;999",Crowdfunding!$D$2:$D$1001, "&lt;5000",Crowdfunding!$G$2:$G$1001, "successful")</f>
        <v>191</v>
      </c>
      <c r="C3" s="13">
        <f>COUNTIFS(Crowdfunding!$D$2:$D$1001,"&gt;=1000",Crowdfunding!$D$2:$D$1001, "&lt;=4999",Crowdfunding!$G$2:$G$1001, "failed")</f>
        <v>38</v>
      </c>
      <c r="D3" s="13">
        <f>COUNTIFS(Crowdfunding!$D$2:$D$1001,"&gt;=1000",Crowdfunding!$D$2:$D$1001, "&lt;=4999",Crowdfunding!$G$2:$G$1001, "canceled")</f>
        <v>2</v>
      </c>
      <c r="E3" s="13">
        <f t="shared" ref="E3:E13" si="0">B3+C3+D3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5">
      <c r="A4" s="1" t="s">
        <v>2097</v>
      </c>
      <c r="B4" s="13">
        <f>COUNTIFS(Crowdfunding!$D$2:$D$1001,"&gt;4999",Crowdfunding!$D$2:$D$1001, "&lt;10000",Crowdfunding!$G$2:$G$1001, "successful")</f>
        <v>164</v>
      </c>
      <c r="C4" s="13">
        <f>COUNTIFS(Crowdfunding!$D$2:$D$1001,"&gt;=5000",Crowdfunding!$D$2:$D$1001, "&lt;=9999",Crowdfunding!$G$2:$G$1001, "failed")</f>
        <v>126</v>
      </c>
      <c r="D4" s="13">
        <f>COUNTIFS(Crowdfunding!$D$2:$D$1001,"&gt;=5000",Crowdfunding!$D$2:$D$1001, "&lt;=9999",Crowdfunding!$G$2:$G$1001, "canceled")</f>
        <v>25</v>
      </c>
      <c r="E4" s="13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5">
      <c r="A5" s="1" t="s">
        <v>2098</v>
      </c>
      <c r="B5" s="13">
        <f>COUNTIFS(Crowdfunding!$D$2:$D$1001,"&gt;9999",Crowdfunding!$D$2:$D$1001, "&lt;15000",Crowdfunding!$G$2:$G$1001, "successful")</f>
        <v>4</v>
      </c>
      <c r="C5" s="13">
        <f>COUNTIFS(Crowdfunding!$D$2:$D$1001,"&gt;=10000",Crowdfunding!$D$2:$D$1001, "&lt;=14999",Crowdfunding!$G$2:$G$1001, "failed")</f>
        <v>5</v>
      </c>
      <c r="D5" s="13">
        <f>COUNTIFS(Crowdfunding!$D$2:$D$1001,"&gt;=10000",Crowdfunding!$D$2:$D$1001, "&lt;=14999",Crowdfunding!$G$2:$G$1001, "canceled")</f>
        <v>0</v>
      </c>
      <c r="E5" s="13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5">
      <c r="A6" s="1" t="s">
        <v>2099</v>
      </c>
      <c r="B6" s="13">
        <f>COUNTIFS(Crowdfunding!$D$2:$D$1001,"&gt;14999",Crowdfunding!$D$2:$D$1001, "&lt;20000",Crowdfunding!$G$2:$G$1001, "successful")</f>
        <v>10</v>
      </c>
      <c r="C6" s="13">
        <f>COUNTIFS(Crowdfunding!$D$2:$D$1001,"&gt;=15000",Crowdfunding!$D$2:$D$1001, "&lt;=19999",Crowdfunding!$G$2:$G$1001, "failed")</f>
        <v>0</v>
      </c>
      <c r="D6" s="13">
        <f>COUNTIFS(Crowdfunding!$D$2:$D$1001,"&gt;=15000",Crowdfunding!$D$2:$D$1001, "&lt;=19999",Crowdfunding!$G$2:$G$1001, "canceled")</f>
        <v>0</v>
      </c>
      <c r="E6" s="13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s="1" t="s">
        <v>2100</v>
      </c>
      <c r="B7" s="13">
        <f>COUNTIFS(Crowdfunding!$D$2:$D$1001,"&gt;19999",Crowdfunding!$D$2:$D$1001, "&lt;25000",Crowdfunding!$G$2:$G$1001, "successful")</f>
        <v>7</v>
      </c>
      <c r="C7" s="13">
        <f>COUNTIFS(Crowdfunding!$D$2:$D$1001,"&gt;=20000",Crowdfunding!$D$2:$D$1001, "&lt;=24999",Crowdfunding!$G$2:$G$1001, "failed")</f>
        <v>0</v>
      </c>
      <c r="D7" s="13">
        <f>COUNTIFS(Crowdfunding!$D$2:$D$1001,"&gt;=20000",Crowdfunding!$D$2:$D$1001, "&lt;=24999",Crowdfunding!$G$2:$G$1001, "canceled")</f>
        <v>0</v>
      </c>
      <c r="E7" s="13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s="1" t="s">
        <v>2101</v>
      </c>
      <c r="B8" s="13">
        <f>COUNTIFS(Crowdfunding!$D$2:$D$1001,"&gt;24999",Crowdfunding!$D$2:$D$1001, "&lt;30000",Crowdfunding!$G$2:$G$1001, "successful")</f>
        <v>11</v>
      </c>
      <c r="C8" s="13">
        <f>COUNTIFS(Crowdfunding!$D$2:$D$1001,"&gt;=25000",Crowdfunding!$D$2:$D$1001, "&lt;=29999",Crowdfunding!$G$2:$G$1001, "failed")</f>
        <v>3</v>
      </c>
      <c r="D8" s="13">
        <f>COUNTIFS(Crowdfunding!$D$2:$D$1001,"&gt;=25000",Crowdfunding!$D$2:$D$1001, "&lt;=29999",Crowdfunding!$G$2:$G$1001, "canceled")</f>
        <v>0</v>
      </c>
      <c r="E8" s="13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5">
      <c r="A9" s="1" t="s">
        <v>2102</v>
      </c>
      <c r="B9" s="13">
        <f>COUNTIFS(Crowdfunding!$D$2:$D$1001,"&gt;29999",Crowdfunding!$D$2:$D$1001, "&lt;35000",Crowdfunding!$G$2:$G$1001, "successful")</f>
        <v>7</v>
      </c>
      <c r="C9" s="13">
        <f>COUNTIFS(Crowdfunding!$D$2:$D$1001,"&gt;=30000",Crowdfunding!$D$2:$D$1001, "&lt;=34999",Crowdfunding!$G$2:$G$1001, "failed")</f>
        <v>0</v>
      </c>
      <c r="D9" s="13">
        <f>COUNTIFS(Crowdfunding!$D$2:$D$1001,"&gt;=30000",Crowdfunding!$D$2:$D$1001, "&lt;=34999",Crowdfunding!$G$2:$G$1001, "canceled")</f>
        <v>0</v>
      </c>
      <c r="E9" s="13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s="1" t="s">
        <v>2103</v>
      </c>
      <c r="B10" s="13">
        <f>COUNTIFS(Crowdfunding!$D$2:$D$1001,"&gt;34999",Crowdfunding!$D$2:$D$1001, "&lt;40000",Crowdfunding!$G$2:$G$1001, "successful")</f>
        <v>8</v>
      </c>
      <c r="C10" s="13">
        <f>COUNTIFS(Crowdfunding!$D$2:$D$1001,"&gt;=35000",Crowdfunding!$D$2:$D$1001, "&lt;=39999",Crowdfunding!$G$2:$G$1001, "failed")</f>
        <v>3</v>
      </c>
      <c r="D10" s="13">
        <f>COUNTIFS(Crowdfunding!$D$2:$D$1001,"&gt;=35000",Crowdfunding!$D$2:$D$1001, "&lt;=39999",Crowdfunding!$G$2:$G$1001, "canceled")</f>
        <v>1</v>
      </c>
      <c r="E10" s="13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s="1" t="s">
        <v>2104</v>
      </c>
      <c r="B11" s="13">
        <f>COUNTIFS(Crowdfunding!$D$2:$D$1001,"&gt;39999",Crowdfunding!$D$2:$D$1001, "&lt;45000",Crowdfunding!$G$2:$G$1001, "successful")</f>
        <v>11</v>
      </c>
      <c r="C11" s="13">
        <f>COUNTIFS(Crowdfunding!$D$2:$D$1001,"&gt;=40000",Crowdfunding!$D$2:$D$1001, "&lt;=44999",Crowdfunding!$G$2:$G$1001, "failed")</f>
        <v>3</v>
      </c>
      <c r="D11" s="13">
        <f>COUNTIFS(Crowdfunding!$D$2:$D$1001,"&gt;=40000",Crowdfunding!$D$2:$D$1001, "&lt;=44999",Crowdfunding!$G$2:$G$1001, "canceled")</f>
        <v>0</v>
      </c>
      <c r="E11" s="13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s="1" t="s">
        <v>2105</v>
      </c>
      <c r="B12" s="13">
        <f>COUNTIFS(Crowdfunding!$D$2:$D$1001,"&gt;44999",Crowdfunding!$D$2:$D$1001, "&lt;50000",Crowdfunding!$G$2:$G$1001, "successful")</f>
        <v>8</v>
      </c>
      <c r="C12" s="13">
        <f>COUNTIFS(Crowdfunding!$D$2:$D$1001,"&gt;=45000",Crowdfunding!$D$2:$D$1001, "&lt;=49999",Crowdfunding!$G$2:$G$1001, "failed")</f>
        <v>3</v>
      </c>
      <c r="D12" s="13">
        <f>COUNTIFS(Crowdfunding!$D$2:$D$1001,"&gt;=45000",Crowdfunding!$D$2:$D$1001, "&lt;=49999",Crowdfunding!$G$2:$G$1001, "canceled")</f>
        <v>0</v>
      </c>
      <c r="E12" s="13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5">
      <c r="A13" s="1" t="s">
        <v>2106</v>
      </c>
      <c r="B13" s="13">
        <f>COUNTIFS(Crowdfunding!$D$2:$D$1001,"&gt;=50000",Crowdfunding!$G$2:$G$1001, "successful")</f>
        <v>114</v>
      </c>
      <c r="C13" s="13">
        <f>COUNTIFS(Crowdfunding!$D$2:$D$1001,"&gt;=50000",Crowdfunding!$G$2:$G$1001, "failed")</f>
        <v>163</v>
      </c>
      <c r="D13" s="13">
        <f>COUNTIFS(Crowdfunding!$D$2:$D$1001, "&gt;=50000", Crowdfunding!$G$2:$G$1001, "canceled")</f>
        <v>28</v>
      </c>
      <c r="E13" s="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71E1-9EDE-48AC-B257-624CBA3B7B58}">
  <dimension ref="A1:E17"/>
  <sheetViews>
    <sheetView tabSelected="1" workbookViewId="0">
      <selection activeCell="E16" sqref="E16"/>
    </sheetView>
  </sheetViews>
  <sheetFormatPr defaultRowHeight="15.5" x14ac:dyDescent="0.35"/>
  <cols>
    <col min="2" max="2" width="13.25" customWidth="1"/>
    <col min="5" max="5" width="13.4140625" customWidth="1"/>
  </cols>
  <sheetData>
    <row r="1" spans="1:5" x14ac:dyDescent="0.35">
      <c r="A1" s="1" t="s">
        <v>2107</v>
      </c>
      <c r="B1" s="1" t="s">
        <v>2108</v>
      </c>
      <c r="C1" s="1"/>
      <c r="D1" s="1" t="s">
        <v>2107</v>
      </c>
      <c r="E1" s="1" t="s">
        <v>2108</v>
      </c>
    </row>
    <row r="2" spans="1:5" x14ac:dyDescent="0.35">
      <c r="A2" s="16" t="s">
        <v>2109</v>
      </c>
      <c r="B2">
        <v>98</v>
      </c>
      <c r="D2" s="15" t="s">
        <v>2110</v>
      </c>
      <c r="E2">
        <v>0</v>
      </c>
    </row>
    <row r="3" spans="1:5" x14ac:dyDescent="0.35">
      <c r="A3" s="16" t="s">
        <v>2109</v>
      </c>
      <c r="B3">
        <v>100</v>
      </c>
      <c r="D3" s="15" t="s">
        <v>2110</v>
      </c>
      <c r="E3">
        <v>24</v>
      </c>
    </row>
    <row r="4" spans="1:5" x14ac:dyDescent="0.35">
      <c r="A4" s="16" t="s">
        <v>2109</v>
      </c>
      <c r="B4">
        <v>158</v>
      </c>
      <c r="D4" s="15" t="s">
        <v>2110</v>
      </c>
      <c r="E4">
        <v>53</v>
      </c>
    </row>
    <row r="5" spans="1:5" x14ac:dyDescent="0.35">
      <c r="A5" s="16" t="s">
        <v>2109</v>
      </c>
      <c r="B5">
        <v>174</v>
      </c>
      <c r="D5" s="15" t="s">
        <v>2110</v>
      </c>
      <c r="E5">
        <v>18</v>
      </c>
    </row>
    <row r="6" spans="1:5" x14ac:dyDescent="0.35">
      <c r="A6" s="16" t="s">
        <v>2109</v>
      </c>
      <c r="B6">
        <v>220</v>
      </c>
      <c r="D6" s="15" t="s">
        <v>2110</v>
      </c>
      <c r="E6">
        <v>44</v>
      </c>
    </row>
    <row r="7" spans="1:5" x14ac:dyDescent="0.35">
      <c r="A7" s="16" t="s">
        <v>2109</v>
      </c>
      <c r="B7">
        <v>227</v>
      </c>
      <c r="D7" s="15" t="s">
        <v>2110</v>
      </c>
      <c r="E7">
        <v>27</v>
      </c>
    </row>
    <row r="8" spans="1:5" x14ac:dyDescent="0.35">
      <c r="A8" s="16" t="s">
        <v>2109</v>
      </c>
      <c r="B8">
        <v>1249</v>
      </c>
      <c r="D8" s="15" t="s">
        <v>2110</v>
      </c>
      <c r="E8">
        <v>55</v>
      </c>
    </row>
    <row r="9" spans="1:5" x14ac:dyDescent="0.35">
      <c r="A9" s="16" t="s">
        <v>2109</v>
      </c>
      <c r="B9">
        <v>1396</v>
      </c>
      <c r="D9" s="15" t="s">
        <v>2110</v>
      </c>
      <c r="E9">
        <v>200</v>
      </c>
    </row>
    <row r="10" spans="1:5" x14ac:dyDescent="0.35">
      <c r="A10" s="16" t="s">
        <v>2109</v>
      </c>
      <c r="B10">
        <v>1425</v>
      </c>
      <c r="D10" s="15" t="s">
        <v>2110</v>
      </c>
      <c r="E10">
        <v>452</v>
      </c>
    </row>
    <row r="12" spans="1:5" x14ac:dyDescent="0.35">
      <c r="A12" t="s">
        <v>2111</v>
      </c>
      <c r="B12" s="7">
        <f>AVERAGE(B2:B10)</f>
        <v>560.77777777777783</v>
      </c>
      <c r="D12" t="s">
        <v>2111</v>
      </c>
      <c r="E12" s="7">
        <f>AVERAGE(E2:E10)</f>
        <v>97</v>
      </c>
    </row>
    <row r="13" spans="1:5" x14ac:dyDescent="0.35">
      <c r="A13" t="s">
        <v>2112</v>
      </c>
      <c r="B13" s="7">
        <f>MEDIAN(B2:B10)</f>
        <v>220</v>
      </c>
      <c r="D13" t="s">
        <v>2112</v>
      </c>
      <c r="E13" s="7">
        <f>MEDIAN(E2:E10)</f>
        <v>44</v>
      </c>
    </row>
    <row r="14" spans="1:5" x14ac:dyDescent="0.35">
      <c r="A14" t="s">
        <v>2113</v>
      </c>
      <c r="B14" s="7">
        <f>MIN(B2:B10)</f>
        <v>98</v>
      </c>
      <c r="D14" t="s">
        <v>2113</v>
      </c>
      <c r="E14" s="7">
        <f>MIN(E2:E10)</f>
        <v>0</v>
      </c>
    </row>
    <row r="15" spans="1:5" x14ac:dyDescent="0.35">
      <c r="A15" t="s">
        <v>2114</v>
      </c>
      <c r="B15" s="7">
        <f>MAX(B2:B10)</f>
        <v>1425</v>
      </c>
      <c r="D15" t="s">
        <v>2114</v>
      </c>
      <c r="E15" s="7">
        <f>MAX(E2:E10)</f>
        <v>452</v>
      </c>
    </row>
    <row r="16" spans="1:5" x14ac:dyDescent="0.35">
      <c r="A16" t="s">
        <v>2115</v>
      </c>
      <c r="B16" s="7">
        <f>_xlfn.VAR.P(B2:B10)</f>
        <v>320441.06172839506</v>
      </c>
      <c r="D16" t="s">
        <v>2115</v>
      </c>
      <c r="E16" s="7">
        <f>_xlfn.VAR.P(E2:E10)</f>
        <v>18780.222222222223</v>
      </c>
    </row>
    <row r="17" spans="1:5" x14ac:dyDescent="0.35">
      <c r="A17" t="s">
        <v>2116</v>
      </c>
      <c r="B17" s="7">
        <f>_xlfn.STDEV.P(B2:B10)</f>
        <v>566.07513788223821</v>
      </c>
      <c r="D17" t="s">
        <v>2116</v>
      </c>
      <c r="E17" s="7">
        <f>_xlfn.STDEV.P(E2:E10)</f>
        <v>137.04095089505992</v>
      </c>
    </row>
  </sheetData>
  <sortState xmlns:xlrd2="http://schemas.microsoft.com/office/spreadsheetml/2017/richdata2" ref="B2:B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Kyle Hannigan</cp:lastModifiedBy>
  <dcterms:created xsi:type="dcterms:W3CDTF">2021-09-29T18:52:28Z</dcterms:created>
  <dcterms:modified xsi:type="dcterms:W3CDTF">2023-10-02T19:28:29Z</dcterms:modified>
</cp:coreProperties>
</file>