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klima\Documents\SKV\pripravy\"/>
    </mc:Choice>
  </mc:AlternateContent>
  <bookViews>
    <workbookView xWindow="0" yWindow="0" windowWidth="28800" windowHeight="11835"/>
  </bookViews>
  <sheets>
    <sheet name="tabulka" sheetId="2" r:id="rId1"/>
    <sheet name="prehled" sheetId="3" r:id="rId2"/>
    <sheet name="priprava_SKV" sheetId="1" r:id="rId3"/>
    <sheet name="priprava_LIB" sheetId="4" r:id="rId4"/>
  </sheets>
  <definedNames>
    <definedName name="league_table" localSheetId="0">tabulka!$W$2:$AZ$15</definedName>
    <definedName name="LIB_bestof" localSheetId="3">priprava_LIB!$BT$2:$BU$31</definedName>
    <definedName name="LIB_goalies" localSheetId="3">priprava_LIB!$S$45:$AD$46</definedName>
    <definedName name="LIB_matches" localSheetId="3">priprava_LIB!$BY$2:$CA$12</definedName>
    <definedName name="LIB_players" localSheetId="3">priprava_LIB!$S$2:$AB$21</definedName>
    <definedName name="_xlnm.Print_Area" localSheetId="1">prehled!$A$1:$R$50</definedName>
    <definedName name="_xlnm.Print_Area" localSheetId="3">priprava_LIB!$A$1:$R$50</definedName>
    <definedName name="_xlnm.Print_Area" localSheetId="2">priprava_SKV!$A$1:$R$50</definedName>
    <definedName name="_xlnm.Print_Area" localSheetId="0">tabulka!$A$1:$V$15</definedName>
    <definedName name="player_names" localSheetId="3">priprava_LIB!$A$1,priprava_LIB!$M$1,priprava_LIB!$G$3,priprava_LIB!$A$6,priprava_LIB!$M$6,priprava_LIB!$M$12,priprava_LIB!$A$12,priprava_LIB!$G$14,priprava_LIB!$A$17,priprava_LIB!$M$17,priprava_LIB!$M$23,priprava_LIB!$A$23,priprava_LIB!$G$25,priprava_LIB!$M$28,priprava_LIB!$A$28,priprava_LIB!$J$34,priprava_LIB!$J$38,priprava_LIB!$J$42</definedName>
    <definedName name="player_names" localSheetId="2">priprava_SKV!$A$1,priprava_SKV!$M$1,priprava_SKV!$G$3,priprava_SKV!$A$6,priprava_SKV!$M$6,priprava_SKV!$M$12,priprava_SKV!$A$12,priprava_SKV!$G$14,priprava_SKV!$A$17,priprava_SKV!$M$17,priprava_SKV!$M$23,priprava_SKV!$A$23,priprava_SKV!$G$25,priprava_SKV!$M$28,priprava_SKV!$A$28,priprava_SKV!$J$34,priprava_SKV!$J$38,priprava_SKV!$J$42</definedName>
    <definedName name="SKV_bestof_1" localSheetId="2">priprava_SKV!$BT$2:$BU$31</definedName>
    <definedName name="SKV_goalies" localSheetId="2">priprava_SKV!$S$45:$AD$46</definedName>
    <definedName name="SKV_matches" localSheetId="2">priprava_SKV!$BY$2:$CA$12</definedName>
    <definedName name="SKV_players" localSheetId="2">priprava_SKV!$S$2:$AB$20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3" l="1"/>
  <c r="A5" i="3"/>
  <c r="BF50" i="4"/>
  <c r="BE50" i="4"/>
  <c r="BG50" i="4" s="1"/>
  <c r="BH50" i="4" s="1"/>
  <c r="BI50" i="4" s="1"/>
  <c r="BJ50" i="4" s="1"/>
  <c r="BK50" i="4" s="1"/>
  <c r="BL50" i="4" s="1"/>
  <c r="BM50" i="4" s="1"/>
  <c r="BD50" i="4"/>
  <c r="AY50" i="4"/>
  <c r="AX50" i="4"/>
  <c r="AW50" i="4"/>
  <c r="AV50" i="4"/>
  <c r="AU50" i="4"/>
  <c r="AF50" i="4"/>
  <c r="AE50" i="4"/>
  <c r="K50" i="4"/>
  <c r="J50" i="4"/>
  <c r="BF49" i="4"/>
  <c r="BE49" i="4"/>
  <c r="BG49" i="4" s="1"/>
  <c r="BH49" i="4" s="1"/>
  <c r="BI49" i="4" s="1"/>
  <c r="BJ49" i="4" s="1"/>
  <c r="BK49" i="4" s="1"/>
  <c r="BL49" i="4" s="1"/>
  <c r="BM49" i="4" s="1"/>
  <c r="BD49" i="4"/>
  <c r="AY49" i="4"/>
  <c r="AX49" i="4"/>
  <c r="AW49" i="4"/>
  <c r="AV49" i="4"/>
  <c r="AU49" i="4"/>
  <c r="AF49" i="4"/>
  <c r="AE49" i="4"/>
  <c r="N49" i="4"/>
  <c r="BF48" i="4"/>
  <c r="BE48" i="4"/>
  <c r="BG48" i="4" s="1"/>
  <c r="BH48" i="4" s="1"/>
  <c r="BI48" i="4" s="1"/>
  <c r="BJ48" i="4" s="1"/>
  <c r="BK48" i="4" s="1"/>
  <c r="BL48" i="4" s="1"/>
  <c r="BM48" i="4" s="1"/>
  <c r="BD48" i="4"/>
  <c r="AY48" i="4"/>
  <c r="AX48" i="4"/>
  <c r="AW48" i="4"/>
  <c r="AV48" i="4"/>
  <c r="AU48" i="4"/>
  <c r="AF48" i="4"/>
  <c r="AE48" i="4"/>
  <c r="K48" i="4"/>
  <c r="J48" i="4"/>
  <c r="B48" i="4"/>
  <c r="A48" i="4"/>
  <c r="BF47" i="4"/>
  <c r="BE47" i="4"/>
  <c r="BG47" i="4" s="1"/>
  <c r="BH47" i="4" s="1"/>
  <c r="BI47" i="4" s="1"/>
  <c r="BJ47" i="4" s="1"/>
  <c r="BK47" i="4" s="1"/>
  <c r="BL47" i="4" s="1"/>
  <c r="BM47" i="4" s="1"/>
  <c r="BD47" i="4"/>
  <c r="AY47" i="4"/>
  <c r="AX47" i="4"/>
  <c r="AW47" i="4"/>
  <c r="AV47" i="4"/>
  <c r="AU47" i="4"/>
  <c r="AF47" i="4"/>
  <c r="AE47" i="4"/>
  <c r="N47" i="4"/>
  <c r="E47" i="4"/>
  <c r="BF46" i="4"/>
  <c r="BE46" i="4"/>
  <c r="BG46" i="4" s="1"/>
  <c r="BH46" i="4" s="1"/>
  <c r="BI46" i="4" s="1"/>
  <c r="BJ46" i="4" s="1"/>
  <c r="BK46" i="4" s="1"/>
  <c r="BL46" i="4" s="1"/>
  <c r="BM46" i="4" s="1"/>
  <c r="BD46" i="4"/>
  <c r="AY46" i="4"/>
  <c r="AX46" i="4"/>
  <c r="AW46" i="4"/>
  <c r="AV46" i="4"/>
  <c r="AU46" i="4"/>
  <c r="AF46" i="4"/>
  <c r="AE46" i="4"/>
  <c r="BF45" i="4"/>
  <c r="BE45" i="4"/>
  <c r="BG45" i="4" s="1"/>
  <c r="BH45" i="4" s="1"/>
  <c r="BI45" i="4" s="1"/>
  <c r="BJ45" i="4" s="1"/>
  <c r="BK45" i="4" s="1"/>
  <c r="BL45" i="4" s="1"/>
  <c r="BM45" i="4" s="1"/>
  <c r="BD45" i="4"/>
  <c r="AY45" i="4"/>
  <c r="AX45" i="4"/>
  <c r="AW45" i="4"/>
  <c r="AV45" i="4"/>
  <c r="AU45" i="4"/>
  <c r="AF45" i="4"/>
  <c r="AE45" i="4"/>
  <c r="BF44" i="4"/>
  <c r="BE44" i="4"/>
  <c r="BG44" i="4" s="1"/>
  <c r="BH44" i="4" s="1"/>
  <c r="BI44" i="4" s="1"/>
  <c r="BJ44" i="4" s="1"/>
  <c r="BK44" i="4" s="1"/>
  <c r="BL44" i="4" s="1"/>
  <c r="BM44" i="4" s="1"/>
  <c r="BD44" i="4"/>
  <c r="AY44" i="4"/>
  <c r="AX44" i="4"/>
  <c r="AW44" i="4"/>
  <c r="AV44" i="4"/>
  <c r="AU44" i="4"/>
  <c r="Q44" i="4"/>
  <c r="N44" i="4"/>
  <c r="K44" i="4"/>
  <c r="F44" i="4"/>
  <c r="D44" i="4"/>
  <c r="A44" i="4"/>
  <c r="BF43" i="4"/>
  <c r="BE43" i="4"/>
  <c r="BG43" i="4" s="1"/>
  <c r="BH43" i="4" s="1"/>
  <c r="BI43" i="4" s="1"/>
  <c r="BJ43" i="4" s="1"/>
  <c r="BK43" i="4" s="1"/>
  <c r="BL43" i="4" s="1"/>
  <c r="BM43" i="4" s="1"/>
  <c r="BD43" i="4"/>
  <c r="AY43" i="4"/>
  <c r="AX43" i="4"/>
  <c r="AW43" i="4"/>
  <c r="AV43" i="4"/>
  <c r="AU43" i="4"/>
  <c r="P43" i="4"/>
  <c r="N43" i="4"/>
  <c r="M43" i="4"/>
  <c r="K43" i="4"/>
  <c r="J43" i="4"/>
  <c r="E43" i="4"/>
  <c r="C43" i="4"/>
  <c r="A43" i="4"/>
  <c r="BF42" i="4"/>
  <c r="BE42" i="4"/>
  <c r="BG42" i="4" s="1"/>
  <c r="BH42" i="4" s="1"/>
  <c r="BI42" i="4" s="1"/>
  <c r="BJ42" i="4" s="1"/>
  <c r="BK42" i="4" s="1"/>
  <c r="BL42" i="4" s="1"/>
  <c r="BM42" i="4" s="1"/>
  <c r="BD42" i="4"/>
  <c r="AY42" i="4"/>
  <c r="AX42" i="4"/>
  <c r="AW42" i="4"/>
  <c r="AV42" i="4"/>
  <c r="AU42" i="4"/>
  <c r="F42" i="4"/>
  <c r="D42" i="4"/>
  <c r="B42" i="4"/>
  <c r="A42" i="4"/>
  <c r="BF41" i="4"/>
  <c r="BE41" i="4"/>
  <c r="BG41" i="4" s="1"/>
  <c r="BH41" i="4" s="1"/>
  <c r="BI41" i="4" s="1"/>
  <c r="BJ41" i="4" s="1"/>
  <c r="BK41" i="4" s="1"/>
  <c r="BL41" i="4" s="1"/>
  <c r="BM41" i="4" s="1"/>
  <c r="BD41" i="4"/>
  <c r="AY41" i="4"/>
  <c r="AX41" i="4"/>
  <c r="AW41" i="4"/>
  <c r="AV41" i="4"/>
  <c r="AU41" i="4"/>
  <c r="E41" i="4"/>
  <c r="J44" i="4" s="1"/>
  <c r="D41" i="4"/>
  <c r="B41" i="4"/>
  <c r="A41" i="4"/>
  <c r="BF40" i="4"/>
  <c r="BD40" i="4"/>
  <c r="AY40" i="4"/>
  <c r="AX40" i="4"/>
  <c r="AV40" i="4"/>
  <c r="AU40" i="4"/>
  <c r="Q40" i="4"/>
  <c r="N40" i="4"/>
  <c r="K40" i="4"/>
  <c r="F40" i="4"/>
  <c r="E40" i="4"/>
  <c r="BF39" i="4"/>
  <c r="BD39" i="4"/>
  <c r="AY39" i="4"/>
  <c r="AX39" i="4"/>
  <c r="AV39" i="4"/>
  <c r="AU39" i="4"/>
  <c r="P39" i="4"/>
  <c r="N39" i="4"/>
  <c r="M39" i="4"/>
  <c r="K39" i="4"/>
  <c r="J39" i="4"/>
  <c r="BF38" i="4"/>
  <c r="BD38" i="4"/>
  <c r="AY38" i="4"/>
  <c r="AX38" i="4"/>
  <c r="AV38" i="4"/>
  <c r="AU38" i="4"/>
  <c r="R38" i="4"/>
  <c r="Q38" i="4"/>
  <c r="F38" i="4"/>
  <c r="D38" i="4"/>
  <c r="A38" i="4"/>
  <c r="BF37" i="4"/>
  <c r="BD37" i="4"/>
  <c r="AY37" i="4"/>
  <c r="AX37" i="4"/>
  <c r="AV37" i="4"/>
  <c r="AU37" i="4"/>
  <c r="E37" i="4"/>
  <c r="J40" i="4" s="1"/>
  <c r="C37" i="4"/>
  <c r="A37" i="4"/>
  <c r="BF36" i="4"/>
  <c r="BD36" i="4"/>
  <c r="AY36" i="4"/>
  <c r="AX36" i="4"/>
  <c r="AV36" i="4"/>
  <c r="AU36" i="4"/>
  <c r="Q36" i="4"/>
  <c r="N36" i="4"/>
  <c r="K36" i="4"/>
  <c r="J36" i="4"/>
  <c r="F36" i="4"/>
  <c r="D36" i="4"/>
  <c r="B36" i="4"/>
  <c r="A36" i="4"/>
  <c r="BF35" i="4"/>
  <c r="BD35" i="4"/>
  <c r="AY35" i="4"/>
  <c r="AX35" i="4"/>
  <c r="AV35" i="4"/>
  <c r="AU35" i="4"/>
  <c r="P35" i="4"/>
  <c r="N35" i="4"/>
  <c r="M35" i="4"/>
  <c r="K35" i="4"/>
  <c r="J35" i="4"/>
  <c r="E35" i="4"/>
  <c r="D35" i="4"/>
  <c r="B35" i="4"/>
  <c r="A35" i="4"/>
  <c r="BF34" i="4"/>
  <c r="BD34" i="4"/>
  <c r="AY34" i="4"/>
  <c r="AX34" i="4"/>
  <c r="AV34" i="4"/>
  <c r="AU34" i="4"/>
  <c r="R34" i="4"/>
  <c r="Q34" i="4"/>
  <c r="F34" i="4"/>
  <c r="E34" i="4"/>
  <c r="BF33" i="4"/>
  <c r="BD33" i="4"/>
  <c r="AY33" i="4"/>
  <c r="AX33" i="4"/>
  <c r="AV33" i="4"/>
  <c r="AU33" i="4"/>
  <c r="BF32" i="4"/>
  <c r="BD32" i="4"/>
  <c r="AY32" i="4"/>
  <c r="AX32" i="4"/>
  <c r="AV32" i="4"/>
  <c r="AU32" i="4"/>
  <c r="BW31" i="4"/>
  <c r="BV31" i="4"/>
  <c r="BF31" i="4"/>
  <c r="BD31" i="4"/>
  <c r="AY31" i="4"/>
  <c r="AX31" i="4"/>
  <c r="AV31" i="4"/>
  <c r="AU31" i="4"/>
  <c r="R31" i="4"/>
  <c r="P31" i="4"/>
  <c r="M31" i="4"/>
  <c r="F31" i="4"/>
  <c r="D31" i="4"/>
  <c r="A31" i="4"/>
  <c r="BW30" i="4"/>
  <c r="BV30" i="4"/>
  <c r="BF30" i="4"/>
  <c r="BD30" i="4"/>
  <c r="AY30" i="4"/>
  <c r="AX30" i="4"/>
  <c r="AV30" i="4"/>
  <c r="AU30" i="4"/>
  <c r="P30" i="4"/>
  <c r="M30" i="4"/>
  <c r="H30" i="4"/>
  <c r="D30" i="4"/>
  <c r="A30" i="4"/>
  <c r="BW29" i="4"/>
  <c r="BV29" i="4"/>
  <c r="BF29" i="4"/>
  <c r="BD29" i="4"/>
  <c r="AY29" i="4"/>
  <c r="AX29" i="4"/>
  <c r="AV29" i="4"/>
  <c r="AU29" i="4"/>
  <c r="Q29" i="4"/>
  <c r="P29" i="4"/>
  <c r="N29" i="4"/>
  <c r="M29" i="4"/>
  <c r="E29" i="4"/>
  <c r="D29" i="4"/>
  <c r="B29" i="4"/>
  <c r="A29" i="4"/>
  <c r="BW28" i="4"/>
  <c r="BV28" i="4"/>
  <c r="BF28" i="4"/>
  <c r="BD28" i="4"/>
  <c r="AY28" i="4"/>
  <c r="AX28" i="4"/>
  <c r="AV28" i="4"/>
  <c r="AU28" i="4"/>
  <c r="R28" i="4"/>
  <c r="Q28" i="4"/>
  <c r="L28" i="4"/>
  <c r="J28" i="4"/>
  <c r="G28" i="4"/>
  <c r="F28" i="4"/>
  <c r="E28" i="4"/>
  <c r="BW27" i="4"/>
  <c r="BV27" i="4"/>
  <c r="BF27" i="4"/>
  <c r="BD27" i="4"/>
  <c r="AY27" i="4"/>
  <c r="AX27" i="4"/>
  <c r="AV27" i="4"/>
  <c r="AU27" i="4"/>
  <c r="J27" i="4"/>
  <c r="G27" i="4"/>
  <c r="BW26" i="4"/>
  <c r="BV26" i="4"/>
  <c r="BF26" i="4"/>
  <c r="BD26" i="4"/>
  <c r="AY26" i="4"/>
  <c r="AX26" i="4"/>
  <c r="AV26" i="4"/>
  <c r="AU26" i="4"/>
  <c r="R26" i="4"/>
  <c r="P26" i="4"/>
  <c r="M26" i="4"/>
  <c r="K26" i="4"/>
  <c r="J26" i="4"/>
  <c r="H26" i="4"/>
  <c r="G26" i="4"/>
  <c r="F26" i="4"/>
  <c r="D26" i="4"/>
  <c r="A26" i="4"/>
  <c r="BW25" i="4"/>
  <c r="BV25" i="4"/>
  <c r="BF25" i="4"/>
  <c r="BD25" i="4"/>
  <c r="AY25" i="4"/>
  <c r="AX25" i="4"/>
  <c r="AV25" i="4"/>
  <c r="AU25" i="4"/>
  <c r="P25" i="4"/>
  <c r="M25" i="4"/>
  <c r="L25" i="4"/>
  <c r="K25" i="4"/>
  <c r="D25" i="4"/>
  <c r="A25" i="4"/>
  <c r="BW24" i="4"/>
  <c r="BV24" i="4"/>
  <c r="BF24" i="4"/>
  <c r="BD24" i="4"/>
  <c r="AY24" i="4"/>
  <c r="AX24" i="4"/>
  <c r="AV24" i="4"/>
  <c r="AU24" i="4"/>
  <c r="Q24" i="4"/>
  <c r="P24" i="4"/>
  <c r="N24" i="4"/>
  <c r="M24" i="4"/>
  <c r="E24" i="4"/>
  <c r="D24" i="4"/>
  <c r="B24" i="4"/>
  <c r="A24" i="4"/>
  <c r="BW23" i="4"/>
  <c r="BV23" i="4"/>
  <c r="BF23" i="4"/>
  <c r="BD23" i="4"/>
  <c r="AY23" i="4"/>
  <c r="AX23" i="4"/>
  <c r="AV23" i="4"/>
  <c r="AU23" i="4"/>
  <c r="R23" i="4"/>
  <c r="Q23" i="4"/>
  <c r="F23" i="4"/>
  <c r="E23" i="4"/>
  <c r="BW22" i="4"/>
  <c r="BV22" i="4"/>
  <c r="BF22" i="4"/>
  <c r="BD22" i="4"/>
  <c r="AY22" i="4"/>
  <c r="AX22" i="4"/>
  <c r="AV22" i="4"/>
  <c r="AU22" i="4"/>
  <c r="BW21" i="4"/>
  <c r="BV21" i="4"/>
  <c r="BF21" i="4"/>
  <c r="BD21" i="4"/>
  <c r="AY21" i="4"/>
  <c r="AX21" i="4"/>
  <c r="AV21" i="4"/>
  <c r="AU21" i="4"/>
  <c r="BW20" i="4"/>
  <c r="BV20" i="4"/>
  <c r="BF20" i="4"/>
  <c r="BD20" i="4"/>
  <c r="AY20" i="4"/>
  <c r="AX20" i="4"/>
  <c r="AV20" i="4"/>
  <c r="AU20" i="4"/>
  <c r="R20" i="4"/>
  <c r="P20" i="4"/>
  <c r="M20" i="4"/>
  <c r="BW19" i="4"/>
  <c r="BV19" i="4"/>
  <c r="BF19" i="4"/>
  <c r="BD19" i="4"/>
  <c r="AY19" i="4"/>
  <c r="AX19" i="4"/>
  <c r="AV19" i="4"/>
  <c r="AU19" i="4"/>
  <c r="P19" i="4"/>
  <c r="M19" i="4"/>
  <c r="H19" i="4"/>
  <c r="BW18" i="4"/>
  <c r="BV18" i="4"/>
  <c r="BF18" i="4"/>
  <c r="BD18" i="4"/>
  <c r="AY18" i="4"/>
  <c r="AX18" i="4"/>
  <c r="AV18" i="4"/>
  <c r="AU18" i="4"/>
  <c r="Q18" i="4"/>
  <c r="P18" i="4"/>
  <c r="N18" i="4"/>
  <c r="M18" i="4"/>
  <c r="BW17" i="4"/>
  <c r="BV17" i="4"/>
  <c r="BF17" i="4"/>
  <c r="BD17" i="4"/>
  <c r="AY17" i="4"/>
  <c r="AX17" i="4"/>
  <c r="AV17" i="4"/>
  <c r="AU17" i="4"/>
  <c r="R17" i="4"/>
  <c r="Q17" i="4"/>
  <c r="L17" i="4"/>
  <c r="J17" i="4"/>
  <c r="G17" i="4"/>
  <c r="F17" i="4"/>
  <c r="E17" i="4"/>
  <c r="BW16" i="4"/>
  <c r="BV16" i="4"/>
  <c r="BF16" i="4"/>
  <c r="BD16" i="4"/>
  <c r="AY16" i="4"/>
  <c r="AX16" i="4"/>
  <c r="AV16" i="4"/>
  <c r="AU16" i="4"/>
  <c r="J16" i="4"/>
  <c r="G16" i="4"/>
  <c r="BW15" i="4"/>
  <c r="BV15" i="4"/>
  <c r="BF15" i="4"/>
  <c r="BD15" i="4"/>
  <c r="AY15" i="4"/>
  <c r="AX15" i="4"/>
  <c r="AV15" i="4"/>
  <c r="AU15" i="4"/>
  <c r="R15" i="4"/>
  <c r="P15" i="4"/>
  <c r="M15" i="4"/>
  <c r="K15" i="4"/>
  <c r="J15" i="4"/>
  <c r="H15" i="4"/>
  <c r="G15" i="4"/>
  <c r="F15" i="4"/>
  <c r="D15" i="4"/>
  <c r="A15" i="4"/>
  <c r="BW14" i="4"/>
  <c r="BV14" i="4"/>
  <c r="BF14" i="4"/>
  <c r="BD14" i="4"/>
  <c r="AY14" i="4"/>
  <c r="AX14" i="4"/>
  <c r="AV14" i="4"/>
  <c r="AU14" i="4"/>
  <c r="P14" i="4"/>
  <c r="M14" i="4"/>
  <c r="L14" i="4"/>
  <c r="K14" i="4"/>
  <c r="D14" i="4"/>
  <c r="A14" i="4"/>
  <c r="BW13" i="4"/>
  <c r="BV13" i="4"/>
  <c r="BF13" i="4"/>
  <c r="BD13" i="4"/>
  <c r="AY13" i="4"/>
  <c r="AX13" i="4"/>
  <c r="AV13" i="4"/>
  <c r="AU13" i="4"/>
  <c r="Q13" i="4"/>
  <c r="P13" i="4"/>
  <c r="N13" i="4"/>
  <c r="M13" i="4"/>
  <c r="E13" i="4"/>
  <c r="D13" i="4"/>
  <c r="B13" i="4"/>
  <c r="A13" i="4"/>
  <c r="BW12" i="4"/>
  <c r="BV12" i="4"/>
  <c r="BF12" i="4"/>
  <c r="BD12" i="4"/>
  <c r="AY12" i="4"/>
  <c r="AX12" i="4"/>
  <c r="AV12" i="4"/>
  <c r="AU12" i="4"/>
  <c r="R12" i="4"/>
  <c r="Q12" i="4"/>
  <c r="F12" i="4"/>
  <c r="E12" i="4"/>
  <c r="BW11" i="4"/>
  <c r="BV11" i="4"/>
  <c r="BR11" i="4"/>
  <c r="BF11" i="4"/>
  <c r="BD11" i="4"/>
  <c r="AY11" i="4"/>
  <c r="AX11" i="4"/>
  <c r="AV11" i="4"/>
  <c r="AU11" i="4"/>
  <c r="BW10" i="4"/>
  <c r="BV10" i="4"/>
  <c r="BR10" i="4"/>
  <c r="BF10" i="4"/>
  <c r="BD10" i="4"/>
  <c r="AY10" i="4"/>
  <c r="AX10" i="4"/>
  <c r="AV10" i="4"/>
  <c r="AU10" i="4"/>
  <c r="BW9" i="4"/>
  <c r="BV9" i="4"/>
  <c r="BR9" i="4"/>
  <c r="BF9" i="4"/>
  <c r="BD9" i="4"/>
  <c r="AY9" i="4"/>
  <c r="AX9" i="4"/>
  <c r="AV9" i="4"/>
  <c r="AU9" i="4"/>
  <c r="R9" i="4"/>
  <c r="P9" i="4"/>
  <c r="M9" i="4"/>
  <c r="F9" i="4"/>
  <c r="D9" i="4"/>
  <c r="A9" i="4"/>
  <c r="BW8" i="4"/>
  <c r="BV8" i="4"/>
  <c r="BR8" i="4"/>
  <c r="BF8" i="4"/>
  <c r="BD8" i="4"/>
  <c r="AY8" i="4"/>
  <c r="AX8" i="4"/>
  <c r="AV8" i="4"/>
  <c r="AU8" i="4"/>
  <c r="P8" i="4"/>
  <c r="M8" i="4"/>
  <c r="D8" i="4"/>
  <c r="A8" i="4"/>
  <c r="BW7" i="4"/>
  <c r="BV7" i="4"/>
  <c r="BR7" i="4"/>
  <c r="BF7" i="4"/>
  <c r="BD7" i="4"/>
  <c r="AY7" i="4"/>
  <c r="AX7" i="4"/>
  <c r="AV7" i="4"/>
  <c r="AU7" i="4"/>
  <c r="Q7" i="4"/>
  <c r="P7" i="4"/>
  <c r="N7" i="4"/>
  <c r="M7" i="4"/>
  <c r="E7" i="4"/>
  <c r="D7" i="4"/>
  <c r="B7" i="4"/>
  <c r="A7" i="4"/>
  <c r="BW6" i="4"/>
  <c r="BV6" i="4"/>
  <c r="BR6" i="4"/>
  <c r="BF6" i="4"/>
  <c r="BD6" i="4"/>
  <c r="AY6" i="4"/>
  <c r="AX6" i="4"/>
  <c r="AV6" i="4"/>
  <c r="AU6" i="4"/>
  <c r="R6" i="4"/>
  <c r="Q6" i="4"/>
  <c r="L6" i="4"/>
  <c r="J6" i="4"/>
  <c r="G6" i="4"/>
  <c r="F6" i="4"/>
  <c r="E6" i="4"/>
  <c r="BW5" i="4"/>
  <c r="BV5" i="4"/>
  <c r="BR5" i="4"/>
  <c r="BF5" i="4"/>
  <c r="BD5" i="4"/>
  <c r="AY5" i="4"/>
  <c r="AX5" i="4"/>
  <c r="AV5" i="4"/>
  <c r="AU5" i="4"/>
  <c r="J5" i="4"/>
  <c r="G5" i="4"/>
  <c r="BW4" i="4"/>
  <c r="BV4" i="4"/>
  <c r="BR4" i="4"/>
  <c r="BF4" i="4"/>
  <c r="BD4" i="4"/>
  <c r="AY4" i="4"/>
  <c r="AX4" i="4"/>
  <c r="AV4" i="4"/>
  <c r="AU4" i="4"/>
  <c r="R4" i="4"/>
  <c r="P4" i="4"/>
  <c r="M4" i="4"/>
  <c r="K4" i="4"/>
  <c r="J4" i="4"/>
  <c r="H4" i="4"/>
  <c r="G4" i="4"/>
  <c r="F4" i="4"/>
  <c r="D4" i="4"/>
  <c r="A4" i="4"/>
  <c r="BW3" i="4"/>
  <c r="BV3" i="4"/>
  <c r="BR3" i="4"/>
  <c r="BF3" i="4"/>
  <c r="BD3" i="4"/>
  <c r="AY3" i="4"/>
  <c r="AX3" i="4"/>
  <c r="AV3" i="4"/>
  <c r="AU3" i="4"/>
  <c r="P3" i="4"/>
  <c r="M3" i="4"/>
  <c r="L3" i="4"/>
  <c r="K3" i="4"/>
  <c r="D3" i="4"/>
  <c r="A3" i="4"/>
  <c r="BW2" i="4"/>
  <c r="BV2" i="4"/>
  <c r="BR2" i="4"/>
  <c r="BF2" i="4"/>
  <c r="BD2" i="4"/>
  <c r="AY2" i="4"/>
  <c r="AX2" i="4"/>
  <c r="AV2" i="4"/>
  <c r="AU2" i="4"/>
  <c r="Q2" i="4"/>
  <c r="P2" i="4"/>
  <c r="N2" i="4"/>
  <c r="M2" i="4"/>
  <c r="E2" i="4"/>
  <c r="D2" i="4"/>
  <c r="B2" i="4"/>
  <c r="A2" i="4"/>
  <c r="R1" i="4"/>
  <c r="Q1" i="4"/>
  <c r="F1" i="4"/>
  <c r="E1" i="4"/>
  <c r="K50" i="1"/>
  <c r="K48" i="1"/>
  <c r="B48" i="1"/>
  <c r="BE4" i="4" l="1"/>
  <c r="AW4" i="4" s="1"/>
  <c r="BE20" i="4"/>
  <c r="BE18" i="4"/>
  <c r="AW18" i="4" s="1"/>
  <c r="BE11" i="4"/>
  <c r="AW11" i="4" s="1"/>
  <c r="BE16" i="4"/>
  <c r="BG16" i="4" s="1"/>
  <c r="BE28" i="4"/>
  <c r="BE29" i="4"/>
  <c r="BE36" i="4"/>
  <c r="AW36" i="4" s="1"/>
  <c r="BE35" i="4"/>
  <c r="BG35" i="4" s="1"/>
  <c r="BH35" i="4" s="1"/>
  <c r="BI35" i="4" s="1"/>
  <c r="BJ35" i="4" s="1"/>
  <c r="BK35" i="4" s="1"/>
  <c r="BL35" i="4" s="1"/>
  <c r="BM35" i="4" s="1"/>
  <c r="BE27" i="4"/>
  <c r="BG27" i="4" s="1"/>
  <c r="BE37" i="4"/>
  <c r="AW37" i="4" s="1"/>
  <c r="BE3" i="4"/>
  <c r="BG3" i="4" s="1"/>
  <c r="BH3" i="4" s="1"/>
  <c r="BI3" i="4" s="1"/>
  <c r="BJ3" i="4" s="1"/>
  <c r="BK3" i="4" s="1"/>
  <c r="BL3" i="4" s="1"/>
  <c r="BM3" i="4" s="1"/>
  <c r="BE24" i="4"/>
  <c r="BE22" i="4"/>
  <c r="BE34" i="4"/>
  <c r="BG34" i="4" s="1"/>
  <c r="BH34" i="4" s="1"/>
  <c r="BI34" i="4" s="1"/>
  <c r="BJ34" i="4" s="1"/>
  <c r="BK34" i="4" s="1"/>
  <c r="BL34" i="4" s="1"/>
  <c r="BM34" i="4" s="1"/>
  <c r="BE6" i="4"/>
  <c r="BE13" i="4"/>
  <c r="BG13" i="4" s="1"/>
  <c r="BE38" i="4"/>
  <c r="BG38" i="4" s="1"/>
  <c r="BH38" i="4" s="1"/>
  <c r="BI38" i="4" s="1"/>
  <c r="BJ38" i="4" s="1"/>
  <c r="BK38" i="4" s="1"/>
  <c r="BL38" i="4" s="1"/>
  <c r="BM38" i="4" s="1"/>
  <c r="BE5" i="4"/>
  <c r="BG5" i="4" s="1"/>
  <c r="BE15" i="4"/>
  <c r="BE17" i="4"/>
  <c r="BG17" i="4" s="1"/>
  <c r="BH17" i="4" s="1"/>
  <c r="BI17" i="4" s="1"/>
  <c r="BJ17" i="4" s="1"/>
  <c r="BK17" i="4" s="1"/>
  <c r="BL17" i="4" s="1"/>
  <c r="BM17" i="4" s="1"/>
  <c r="BE23" i="4"/>
  <c r="BG23" i="4" s="1"/>
  <c r="BE26" i="4"/>
  <c r="BG26" i="4" s="1"/>
  <c r="BE39" i="4"/>
  <c r="AW39" i="4" s="1"/>
  <c r="AW38" i="4"/>
  <c r="BE25" i="4"/>
  <c r="BE21" i="4"/>
  <c r="BE2" i="4"/>
  <c r="BE8" i="4"/>
  <c r="BE9" i="4"/>
  <c r="BE31" i="4"/>
  <c r="BE33" i="4"/>
  <c r="BE19" i="4"/>
  <c r="BE30" i="4"/>
  <c r="BE32" i="4"/>
  <c r="BE40" i="4"/>
  <c r="BE7" i="4"/>
  <c r="BE10" i="4"/>
  <c r="BE12" i="4"/>
  <c r="BE14" i="4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2" i="1"/>
  <c r="BV3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2" i="1"/>
  <c r="N49" i="1"/>
  <c r="N47" i="1"/>
  <c r="E47" i="1"/>
  <c r="F40" i="1"/>
  <c r="E40" i="1"/>
  <c r="F44" i="1"/>
  <c r="D44" i="1"/>
  <c r="A44" i="1"/>
  <c r="E43" i="1"/>
  <c r="C43" i="1"/>
  <c r="A43" i="1"/>
  <c r="F42" i="1"/>
  <c r="D42" i="1"/>
  <c r="B42" i="1"/>
  <c r="A42" i="1"/>
  <c r="E41" i="1"/>
  <c r="J44" i="1" s="1"/>
  <c r="D41" i="1"/>
  <c r="B41" i="1"/>
  <c r="A41" i="1"/>
  <c r="F38" i="1"/>
  <c r="D36" i="1"/>
  <c r="D38" i="1"/>
  <c r="A38" i="1"/>
  <c r="D30" i="1"/>
  <c r="C37" i="1"/>
  <c r="A37" i="1"/>
  <c r="F36" i="1"/>
  <c r="A36" i="1"/>
  <c r="A30" i="1"/>
  <c r="B35" i="1"/>
  <c r="E35" i="1"/>
  <c r="A35" i="1"/>
  <c r="F31" i="1"/>
  <c r="AX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28" i="1"/>
  <c r="B36" i="1" s="1"/>
  <c r="F34" i="1"/>
  <c r="E34" i="1"/>
  <c r="R38" i="1"/>
  <c r="Q38" i="1"/>
  <c r="R34" i="1"/>
  <c r="Q34" i="1"/>
  <c r="F23" i="1"/>
  <c r="E23" i="1"/>
  <c r="F28" i="1"/>
  <c r="E28" i="1"/>
  <c r="L25" i="1"/>
  <c r="K25" i="1"/>
  <c r="R28" i="1"/>
  <c r="Q28" i="1"/>
  <c r="R23" i="1"/>
  <c r="Q23" i="1"/>
  <c r="R17" i="1"/>
  <c r="Q17" i="1"/>
  <c r="R12" i="1"/>
  <c r="Q12" i="1"/>
  <c r="L14" i="1"/>
  <c r="K14" i="1"/>
  <c r="F17" i="1"/>
  <c r="E17" i="1"/>
  <c r="F12" i="1"/>
  <c r="E12" i="1"/>
  <c r="F6" i="1"/>
  <c r="E6" i="1"/>
  <c r="L3" i="1"/>
  <c r="K3" i="1"/>
  <c r="R6" i="1"/>
  <c r="Q6" i="1"/>
  <c r="R1" i="1"/>
  <c r="Q1" i="1"/>
  <c r="Q44" i="1"/>
  <c r="N44" i="1"/>
  <c r="K44" i="1"/>
  <c r="P43" i="1"/>
  <c r="N43" i="1"/>
  <c r="M43" i="1"/>
  <c r="K43" i="1"/>
  <c r="J43" i="1"/>
  <c r="Q40" i="1"/>
  <c r="N40" i="1"/>
  <c r="K40" i="1"/>
  <c r="P39" i="1"/>
  <c r="N39" i="1"/>
  <c r="M39" i="1"/>
  <c r="K39" i="1"/>
  <c r="J39" i="1"/>
  <c r="Q36" i="1"/>
  <c r="N36" i="1"/>
  <c r="J36" i="1"/>
  <c r="R31" i="1"/>
  <c r="K36" i="1"/>
  <c r="P35" i="1"/>
  <c r="N35" i="1"/>
  <c r="M35" i="1"/>
  <c r="K35" i="1"/>
  <c r="J35" i="1"/>
  <c r="P31" i="1"/>
  <c r="M31" i="1"/>
  <c r="P30" i="1"/>
  <c r="M30" i="1"/>
  <c r="Q29" i="1"/>
  <c r="P29" i="1"/>
  <c r="N29" i="1"/>
  <c r="M29" i="1"/>
  <c r="R26" i="1"/>
  <c r="P26" i="1"/>
  <c r="M26" i="1"/>
  <c r="P25" i="1"/>
  <c r="M25" i="1"/>
  <c r="Q24" i="1"/>
  <c r="P24" i="1"/>
  <c r="N24" i="1"/>
  <c r="M24" i="1"/>
  <c r="L28" i="1"/>
  <c r="J28" i="1"/>
  <c r="G28" i="1"/>
  <c r="J27" i="1"/>
  <c r="G27" i="1"/>
  <c r="K26" i="1"/>
  <c r="J26" i="1"/>
  <c r="H26" i="1"/>
  <c r="G26" i="1"/>
  <c r="D31" i="1"/>
  <c r="A31" i="1"/>
  <c r="E29" i="1"/>
  <c r="D29" i="1"/>
  <c r="B29" i="1"/>
  <c r="A29" i="1"/>
  <c r="F26" i="1"/>
  <c r="D26" i="1"/>
  <c r="A26" i="1"/>
  <c r="D25" i="1"/>
  <c r="A25" i="1"/>
  <c r="E24" i="1"/>
  <c r="D24" i="1"/>
  <c r="B24" i="1"/>
  <c r="A24" i="1"/>
  <c r="R20" i="1"/>
  <c r="P20" i="1"/>
  <c r="M20" i="1"/>
  <c r="P19" i="1"/>
  <c r="M19" i="1"/>
  <c r="Q18" i="1"/>
  <c r="P18" i="1"/>
  <c r="N18" i="1"/>
  <c r="M18" i="1"/>
  <c r="R15" i="1"/>
  <c r="P15" i="1"/>
  <c r="M15" i="1"/>
  <c r="P14" i="1"/>
  <c r="M14" i="1"/>
  <c r="Q13" i="1"/>
  <c r="P13" i="1"/>
  <c r="N13" i="1"/>
  <c r="M13" i="1"/>
  <c r="L17" i="1"/>
  <c r="J17" i="1"/>
  <c r="G17" i="1"/>
  <c r="J16" i="1"/>
  <c r="G16" i="1"/>
  <c r="K15" i="1"/>
  <c r="J15" i="1"/>
  <c r="H15" i="1"/>
  <c r="G15" i="1"/>
  <c r="F15" i="1"/>
  <c r="D15" i="1"/>
  <c r="A15" i="1"/>
  <c r="D14" i="1"/>
  <c r="A14" i="1"/>
  <c r="E13" i="1"/>
  <c r="D13" i="1"/>
  <c r="B13" i="1"/>
  <c r="A13" i="1"/>
  <c r="F9" i="1"/>
  <c r="D9" i="1"/>
  <c r="A9" i="1"/>
  <c r="D8" i="1"/>
  <c r="A8" i="1"/>
  <c r="E7" i="1"/>
  <c r="D7" i="1"/>
  <c r="B7" i="1"/>
  <c r="A7" i="1"/>
  <c r="R9" i="1"/>
  <c r="P9" i="1"/>
  <c r="M9" i="1"/>
  <c r="P8" i="1"/>
  <c r="M8" i="1"/>
  <c r="Q7" i="1"/>
  <c r="P7" i="1"/>
  <c r="N7" i="1"/>
  <c r="M7" i="1"/>
  <c r="R4" i="1"/>
  <c r="P4" i="1"/>
  <c r="M4" i="1"/>
  <c r="P3" i="1"/>
  <c r="M3" i="1"/>
  <c r="Q2" i="1"/>
  <c r="P2" i="1"/>
  <c r="N2" i="1"/>
  <c r="M2" i="1"/>
  <c r="L6" i="1"/>
  <c r="J6" i="1"/>
  <c r="G6" i="1"/>
  <c r="K4" i="1"/>
  <c r="H4" i="1"/>
  <c r="G4" i="1"/>
  <c r="F4" i="1"/>
  <c r="D4" i="1"/>
  <c r="A4" i="1"/>
  <c r="F1" i="1"/>
  <c r="B2" i="1"/>
  <c r="E2" i="1"/>
  <c r="A2" i="1"/>
  <c r="E1" i="1"/>
  <c r="AY2" i="1"/>
  <c r="BR2" i="1"/>
  <c r="A48" i="1" s="1"/>
  <c r="BR3" i="1"/>
  <c r="BR4" i="1"/>
  <c r="BR5" i="1"/>
  <c r="BR6" i="1"/>
  <c r="BR7" i="1"/>
  <c r="BR8" i="1"/>
  <c r="BR9" i="1"/>
  <c r="BR10" i="1"/>
  <c r="BR11" i="1"/>
  <c r="BE41" i="1"/>
  <c r="BG41" i="1" s="1"/>
  <c r="BH41" i="1" s="1"/>
  <c r="BI41" i="1" s="1"/>
  <c r="BJ41" i="1" s="1"/>
  <c r="BE42" i="1"/>
  <c r="BG42" i="1" s="1"/>
  <c r="BH42" i="1" s="1"/>
  <c r="BI42" i="1" s="1"/>
  <c r="BJ42" i="1" s="1"/>
  <c r="BE43" i="1"/>
  <c r="BG43" i="1" s="1"/>
  <c r="BH43" i="1" s="1"/>
  <c r="BI43" i="1" s="1"/>
  <c r="BJ43" i="1" s="1"/>
  <c r="BE44" i="1"/>
  <c r="BG44" i="1" s="1"/>
  <c r="BH44" i="1" s="1"/>
  <c r="BI44" i="1" s="1"/>
  <c r="BJ44" i="1" s="1"/>
  <c r="BE45" i="1"/>
  <c r="BG45" i="1" s="1"/>
  <c r="BH45" i="1" s="1"/>
  <c r="BI45" i="1" s="1"/>
  <c r="BJ45" i="1" s="1"/>
  <c r="BE46" i="1"/>
  <c r="BG46" i="1" s="1"/>
  <c r="BH46" i="1" s="1"/>
  <c r="BI46" i="1" s="1"/>
  <c r="BJ46" i="1" s="1"/>
  <c r="BK46" i="1" s="1"/>
  <c r="BE47" i="1"/>
  <c r="BG47" i="1" s="1"/>
  <c r="BH47" i="1" s="1"/>
  <c r="BI47" i="1" s="1"/>
  <c r="BJ47" i="1" s="1"/>
  <c r="BE48" i="1"/>
  <c r="BG48" i="1" s="1"/>
  <c r="BH48" i="1" s="1"/>
  <c r="BI48" i="1" s="1"/>
  <c r="BJ48" i="1" s="1"/>
  <c r="BE49" i="1"/>
  <c r="BG49" i="1" s="1"/>
  <c r="BH49" i="1" s="1"/>
  <c r="BI49" i="1" s="1"/>
  <c r="BJ49" i="1" s="1"/>
  <c r="BE50" i="1"/>
  <c r="BG50" i="1" s="1"/>
  <c r="BH50" i="1" s="1"/>
  <c r="BI50" i="1" s="1"/>
  <c r="BJ50" i="1" s="1"/>
  <c r="BK50" i="1" s="1"/>
  <c r="AY3" i="1"/>
  <c r="AY4" i="1"/>
  <c r="J5" i="1" s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E37" i="1" s="1"/>
  <c r="J40" i="1" s="1"/>
  <c r="AY29" i="1"/>
  <c r="AY30" i="1"/>
  <c r="AY31" i="1"/>
  <c r="AY32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33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2" i="1"/>
  <c r="AW41" i="1"/>
  <c r="AW42" i="1"/>
  <c r="AW43" i="1"/>
  <c r="AW44" i="1"/>
  <c r="AW45" i="1"/>
  <c r="AW46" i="1"/>
  <c r="AW47" i="1"/>
  <c r="AW48" i="1"/>
  <c r="AW49" i="1"/>
  <c r="AW50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2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D35" i="1" s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2" i="1"/>
  <c r="J4" i="1" s="1"/>
  <c r="J23" i="3"/>
  <c r="J12" i="3"/>
  <c r="P29" i="3"/>
  <c r="N11" i="3"/>
  <c r="E14" i="3"/>
  <c r="A13" i="3"/>
  <c r="N14" i="3"/>
  <c r="E11" i="3"/>
  <c r="P27" i="3"/>
  <c r="G30" i="3"/>
  <c r="G28" i="3"/>
  <c r="D30" i="3"/>
  <c r="D29" i="3"/>
  <c r="J15" i="3"/>
  <c r="A11" i="3"/>
  <c r="N15" i="3"/>
  <c r="J14" i="3"/>
  <c r="G29" i="3"/>
  <c r="N13" i="3"/>
  <c r="C8" i="3"/>
  <c r="A12" i="3"/>
  <c r="E12" i="3"/>
  <c r="P30" i="3"/>
  <c r="M29" i="3"/>
  <c r="P28" i="3"/>
  <c r="M22" i="3"/>
  <c r="L8" i="3"/>
  <c r="D28" i="3"/>
  <c r="E15" i="3"/>
  <c r="M28" i="3"/>
  <c r="M30" i="3"/>
  <c r="J28" i="3"/>
  <c r="N12" i="3"/>
  <c r="J13" i="3"/>
  <c r="E13" i="3"/>
  <c r="A14" i="3"/>
  <c r="M27" i="3"/>
  <c r="J11" i="3"/>
  <c r="A15" i="3"/>
  <c r="BE40" i="1" l="1"/>
  <c r="BG20" i="4"/>
  <c r="BG18" i="4"/>
  <c r="BH18" i="4" s="1"/>
  <c r="BI18" i="4" s="1"/>
  <c r="BJ18" i="4" s="1"/>
  <c r="BK18" i="4" s="1"/>
  <c r="BL18" i="4" s="1"/>
  <c r="BM18" i="4" s="1"/>
  <c r="AW3" i="4"/>
  <c r="BG22" i="4"/>
  <c r="BG24" i="4"/>
  <c r="BG28" i="4"/>
  <c r="BG11" i="4"/>
  <c r="BH11" i="4" s="1"/>
  <c r="BI11" i="4" s="1"/>
  <c r="BJ11" i="4" s="1"/>
  <c r="BK11" i="4" s="1"/>
  <c r="BL11" i="4" s="1"/>
  <c r="BM11" i="4" s="1"/>
  <c r="BG15" i="4"/>
  <c r="AW17" i="4"/>
  <c r="BG36" i="4"/>
  <c r="BH36" i="4" s="1"/>
  <c r="BI36" i="4" s="1"/>
  <c r="BJ36" i="4" s="1"/>
  <c r="BK36" i="4" s="1"/>
  <c r="BL36" i="4" s="1"/>
  <c r="BM36" i="4" s="1"/>
  <c r="AW35" i="4"/>
  <c r="BG6" i="4"/>
  <c r="BG29" i="4"/>
  <c r="AW34" i="4"/>
  <c r="BG39" i="4"/>
  <c r="BH39" i="4" s="1"/>
  <c r="BI39" i="4" s="1"/>
  <c r="BJ39" i="4" s="1"/>
  <c r="BK39" i="4" s="1"/>
  <c r="BL39" i="4" s="1"/>
  <c r="BM39" i="4" s="1"/>
  <c r="BG4" i="4"/>
  <c r="BH4" i="4" s="1"/>
  <c r="BI4" i="4" s="1"/>
  <c r="BJ4" i="4" s="1"/>
  <c r="BK4" i="4" s="1"/>
  <c r="BL4" i="4" s="1"/>
  <c r="BM4" i="4" s="1"/>
  <c r="BG37" i="4"/>
  <c r="BH37" i="4" s="1"/>
  <c r="BI37" i="4" s="1"/>
  <c r="BJ37" i="4" s="1"/>
  <c r="BK37" i="4" s="1"/>
  <c r="BL37" i="4" s="1"/>
  <c r="BM37" i="4" s="1"/>
  <c r="BG40" i="4"/>
  <c r="BH40" i="4" s="1"/>
  <c r="BI40" i="4" s="1"/>
  <c r="BJ40" i="4" s="1"/>
  <c r="BK40" i="4" s="1"/>
  <c r="BL40" i="4" s="1"/>
  <c r="BM40" i="4" s="1"/>
  <c r="AW40" i="4"/>
  <c r="AW2" i="4"/>
  <c r="BG2" i="4"/>
  <c r="BH2" i="4" s="1"/>
  <c r="BI2" i="4" s="1"/>
  <c r="BJ2" i="4" s="1"/>
  <c r="BK2" i="4" s="1"/>
  <c r="BL2" i="4" s="1"/>
  <c r="BM2" i="4" s="1"/>
  <c r="BG30" i="4"/>
  <c r="BH30" i="4" s="1"/>
  <c r="BI30" i="4" s="1"/>
  <c r="BJ30" i="4" s="1"/>
  <c r="BK30" i="4" s="1"/>
  <c r="BL30" i="4" s="1"/>
  <c r="BM30" i="4" s="1"/>
  <c r="AW30" i="4"/>
  <c r="BG32" i="4"/>
  <c r="BH32" i="4" s="1"/>
  <c r="BI32" i="4" s="1"/>
  <c r="BJ32" i="4" s="1"/>
  <c r="BK32" i="4" s="1"/>
  <c r="BL32" i="4" s="1"/>
  <c r="BM32" i="4" s="1"/>
  <c r="AW32" i="4"/>
  <c r="BG19" i="4"/>
  <c r="BG14" i="4"/>
  <c r="BG33" i="4"/>
  <c r="BG21" i="4"/>
  <c r="AW12" i="4"/>
  <c r="BG12" i="4"/>
  <c r="BH12" i="4" s="1"/>
  <c r="BI12" i="4" s="1"/>
  <c r="BJ12" i="4" s="1"/>
  <c r="BK12" i="4" s="1"/>
  <c r="BL12" i="4" s="1"/>
  <c r="BM12" i="4" s="1"/>
  <c r="BG31" i="4"/>
  <c r="BH31" i="4" s="1"/>
  <c r="BI31" i="4" s="1"/>
  <c r="BJ31" i="4" s="1"/>
  <c r="BK31" i="4" s="1"/>
  <c r="BL31" i="4" s="1"/>
  <c r="BM31" i="4" s="1"/>
  <c r="AW31" i="4"/>
  <c r="BG25" i="4"/>
  <c r="AW10" i="4"/>
  <c r="BG10" i="4"/>
  <c r="BH10" i="4" s="1"/>
  <c r="BI10" i="4" s="1"/>
  <c r="BJ10" i="4" s="1"/>
  <c r="BK10" i="4" s="1"/>
  <c r="BL10" i="4" s="1"/>
  <c r="BM10" i="4" s="1"/>
  <c r="BG9" i="4"/>
  <c r="BH9" i="4" s="1"/>
  <c r="BI9" i="4" s="1"/>
  <c r="BJ9" i="4" s="1"/>
  <c r="BK9" i="4" s="1"/>
  <c r="BL9" i="4" s="1"/>
  <c r="BM9" i="4" s="1"/>
  <c r="AW9" i="4"/>
  <c r="AW7" i="4"/>
  <c r="BG7" i="4"/>
  <c r="BH7" i="4" s="1"/>
  <c r="BI7" i="4" s="1"/>
  <c r="BJ7" i="4" s="1"/>
  <c r="BK7" i="4" s="1"/>
  <c r="BL7" i="4" s="1"/>
  <c r="BM7" i="4" s="1"/>
  <c r="BG8" i="4"/>
  <c r="BH8" i="4" s="1"/>
  <c r="BI8" i="4" s="1"/>
  <c r="BJ8" i="4" s="1"/>
  <c r="BK8" i="4" s="1"/>
  <c r="BL8" i="4" s="1"/>
  <c r="BM8" i="4" s="1"/>
  <c r="AW8" i="4"/>
  <c r="J50" i="1"/>
  <c r="J48" i="1"/>
  <c r="D3" i="1"/>
  <c r="D2" i="1"/>
  <c r="A3" i="1"/>
  <c r="BG40" i="1"/>
  <c r="BE39" i="1"/>
  <c r="BG39" i="1" s="1"/>
  <c r="BE38" i="1"/>
  <c r="BG38" i="1" s="1"/>
  <c r="BE37" i="1"/>
  <c r="BG37" i="1" s="1"/>
  <c r="BE36" i="1"/>
  <c r="BG36" i="1" s="1"/>
  <c r="BE34" i="1"/>
  <c r="BG34" i="1" s="1"/>
  <c r="BE33" i="1"/>
  <c r="BG33" i="1" s="1"/>
  <c r="BE35" i="1"/>
  <c r="BG35" i="1" s="1"/>
  <c r="BE30" i="1"/>
  <c r="BE22" i="1"/>
  <c r="BE14" i="1"/>
  <c r="BE6" i="1"/>
  <c r="BE28" i="1"/>
  <c r="BE20" i="1"/>
  <c r="BE12" i="1"/>
  <c r="BE9" i="1"/>
  <c r="BE2" i="1"/>
  <c r="BE3" i="1"/>
  <c r="BE19" i="1"/>
  <c r="BE18" i="1"/>
  <c r="BE27" i="1"/>
  <c r="BE11" i="1"/>
  <c r="BE26" i="1"/>
  <c r="BG26" i="1" s="1"/>
  <c r="BE10" i="1"/>
  <c r="BE32" i="1"/>
  <c r="BE16" i="1"/>
  <c r="BE24" i="1"/>
  <c r="BE8" i="1"/>
  <c r="BE31" i="1"/>
  <c r="BE23" i="1"/>
  <c r="BE15" i="1"/>
  <c r="BE7" i="1"/>
  <c r="I28" i="3"/>
  <c r="R28" i="3"/>
  <c r="I29" i="3"/>
  <c r="I30" i="3"/>
  <c r="O28" i="3"/>
  <c r="O29" i="3"/>
  <c r="R29" i="3"/>
  <c r="O30" i="3"/>
  <c r="R30" i="3"/>
  <c r="F30" i="3"/>
  <c r="F29" i="3"/>
  <c r="F28" i="3"/>
  <c r="L12" i="3"/>
  <c r="L13" i="3"/>
  <c r="L15" i="3"/>
  <c r="L14" i="3"/>
  <c r="C15" i="3"/>
  <c r="C14" i="3"/>
  <c r="C13" i="3"/>
  <c r="C12" i="3"/>
  <c r="BE25" i="1"/>
  <c r="BG25" i="1" s="1"/>
  <c r="BE13" i="1"/>
  <c r="BE4" i="1"/>
  <c r="BE29" i="1"/>
  <c r="BE21" i="1"/>
  <c r="BE5" i="1"/>
  <c r="BE17" i="1"/>
  <c r="G5" i="1"/>
  <c r="BK49" i="1"/>
  <c r="BL49" i="1" s="1"/>
  <c r="BM49" i="1" s="1"/>
  <c r="BK45" i="1"/>
  <c r="BL45" i="1" s="1"/>
  <c r="BM45" i="1" s="1"/>
  <c r="BK41" i="1"/>
  <c r="BL41" i="1" s="1"/>
  <c r="BM41" i="1" s="1"/>
  <c r="BL46" i="1"/>
  <c r="BM46" i="1" s="1"/>
  <c r="BK42" i="1"/>
  <c r="BL42" i="1" s="1"/>
  <c r="BM42" i="1" s="1"/>
  <c r="BK48" i="1"/>
  <c r="BL48" i="1" s="1"/>
  <c r="BM48" i="1" s="1"/>
  <c r="BK44" i="1"/>
  <c r="BL44" i="1" s="1"/>
  <c r="BM44" i="1" s="1"/>
  <c r="BL50" i="1"/>
  <c r="BM50" i="1" s="1"/>
  <c r="BK47" i="1"/>
  <c r="BL47" i="1" s="1"/>
  <c r="BM47" i="1" s="1"/>
  <c r="BK43" i="1"/>
  <c r="BL43" i="1" s="1"/>
  <c r="BM43" i="1" s="1"/>
  <c r="AF46" i="1"/>
  <c r="AF47" i="1"/>
  <c r="AF48" i="1"/>
  <c r="AF49" i="1"/>
  <c r="AF50" i="1"/>
  <c r="AF45" i="1"/>
  <c r="AE46" i="1"/>
  <c r="AE47" i="1"/>
  <c r="AE48" i="1"/>
  <c r="AE49" i="1"/>
  <c r="AE50" i="1"/>
  <c r="AE45" i="1"/>
  <c r="J3" i="3"/>
  <c r="A3" i="3"/>
  <c r="T3" i="2"/>
  <c r="U3" i="2"/>
  <c r="V3" i="2"/>
  <c r="T4" i="2"/>
  <c r="U4" i="2"/>
  <c r="V4" i="2"/>
  <c r="T5" i="2"/>
  <c r="U5" i="2"/>
  <c r="V5" i="2"/>
  <c r="T6" i="2"/>
  <c r="U6" i="2"/>
  <c r="V6" i="2"/>
  <c r="T7" i="2"/>
  <c r="U7" i="2"/>
  <c r="V7" i="2"/>
  <c r="T8" i="2"/>
  <c r="U8" i="2"/>
  <c r="V8" i="2"/>
  <c r="T9" i="2"/>
  <c r="U9" i="2"/>
  <c r="V9" i="2"/>
  <c r="T10" i="2"/>
  <c r="U10" i="2"/>
  <c r="V10" i="2"/>
  <c r="T11" i="2"/>
  <c r="U11" i="2"/>
  <c r="V11" i="2"/>
  <c r="T12" i="2"/>
  <c r="U12" i="2"/>
  <c r="V12" i="2"/>
  <c r="T13" i="2"/>
  <c r="U13" i="2"/>
  <c r="V13" i="2"/>
  <c r="T14" i="2"/>
  <c r="U14" i="2"/>
  <c r="V14" i="2"/>
  <c r="T15" i="2"/>
  <c r="U15" i="2"/>
  <c r="V15" i="2"/>
  <c r="U2" i="2"/>
  <c r="V2" i="2"/>
  <c r="T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B2" i="2"/>
  <c r="AB4" i="3"/>
  <c r="P38" i="3" s="1"/>
  <c r="AB5" i="3"/>
  <c r="P39" i="3" s="1"/>
  <c r="AB6" i="3"/>
  <c r="P40" i="3" s="1"/>
  <c r="AB7" i="3"/>
  <c r="P41" i="3" s="1"/>
  <c r="AB8" i="3"/>
  <c r="P42" i="3" s="1"/>
  <c r="AB9" i="3"/>
  <c r="P43" i="3" s="1"/>
  <c r="AB10" i="3"/>
  <c r="P44" i="3" s="1"/>
  <c r="AB11" i="3"/>
  <c r="P45" i="3" s="1"/>
  <c r="AB12" i="3"/>
  <c r="P46" i="3" s="1"/>
  <c r="AB13" i="3"/>
  <c r="P47" i="3" s="1"/>
  <c r="AB14" i="3"/>
  <c r="P48" i="3" s="1"/>
  <c r="AB3" i="3"/>
  <c r="P37" i="3" s="1"/>
  <c r="AA4" i="3"/>
  <c r="O38" i="3" s="1"/>
  <c r="AA5" i="3"/>
  <c r="O39" i="3" s="1"/>
  <c r="AA6" i="3"/>
  <c r="O40" i="3" s="1"/>
  <c r="AA7" i="3"/>
  <c r="O41" i="3" s="1"/>
  <c r="AA8" i="3"/>
  <c r="O42" i="3" s="1"/>
  <c r="AA9" i="3"/>
  <c r="O43" i="3" s="1"/>
  <c r="AA10" i="3"/>
  <c r="O44" i="3" s="1"/>
  <c r="AA11" i="3"/>
  <c r="O45" i="3" s="1"/>
  <c r="AA12" i="3"/>
  <c r="O46" i="3" s="1"/>
  <c r="AA13" i="3"/>
  <c r="O47" i="3" s="1"/>
  <c r="AA14" i="3"/>
  <c r="O48" i="3" s="1"/>
  <c r="AA3" i="3"/>
  <c r="O37" i="3" s="1"/>
  <c r="W4" i="3"/>
  <c r="K38" i="3" s="1"/>
  <c r="W5" i="3"/>
  <c r="K39" i="3" s="1"/>
  <c r="W6" i="3"/>
  <c r="K40" i="3" s="1"/>
  <c r="W7" i="3"/>
  <c r="K41" i="3" s="1"/>
  <c r="W8" i="3"/>
  <c r="K42" i="3" s="1"/>
  <c r="W9" i="3"/>
  <c r="K43" i="3" s="1"/>
  <c r="W10" i="3"/>
  <c r="K44" i="3" s="1"/>
  <c r="W11" i="3"/>
  <c r="K45" i="3" s="1"/>
  <c r="W12" i="3"/>
  <c r="K46" i="3" s="1"/>
  <c r="W13" i="3"/>
  <c r="K47" i="3" s="1"/>
  <c r="W14" i="3"/>
  <c r="K48" i="3" s="1"/>
  <c r="W3" i="3"/>
  <c r="K37" i="3" s="1"/>
  <c r="E37" i="3"/>
  <c r="A37" i="3"/>
  <c r="G50" i="3"/>
  <c r="P26" i="3"/>
  <c r="M26" i="3"/>
  <c r="J30" i="3"/>
  <c r="P23" i="3"/>
  <c r="P22" i="3"/>
  <c r="M23" i="3"/>
  <c r="R26" i="3"/>
  <c r="P11" i="3"/>
  <c r="O27" i="3"/>
  <c r="L23" i="3"/>
  <c r="P13" i="3"/>
  <c r="O23" i="3"/>
  <c r="L28" i="3"/>
  <c r="P15" i="3"/>
  <c r="O22" i="3"/>
  <c r="P12" i="3"/>
  <c r="R22" i="3"/>
  <c r="L30" i="3"/>
  <c r="O26" i="3"/>
  <c r="P14" i="3"/>
  <c r="R23" i="3"/>
  <c r="R27" i="3"/>
  <c r="L11" i="3"/>
  <c r="G13" i="3"/>
  <c r="G15" i="3"/>
  <c r="G12" i="3"/>
  <c r="G11" i="3"/>
  <c r="G14" i="3"/>
  <c r="C11" i="3"/>
  <c r="BH29" i="4" l="1"/>
  <c r="BI29" i="4" s="1"/>
  <c r="BH24" i="4"/>
  <c r="BI24" i="4" s="1"/>
  <c r="BH19" i="4"/>
  <c r="BH22" i="4"/>
  <c r="BH21" i="4"/>
  <c r="BH20" i="4"/>
  <c r="BH27" i="4"/>
  <c r="BH28" i="4"/>
  <c r="BI28" i="4" s="1"/>
  <c r="BH23" i="4"/>
  <c r="BH15" i="4"/>
  <c r="BH14" i="4"/>
  <c r="BH13" i="4"/>
  <c r="BH6" i="4"/>
  <c r="BH5" i="4"/>
  <c r="AW24" i="4"/>
  <c r="AW28" i="4"/>
  <c r="AW29" i="4"/>
  <c r="BH33" i="4"/>
  <c r="BH16" i="4"/>
  <c r="BH25" i="4"/>
  <c r="BI25" i="4" s="1"/>
  <c r="BH26" i="4"/>
  <c r="H5" i="3"/>
  <c r="R5" i="3"/>
  <c r="BG31" i="1"/>
  <c r="AW5" i="1"/>
  <c r="BG5" i="1"/>
  <c r="BH5" i="1" s="1"/>
  <c r="BI5" i="1" s="1"/>
  <c r="AW14" i="1"/>
  <c r="BG14" i="1"/>
  <c r="BH14" i="1" s="1"/>
  <c r="BI14" i="1" s="1"/>
  <c r="BG19" i="1"/>
  <c r="BG20" i="1"/>
  <c r="BG10" i="1"/>
  <c r="AW9" i="1"/>
  <c r="BG9" i="1"/>
  <c r="BH9" i="1" s="1"/>
  <c r="BI9" i="1" s="1"/>
  <c r="BG22" i="1"/>
  <c r="AW15" i="1"/>
  <c r="BG15" i="1"/>
  <c r="BH15" i="1" s="1"/>
  <c r="BI15" i="1" s="1"/>
  <c r="BG32" i="1"/>
  <c r="AW4" i="1"/>
  <c r="BG4" i="1"/>
  <c r="BH4" i="1" s="1"/>
  <c r="BI4" i="1" s="1"/>
  <c r="AW7" i="1"/>
  <c r="BG7" i="1"/>
  <c r="BH7" i="1" s="1"/>
  <c r="BI7" i="1" s="1"/>
  <c r="BG23" i="1"/>
  <c r="AW8" i="1"/>
  <c r="BG8" i="1"/>
  <c r="BH8" i="1" s="1"/>
  <c r="BI8" i="1" s="1"/>
  <c r="BG24" i="1"/>
  <c r="BH24" i="1" s="1"/>
  <c r="BI24" i="1" s="1"/>
  <c r="AW18" i="1"/>
  <c r="BG18" i="1"/>
  <c r="BH18" i="1" s="1"/>
  <c r="BI18" i="1" s="1"/>
  <c r="AW13" i="1"/>
  <c r="BG13" i="1"/>
  <c r="BH13" i="1" s="1"/>
  <c r="BI13" i="1" s="1"/>
  <c r="BG29" i="1"/>
  <c r="BG30" i="1"/>
  <c r="AW16" i="1"/>
  <c r="BG16" i="1"/>
  <c r="BH16" i="1" s="1"/>
  <c r="BI16" i="1" s="1"/>
  <c r="BG21" i="1"/>
  <c r="BG11" i="1"/>
  <c r="BH11" i="1" s="1"/>
  <c r="BI11" i="1" s="1"/>
  <c r="BG27" i="1"/>
  <c r="BH27" i="1" s="1"/>
  <c r="BI27" i="1" s="1"/>
  <c r="AW12" i="1"/>
  <c r="BG12" i="1"/>
  <c r="BH12" i="1" s="1"/>
  <c r="BI12" i="1" s="1"/>
  <c r="BG28" i="1"/>
  <c r="AW17" i="1"/>
  <c r="BG17" i="1"/>
  <c r="BH17" i="1" s="1"/>
  <c r="BI17" i="1" s="1"/>
  <c r="AW6" i="1"/>
  <c r="BG6" i="1"/>
  <c r="BH6" i="1" s="1"/>
  <c r="BI6" i="1" s="1"/>
  <c r="AW3" i="1"/>
  <c r="BG3" i="1"/>
  <c r="BH3" i="1" s="1"/>
  <c r="BI3" i="1" s="1"/>
  <c r="AW2" i="1"/>
  <c r="BG2" i="1"/>
  <c r="L5" i="3"/>
  <c r="N5" i="3"/>
  <c r="I5" i="3"/>
  <c r="M5" i="3"/>
  <c r="C5" i="3"/>
  <c r="P5" i="3"/>
  <c r="D5" i="3"/>
  <c r="G5" i="3"/>
  <c r="Q5" i="3"/>
  <c r="E5" i="3"/>
  <c r="BD3" i="2"/>
  <c r="BE2" i="2"/>
  <c r="BE10" i="2"/>
  <c r="BD14" i="2"/>
  <c r="BE13" i="2"/>
  <c r="BE9" i="2"/>
  <c r="BE5" i="2"/>
  <c r="BE14" i="2"/>
  <c r="BE6" i="2"/>
  <c r="BE12" i="2"/>
  <c r="BE8" i="2"/>
  <c r="Q6" i="3" s="1"/>
  <c r="BE4" i="2"/>
  <c r="BD6" i="2"/>
  <c r="BE15" i="2"/>
  <c r="H6" i="3" s="1"/>
  <c r="BE11" i="2"/>
  <c r="BE7" i="2"/>
  <c r="BE3" i="2"/>
  <c r="BD10" i="2"/>
  <c r="BD13" i="2"/>
  <c r="BD9" i="2"/>
  <c r="BD5" i="2"/>
  <c r="BD2" i="2"/>
  <c r="BD12" i="2"/>
  <c r="BD8" i="2"/>
  <c r="P6" i="3" s="1"/>
  <c r="BD4" i="2"/>
  <c r="BD15" i="2"/>
  <c r="G6" i="3" s="1"/>
  <c r="BD11" i="2"/>
  <c r="BD7" i="2"/>
  <c r="BF10" i="2"/>
  <c r="BF13" i="2"/>
  <c r="BF9" i="2"/>
  <c r="BF5" i="2"/>
  <c r="BF14" i="2"/>
  <c r="BF6" i="2"/>
  <c r="BF2" i="2"/>
  <c r="BF12" i="2"/>
  <c r="BF8" i="2"/>
  <c r="R6" i="3" s="1"/>
  <c r="BF4" i="2"/>
  <c r="BF15" i="2"/>
  <c r="I6" i="3" s="1"/>
  <c r="BF11" i="2"/>
  <c r="BF7" i="2"/>
  <c r="BF3" i="2"/>
  <c r="BC3" i="2"/>
  <c r="BC10" i="2"/>
  <c r="BC13" i="2"/>
  <c r="BC9" i="2"/>
  <c r="BC5" i="2"/>
  <c r="BC14" i="2"/>
  <c r="BC6" i="2"/>
  <c r="BC2" i="2"/>
  <c r="BC12" i="2"/>
  <c r="BC8" i="2"/>
  <c r="BC4" i="2"/>
  <c r="BC15" i="2"/>
  <c r="BC11" i="2"/>
  <c r="BC7" i="2"/>
  <c r="A21" i="3"/>
  <c r="D21" i="3"/>
  <c r="G23" i="3"/>
  <c r="A22" i="3"/>
  <c r="A30" i="3"/>
  <c r="G20" i="3"/>
  <c r="A27" i="3"/>
  <c r="G19" i="3"/>
  <c r="BH32" i="1" l="1"/>
  <c r="BI32" i="1" s="1"/>
  <c r="BH35" i="1"/>
  <c r="BI35" i="1" s="1"/>
  <c r="BH21" i="1"/>
  <c r="BI21" i="1" s="1"/>
  <c r="BH40" i="1"/>
  <c r="BH38" i="1"/>
  <c r="BH37" i="1"/>
  <c r="BH39" i="1"/>
  <c r="BH33" i="1"/>
  <c r="BH36" i="1"/>
  <c r="AW27" i="1"/>
  <c r="BH34" i="1"/>
  <c r="BH31" i="1"/>
  <c r="BH30" i="1"/>
  <c r="BI30" i="1" s="1"/>
  <c r="BH23" i="1"/>
  <c r="AW24" i="1"/>
  <c r="BH29" i="1"/>
  <c r="BH28" i="1"/>
  <c r="BH19" i="1"/>
  <c r="BH22" i="1"/>
  <c r="BH20" i="1"/>
  <c r="BH10" i="1"/>
  <c r="AW11" i="1"/>
  <c r="BI19" i="4"/>
  <c r="AW19" i="4"/>
  <c r="BI23" i="4"/>
  <c r="AW23" i="4"/>
  <c r="BI27" i="4"/>
  <c r="AW27" i="4"/>
  <c r="BI20" i="4"/>
  <c r="AW20" i="4"/>
  <c r="BI21" i="4"/>
  <c r="AW21" i="4"/>
  <c r="BI22" i="4"/>
  <c r="AW22" i="4"/>
  <c r="BI13" i="4"/>
  <c r="AW13" i="4"/>
  <c r="BI14" i="4"/>
  <c r="AW14" i="4"/>
  <c r="BI15" i="4"/>
  <c r="BJ15" i="4" s="1"/>
  <c r="BK15" i="4" s="1"/>
  <c r="AW15" i="4"/>
  <c r="BI5" i="4"/>
  <c r="BJ5" i="4" s="1"/>
  <c r="BK5" i="4" s="1"/>
  <c r="BL5" i="4" s="1"/>
  <c r="BM5" i="4" s="1"/>
  <c r="AW5" i="4"/>
  <c r="BI6" i="4"/>
  <c r="BJ6" i="4" s="1"/>
  <c r="BK6" i="4" s="1"/>
  <c r="BL6" i="4" s="1"/>
  <c r="BM6" i="4" s="1"/>
  <c r="AW6" i="4"/>
  <c r="BI16" i="4"/>
  <c r="BJ16" i="4" s="1"/>
  <c r="BK16" i="4" s="1"/>
  <c r="AW16" i="4"/>
  <c r="BI33" i="4"/>
  <c r="BJ33" i="4" s="1"/>
  <c r="BK33" i="4" s="1"/>
  <c r="BL33" i="4" s="1"/>
  <c r="BM33" i="4" s="1"/>
  <c r="AW33" i="4"/>
  <c r="AW25" i="4"/>
  <c r="BI26" i="4"/>
  <c r="BJ26" i="4" s="1"/>
  <c r="BK26" i="4" s="1"/>
  <c r="BH25" i="1"/>
  <c r="BH26" i="1"/>
  <c r="BH2" i="1"/>
  <c r="BI2" i="1" s="1"/>
  <c r="H30" i="1"/>
  <c r="H19" i="1"/>
  <c r="A20" i="3"/>
  <c r="A26" i="3"/>
  <c r="D20" i="3"/>
  <c r="J26" i="3"/>
  <c r="L26" i="3" s="1"/>
  <c r="P20" i="3"/>
  <c r="R20" i="3" s="1"/>
  <c r="J21" i="3"/>
  <c r="L21" i="3" s="1"/>
  <c r="J22" i="3"/>
  <c r="L22" i="3" s="1"/>
  <c r="P21" i="3"/>
  <c r="R21" i="3" s="1"/>
  <c r="J27" i="3"/>
  <c r="L27" i="3" s="1"/>
  <c r="M21" i="3"/>
  <c r="O21" i="3" s="1"/>
  <c r="M20" i="3"/>
  <c r="O20" i="3" s="1"/>
  <c r="J20" i="3"/>
  <c r="L20" i="3" s="1"/>
  <c r="J29" i="3"/>
  <c r="L29" i="3" s="1"/>
  <c r="P19" i="3"/>
  <c r="R19" i="3" s="1"/>
  <c r="J19" i="3"/>
  <c r="L19" i="3" s="1"/>
  <c r="M19" i="3"/>
  <c r="O19" i="3" s="1"/>
  <c r="C30" i="3"/>
  <c r="F21" i="3"/>
  <c r="I19" i="3"/>
  <c r="C20" i="3"/>
  <c r="F20" i="3"/>
  <c r="C22" i="3"/>
  <c r="I20" i="3"/>
  <c r="I23" i="3"/>
  <c r="C27" i="3"/>
  <c r="C26" i="3"/>
  <c r="C21" i="3"/>
  <c r="AW32" i="1" l="1"/>
  <c r="AW35" i="1"/>
  <c r="BI39" i="1"/>
  <c r="AW39" i="1"/>
  <c r="BI38" i="1"/>
  <c r="AW38" i="1"/>
  <c r="BI37" i="1"/>
  <c r="AW37" i="1"/>
  <c r="AW21" i="1"/>
  <c r="BI31" i="1"/>
  <c r="AW31" i="1"/>
  <c r="BI34" i="1"/>
  <c r="AW34" i="1"/>
  <c r="BI40" i="1"/>
  <c r="AW40" i="1"/>
  <c r="BI36" i="1"/>
  <c r="AW36" i="1"/>
  <c r="BI33" i="1"/>
  <c r="AW30" i="1"/>
  <c r="BI23" i="1"/>
  <c r="AW23" i="1"/>
  <c r="BI28" i="1"/>
  <c r="AW28" i="1"/>
  <c r="BI29" i="1"/>
  <c r="AW29" i="1"/>
  <c r="BI20" i="1"/>
  <c r="BJ35" i="1" s="1"/>
  <c r="BK35" i="1" s="1"/>
  <c r="AW20" i="1"/>
  <c r="BI22" i="1"/>
  <c r="BJ22" i="1" s="1"/>
  <c r="BK22" i="1" s="1"/>
  <c r="AW22" i="1"/>
  <c r="BI19" i="1"/>
  <c r="AW19" i="1"/>
  <c r="BI10" i="1"/>
  <c r="BJ10" i="1" s="1"/>
  <c r="BK10" i="1" s="1"/>
  <c r="AW10" i="1"/>
  <c r="BJ29" i="4"/>
  <c r="BK29" i="4" s="1"/>
  <c r="BJ24" i="4"/>
  <c r="BK24" i="4" s="1"/>
  <c r="BJ19" i="4"/>
  <c r="BK19" i="4" s="1"/>
  <c r="BJ21" i="4"/>
  <c r="BK21" i="4" s="1"/>
  <c r="BJ20" i="4"/>
  <c r="BK20" i="4" s="1"/>
  <c r="BJ27" i="4"/>
  <c r="BK27" i="4" s="1"/>
  <c r="BJ22" i="4"/>
  <c r="BK22" i="4" s="1"/>
  <c r="BJ28" i="4"/>
  <c r="BK28" i="4" s="1"/>
  <c r="BJ25" i="4"/>
  <c r="BK25" i="4" s="1"/>
  <c r="BJ23" i="4"/>
  <c r="BK23" i="4" s="1"/>
  <c r="BL23" i="4" s="1"/>
  <c r="BM23" i="4" s="1"/>
  <c r="BL15" i="4"/>
  <c r="BM15" i="4" s="1"/>
  <c r="BL16" i="4"/>
  <c r="BM16" i="4" s="1"/>
  <c r="BJ14" i="4"/>
  <c r="BK14" i="4" s="1"/>
  <c r="BL14" i="4" s="1"/>
  <c r="BM14" i="4" s="1"/>
  <c r="BJ13" i="4"/>
  <c r="BK13" i="4" s="1"/>
  <c r="BL13" i="4" s="1"/>
  <c r="BM13" i="4" s="1"/>
  <c r="AW26" i="4"/>
  <c r="AW26" i="1"/>
  <c r="BI26" i="1"/>
  <c r="AW25" i="1"/>
  <c r="BI25" i="1"/>
  <c r="BJ25" i="1" s="1"/>
  <c r="BK25" i="1" s="1"/>
  <c r="BJ18" i="1"/>
  <c r="BK18" i="1" s="1"/>
  <c r="BJ14" i="1"/>
  <c r="BK14" i="1" s="1"/>
  <c r="BJ6" i="1"/>
  <c r="BK6" i="1" s="1"/>
  <c r="BJ2" i="1"/>
  <c r="BK2" i="1" s="1"/>
  <c r="BJ21" i="1"/>
  <c r="BK21" i="1" s="1"/>
  <c r="BJ17" i="1"/>
  <c r="BK17" i="1" s="1"/>
  <c r="BJ13" i="1"/>
  <c r="BK13" i="1" s="1"/>
  <c r="BJ9" i="1"/>
  <c r="BK9" i="1" s="1"/>
  <c r="BJ5" i="1"/>
  <c r="BK5" i="1" s="1"/>
  <c r="BJ23" i="1"/>
  <c r="BK23" i="1" s="1"/>
  <c r="BJ11" i="1"/>
  <c r="BK11" i="1" s="1"/>
  <c r="BJ3" i="1"/>
  <c r="BK3" i="1" s="1"/>
  <c r="BJ32" i="1"/>
  <c r="BK32" i="1" s="1"/>
  <c r="BJ20" i="1"/>
  <c r="BK20" i="1" s="1"/>
  <c r="BJ16" i="1"/>
  <c r="BK16" i="1" s="1"/>
  <c r="BJ12" i="1"/>
  <c r="BK12" i="1" s="1"/>
  <c r="BJ8" i="1"/>
  <c r="BK8" i="1" s="1"/>
  <c r="BJ4" i="1"/>
  <c r="BK4" i="1" s="1"/>
  <c r="BJ27" i="1"/>
  <c r="BK27" i="1" s="1"/>
  <c r="BJ19" i="1"/>
  <c r="BK19" i="1" s="1"/>
  <c r="BJ15" i="1"/>
  <c r="BK15" i="1" s="1"/>
  <c r="BJ7" i="1"/>
  <c r="BK7" i="1" s="1"/>
  <c r="A28" i="3"/>
  <c r="C28" i="3" s="1"/>
  <c r="D22" i="3"/>
  <c r="F22" i="3" s="1"/>
  <c r="A23" i="3"/>
  <c r="C23" i="3" s="1"/>
  <c r="G21" i="3"/>
  <c r="I21" i="3" s="1"/>
  <c r="G26" i="3"/>
  <c r="I26" i="3" s="1"/>
  <c r="D26" i="3"/>
  <c r="F26" i="3" s="1"/>
  <c r="D19" i="3"/>
  <c r="F19" i="3" s="1"/>
  <c r="A19" i="3"/>
  <c r="C19" i="3" s="1"/>
  <c r="D23" i="3"/>
  <c r="F23" i="3" s="1"/>
  <c r="G22" i="3"/>
  <c r="I22" i="3" s="1"/>
  <c r="A29" i="3"/>
  <c r="C29" i="3" s="1"/>
  <c r="G27" i="3"/>
  <c r="I27" i="3" s="1"/>
  <c r="D27" i="3"/>
  <c r="F27" i="3" s="1"/>
  <c r="BJ31" i="1" l="1"/>
  <c r="BK31" i="1" s="1"/>
  <c r="BJ33" i="1"/>
  <c r="BJ36" i="1"/>
  <c r="BK36" i="1" s="1"/>
  <c r="BJ37" i="1"/>
  <c r="BK37" i="1" s="1"/>
  <c r="BJ40" i="1"/>
  <c r="BK40" i="1" s="1"/>
  <c r="BJ38" i="1"/>
  <c r="BK38" i="1" s="1"/>
  <c r="BJ34" i="1"/>
  <c r="BK34" i="1" s="1"/>
  <c r="BJ39" i="1"/>
  <c r="BK39" i="1" s="1"/>
  <c r="BJ29" i="1"/>
  <c r="BK29" i="1" s="1"/>
  <c r="BJ28" i="1"/>
  <c r="BK28" i="1" s="1"/>
  <c r="BJ24" i="1"/>
  <c r="BK24" i="1" s="1"/>
  <c r="BL24" i="1" s="1"/>
  <c r="BM24" i="1" s="1"/>
  <c r="BJ30" i="1"/>
  <c r="BK30" i="1" s="1"/>
  <c r="BJ26" i="1"/>
  <c r="BK26" i="1" s="1"/>
  <c r="BL25" i="1" s="1"/>
  <c r="BM25" i="1" s="1"/>
  <c r="BL19" i="4"/>
  <c r="BM19" i="4" s="1"/>
  <c r="BL24" i="4"/>
  <c r="BM24" i="4" s="1"/>
  <c r="BL29" i="4"/>
  <c r="BM29" i="4" s="1"/>
  <c r="BL25" i="4"/>
  <c r="BM25" i="4" s="1"/>
  <c r="BL28" i="4"/>
  <c r="BM28" i="4" s="1"/>
  <c r="BL22" i="4"/>
  <c r="BM22" i="4" s="1"/>
  <c r="BL27" i="4"/>
  <c r="BM27" i="4" s="1"/>
  <c r="BL26" i="4"/>
  <c r="BM26" i="4" s="1"/>
  <c r="BL20" i="4"/>
  <c r="BM20" i="4" s="1"/>
  <c r="BL21" i="4"/>
  <c r="BM21" i="4" s="1"/>
  <c r="BL20" i="1"/>
  <c r="BM20" i="1" s="1"/>
  <c r="BL16" i="1"/>
  <c r="BM16" i="1" s="1"/>
  <c r="BL12" i="1"/>
  <c r="BM12" i="1" s="1"/>
  <c r="BL8" i="1"/>
  <c r="BM8" i="1" s="1"/>
  <c r="BL4" i="1"/>
  <c r="BM4" i="1" s="1"/>
  <c r="BL22" i="1"/>
  <c r="BM22" i="1" s="1"/>
  <c r="BL18" i="1"/>
  <c r="BM18" i="1" s="1"/>
  <c r="BL14" i="1"/>
  <c r="BM14" i="1" s="1"/>
  <c r="BL10" i="1"/>
  <c r="BM10" i="1" s="1"/>
  <c r="BL6" i="1"/>
  <c r="BM6" i="1" s="1"/>
  <c r="BL2" i="1"/>
  <c r="BM2" i="1" s="1"/>
  <c r="BL21" i="1"/>
  <c r="BM21" i="1" s="1"/>
  <c r="BL13" i="1"/>
  <c r="BM13" i="1" s="1"/>
  <c r="BL5" i="1"/>
  <c r="BM5" i="1" s="1"/>
  <c r="BL23" i="1"/>
  <c r="BM23" i="1" s="1"/>
  <c r="BL19" i="1"/>
  <c r="BM19" i="1" s="1"/>
  <c r="BL15" i="1"/>
  <c r="BM15" i="1" s="1"/>
  <c r="BL11" i="1"/>
  <c r="BM11" i="1" s="1"/>
  <c r="BL7" i="1"/>
  <c r="BM7" i="1" s="1"/>
  <c r="BL3" i="1"/>
  <c r="BM3" i="1" s="1"/>
  <c r="BL9" i="1"/>
  <c r="BM9" i="1" s="1"/>
  <c r="BL17" i="1"/>
  <c r="BM17" i="1" s="1"/>
  <c r="BK33" i="1" l="1"/>
  <c r="BL32" i="1" s="1"/>
  <c r="BM32" i="1" s="1"/>
  <c r="BL27" i="1"/>
  <c r="BM27" i="1" s="1"/>
  <c r="BL30" i="1"/>
  <c r="BM30" i="1" s="1"/>
  <c r="BL40" i="1"/>
  <c r="BM40" i="1" s="1"/>
  <c r="BL29" i="1"/>
  <c r="BM29" i="1" s="1"/>
  <c r="BL26" i="1"/>
  <c r="BM26" i="1" s="1"/>
  <c r="BL28" i="1" l="1"/>
  <c r="BM28" i="1" s="1"/>
  <c r="BL38" i="1"/>
  <c r="BM38" i="1" s="1"/>
  <c r="BL31" i="1"/>
  <c r="BM31" i="1" s="1"/>
  <c r="BL35" i="1"/>
  <c r="BM35" i="1" s="1"/>
  <c r="BL33" i="1"/>
  <c r="BM33" i="1" s="1"/>
  <c r="BL36" i="1"/>
  <c r="BM36" i="1" s="1"/>
  <c r="BL39" i="1"/>
  <c r="BM39" i="1" s="1"/>
  <c r="BL34" i="1"/>
  <c r="BM34" i="1" s="1"/>
  <c r="BL37" i="1"/>
  <c r="BM37" i="1" s="1"/>
  <c r="AW33" i="1"/>
</calcChain>
</file>

<file path=xl/connections.xml><?xml version="1.0" encoding="utf-8"?>
<connections xmlns="http://schemas.openxmlformats.org/spreadsheetml/2006/main">
  <connection id="1" name="league_table" type="6" refreshedVersion="5" background="1" refreshOnLoad="1" saveData="1">
    <textPr prompt="0" codePage="65001" sourceFile="D:\klima\Documents\SKV\pripravy\aktualni\csv\league_table.csv" thousands=" " tab="0" comma="1">
      <textFields count="34">
        <textField type="skip"/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 type="skip"/>
        <textField type="skip"/>
        <textField/>
      </textFields>
    </textPr>
  </connection>
  <connection id="2" name="LIB_bestof" type="6" refreshedVersion="5" background="1" refreshOnLoad="1" saveData="1">
    <textPr prompt="0" codePage="65001" sourceFile="D:\klima\Documents\SKV\pripravy\aktualni\csv\LIB_bestof.csv" thousands=" " tab="0" comma="1">
      <textFields count="4">
        <textField type="skip"/>
        <textField/>
        <textField type="skip"/>
        <textField/>
      </textFields>
    </textPr>
  </connection>
  <connection id="3" name="LIB_goalies" type="6" refreshedVersion="5" background="1" refreshOnLoad="1" saveData="1">
    <textPr prompt="0" codePage="65001" sourceFile="D:\klima\Documents\SKV\pripravy\aktualni\csv\LIB_goalies.csv" thousands=" " tab="0" comma="1">
      <textFields count="15">
        <textField type="skip"/>
        <textField/>
        <textField type="skip"/>
        <textField type="skip"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LIB_matches" type="6" refreshedVersion="5" background="1" refreshOnLoad="1" saveData="1">
    <textPr prompt="0" codePage="65001" sourceFile="D:\klima\Documents\SKV\pripravy\aktualni\csv\LIB_matches.csv" thousands=" " tab="0" comma="1">
      <textFields count="3">
        <textField/>
        <textField/>
        <textField type="text"/>
      </textFields>
    </textPr>
  </connection>
  <connection id="5" name="LIB_players" type="6" refreshedVersion="5" background="1" refreshOnLoad="1" saveData="1">
    <textPr prompt="0" codePage="65001" sourceFile="D:\klima\Documents\SKV\pripravy\aktualni\csv\LIB_players.csv" thousands=" " tab="0" comma="1">
      <textFields count="14">
        <textField type="skip"/>
        <textField/>
        <textField type="skip"/>
        <textField/>
        <textField/>
        <textField/>
        <textField/>
        <textField/>
        <textField/>
        <textField/>
        <textField/>
        <textField type="skip"/>
        <textField type="skip"/>
        <textField/>
      </textFields>
    </textPr>
  </connection>
  <connection id="6" name="SKV_bestof" type="6" refreshedVersion="5" background="1" refreshOnLoad="1" saveData="1">
    <textPr prompt="0" codePage="65001" sourceFile="D:\klima\Documents\SKV\pripravy\aktualni\csv\SKV_bestof.csv" thousands=" " tab="0" comma="1">
      <textFields count="4">
        <textField type="skip"/>
        <textField/>
        <textField type="skip"/>
        <textField/>
      </textFields>
    </textPr>
  </connection>
  <connection id="7" name="SKV_goalies" type="6" refreshedVersion="5" background="1" refreshOnLoad="1" saveData="1">
    <textPr prompt="0" codePage="65001" sourceFile="D:\klima\Documents\SKV\pripravy\aktualni\csv\SKV_goalies.csv" thousands=" " tab="0" comma="1">
      <textFields count="15">
        <textField type="skip"/>
        <textField/>
        <textField type="skip"/>
        <textField type="skip"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SKV_matches" type="6" refreshedVersion="5" background="1" refreshOnLoad="1" saveData="1">
    <textPr prompt="0" codePage="65001" sourceFile="D:\klima\Documents\SKV\pripravy\aktualni\csv\SKV_matches.csv" thousands=" " tab="0" comma="1">
      <textFields count="3">
        <textField/>
        <textField/>
        <textField type="text"/>
      </textFields>
    </textPr>
  </connection>
  <connection id="9" name="SKV_players" type="6" refreshedVersion="5" background="1" refreshOnLoad="1" saveData="1">
    <textPr prompt="0" codePage="65001" sourceFile="D:\klima\Documents\SKV\pripravy\aktualni\csv\SKV_players.csv" thousands=" " tab="0" comma="1">
      <textFields count="14">
        <textField type="skip"/>
        <textField/>
        <textField type="skip"/>
        <textField/>
        <textField/>
        <textField/>
        <textField/>
        <textField/>
        <textField/>
        <textField/>
        <textField/>
        <textField type="skip"/>
        <textField type="skip"/>
        <textField/>
      </textFields>
    </textPr>
  </connection>
</connections>
</file>

<file path=xl/sharedStrings.xml><?xml version="1.0" encoding="utf-8"?>
<sst xmlns="http://schemas.openxmlformats.org/spreadsheetml/2006/main" count="681" uniqueCount="322">
  <si>
    <t>Vojtěch Klápa</t>
  </si>
  <si>
    <t>1. řada</t>
  </si>
  <si>
    <t>Milan Bína</t>
  </si>
  <si>
    <t>Daniel Cabejšek</t>
  </si>
  <si>
    <t>Štěpán Čuda</t>
  </si>
  <si>
    <t>SKV</t>
  </si>
  <si>
    <t>Jan Fiala</t>
  </si>
  <si>
    <t>2. řada</t>
  </si>
  <si>
    <t>Lukáš Gregor</t>
  </si>
  <si>
    <t>Zbyněk Stuchlík</t>
  </si>
  <si>
    <t>Ondřej Stuchlík</t>
  </si>
  <si>
    <t>Oliver Gold</t>
  </si>
  <si>
    <t>Jiří Lebeda</t>
  </si>
  <si>
    <t>3. řada</t>
  </si>
  <si>
    <t>Petr Hartman</t>
  </si>
  <si>
    <t>Karel Šantora</t>
  </si>
  <si>
    <t>Brankáři a náhradníci</t>
  </si>
  <si>
    <t>Jan Pinkas</t>
  </si>
  <si>
    <t>Matyáš Lorenc</t>
  </si>
  <si>
    <t>Marek Paštika</t>
  </si>
  <si>
    <t>Michal Kotlas</t>
  </si>
  <si>
    <t>David Bouša</t>
  </si>
  <si>
    <t>Boleslav Kytka</t>
  </si>
  <si>
    <t>MB</t>
  </si>
  <si>
    <t>CHO</t>
  </si>
  <si>
    <t>Tabulka</t>
  </si>
  <si>
    <t>V</t>
  </si>
  <si>
    <t>P</t>
  </si>
  <si>
    <t>Skóre</t>
  </si>
  <si>
    <t>%P</t>
  </si>
  <si>
    <t>%O</t>
  </si>
  <si>
    <t>TM</t>
  </si>
  <si>
    <t>Série:</t>
  </si>
  <si>
    <t>Posledních 5 zápasů:</t>
  </si>
  <si>
    <t>Následující zápasy:</t>
  </si>
  <si>
    <t>STATISTIKY</t>
  </si>
  <si>
    <t>Body</t>
  </si>
  <si>
    <t>Góly</t>
  </si>
  <si>
    <t>Asistence</t>
  </si>
  <si>
    <t>Trestné minuty</t>
  </si>
  <si>
    <t>OG/Z</t>
  </si>
  <si>
    <t>Výhry</t>
  </si>
  <si>
    <t>Zajímavosti</t>
  </si>
  <si>
    <t>celkem</t>
  </si>
  <si>
    <t>ZČ</t>
  </si>
  <si>
    <t>PD</t>
  </si>
  <si>
    <t>B</t>
  </si>
  <si>
    <t>15 zápasů, 5 - 0 - 0 - 3 - 7, skóre 69:88</t>
  </si>
  <si>
    <t>10 zápasů, 1 - 0 - 0 - 3 - 6, skóre 42:72</t>
  </si>
  <si>
    <t>5 zápasů, 4 - 0 - 0 - 0 - 1, skóre 27:16</t>
  </si>
  <si>
    <t>Vzájemná bilance</t>
  </si>
  <si>
    <t>Minulé vzájemné zápasy</t>
  </si>
  <si>
    <t>Domácí</t>
  </si>
  <si>
    <t>Hosté</t>
  </si>
  <si>
    <t>Sezóna</t>
  </si>
  <si>
    <t>Soupeři</t>
  </si>
  <si>
    <t>Datum</t>
  </si>
  <si>
    <t>Převodník minulých vzájemných zápasů do správného formátu</t>
  </si>
  <si>
    <t>#</t>
  </si>
  <si>
    <t>Družstvo</t>
  </si>
  <si>
    <t>Z</t>
  </si>
  <si>
    <t>VP</t>
  </si>
  <si>
    <t>PP</t>
  </si>
  <si>
    <t>GV</t>
  </si>
  <si>
    <t>GO</t>
  </si>
  <si>
    <t>GR</t>
  </si>
  <si>
    <t>GVP</t>
  </si>
  <si>
    <t>GOP</t>
  </si>
  <si>
    <t>PP%</t>
  </si>
  <si>
    <t>O</t>
  </si>
  <si>
    <t>GOO</t>
  </si>
  <si>
    <t>GVO</t>
  </si>
  <si>
    <t>O%</t>
  </si>
  <si>
    <t>S</t>
  </si>
  <si>
    <t>S%</t>
  </si>
  <si>
    <t>Tatran Střešovice</t>
  </si>
  <si>
    <t>Předvýběr.CZ Florbal MB</t>
  </si>
  <si>
    <t>1. SC TEMPISH Vítkovice</t>
  </si>
  <si>
    <t>BLACK ANGELS</t>
  </si>
  <si>
    <t>FbŠ Bohemians</t>
  </si>
  <si>
    <t>FBC ČPP OSTRAVA</t>
  </si>
  <si>
    <t>FAT PIPE FLORBAL CHODOV</t>
  </si>
  <si>
    <t>Navláčil PANTHERS OTROKOVICE</t>
  </si>
  <si>
    <t>ACEMA Sparta Praha</t>
  </si>
  <si>
    <t>FBC 4CLEAN Česká Lípa</t>
  </si>
  <si>
    <t>FBŠ Hummel Hattrick Brno</t>
  </si>
  <si>
    <t>SOKOLI Pardubice</t>
  </si>
  <si>
    <t>FBC Liberec</t>
  </si>
  <si>
    <t>TJ Sokol Královské Vinohrady</t>
  </si>
  <si>
    <t>OZ</t>
  </si>
  <si>
    <t>GP</t>
  </si>
  <si>
    <t>ČK1</t>
  </si>
  <si>
    <t>ČK2</t>
  </si>
  <si>
    <t>ČK3</t>
  </si>
  <si>
    <t>DD</t>
  </si>
  <si>
    <t>DV</t>
  </si>
  <si>
    <t>ØD</t>
  </si>
  <si>
    <t>Tým</t>
  </si>
  <si>
    <t>Zkratka</t>
  </si>
  <si>
    <t>TAT</t>
  </si>
  <si>
    <t>Bohemians</t>
  </si>
  <si>
    <t>VIT</t>
  </si>
  <si>
    <t>BA</t>
  </si>
  <si>
    <t>BOH</t>
  </si>
  <si>
    <t>OST</t>
  </si>
  <si>
    <t>OTR</t>
  </si>
  <si>
    <t>SPA</t>
  </si>
  <si>
    <t>CLP</t>
  </si>
  <si>
    <t>HAT</t>
  </si>
  <si>
    <t>PAR</t>
  </si>
  <si>
    <t>LIB</t>
  </si>
  <si>
    <t>Rank P%</t>
  </si>
  <si>
    <t>Rank O%</t>
  </si>
  <si>
    <t>Rank TM</t>
  </si>
  <si>
    <t>Rank</t>
  </si>
  <si>
    <t>pořadí v lize:</t>
  </si>
  <si>
    <t>4:11</t>
  </si>
  <si>
    <t>2020/2021</t>
  </si>
  <si>
    <t>6:5pn</t>
  </si>
  <si>
    <t>7:6p</t>
  </si>
  <si>
    <t>2019/2020</t>
  </si>
  <si>
    <t>5:3</t>
  </si>
  <si>
    <t>6:5</t>
  </si>
  <si>
    <t>2018/2019</t>
  </si>
  <si>
    <t>5:6</t>
  </si>
  <si>
    <t>5:6p</t>
  </si>
  <si>
    <t>2014/2015</t>
  </si>
  <si>
    <t>11:4</t>
  </si>
  <si>
    <t>0:6</t>
  </si>
  <si>
    <t>2006/2007</t>
  </si>
  <si>
    <t>10:3</t>
  </si>
  <si>
    <t>Viktor Kopecký</t>
  </si>
  <si>
    <t>G</t>
  </si>
  <si>
    <t>Štepán Švejda</t>
  </si>
  <si>
    <t>U</t>
  </si>
  <si>
    <t>Ivan Pergler</t>
  </si>
  <si>
    <t>Vojtěch Máca</t>
  </si>
  <si>
    <t>Petr Musil</t>
  </si>
  <si>
    <t>David Ježek</t>
  </si>
  <si>
    <t>Matěj Horák</t>
  </si>
  <si>
    <t>Jan Procházka</t>
  </si>
  <si>
    <t>Richard Kellenberger</t>
  </si>
  <si>
    <t>Jméno</t>
  </si>
  <si>
    <t>Post</t>
  </si>
  <si>
    <t>A</t>
  </si>
  <si>
    <t>±</t>
  </si>
  <si>
    <t>Min</t>
  </si>
  <si>
    <t>ČK</t>
  </si>
  <si>
    <t>OG</t>
  </si>
  <si>
    <t>R</t>
  </si>
  <si>
    <t>Z%</t>
  </si>
  <si>
    <t>DN</t>
  </si>
  <si>
    <t>HOZ</t>
  </si>
  <si>
    <t>HG</t>
  </si>
  <si>
    <t>HA</t>
  </si>
  <si>
    <t>HB</t>
  </si>
  <si>
    <t>Pozn.</t>
  </si>
  <si>
    <t>Hůl</t>
  </si>
  <si>
    <t>Výška</t>
  </si>
  <si>
    <t>Váha</t>
  </si>
  <si>
    <t>1. klub</t>
  </si>
  <si>
    <t>1. sezona</t>
  </si>
  <si>
    <t>Sez.</t>
  </si>
  <si>
    <t>Věk</t>
  </si>
  <si>
    <t>L</t>
  </si>
  <si>
    <t>Pelhřimov</t>
  </si>
  <si>
    <t>Black Angels</t>
  </si>
  <si>
    <t>Chodov</t>
  </si>
  <si>
    <t>Bulldogs Brno</t>
  </si>
  <si>
    <t>ASP Hr. Králové</t>
  </si>
  <si>
    <t>Pavel Hájek</t>
  </si>
  <si>
    <t>FBK Kunovští Orli</t>
  </si>
  <si>
    <t>Patrik Chládek</t>
  </si>
  <si>
    <t>SK Florbal Benešov</t>
  </si>
  <si>
    <t>Jan Králík</t>
  </si>
  <si>
    <t>FBC Frymburk</t>
  </si>
  <si>
    <t>Lukáš Lanc</t>
  </si>
  <si>
    <t>SC Sportcentrum</t>
  </si>
  <si>
    <t>Jan Linhart</t>
  </si>
  <si>
    <t>FbC Hr. Králové</t>
  </si>
  <si>
    <t>Rastislav Mazák</t>
  </si>
  <si>
    <t>FBC GT12 Košice</t>
  </si>
  <si>
    <t>Slovan J. Hradec</t>
  </si>
  <si>
    <t>Future</t>
  </si>
  <si>
    <t>C</t>
  </si>
  <si>
    <t>Lhokamo</t>
  </si>
  <si>
    <t>Matěj Šaroch</t>
  </si>
  <si>
    <t>Martin Šolaja</t>
  </si>
  <si>
    <t>Příjmení</t>
  </si>
  <si>
    <t>Dupl.</t>
  </si>
  <si>
    <t>Inic.</t>
  </si>
  <si>
    <t>Krátké jm.</t>
  </si>
  <si>
    <t>Dupl. II</t>
  </si>
  <si>
    <t>Dupl. III</t>
  </si>
  <si>
    <t>Dupl. IV</t>
  </si>
  <si>
    <t>Příjmení II</t>
  </si>
  <si>
    <t>Příjmení III</t>
  </si>
  <si>
    <t>Příjmení IV</t>
  </si>
  <si>
    <t>Příjmení V</t>
  </si>
  <si>
    <t>Statistiky - sezóna</t>
  </si>
  <si>
    <t>KZ</t>
  </si>
  <si>
    <t>KG</t>
  </si>
  <si>
    <t>KA</t>
  </si>
  <si>
    <r>
      <t>K</t>
    </r>
    <r>
      <rPr>
        <b/>
        <sz val="11"/>
        <color theme="1"/>
        <rFont val="Calibri"/>
        <family val="2"/>
        <charset val="238"/>
      </rPr>
      <t>±</t>
    </r>
  </si>
  <si>
    <t>V/V STR</t>
  </si>
  <si>
    <t>Statistiky - hist.</t>
  </si>
  <si>
    <t>pozice</t>
  </si>
  <si>
    <t>úspěchy</t>
  </si>
  <si>
    <t>David Pálek</t>
  </si>
  <si>
    <t>Miroslav Purkrábek</t>
  </si>
  <si>
    <t>trenér</t>
  </si>
  <si>
    <t>kondiční trenér</t>
  </si>
  <si>
    <t>video konzultant</t>
  </si>
  <si>
    <t>sportovní ředitel</t>
  </si>
  <si>
    <t>vicemistr světa (2004), all-star tým juniorského MS, 2x mistr české ligy (Chodov)</t>
  </si>
  <si>
    <t>2x mistr české ligy (Chodov)</t>
  </si>
  <si>
    <t>postup do Tipsport superligy (trenér)</t>
  </si>
  <si>
    <t>postup do Tipsport superligy (hráč)</t>
  </si>
  <si>
    <t>1. Viktor Kopecký</t>
  </si>
  <si>
    <t>2. Vojtěch Klápa</t>
  </si>
  <si>
    <t>3. Daniel Cabejšek</t>
  </si>
  <si>
    <t>4. Štěpán Čuda</t>
  </si>
  <si>
    <t>5. David Ježek</t>
  </si>
  <si>
    <t>1. Petr Musil</t>
  </si>
  <si>
    <t>11,00</t>
  </si>
  <si>
    <t>2. Karel Šantora</t>
  </si>
  <si>
    <t>0,00</t>
  </si>
  <si>
    <t>4. David Ježek</t>
  </si>
  <si>
    <t>5. Ivan Pergler</t>
  </si>
  <si>
    <t>1. Daniel Cabejšek</t>
  </si>
  <si>
    <t>2. Štěpán Čuda</t>
  </si>
  <si>
    <t>3. David Ježek</t>
  </si>
  <si>
    <t>4. Ivan Pergler</t>
  </si>
  <si>
    <t>5. Jan Fiala</t>
  </si>
  <si>
    <t>1. Vojtěch Klápa</t>
  </si>
  <si>
    <t>2. Daniel Cabejšek</t>
  </si>
  <si>
    <t>Statistika</t>
  </si>
  <si>
    <t>Výkon</t>
  </si>
  <si>
    <t>Jméno (bez #)</t>
  </si>
  <si>
    <t>Výkon (.)</t>
  </si>
  <si>
    <t>12. 9.</t>
  </si>
  <si>
    <t>17. 9.</t>
  </si>
  <si>
    <t>-:-</t>
  </si>
  <si>
    <t>19. 9.</t>
  </si>
  <si>
    <t>25. 9.</t>
  </si>
  <si>
    <t>28. 9.</t>
  </si>
  <si>
    <t>2. 10.</t>
  </si>
  <si>
    <t>Typ</t>
  </si>
  <si>
    <t>Soupeř</t>
  </si>
  <si>
    <t>Série</t>
  </si>
  <si>
    <t>Posledních 5 zápasů</t>
  </si>
  <si>
    <t>Příštích 5 zápasů</t>
  </si>
  <si>
    <t>2:11</t>
  </si>
  <si>
    <t>Jakub Kopecký</t>
  </si>
  <si>
    <t>Jan Šoltys</t>
  </si>
  <si>
    <t>Radek Valeš</t>
  </si>
  <si>
    <t>Matěj Klucho</t>
  </si>
  <si>
    <t>Prokop Ferdan</t>
  </si>
  <si>
    <t>Jakub Kárník</t>
  </si>
  <si>
    <t>Patrik Rozkovec</t>
  </si>
  <si>
    <t>Šimon Stránský</t>
  </si>
  <si>
    <t>Jan Baudisch</t>
  </si>
  <si>
    <t>Vojtěch Janeček</t>
  </si>
  <si>
    <t>Petr Kološ</t>
  </si>
  <si>
    <t>Michal Václavík</t>
  </si>
  <si>
    <t>Vojtěch Wiener</t>
  </si>
  <si>
    <t>Jan Král</t>
  </si>
  <si>
    <t>Filip Smutný</t>
  </si>
  <si>
    <t>Tomáš Dlesk</t>
  </si>
  <si>
    <t>Jakub Pařízek</t>
  </si>
  <si>
    <t>Jan Světlík</t>
  </si>
  <si>
    <t>Petr Chlad</t>
  </si>
  <si>
    <t>Daniel Martínek</t>
  </si>
  <si>
    <t>Sokol Dvůr Králové</t>
  </si>
  <si>
    <t>Jan Bitman</t>
  </si>
  <si>
    <t>Vojtěch Blažek</t>
  </si>
  <si>
    <t>Martin Blecha</t>
  </si>
  <si>
    <t>Sokol Pardubice</t>
  </si>
  <si>
    <t>Dominik Emlar</t>
  </si>
  <si>
    <t>TJ Sokol Jaroměř</t>
  </si>
  <si>
    <t>TJ Centropen Dačice</t>
  </si>
  <si>
    <t>-</t>
  </si>
  <si>
    <t>FA Mladá Boleslav</t>
  </si>
  <si>
    <t>FBC Mustang</t>
  </si>
  <si>
    <t>Sokol Benátky nad Jizerou</t>
  </si>
  <si>
    <t>Daniel Mück</t>
  </si>
  <si>
    <t>AC Sparta Praha</t>
  </si>
  <si>
    <t>Florbal Mladá Boleslav</t>
  </si>
  <si>
    <t>Petr Salát</t>
  </si>
  <si>
    <t>SK Jihlava</t>
  </si>
  <si>
    <t>FBC Lomnice</t>
  </si>
  <si>
    <t>DTJ Trutnov</t>
  </si>
  <si>
    <t>Zdeněk Skružný</t>
  </si>
  <si>
    <t>Ladislav Láska</t>
  </si>
  <si>
    <t>Jan Lorenc</t>
  </si>
  <si>
    <t>Miroslav Nečas</t>
  </si>
  <si>
    <t>Matouš Vágner</t>
  </si>
  <si>
    <t>hlavní trenér</t>
  </si>
  <si>
    <t>asistent trenéra</t>
  </si>
  <si>
    <t>mentální kouč</t>
  </si>
  <si>
    <t>fyzioterapeut</t>
  </si>
  <si>
    <t>stříbro a bronz z MS</t>
  </si>
  <si>
    <t>1. Jakub Kopecký</t>
  </si>
  <si>
    <t>2. Jan Šoltys</t>
  </si>
  <si>
    <t>3. Radek Valeš</t>
  </si>
  <si>
    <t>4. Daniel Martínek</t>
  </si>
  <si>
    <t>5. Filip Smutný</t>
  </si>
  <si>
    <t>1. Petr Chlad</t>
  </si>
  <si>
    <t>10,00</t>
  </si>
  <si>
    <t>2. Jan Král</t>
  </si>
  <si>
    <t>3. Daniel Martínek</t>
  </si>
  <si>
    <t>4. Filip Smutný</t>
  </si>
  <si>
    <t>5. Jakub Kárník</t>
  </si>
  <si>
    <t>2. Radek Valeš</t>
  </si>
  <si>
    <t>1. Radek Valeš</t>
  </si>
  <si>
    <t>2. Daniel Martínek</t>
  </si>
  <si>
    <t>3. Filip Smutný</t>
  </si>
  <si>
    <t>4. Jakub Kopecký</t>
  </si>
  <si>
    <t>11. 9.</t>
  </si>
  <si>
    <t>2:10</t>
  </si>
  <si>
    <t>26. 9.</t>
  </si>
  <si>
    <t>3. 10.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</si>
</sst>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&quot;#&quot;0"/>
    <numFmt numFmtId="165" formatCode="0."/>
    <numFmt numFmtId="166" formatCode="0&quot; OZ&quot;"/>
    <numFmt numFmtId="167" formatCode="0&quot; OG&quot;"/>
    <numFmt numFmtId="168" formatCode="0.0"/>
    <numFmt numFmtId="169" formatCode="0.00&quot; min&quot;"/>
    <numFmt numFmtId="170" formatCode="0.00&quot; G/Z&quot;"/>
    <numFmt numFmtId="171" formatCode="0&quot; ČK&quot;"/>
  </numFmts>
  <fonts count="1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Bahnschrift SemiLight Condensed"/>
      <family val="2"/>
      <charset val="238"/>
    </font>
    <font>
      <sz val="11"/>
      <color theme="1"/>
      <name val="Bahnschrift SemiLight Condensed"/>
      <family val="2"/>
      <charset val="238"/>
    </font>
    <font>
      <b/>
      <sz val="20"/>
      <color theme="1"/>
      <name val="Bahnschrift SemiLight Condensed"/>
      <family val="2"/>
      <charset val="238"/>
    </font>
    <font>
      <b/>
      <i/>
      <sz val="11"/>
      <color theme="1"/>
      <name val="Bahnschrift SemiLight Condensed"/>
      <family val="2"/>
      <charset val="238"/>
    </font>
    <font>
      <i/>
      <sz val="11"/>
      <color theme="1"/>
      <name val="Bahnschrift SemiLight Condensed"/>
      <family val="2"/>
      <charset val="238"/>
    </font>
    <font>
      <b/>
      <i/>
      <sz val="10"/>
      <color theme="1"/>
      <name val="Bahnschrift SemiLight Condensed"/>
      <family val="2"/>
      <charset val="238"/>
    </font>
    <font>
      <sz val="11"/>
      <name val="Bahnschrift SemiLight Condensed"/>
      <family val="2"/>
      <charset val="238"/>
    </font>
    <font>
      <b/>
      <sz val="11"/>
      <color rgb="FF00B050"/>
      <name val="Bahnschrift SemiLight Condensed"/>
      <family val="2"/>
      <charset val="238"/>
    </font>
    <font>
      <b/>
      <sz val="11"/>
      <color rgb="FFFF0000"/>
      <name val="Bahnschrift SemiLight Condensed"/>
      <family val="2"/>
      <charset val="238"/>
    </font>
    <font>
      <b/>
      <sz val="10"/>
      <color theme="1"/>
      <name val="Bahnschrift SemiLight Condensed"/>
      <family val="2"/>
      <charset val="238"/>
    </font>
    <font>
      <b/>
      <sz val="11"/>
      <color theme="1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86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indexed="64"/>
      </left>
      <right/>
      <top/>
      <bottom style="thick">
        <color indexed="64"/>
      </bottom>
      <diagonal/>
    </border>
  </borders>
  <cellStyleXfs count="1">
    <xf numFmtId="0" fontId="0" fillId="0" borderId="0"/>
  </cellStyleXfs>
  <cellXfs count="357">
    <xf numFmtId="0" fontId="0" fillId="0" borderId="0" xfId="0"/>
    <xf numFmtId="0" fontId="1" fillId="0" borderId="3" xfId="0" applyFont="1" applyBorder="1" applyAlignment="1">
      <alignment horizontal="right" vertical="center"/>
    </xf>
    <xf numFmtId="164" fontId="1" fillId="0" borderId="4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5" fontId="1" fillId="0" borderId="18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19" xfId="0" applyFont="1" applyBorder="1" applyAlignment="1">
      <alignment horizontal="left" vertical="center"/>
    </xf>
    <xf numFmtId="0" fontId="2" fillId="0" borderId="19" xfId="0" applyFont="1" applyBorder="1" applyAlignment="1">
      <alignment horizontal="center" vertical="center"/>
    </xf>
    <xf numFmtId="0" fontId="2" fillId="0" borderId="19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165" fontId="1" fillId="0" borderId="5" xfId="0" applyNumberFormat="1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166" fontId="2" fillId="0" borderId="11" xfId="0" applyNumberFormat="1" applyFont="1" applyBorder="1" applyAlignment="1">
      <alignment horizontal="center" vertical="center"/>
    </xf>
    <xf numFmtId="168" fontId="2" fillId="0" borderId="13" xfId="0" applyNumberFormat="1" applyFont="1" applyBorder="1" applyAlignment="1">
      <alignment horizontal="center" vertical="center"/>
    </xf>
    <xf numFmtId="165" fontId="1" fillId="0" borderId="26" xfId="0" applyNumberFormat="1" applyFont="1" applyBorder="1" applyAlignment="1">
      <alignment horizontal="center" vertical="center"/>
    </xf>
    <xf numFmtId="171" fontId="2" fillId="0" borderId="18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164" fontId="4" fillId="0" borderId="0" xfId="0" applyNumberFormat="1" applyFont="1" applyBorder="1" applyAlignment="1">
      <alignment horizontal="right" vertical="center"/>
    </xf>
    <xf numFmtId="0" fontId="1" fillId="0" borderId="21" xfId="0" applyFont="1" applyBorder="1" applyAlignment="1">
      <alignment vertical="center"/>
    </xf>
    <xf numFmtId="164" fontId="4" fillId="0" borderId="21" xfId="0" applyNumberFormat="1" applyFont="1" applyBorder="1" applyAlignment="1">
      <alignment horizontal="right" vertical="center"/>
    </xf>
    <xf numFmtId="0" fontId="2" fillId="0" borderId="3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2" borderId="46" xfId="0" applyFont="1" applyFill="1" applyBorder="1" applyAlignment="1">
      <alignment horizontal="center" vertical="center"/>
    </xf>
    <xf numFmtId="0" fontId="2" fillId="0" borderId="47" xfId="0" applyFont="1" applyFill="1" applyBorder="1" applyAlignment="1">
      <alignment horizontal="center" vertical="center"/>
    </xf>
    <xf numFmtId="0" fontId="2" fillId="0" borderId="48" xfId="0" applyFont="1" applyFill="1" applyBorder="1" applyAlignment="1">
      <alignment horizontal="center" vertical="center"/>
    </xf>
    <xf numFmtId="0" fontId="2" fillId="0" borderId="49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/>
    </xf>
    <xf numFmtId="165" fontId="6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7" xfId="0" applyFont="1" applyFill="1" applyBorder="1" applyAlignment="1">
      <alignment horizontal="center" vertical="center"/>
    </xf>
    <xf numFmtId="0" fontId="2" fillId="2" borderId="57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59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59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61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61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2" fontId="2" fillId="0" borderId="57" xfId="0" applyNumberFormat="1" applyFont="1" applyFill="1" applyBorder="1" applyAlignment="1">
      <alignment horizontal="center" vertical="center"/>
    </xf>
    <xf numFmtId="2" fontId="2" fillId="2" borderId="57" xfId="0" applyNumberFormat="1" applyFont="1" applyFill="1" applyBorder="1" applyAlignment="1">
      <alignment horizontal="center" vertical="center"/>
    </xf>
    <xf numFmtId="2" fontId="2" fillId="0" borderId="59" xfId="0" applyNumberFormat="1" applyFont="1" applyFill="1" applyBorder="1" applyAlignment="1">
      <alignment horizontal="center" vertical="center"/>
    </xf>
    <xf numFmtId="2" fontId="2" fillId="2" borderId="59" xfId="0" applyNumberFormat="1" applyFont="1" applyFill="1" applyBorder="1" applyAlignment="1">
      <alignment horizontal="center" vertical="center"/>
    </xf>
    <xf numFmtId="2" fontId="2" fillId="0" borderId="61" xfId="0" applyNumberFormat="1" applyFont="1" applyFill="1" applyBorder="1" applyAlignment="1">
      <alignment horizontal="center" vertical="center"/>
    </xf>
    <xf numFmtId="2" fontId="2" fillId="2" borderId="61" xfId="0" applyNumberFormat="1" applyFont="1" applyFill="1" applyBorder="1" applyAlignment="1">
      <alignment horizontal="center" vertical="center"/>
    </xf>
    <xf numFmtId="169" fontId="2" fillId="0" borderId="0" xfId="0" applyNumberFormat="1" applyFont="1" applyFill="1" applyBorder="1" applyAlignment="1">
      <alignment vertical="center"/>
    </xf>
    <xf numFmtId="170" fontId="2" fillId="0" borderId="0" xfId="0" applyNumberFormat="1" applyFont="1" applyFill="1" applyBorder="1" applyAlignment="1">
      <alignment vertical="center"/>
    </xf>
    <xf numFmtId="164" fontId="4" fillId="0" borderId="0" xfId="0" applyNumberFormat="1" applyFont="1" applyFill="1" applyBorder="1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54" xfId="0" applyFont="1" applyFill="1" applyBorder="1" applyAlignment="1">
      <alignment horizontal="center" vertical="center"/>
    </xf>
    <xf numFmtId="0" fontId="1" fillId="0" borderId="79" xfId="0" applyFont="1" applyBorder="1" applyAlignment="1">
      <alignment horizontal="center" vertical="center"/>
    </xf>
    <xf numFmtId="0" fontId="1" fillId="2" borderId="78" xfId="0" applyFont="1" applyFill="1" applyBorder="1" applyAlignment="1">
      <alignment horizontal="center" vertical="center"/>
    </xf>
    <xf numFmtId="0" fontId="1" fillId="2" borderId="79" xfId="0" applyFont="1" applyFill="1" applyBorder="1" applyAlignment="1">
      <alignment horizontal="center" vertical="center"/>
    </xf>
    <xf numFmtId="0" fontId="1" fillId="2" borderId="82" xfId="0" applyFont="1" applyFill="1" applyBorder="1" applyAlignment="1">
      <alignment horizontal="center" vertical="center"/>
    </xf>
    <xf numFmtId="0" fontId="2" fillId="0" borderId="64" xfId="0" applyNumberFormat="1" applyFont="1" applyFill="1" applyBorder="1" applyAlignment="1" applyProtection="1">
      <alignment horizontal="center" vertical="center"/>
    </xf>
    <xf numFmtId="0" fontId="2" fillId="0" borderId="68" xfId="0" applyNumberFormat="1" applyFont="1" applyFill="1" applyBorder="1" applyAlignment="1" applyProtection="1">
      <alignment horizontal="center" vertical="center"/>
    </xf>
    <xf numFmtId="0" fontId="2" fillId="0" borderId="59" xfId="0" applyNumberFormat="1" applyFont="1" applyFill="1" applyBorder="1" applyAlignment="1" applyProtection="1">
      <alignment horizontal="center" vertical="center"/>
    </xf>
    <xf numFmtId="0" fontId="2" fillId="0" borderId="72" xfId="0" applyNumberFormat="1" applyFont="1" applyFill="1" applyBorder="1" applyAlignment="1" applyProtection="1">
      <alignment horizontal="center" vertical="center"/>
    </xf>
    <xf numFmtId="0" fontId="2" fillId="0" borderId="61" xfId="0" applyNumberFormat="1" applyFont="1" applyFill="1" applyBorder="1" applyAlignment="1" applyProtection="1">
      <alignment horizontal="center" vertical="center"/>
    </xf>
    <xf numFmtId="0" fontId="2" fillId="2" borderId="77" xfId="0" applyFont="1" applyFill="1" applyBorder="1" applyAlignment="1" applyProtection="1">
      <alignment horizontal="center" vertical="center"/>
      <protection locked="0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0" fontId="2" fillId="2" borderId="23" xfId="0" applyFont="1" applyFill="1" applyBorder="1" applyAlignment="1" applyProtection="1">
      <alignment horizontal="center" vertical="center"/>
      <protection locked="0"/>
    </xf>
    <xf numFmtId="0" fontId="2" fillId="2" borderId="28" xfId="0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center" vertical="center"/>
      <protection locked="0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2" borderId="33" xfId="0" applyFont="1" applyFill="1" applyBorder="1" applyAlignment="1" applyProtection="1">
      <alignment horizontal="center" vertical="center"/>
      <protection locked="0"/>
    </xf>
    <xf numFmtId="0" fontId="2" fillId="2" borderId="27" xfId="0" applyFont="1" applyFill="1" applyBorder="1" applyAlignment="1" applyProtection="1">
      <alignment horizontal="center" vertical="center"/>
      <protection locked="0"/>
    </xf>
    <xf numFmtId="0" fontId="2" fillId="2" borderId="18" xfId="0" applyFont="1" applyFill="1" applyBorder="1" applyAlignment="1" applyProtection="1">
      <alignment horizontal="center" vertical="center"/>
      <protection locked="0"/>
    </xf>
    <xf numFmtId="0" fontId="1" fillId="4" borderId="83" xfId="0" applyFont="1" applyFill="1" applyBorder="1" applyAlignment="1">
      <alignment horizontal="right" vertical="center"/>
    </xf>
    <xf numFmtId="0" fontId="1" fillId="4" borderId="2" xfId="0" applyFont="1" applyFill="1" applyBorder="1" applyAlignment="1">
      <alignment horizontal="center" vertical="center"/>
    </xf>
    <xf numFmtId="165" fontId="8" fillId="0" borderId="76" xfId="0" applyNumberFormat="1" applyFont="1" applyFill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center" vertical="center"/>
    </xf>
    <xf numFmtId="2" fontId="2" fillId="0" borderId="39" xfId="0" applyNumberFormat="1" applyFont="1" applyFill="1" applyBorder="1" applyAlignment="1">
      <alignment horizontal="center" vertical="center"/>
    </xf>
    <xf numFmtId="165" fontId="8" fillId="2" borderId="76" xfId="0" applyNumberFormat="1" applyFont="1" applyFill="1" applyBorder="1" applyAlignment="1">
      <alignment horizontal="right" vertical="center"/>
    </xf>
    <xf numFmtId="0" fontId="2" fillId="2" borderId="0" xfId="0" applyFont="1" applyFill="1" applyBorder="1" applyAlignment="1">
      <alignment vertical="center"/>
    </xf>
    <xf numFmtId="2" fontId="2" fillId="2" borderId="0" xfId="0" applyNumberFormat="1" applyFont="1" applyFill="1" applyBorder="1" applyAlignment="1">
      <alignment horizontal="center" vertical="center"/>
    </xf>
    <xf numFmtId="2" fontId="2" fillId="2" borderId="39" xfId="0" applyNumberFormat="1" applyFont="1" applyFill="1" applyBorder="1" applyAlignment="1">
      <alignment horizontal="center" vertical="center"/>
    </xf>
    <xf numFmtId="165" fontId="1" fillId="0" borderId="76" xfId="0" applyNumberFormat="1" applyFont="1" applyFill="1" applyBorder="1" applyAlignment="1">
      <alignment horizontal="right" vertical="center"/>
    </xf>
    <xf numFmtId="165" fontId="1" fillId="2" borderId="76" xfId="0" applyNumberFormat="1" applyFont="1" applyFill="1" applyBorder="1" applyAlignment="1">
      <alignment horizontal="right" vertical="center"/>
    </xf>
    <xf numFmtId="165" fontId="9" fillId="0" borderId="76" xfId="0" applyNumberFormat="1" applyFont="1" applyFill="1" applyBorder="1" applyAlignment="1">
      <alignment horizontal="right" vertical="center"/>
    </xf>
    <xf numFmtId="165" fontId="9" fillId="2" borderId="76" xfId="0" applyNumberFormat="1" applyFont="1" applyFill="1" applyBorder="1" applyAlignment="1">
      <alignment horizontal="right" vertical="center"/>
    </xf>
    <xf numFmtId="165" fontId="9" fillId="2" borderId="85" xfId="0" applyNumberFormat="1" applyFont="1" applyFill="1" applyBorder="1" applyAlignment="1">
      <alignment horizontal="right" vertical="center"/>
    </xf>
    <xf numFmtId="0" fontId="2" fillId="2" borderId="19" xfId="0" applyFont="1" applyFill="1" applyBorder="1" applyAlignment="1">
      <alignment vertical="center"/>
    </xf>
    <xf numFmtId="2" fontId="2" fillId="2" borderId="19" xfId="0" applyNumberFormat="1" applyFont="1" applyFill="1" applyBorder="1" applyAlignment="1">
      <alignment horizontal="center" vertical="center"/>
    </xf>
    <xf numFmtId="2" fontId="2" fillId="2" borderId="40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2" fillId="0" borderId="0" xfId="0" applyNumberFormat="1" applyFont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76" xfId="0" applyFont="1" applyBorder="1" applyAlignment="1">
      <alignment horizontal="left" vertical="center"/>
    </xf>
    <xf numFmtId="2" fontId="1" fillId="4" borderId="84" xfId="0" applyNumberFormat="1" applyFont="1" applyFill="1" applyBorder="1" applyAlignment="1">
      <alignment horizontal="center" vertical="center"/>
    </xf>
    <xf numFmtId="2" fontId="1" fillId="4" borderId="2" xfId="0" applyNumberFormat="1" applyFont="1" applyFill="1" applyBorder="1" applyAlignment="1">
      <alignment horizontal="center" vertical="center"/>
    </xf>
    <xf numFmtId="1" fontId="1" fillId="4" borderId="2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 vertical="center"/>
    </xf>
    <xf numFmtId="1" fontId="2" fillId="2" borderId="19" xfId="0" applyNumberFormat="1" applyFont="1" applyFill="1" applyBorder="1" applyAlignment="1">
      <alignment horizontal="center" vertical="center"/>
    </xf>
    <xf numFmtId="1" fontId="1" fillId="3" borderId="2" xfId="0" applyNumberFormat="1" applyFont="1" applyFill="1" applyBorder="1" applyAlignment="1">
      <alignment horizontal="center" vertical="center"/>
    </xf>
    <xf numFmtId="1" fontId="1" fillId="3" borderId="0" xfId="0" applyNumberFormat="1" applyFont="1" applyFill="1" applyBorder="1" applyAlignment="1">
      <alignment horizontal="center" vertical="center"/>
    </xf>
    <xf numFmtId="1" fontId="1" fillId="3" borderId="19" xfId="0" applyNumberFormat="1" applyFont="1" applyFill="1" applyBorder="1" applyAlignment="1">
      <alignment horizontal="center" vertical="center"/>
    </xf>
    <xf numFmtId="1" fontId="2" fillId="0" borderId="0" xfId="0" applyNumberFormat="1" applyFont="1" applyAlignment="1">
      <alignment vertical="center"/>
    </xf>
    <xf numFmtId="2" fontId="2" fillId="0" borderId="0" xfId="0" applyNumberFormat="1" applyFont="1" applyAlignment="1">
      <alignment vertical="center"/>
    </xf>
    <xf numFmtId="168" fontId="2" fillId="0" borderId="48" xfId="0" applyNumberFormat="1" applyFont="1" applyFill="1" applyBorder="1" applyAlignment="1">
      <alignment horizontal="center" vertical="center"/>
    </xf>
    <xf numFmtId="168" fontId="2" fillId="2" borderId="48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 wrapText="1" shrinkToFit="1"/>
    </xf>
    <xf numFmtId="49" fontId="2" fillId="0" borderId="0" xfId="0" applyNumberFormat="1" applyFont="1" applyAlignment="1">
      <alignment horizontal="center" vertical="center"/>
    </xf>
    <xf numFmtId="0" fontId="2" fillId="0" borderId="76" xfId="0" applyFont="1" applyBorder="1" applyAlignment="1">
      <alignment vertical="center"/>
    </xf>
    <xf numFmtId="0" fontId="10" fillId="0" borderId="0" xfId="0" applyFont="1" applyAlignment="1">
      <alignment horizontal="center" vertical="center" wrapText="1" shrinkToFit="1"/>
    </xf>
    <xf numFmtId="0" fontId="2" fillId="0" borderId="33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47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51" xfId="0" applyFont="1" applyFill="1" applyBorder="1" applyAlignment="1">
      <alignment horizontal="center" vertical="center"/>
    </xf>
    <xf numFmtId="0" fontId="2" fillId="0" borderId="51" xfId="0" applyFont="1" applyFill="1" applyBorder="1" applyAlignment="1">
      <alignment horizontal="center" vertical="center"/>
    </xf>
    <xf numFmtId="0" fontId="2" fillId="0" borderId="52" xfId="0" applyFont="1" applyFill="1" applyBorder="1" applyAlignment="1">
      <alignment horizontal="center" vertical="center"/>
    </xf>
    <xf numFmtId="0" fontId="1" fillId="2" borderId="50" xfId="0" applyFont="1" applyFill="1" applyBorder="1" applyAlignment="1">
      <alignment horizontal="center" vertical="center"/>
    </xf>
    <xf numFmtId="0" fontId="1" fillId="2" borderId="51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2" xfId="0" applyFont="1" applyFill="1" applyBorder="1" applyAlignment="1">
      <alignment horizontal="center" vertical="center"/>
    </xf>
    <xf numFmtId="0" fontId="3" fillId="0" borderId="43" xfId="0" applyFont="1" applyFill="1" applyBorder="1" applyAlignment="1" applyProtection="1">
      <alignment horizontal="center" vertical="center"/>
      <protection locked="0"/>
    </xf>
    <xf numFmtId="0" fontId="3" fillId="0" borderId="44" xfId="0" applyFont="1" applyFill="1" applyBorder="1" applyAlignment="1" applyProtection="1">
      <alignment horizontal="center" vertical="center"/>
      <protection locked="0"/>
    </xf>
    <xf numFmtId="0" fontId="1" fillId="0" borderId="45" xfId="0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2" borderId="45" xfId="0" applyFont="1" applyFill="1" applyBorder="1" applyAlignment="1">
      <alignment horizontal="center" vertical="center"/>
    </xf>
    <xf numFmtId="0" fontId="1" fillId="2" borderId="46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top"/>
    </xf>
    <xf numFmtId="0" fontId="1" fillId="0" borderId="4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8" xfId="0" applyNumberFormat="1" applyFont="1" applyFill="1" applyBorder="1" applyAlignment="1">
      <alignment horizontal="center" vertical="center"/>
    </xf>
    <xf numFmtId="0" fontId="2" fillId="0" borderId="53" xfId="0" applyNumberFormat="1" applyFont="1" applyFill="1" applyBorder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2" xfId="0" applyNumberFormat="1" applyFont="1" applyFill="1" applyBorder="1" applyAlignment="1">
      <alignment horizontal="center" vertical="center"/>
    </xf>
    <xf numFmtId="0" fontId="2" fillId="2" borderId="13" xfId="0" applyNumberFormat="1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2" xfId="0" applyNumberFormat="1" applyFont="1" applyFill="1" applyBorder="1" applyAlignment="1">
      <alignment horizontal="center" vertical="center"/>
    </xf>
    <xf numFmtId="0" fontId="2" fillId="0" borderId="13" xfId="0" applyNumberFormat="1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34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34" xfId="0" applyFont="1" applyFill="1" applyBorder="1" applyAlignment="1">
      <alignment horizontal="left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7" xfId="0" applyNumberFormat="1" applyFont="1" applyFill="1" applyBorder="1" applyAlignment="1">
      <alignment horizontal="center" vertical="center"/>
    </xf>
    <xf numFmtId="0" fontId="2" fillId="0" borderId="18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54" xfId="0" applyFont="1" applyFill="1" applyBorder="1" applyAlignment="1">
      <alignment horizontal="center" vertical="center"/>
    </xf>
    <xf numFmtId="0" fontId="1" fillId="0" borderId="55" xfId="0" applyFont="1" applyFill="1" applyBorder="1" applyAlignment="1">
      <alignment horizontal="center" vertical="center"/>
    </xf>
    <xf numFmtId="0" fontId="1" fillId="0" borderId="56" xfId="0" applyFont="1" applyFill="1" applyBorder="1" applyAlignment="1">
      <alignment horizontal="center" vertical="center"/>
    </xf>
    <xf numFmtId="0" fontId="1" fillId="2" borderId="54" xfId="0" applyFont="1" applyFill="1" applyBorder="1" applyAlignment="1">
      <alignment horizontal="center" vertical="center"/>
    </xf>
    <xf numFmtId="0" fontId="1" fillId="2" borderId="55" xfId="0" applyFont="1" applyFill="1" applyBorder="1" applyAlignment="1">
      <alignment horizontal="center" vertical="center"/>
    </xf>
    <xf numFmtId="0" fontId="1" fillId="2" borderId="5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left" vertical="center"/>
    </xf>
    <xf numFmtId="0" fontId="2" fillId="0" borderId="12" xfId="0" applyFont="1" applyFill="1" applyBorder="1" applyAlignment="1">
      <alignment horizontal="left" vertical="center"/>
    </xf>
    <xf numFmtId="0" fontId="2" fillId="0" borderId="58" xfId="0" applyFont="1" applyFill="1" applyBorder="1" applyAlignment="1">
      <alignment horizontal="left" vertical="center"/>
    </xf>
    <xf numFmtId="0" fontId="2" fillId="0" borderId="25" xfId="0" applyFont="1" applyFill="1" applyBorder="1" applyAlignment="1">
      <alignment horizontal="left" vertical="center"/>
    </xf>
    <xf numFmtId="0" fontId="2" fillId="2" borderId="28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0" fontId="2" fillId="2" borderId="58" xfId="0" applyFont="1" applyFill="1" applyBorder="1" applyAlignment="1">
      <alignment horizontal="left" vertical="center"/>
    </xf>
    <xf numFmtId="0" fontId="2" fillId="2" borderId="25" xfId="0" applyFont="1" applyFill="1" applyBorder="1" applyAlignment="1">
      <alignment horizontal="left" vertical="center"/>
    </xf>
    <xf numFmtId="0" fontId="2" fillId="0" borderId="33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60" xfId="0" applyFont="1" applyFill="1" applyBorder="1" applyAlignment="1">
      <alignment horizontal="left" vertical="center"/>
    </xf>
    <xf numFmtId="0" fontId="2" fillId="0" borderId="16" xfId="0" applyFont="1" applyFill="1" applyBorder="1" applyAlignment="1">
      <alignment horizontal="left" vertical="center"/>
    </xf>
    <xf numFmtId="0" fontId="2" fillId="2" borderId="33" xfId="0" applyFont="1" applyFill="1" applyBorder="1" applyAlignment="1">
      <alignment horizontal="left" vertical="center"/>
    </xf>
    <xf numFmtId="0" fontId="2" fillId="2" borderId="27" xfId="0" applyFont="1" applyFill="1" applyBorder="1" applyAlignment="1">
      <alignment horizontal="left" vertical="center"/>
    </xf>
    <xf numFmtId="0" fontId="2" fillId="2" borderId="60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left" vertical="center"/>
    </xf>
    <xf numFmtId="14" fontId="2" fillId="0" borderId="38" xfId="0" applyNumberFormat="1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171" fontId="2" fillId="0" borderId="28" xfId="0" applyNumberFormat="1" applyFont="1" applyFill="1" applyBorder="1" applyAlignment="1" applyProtection="1">
      <alignment horizontal="center" vertical="center"/>
    </xf>
    <xf numFmtId="171" fontId="2" fillId="0" borderId="12" xfId="0" applyNumberFormat="1" applyFont="1" applyFill="1" applyBorder="1" applyAlignment="1" applyProtection="1">
      <alignment horizontal="center" vertical="center"/>
    </xf>
    <xf numFmtId="14" fontId="2" fillId="0" borderId="25" xfId="0" applyNumberFormat="1" applyFont="1" applyFill="1" applyBorder="1" applyAlignment="1" applyProtection="1">
      <alignment horizontal="center" vertical="center"/>
    </xf>
    <xf numFmtId="0" fontId="2" fillId="0" borderId="12" xfId="0" applyFont="1" applyFill="1" applyBorder="1" applyAlignment="1" applyProtection="1">
      <alignment horizontal="center" vertical="center"/>
    </xf>
    <xf numFmtId="0" fontId="2" fillId="0" borderId="13" xfId="0" applyFont="1" applyFill="1" applyBorder="1" applyAlignment="1" applyProtection="1">
      <alignment horizontal="center" vertical="center"/>
    </xf>
    <xf numFmtId="171" fontId="2" fillId="0" borderId="42" xfId="0" applyNumberFormat="1" applyFont="1" applyFill="1" applyBorder="1" applyAlignment="1" applyProtection="1">
      <alignment horizontal="center" vertical="center"/>
    </xf>
    <xf numFmtId="171" fontId="2" fillId="0" borderId="71" xfId="0" applyNumberFormat="1" applyFont="1" applyFill="1" applyBorder="1" applyAlignment="1" applyProtection="1">
      <alignment horizontal="center" vertical="center"/>
    </xf>
    <xf numFmtId="14" fontId="2" fillId="0" borderId="73" xfId="0" applyNumberFormat="1" applyFont="1" applyFill="1" applyBorder="1" applyAlignment="1" applyProtection="1">
      <alignment horizontal="center" vertical="center"/>
    </xf>
    <xf numFmtId="0" fontId="2" fillId="0" borderId="71" xfId="0" applyFont="1" applyFill="1" applyBorder="1" applyAlignment="1" applyProtection="1">
      <alignment horizontal="center" vertical="center"/>
    </xf>
    <xf numFmtId="0" fontId="2" fillId="0" borderId="74" xfId="0" applyFont="1" applyFill="1" applyBorder="1" applyAlignment="1" applyProtection="1">
      <alignment horizontal="center" vertical="center"/>
    </xf>
    <xf numFmtId="171" fontId="2" fillId="0" borderId="33" xfId="0" applyNumberFormat="1" applyFont="1" applyFill="1" applyBorder="1" applyAlignment="1" applyProtection="1">
      <alignment horizontal="center" vertical="center"/>
    </xf>
    <xf numFmtId="171" fontId="2" fillId="0" borderId="27" xfId="0" applyNumberFormat="1" applyFont="1" applyFill="1" applyBorder="1" applyAlignment="1" applyProtection="1">
      <alignment horizontal="center" vertical="center"/>
    </xf>
    <xf numFmtId="14" fontId="2" fillId="0" borderId="16" xfId="0" applyNumberFormat="1" applyFont="1" applyFill="1" applyBorder="1" applyAlignment="1" applyProtection="1">
      <alignment horizontal="center" vertical="center"/>
    </xf>
    <xf numFmtId="0" fontId="2" fillId="0" borderId="27" xfId="0" applyFont="1" applyFill="1" applyBorder="1" applyAlignment="1" applyProtection="1">
      <alignment horizontal="center" vertical="center"/>
    </xf>
    <xf numFmtId="0" fontId="2" fillId="0" borderId="18" xfId="0" applyFont="1" applyFill="1" applyBorder="1" applyAlignment="1" applyProtection="1">
      <alignment horizontal="center" vertical="center"/>
    </xf>
    <xf numFmtId="0" fontId="2" fillId="2" borderId="28" xfId="0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center" vertical="center"/>
      <protection locked="0"/>
    </xf>
    <xf numFmtId="0" fontId="7" fillId="0" borderId="28" xfId="0" applyFont="1" applyFill="1" applyBorder="1" applyAlignment="1" applyProtection="1">
      <alignment horizontal="center" vertical="center"/>
      <protection locked="0"/>
    </xf>
    <xf numFmtId="0" fontId="7" fillId="0" borderId="12" xfId="0" applyFont="1" applyFill="1" applyBorder="1" applyAlignment="1" applyProtection="1">
      <alignment horizontal="center" vertical="center"/>
      <protection locked="0"/>
    </xf>
    <xf numFmtId="171" fontId="2" fillId="0" borderId="41" xfId="0" applyNumberFormat="1" applyFont="1" applyFill="1" applyBorder="1" applyAlignment="1" applyProtection="1">
      <alignment horizontal="center" vertical="center"/>
    </xf>
    <xf numFmtId="171" fontId="2" fillId="0" borderId="67" xfId="0" applyNumberFormat="1" applyFont="1" applyFill="1" applyBorder="1" applyAlignment="1" applyProtection="1">
      <alignment horizontal="center" vertical="center"/>
    </xf>
    <xf numFmtId="14" fontId="2" fillId="0" borderId="69" xfId="0" applyNumberFormat="1" applyFont="1" applyFill="1" applyBorder="1" applyAlignment="1" applyProtection="1">
      <alignment horizontal="center" vertical="center"/>
    </xf>
    <xf numFmtId="0" fontId="2" fillId="0" borderId="67" xfId="0" applyFont="1" applyFill="1" applyBorder="1" applyAlignment="1" applyProtection="1">
      <alignment horizontal="center" vertical="center"/>
    </xf>
    <xf numFmtId="0" fontId="2" fillId="0" borderId="70" xfId="0" applyFont="1" applyFill="1" applyBorder="1" applyAlignment="1" applyProtection="1">
      <alignment horizontal="center" vertical="center"/>
    </xf>
    <xf numFmtId="0" fontId="2" fillId="2" borderId="12" xfId="0" applyFont="1" applyFill="1" applyBorder="1" applyAlignment="1" applyProtection="1">
      <alignment horizontal="left" vertical="center"/>
      <protection locked="0"/>
    </xf>
    <xf numFmtId="0" fontId="2" fillId="2" borderId="13" xfId="0" applyFont="1" applyFill="1" applyBorder="1" applyAlignment="1" applyProtection="1">
      <alignment horizontal="left" vertical="center"/>
      <protection locked="0"/>
    </xf>
    <xf numFmtId="0" fontId="7" fillId="0" borderId="12" xfId="0" applyFont="1" applyFill="1" applyBorder="1" applyAlignment="1" applyProtection="1">
      <alignment horizontal="left" vertical="center"/>
      <protection locked="0"/>
    </xf>
    <xf numFmtId="0" fontId="7" fillId="0" borderId="13" xfId="0" applyFont="1" applyFill="1" applyBorder="1" applyAlignment="1" applyProtection="1">
      <alignment horizontal="left" vertical="center"/>
      <protection locked="0"/>
    </xf>
    <xf numFmtId="0" fontId="7" fillId="0" borderId="27" xfId="0" applyFont="1" applyFill="1" applyBorder="1" applyAlignment="1" applyProtection="1">
      <alignment horizontal="left" vertical="center"/>
      <protection locked="0"/>
    </xf>
    <xf numFmtId="0" fontId="7" fillId="0" borderId="18" xfId="0" applyFont="1" applyFill="1" applyBorder="1" applyAlignment="1" applyProtection="1">
      <alignment horizontal="left" vertical="center"/>
      <protection locked="0"/>
    </xf>
    <xf numFmtId="0" fontId="7" fillId="0" borderId="33" xfId="0" applyFont="1" applyFill="1" applyBorder="1" applyAlignment="1" applyProtection="1">
      <alignment horizontal="center" vertical="center"/>
      <protection locked="0"/>
    </xf>
    <xf numFmtId="0" fontId="7" fillId="0" borderId="27" xfId="0" applyFont="1" applyFill="1" applyBorder="1" applyAlignment="1" applyProtection="1">
      <alignment horizontal="center" vertical="center"/>
      <protection locked="0"/>
    </xf>
    <xf numFmtId="0" fontId="2" fillId="0" borderId="7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81" xfId="0" applyFont="1" applyBorder="1" applyAlignment="1">
      <alignment horizontal="center" vertical="center"/>
    </xf>
    <xf numFmtId="0" fontId="1" fillId="0" borderId="79" xfId="0" applyFont="1" applyBorder="1" applyAlignment="1">
      <alignment horizontal="center" vertical="center"/>
    </xf>
    <xf numFmtId="0" fontId="1" fillId="0" borderId="80" xfId="0" applyFont="1" applyBorder="1" applyAlignment="1">
      <alignment horizontal="center" vertical="center"/>
    </xf>
    <xf numFmtId="0" fontId="2" fillId="0" borderId="7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33" xfId="0" applyFont="1" applyFill="1" applyBorder="1" applyAlignment="1" applyProtection="1">
      <alignment horizontal="center" vertical="center"/>
      <protection locked="0"/>
    </xf>
    <xf numFmtId="0" fontId="2" fillId="0" borderId="27" xfId="0" applyFont="1" applyFill="1" applyBorder="1" applyAlignment="1" applyProtection="1">
      <alignment horizontal="center" vertical="center"/>
      <protection locked="0"/>
    </xf>
    <xf numFmtId="0" fontId="2" fillId="0" borderId="18" xfId="0" applyFont="1" applyFill="1" applyBorder="1" applyAlignment="1" applyProtection="1">
      <alignment horizontal="center" vertical="center"/>
      <protection locked="0"/>
    </xf>
    <xf numFmtId="0" fontId="2" fillId="2" borderId="33" xfId="0" applyFont="1" applyFill="1" applyBorder="1" applyAlignment="1" applyProtection="1">
      <alignment horizontal="center" vertical="center"/>
      <protection locked="0"/>
    </xf>
    <xf numFmtId="0" fontId="2" fillId="2" borderId="27" xfId="0" applyFont="1" applyFill="1" applyBorder="1" applyAlignment="1" applyProtection="1">
      <alignment horizontal="center" vertical="center"/>
      <protection locked="0"/>
    </xf>
    <xf numFmtId="0" fontId="2" fillId="2" borderId="18" xfId="0" applyFont="1" applyFill="1" applyBorder="1" applyAlignment="1" applyProtection="1">
      <alignment horizontal="center" vertical="center"/>
      <protection locked="0"/>
    </xf>
    <xf numFmtId="171" fontId="2" fillId="0" borderId="62" xfId="0" applyNumberFormat="1" applyFont="1" applyFill="1" applyBorder="1" applyAlignment="1" applyProtection="1">
      <alignment horizontal="center" vertical="center"/>
    </xf>
    <xf numFmtId="171" fontId="2" fillId="0" borderId="63" xfId="0" applyNumberFormat="1" applyFont="1" applyFill="1" applyBorder="1" applyAlignment="1" applyProtection="1">
      <alignment horizontal="center" vertical="center"/>
    </xf>
    <xf numFmtId="14" fontId="2" fillId="0" borderId="65" xfId="0" applyNumberFormat="1" applyFont="1" applyFill="1" applyBorder="1" applyAlignment="1" applyProtection="1">
      <alignment horizontal="center" vertical="center"/>
    </xf>
    <xf numFmtId="0" fontId="2" fillId="0" borderId="63" xfId="0" applyFont="1" applyFill="1" applyBorder="1" applyAlignment="1" applyProtection="1">
      <alignment horizontal="center" vertical="center"/>
    </xf>
    <xf numFmtId="0" fontId="2" fillId="0" borderId="66" xfId="0" applyFont="1" applyFill="1" applyBorder="1" applyAlignment="1" applyProtection="1">
      <alignment horizontal="center" vertical="center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0" fontId="2" fillId="0" borderId="8" xfId="0" applyFont="1" applyFill="1" applyBorder="1" applyAlignment="1" applyProtection="1">
      <alignment horizontal="center" vertical="center"/>
      <protection locked="0"/>
    </xf>
    <xf numFmtId="0" fontId="2" fillId="0" borderId="53" xfId="0" applyFont="1" applyFill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0" fontId="2" fillId="2" borderId="8" xfId="0" applyFont="1" applyFill="1" applyBorder="1" applyAlignment="1" applyProtection="1">
      <alignment horizontal="center" vertical="center"/>
      <protection locked="0"/>
    </xf>
    <xf numFmtId="0" fontId="2" fillId="2" borderId="53" xfId="0" applyFont="1" applyFill="1" applyBorder="1" applyAlignment="1" applyProtection="1">
      <alignment horizontal="center" vertical="center"/>
      <protection locked="0"/>
    </xf>
    <xf numFmtId="0" fontId="2" fillId="0" borderId="24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6" fillId="0" borderId="20" xfId="0" applyFont="1" applyFill="1" applyBorder="1" applyAlignment="1">
      <alignment horizontal="right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0" borderId="2" xfId="0" applyFont="1" applyBorder="1" applyAlignment="1" applyProtection="1">
      <alignment horizontal="left" vertical="center"/>
      <protection locked="0"/>
    </xf>
    <xf numFmtId="0" fontId="1" fillId="2" borderId="0" xfId="0" applyFont="1" applyFill="1" applyAlignment="1">
      <alignment horizontal="center" vertical="center"/>
    </xf>
    <xf numFmtId="0" fontId="2" fillId="0" borderId="14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textRotation="90"/>
    </xf>
    <xf numFmtId="0" fontId="2" fillId="0" borderId="22" xfId="0" applyFont="1" applyBorder="1" applyAlignment="1">
      <alignment horizontal="center" vertical="center"/>
    </xf>
    <xf numFmtId="169" fontId="2" fillId="0" borderId="28" xfId="0" applyNumberFormat="1" applyFont="1" applyBorder="1" applyAlignment="1">
      <alignment horizontal="center" vertical="center"/>
    </xf>
    <xf numFmtId="169" fontId="2" fillId="0" borderId="12" xfId="0" applyNumberFormat="1" applyFont="1" applyBorder="1" applyAlignment="1">
      <alignment horizontal="center" vertical="center"/>
    </xf>
    <xf numFmtId="170" fontId="2" fillId="0" borderId="24" xfId="0" applyNumberFormat="1" applyFont="1" applyBorder="1" applyAlignment="1">
      <alignment horizontal="center" vertical="center"/>
    </xf>
    <xf numFmtId="170" fontId="2" fillId="0" borderId="25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166" fontId="2" fillId="0" borderId="12" xfId="0" applyNumberFormat="1" applyFont="1" applyBorder="1" applyAlignment="1">
      <alignment horizontal="center" vertical="center"/>
    </xf>
    <xf numFmtId="167" fontId="2" fillId="0" borderId="24" xfId="0" applyNumberFormat="1" applyFont="1" applyBorder="1" applyAlignment="1">
      <alignment horizontal="center" vertical="center"/>
    </xf>
    <xf numFmtId="167" fontId="2" fillId="0" borderId="25" xfId="0" applyNumberFormat="1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7" xfId="0" applyFont="1" applyBorder="1" applyAlignment="1">
      <alignment horizontal="left" vertical="center"/>
    </xf>
    <xf numFmtId="0" fontId="2" fillId="0" borderId="18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 shrinkToFit="1"/>
    </xf>
    <xf numFmtId="0" fontId="5" fillId="0" borderId="13" xfId="0" applyFont="1" applyBorder="1" applyAlignment="1">
      <alignment horizontal="center" vertical="center" wrapText="1" shrinkToFit="1"/>
    </xf>
    <xf numFmtId="0" fontId="5" fillId="0" borderId="27" xfId="0" applyFont="1" applyBorder="1" applyAlignment="1">
      <alignment horizontal="center" vertical="center" wrapText="1" shrinkToFit="1"/>
    </xf>
    <xf numFmtId="0" fontId="5" fillId="0" borderId="18" xfId="0" applyFont="1" applyBorder="1" applyAlignment="1">
      <alignment horizontal="center" vertical="center" wrapText="1" shrinkToFit="1"/>
    </xf>
    <xf numFmtId="0" fontId="1" fillId="0" borderId="11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 shrinkToFit="1"/>
    </xf>
    <xf numFmtId="0" fontId="10" fillId="0" borderId="0" xfId="0" applyFont="1" applyAlignment="1">
      <alignment horizontal="center" vertical="center" wrapText="1"/>
    </xf>
    <xf numFmtId="0" fontId="1" fillId="0" borderId="30" xfId="0" applyFont="1" applyBorder="1" applyAlignment="1" applyProtection="1">
      <alignment horizontal="center" vertical="center"/>
      <protection locked="0"/>
    </xf>
    <xf numFmtId="0" fontId="1" fillId="0" borderId="31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14" fontId="2" fillId="0" borderId="0" xfId="0" applyNumberFormat="1" applyFont="1" applyAlignment="1" applyProtection="1">
      <alignment horizontal="center" vertical="center"/>
      <protection locked="0"/>
    </xf>
    <xf numFmtId="1" fontId="2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2" borderId="0" xfId="0" applyFont="1" applyFill="1" applyAlignment="1" applyProtection="1">
      <alignment horizontal="left" vertical="center"/>
      <protection locked="0"/>
    </xf>
    <xf numFmtId="14" fontId="2" fillId="2" borderId="0" xfId="0" applyNumberFormat="1" applyFont="1" applyFill="1" applyAlignment="1" applyProtection="1">
      <alignment horizontal="center" vertical="center"/>
      <protection locked="0"/>
    </xf>
    <xf numFmtId="1" fontId="2" fillId="2" borderId="0" xfId="0" applyNumberFormat="1" applyFont="1" applyFill="1" applyAlignment="1" applyProtection="1">
      <alignment horizontal="center" vertic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0" fontId="2" fillId="2" borderId="0" xfId="0" applyFont="1" applyFill="1" applyAlignment="1" applyProtection="1">
      <alignment vertical="center"/>
      <protection locked="0"/>
    </xf>
    <xf numFmtId="0" fontId="2" fillId="0" borderId="0" xfId="0" applyFont="1" applyAlignment="1" applyProtection="1">
      <alignment horizontal="center" vertical="center" shrinkToFit="1"/>
      <protection locked="0"/>
    </xf>
    <xf numFmtId="0" fontId="2" fillId="0" borderId="0" xfId="0" applyFont="1" applyAlignment="1" applyProtection="1">
      <alignment vertical="center" shrinkToFit="1"/>
      <protection locked="0"/>
    </xf>
    <xf numFmtId="0" fontId="2" fillId="2" borderId="0" xfId="0" applyFont="1" applyFill="1" applyAlignment="1" applyProtection="1">
      <alignment horizontal="center" vertical="center" shrinkToFit="1"/>
      <protection locked="0"/>
    </xf>
    <xf numFmtId="0" fontId="2" fillId="2" borderId="0" xfId="0" applyFont="1" applyFill="1" applyAlignment="1" applyProtection="1">
      <alignment vertical="center" shrinkToFit="1"/>
      <protection locked="0"/>
    </xf>
    <xf numFmtId="0" fontId="1" fillId="0" borderId="0" xfId="0" applyFont="1" applyAlignment="1" applyProtection="1">
      <alignment horizontal="left" vertical="center"/>
    </xf>
    <xf numFmtId="14" fontId="1" fillId="0" borderId="0" xfId="0" applyNumberFormat="1" applyFont="1" applyAlignment="1" applyProtection="1">
      <alignment horizontal="center" vertical="center"/>
    </xf>
    <xf numFmtId="1" fontId="1" fillId="0" borderId="0" xfId="0" applyNumberFormat="1" applyFont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</xf>
    <xf numFmtId="0" fontId="2" fillId="0" borderId="0" xfId="0" applyFont="1" applyAlignment="1" applyProtection="1">
      <alignment horizontal="left" vertical="center"/>
    </xf>
    <xf numFmtId="14" fontId="2" fillId="0" borderId="0" xfId="0" applyNumberFormat="1" applyFont="1" applyAlignment="1" applyProtection="1">
      <alignment horizontal="center" vertical="center"/>
    </xf>
    <xf numFmtId="1" fontId="2" fillId="0" borderId="0" xfId="0" applyNumberFormat="1" applyFont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/>
    </xf>
    <xf numFmtId="0" fontId="2" fillId="0" borderId="0" xfId="0" applyFont="1" applyAlignment="1" applyProtection="1">
      <alignment vertical="center"/>
    </xf>
    <xf numFmtId="0" fontId="5" fillId="0" borderId="27" xfId="0" applyFont="1" applyBorder="1" applyAlignment="1">
      <alignment horizontal="center" vertical="center" shrinkToFit="1"/>
    </xf>
    <xf numFmtId="0" fontId="5" fillId="0" borderId="18" xfId="0" applyFont="1" applyBorder="1" applyAlignment="1">
      <alignment horizontal="center" vertical="center" shrinkToFit="1"/>
    </xf>
    <xf numFmtId="0" fontId="2" fillId="0" borderId="76" xfId="0" applyFont="1" applyBorder="1" applyAlignment="1" applyProtection="1">
      <alignment vertical="center"/>
      <protection locked="0"/>
    </xf>
    <xf numFmtId="0" fontId="2" fillId="0" borderId="0" xfId="0" applyFont="1" applyBorder="1" applyAlignment="1" applyProtection="1">
      <alignment vertical="center"/>
      <protection locked="0"/>
    </xf>
    <xf numFmtId="2" fontId="2" fillId="0" borderId="0" xfId="0" applyNumberFormat="1" applyFont="1" applyAlignment="1" applyProtection="1">
      <alignment horizontal="center" vertical="center"/>
      <protection locked="0"/>
    </xf>
    <xf numFmtId="49" fontId="2" fillId="0" borderId="0" xfId="0" applyNumberFormat="1" applyFont="1" applyAlignment="1" applyProtection="1">
      <alignment horizontal="center" vertical="center"/>
      <protection locked="0"/>
    </xf>
  </cellXfs>
  <cellStyles count="1">
    <cellStyle name="Normální" xfId="0" builtinId="0"/>
  </cellStyles>
  <dxfs count="112">
    <dxf>
      <font>
        <color rgb="FF00B050"/>
      </font>
    </dxf>
    <dxf>
      <font>
        <color theme="5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ill>
        <patternFill>
          <bgColor rgb="FFFFFF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rgb="FF002060"/>
      </font>
    </dxf>
    <dxf>
      <fill>
        <patternFill>
          <bgColor rgb="FF00CC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0000FF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</dxf>
    <dxf>
      <font>
        <color theme="0"/>
      </font>
      <fill>
        <patternFill>
          <bgColor theme="1" tint="0.24994659260841701"/>
        </patternFill>
      </fill>
    </dxf>
    <dxf>
      <font>
        <color rgb="FF0070C0"/>
      </font>
    </dxf>
    <dxf>
      <font>
        <color theme="0"/>
      </font>
      <fill>
        <patternFill>
          <bgColor rgb="FF002060"/>
        </patternFill>
      </fill>
    </dxf>
    <dxf>
      <font>
        <color rgb="FF00B05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rgb="FF002060"/>
      </font>
    </dxf>
    <dxf>
      <fill>
        <patternFill>
          <bgColor rgb="FF00CC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0000FF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</dxf>
    <dxf>
      <font>
        <color theme="0"/>
      </font>
      <fill>
        <patternFill>
          <bgColor theme="1" tint="0.24994659260841701"/>
        </patternFill>
      </fill>
    </dxf>
    <dxf>
      <font>
        <color rgb="FF0070C0"/>
      </font>
    </dxf>
    <dxf>
      <font>
        <color theme="0"/>
      </font>
      <fill>
        <patternFill>
          <bgColor rgb="FF002060"/>
        </patternFill>
      </fill>
    </dxf>
    <dxf>
      <font>
        <color rgb="FF00B05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rgb="FF002060"/>
      </font>
    </dxf>
    <dxf>
      <fill>
        <patternFill>
          <bgColor rgb="FF00CC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0000FF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</dxf>
    <dxf>
      <font>
        <color theme="0"/>
      </font>
      <fill>
        <patternFill>
          <bgColor theme="1" tint="0.24994659260841701"/>
        </patternFill>
      </fill>
    </dxf>
    <dxf>
      <font>
        <color rgb="FF0070C0"/>
      </font>
    </dxf>
    <dxf>
      <font>
        <color theme="0"/>
      </font>
      <fill>
        <patternFill>
          <bgColor rgb="FF002060"/>
        </patternFill>
      </fill>
    </dxf>
    <dxf>
      <font>
        <color rgb="FF00B05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ont>
        <color rgb="FF00B050"/>
      </font>
    </dxf>
    <dxf>
      <font>
        <color theme="5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ill>
        <patternFill>
          <bgColor rgb="FFFFFF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rgb="FF002060"/>
      </font>
    </dxf>
    <dxf>
      <fill>
        <patternFill>
          <bgColor rgb="FF00CC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0000FF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</dxf>
    <dxf>
      <font>
        <color theme="0"/>
      </font>
      <fill>
        <patternFill>
          <bgColor theme="1" tint="0.24994659260841701"/>
        </patternFill>
      </fill>
    </dxf>
    <dxf>
      <font>
        <color rgb="FF0070C0"/>
      </font>
    </dxf>
    <dxf>
      <font>
        <color theme="0"/>
      </font>
      <fill>
        <patternFill>
          <bgColor rgb="FF002060"/>
        </patternFill>
      </fill>
    </dxf>
    <dxf>
      <font>
        <color rgb="FF00B05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rgb="FF002060"/>
      </font>
    </dxf>
    <dxf>
      <fill>
        <patternFill>
          <bgColor rgb="FF00CC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0000FF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</dxf>
    <dxf>
      <font>
        <color theme="0"/>
      </font>
      <fill>
        <patternFill>
          <bgColor theme="1" tint="0.24994659260841701"/>
        </patternFill>
      </fill>
    </dxf>
    <dxf>
      <font>
        <color rgb="FF0070C0"/>
      </font>
    </dxf>
    <dxf>
      <font>
        <color theme="0"/>
      </font>
      <fill>
        <patternFill>
          <bgColor rgb="FF002060"/>
        </patternFill>
      </fill>
    </dxf>
    <dxf>
      <font>
        <color rgb="FF00B05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rgb="FF002060"/>
      </font>
    </dxf>
    <dxf>
      <fill>
        <patternFill>
          <bgColor rgb="FF00CC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0000FF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</dxf>
    <dxf>
      <font>
        <color theme="0"/>
      </font>
      <fill>
        <patternFill>
          <bgColor theme="1" tint="0.24994659260841701"/>
        </patternFill>
      </fill>
    </dxf>
    <dxf>
      <font>
        <color rgb="FF0070C0"/>
      </font>
    </dxf>
    <dxf>
      <font>
        <color theme="0"/>
      </font>
      <fill>
        <patternFill>
          <bgColor rgb="FF002060"/>
        </patternFill>
      </fill>
    </dxf>
    <dxf>
      <font>
        <color rgb="FF00B05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rgb="FF002060"/>
      </font>
    </dxf>
    <dxf>
      <fill>
        <patternFill>
          <bgColor rgb="FF00CC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0000FF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</dxf>
    <dxf>
      <font>
        <color theme="0"/>
      </font>
      <fill>
        <patternFill>
          <bgColor theme="1" tint="0.24994659260841701"/>
        </patternFill>
      </fill>
    </dxf>
    <dxf>
      <font>
        <color rgb="FF0070C0"/>
      </font>
    </dxf>
    <dxf>
      <font>
        <color theme="0"/>
      </font>
      <fill>
        <patternFill>
          <bgColor rgb="FF002060"/>
        </patternFill>
      </fill>
    </dxf>
    <dxf>
      <font>
        <color rgb="FF00B050"/>
      </font>
      <fill>
        <patternFill>
          <bgColor rgb="FFFF0000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league_table" refreshOnLoad="1" growShrinkType="overwriteClear" adjustColumnWidth="0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KV_players" refreshOnLoad="1" growShrinkType="overwriteClear" adjustColumnWidth="0" connectionId="9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KV_matches" refreshOnLoad="1" growShrinkType="overwriteClear" adjustColumnWidth="0" connectionId="8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SKV_bestof_1" refreshOnLoad="1" growShrinkType="overwriteClear" adjustColumnWidth="0" connectionId="6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SKV_goalies" refreshOnLoad="1" growShrinkType="overwriteClear" adjustColumnWidth="0" connectionId="7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LIB_matches" refreshOnLoad="1" growShrinkType="overwriteClear" adjustColumnWidth="0" connectionId="4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LIB_bestof" refreshOnLoad="1" growShrinkType="overwriteClear" adjustColumnWidth="0" connectionId="2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LIB_goalies" refreshOnLoad="1" growShrinkType="overwriteClear" adjustColumnWidth="0" connectionId="3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LIB_players" refreshOnLoad="1" growShrinkType="overwriteClear" adjustColumnWidth="0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9.xml"/><Relationship Id="rId4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1"/>
  <dimension ref="A1:BF16"/>
  <sheetViews>
    <sheetView tabSelected="1" view="pageBreakPreview" zoomScaleNormal="100" zoomScaleSheetLayoutView="100" workbookViewId="0"/>
  </sheetViews>
  <sheetFormatPr defaultColWidth="9.140625" defaultRowHeight="14.25" x14ac:dyDescent="0.25"/>
  <cols>
    <col min="1" max="1" width="3.7109375" style="3" customWidth="1"/>
    <col min="2" max="2" width="27.85546875" style="3" customWidth="1"/>
    <col min="3" max="14" width="5.28515625" style="119" customWidth="1"/>
    <col min="15" max="15" width="7.140625" style="120" customWidth="1"/>
    <col min="16" max="18" width="5.28515625" style="119" customWidth="1"/>
    <col min="19" max="19" width="7.140625" style="120" customWidth="1"/>
    <col min="20" max="21" width="5.28515625" style="119" customWidth="1"/>
    <col min="22" max="22" width="7.140625" style="120" customWidth="1"/>
    <col min="23" max="23" width="23.85546875" style="105" bestFit="1" customWidth="1"/>
    <col min="24" max="35" width="3.85546875" style="108" customWidth="1"/>
    <col min="36" max="36" width="5.28515625" style="107" customWidth="1"/>
    <col min="37" max="39" width="3.85546875" style="108" customWidth="1"/>
    <col min="40" max="40" width="5.28515625" style="107" customWidth="1"/>
    <col min="41" max="48" width="3.85546875" style="108" customWidth="1"/>
    <col min="49" max="49" width="5.28515625" style="107" customWidth="1"/>
    <col min="50" max="50" width="5" style="108" customWidth="1"/>
    <col min="51" max="51" width="5" style="108" bestFit="1" customWidth="1"/>
    <col min="52" max="52" width="3.85546875" style="108" customWidth="1"/>
    <col min="53" max="53" width="23.85546875" style="3" customWidth="1"/>
    <col min="54" max="54" width="9.140625" style="3"/>
    <col min="55" max="55" width="9.140625" style="3" customWidth="1"/>
    <col min="56" max="16384" width="9.140625" style="3"/>
  </cols>
  <sheetData>
    <row r="1" spans="1:58" ht="24" customHeight="1" thickTop="1" thickBot="1" x14ac:dyDescent="0.3">
      <c r="A1" s="88" t="s">
        <v>58</v>
      </c>
      <c r="B1" s="89" t="s">
        <v>59</v>
      </c>
      <c r="C1" s="112" t="s">
        <v>60</v>
      </c>
      <c r="D1" s="112" t="s">
        <v>26</v>
      </c>
      <c r="E1" s="112" t="s">
        <v>61</v>
      </c>
      <c r="F1" s="112" t="s">
        <v>62</v>
      </c>
      <c r="G1" s="112" t="s">
        <v>27</v>
      </c>
      <c r="H1" s="116" t="s">
        <v>46</v>
      </c>
      <c r="I1" s="112" t="s">
        <v>63</v>
      </c>
      <c r="J1" s="112" t="s">
        <v>64</v>
      </c>
      <c r="K1" s="112" t="s">
        <v>65</v>
      </c>
      <c r="L1" s="112" t="s">
        <v>62</v>
      </c>
      <c r="M1" s="112" t="s">
        <v>66</v>
      </c>
      <c r="N1" s="112" t="s">
        <v>67</v>
      </c>
      <c r="O1" s="111" t="s">
        <v>68</v>
      </c>
      <c r="P1" s="112" t="s">
        <v>69</v>
      </c>
      <c r="Q1" s="112" t="s">
        <v>70</v>
      </c>
      <c r="R1" s="112" t="s">
        <v>71</v>
      </c>
      <c r="S1" s="111" t="s">
        <v>72</v>
      </c>
      <c r="T1" s="112" t="s">
        <v>31</v>
      </c>
      <c r="U1" s="112" t="s">
        <v>73</v>
      </c>
      <c r="V1" s="110" t="s">
        <v>74</v>
      </c>
      <c r="W1" s="105" t="s">
        <v>97</v>
      </c>
      <c r="X1" s="108" t="s">
        <v>89</v>
      </c>
      <c r="Y1" s="108" t="s">
        <v>26</v>
      </c>
      <c r="Z1" s="108" t="s">
        <v>61</v>
      </c>
      <c r="AA1" s="108" t="s">
        <v>62</v>
      </c>
      <c r="AB1" s="108" t="s">
        <v>27</v>
      </c>
      <c r="AC1" s="108" t="s">
        <v>46</v>
      </c>
      <c r="AD1" s="108" t="s">
        <v>63</v>
      </c>
      <c r="AE1" s="108" t="s">
        <v>64</v>
      </c>
      <c r="AF1" s="108" t="s">
        <v>65</v>
      </c>
      <c r="AG1" s="108" t="s">
        <v>62</v>
      </c>
      <c r="AH1" s="108" t="s">
        <v>66</v>
      </c>
      <c r="AI1" s="108" t="s">
        <v>67</v>
      </c>
      <c r="AJ1" s="107" t="s">
        <v>68</v>
      </c>
      <c r="AK1" s="108" t="s">
        <v>69</v>
      </c>
      <c r="AL1" s="108" t="s">
        <v>70</v>
      </c>
      <c r="AM1" s="108" t="s">
        <v>71</v>
      </c>
      <c r="AN1" s="107" t="s">
        <v>72</v>
      </c>
      <c r="AO1" s="108">
        <v>2</v>
      </c>
      <c r="AP1" s="108">
        <v>5</v>
      </c>
      <c r="AQ1" s="108">
        <v>10</v>
      </c>
      <c r="AR1" s="108" t="s">
        <v>91</v>
      </c>
      <c r="AS1" s="108" t="s">
        <v>92</v>
      </c>
      <c r="AT1" s="108" t="s">
        <v>93</v>
      </c>
      <c r="AU1" s="108" t="s">
        <v>31</v>
      </c>
      <c r="AV1" s="108" t="s">
        <v>73</v>
      </c>
      <c r="AW1" s="107" t="s">
        <v>74</v>
      </c>
      <c r="AX1" s="108" t="s">
        <v>94</v>
      </c>
      <c r="AY1" s="108" t="s">
        <v>95</v>
      </c>
      <c r="AZ1" s="108" t="s">
        <v>96</v>
      </c>
      <c r="BA1" s="3" t="s">
        <v>97</v>
      </c>
      <c r="BB1" s="66" t="s">
        <v>98</v>
      </c>
      <c r="BC1" s="66" t="s">
        <v>114</v>
      </c>
      <c r="BD1" s="66" t="s">
        <v>111</v>
      </c>
      <c r="BE1" s="66" t="s">
        <v>112</v>
      </c>
      <c r="BF1" s="66" t="s">
        <v>113</v>
      </c>
    </row>
    <row r="2" spans="1:58" ht="24" customHeight="1" x14ac:dyDescent="0.25">
      <c r="A2" s="90">
        <v>1</v>
      </c>
      <c r="B2" s="27" t="str">
        <f>W2</f>
        <v>Tatran Střešovice</v>
      </c>
      <c r="C2" s="113">
        <f t="shared" ref="C2:S2" si="0">X2</f>
        <v>1</v>
      </c>
      <c r="D2" s="113">
        <f t="shared" si="0"/>
        <v>1</v>
      </c>
      <c r="E2" s="113">
        <f t="shared" si="0"/>
        <v>0</v>
      </c>
      <c r="F2" s="113">
        <f t="shared" si="0"/>
        <v>0</v>
      </c>
      <c r="G2" s="113">
        <f t="shared" si="0"/>
        <v>0</v>
      </c>
      <c r="H2" s="117">
        <f t="shared" si="0"/>
        <v>3</v>
      </c>
      <c r="I2" s="113">
        <f t="shared" si="0"/>
        <v>11</v>
      </c>
      <c r="J2" s="113">
        <f t="shared" si="0"/>
        <v>2</v>
      </c>
      <c r="K2" s="113">
        <f t="shared" si="0"/>
        <v>9</v>
      </c>
      <c r="L2" s="113">
        <f t="shared" si="0"/>
        <v>1</v>
      </c>
      <c r="M2" s="113">
        <f t="shared" si="0"/>
        <v>1</v>
      </c>
      <c r="N2" s="113">
        <f t="shared" si="0"/>
        <v>0</v>
      </c>
      <c r="O2" s="91">
        <f t="shared" si="0"/>
        <v>100</v>
      </c>
      <c r="P2" s="113">
        <f t="shared" si="0"/>
        <v>2</v>
      </c>
      <c r="Q2" s="113">
        <f t="shared" si="0"/>
        <v>0</v>
      </c>
      <c r="R2" s="113">
        <f t="shared" si="0"/>
        <v>1</v>
      </c>
      <c r="S2" s="91">
        <f t="shared" si="0"/>
        <v>100</v>
      </c>
      <c r="T2" s="113">
        <f>AU2</f>
        <v>4</v>
      </c>
      <c r="U2" s="113">
        <f t="shared" ref="U2:V2" si="1">AV2</f>
        <v>29</v>
      </c>
      <c r="V2" s="92">
        <f t="shared" si="1"/>
        <v>37.93</v>
      </c>
      <c r="W2" s="109" t="s">
        <v>75</v>
      </c>
      <c r="X2" s="108">
        <v>1</v>
      </c>
      <c r="Y2" s="108">
        <v>1</v>
      </c>
      <c r="Z2" s="108">
        <v>0</v>
      </c>
      <c r="AA2" s="108">
        <v>0</v>
      </c>
      <c r="AB2" s="108">
        <v>0</v>
      </c>
      <c r="AC2" s="108">
        <v>3</v>
      </c>
      <c r="AD2" s="108">
        <v>11</v>
      </c>
      <c r="AE2" s="108">
        <v>2</v>
      </c>
      <c r="AF2" s="108">
        <v>9</v>
      </c>
      <c r="AG2" s="108">
        <v>1</v>
      </c>
      <c r="AH2" s="108">
        <v>1</v>
      </c>
      <c r="AI2" s="108">
        <v>0</v>
      </c>
      <c r="AJ2" s="107">
        <v>100</v>
      </c>
      <c r="AK2" s="108">
        <v>2</v>
      </c>
      <c r="AL2" s="108">
        <v>0</v>
      </c>
      <c r="AM2" s="108">
        <v>1</v>
      </c>
      <c r="AN2" s="107">
        <v>100</v>
      </c>
      <c r="AO2" s="108">
        <v>2</v>
      </c>
      <c r="AP2" s="108">
        <v>0</v>
      </c>
      <c r="AQ2" s="108">
        <v>0</v>
      </c>
      <c r="AR2" s="108">
        <v>0</v>
      </c>
      <c r="AS2" s="108">
        <v>0</v>
      </c>
      <c r="AT2" s="108">
        <v>0</v>
      </c>
      <c r="AU2" s="108">
        <v>4</v>
      </c>
      <c r="AV2" s="108">
        <v>29</v>
      </c>
      <c r="AW2" s="107">
        <v>37.93</v>
      </c>
      <c r="AX2" s="108">
        <v>0</v>
      </c>
      <c r="AY2" s="108">
        <v>124</v>
      </c>
      <c r="AZ2" s="108">
        <v>5</v>
      </c>
      <c r="BA2" s="3" t="s">
        <v>77</v>
      </c>
      <c r="BB2" s="66" t="s">
        <v>101</v>
      </c>
      <c r="BC2" s="66">
        <f>MATCH(BA2,$B$2:$B$15,0)</f>
        <v>3</v>
      </c>
      <c r="BD2" s="66">
        <f>_xlfn.RANK.EQ(VLOOKUP(BA2,$B$2:$V$15,14,FALSE),$O$2:$O$15,0)</f>
        <v>10</v>
      </c>
      <c r="BE2" s="66">
        <f>_xlfn.RANK.EQ(VLOOKUP(BA2,$B$2:$V$15,18,FALSE),$S$2:$S$15,0)</f>
        <v>9</v>
      </c>
      <c r="BF2" s="66">
        <f>_xlfn.RANK.EQ(VLOOKUP(BA2,$B$2:$V$16,19,FALSE),$T$2:$T$15,1)</f>
        <v>1</v>
      </c>
    </row>
    <row r="3" spans="1:58" ht="24" customHeight="1" x14ac:dyDescent="0.25">
      <c r="A3" s="93">
        <v>2</v>
      </c>
      <c r="B3" s="94" t="str">
        <f t="shared" ref="B3:B15" si="2">W3</f>
        <v>Předvýběr.CZ Florbal MB</v>
      </c>
      <c r="C3" s="114">
        <f t="shared" ref="C3:C15" si="3">X3</f>
        <v>1</v>
      </c>
      <c r="D3" s="114">
        <f t="shared" ref="D3:D15" si="4">Y3</f>
        <v>1</v>
      </c>
      <c r="E3" s="114">
        <f t="shared" ref="E3:E15" si="5">Z3</f>
        <v>0</v>
      </c>
      <c r="F3" s="114">
        <f t="shared" ref="F3:F15" si="6">AA3</f>
        <v>0</v>
      </c>
      <c r="G3" s="114">
        <f t="shared" ref="G3:G15" si="7">AB3</f>
        <v>0</v>
      </c>
      <c r="H3" s="117">
        <f t="shared" ref="H3:H15" si="8">AC3</f>
        <v>3</v>
      </c>
      <c r="I3" s="114">
        <f t="shared" ref="I3:I15" si="9">AD3</f>
        <v>10</v>
      </c>
      <c r="J3" s="114">
        <f t="shared" ref="J3:J15" si="10">AE3</f>
        <v>2</v>
      </c>
      <c r="K3" s="114">
        <f t="shared" ref="K3:K15" si="11">AF3</f>
        <v>8</v>
      </c>
      <c r="L3" s="114">
        <f t="shared" ref="L3:L15" si="12">AG3</f>
        <v>1</v>
      </c>
      <c r="M3" s="114">
        <f t="shared" ref="M3:M15" si="13">AH3</f>
        <v>1</v>
      </c>
      <c r="N3" s="114">
        <f t="shared" ref="N3:N15" si="14">AI3</f>
        <v>0</v>
      </c>
      <c r="O3" s="95">
        <f t="shared" ref="O3:O15" si="15">AJ3</f>
        <v>100</v>
      </c>
      <c r="P3" s="114">
        <f t="shared" ref="P3:P15" si="16">AK3</f>
        <v>2</v>
      </c>
      <c r="Q3" s="114">
        <f t="shared" ref="Q3:Q15" si="17">AL3</f>
        <v>1</v>
      </c>
      <c r="R3" s="114">
        <f t="shared" ref="R3:R15" si="18">AM3</f>
        <v>0</v>
      </c>
      <c r="S3" s="95">
        <f t="shared" ref="S3:S15" si="19">AN3</f>
        <v>50</v>
      </c>
      <c r="T3" s="114">
        <f t="shared" ref="T3:T15" si="20">AU3</f>
        <v>4</v>
      </c>
      <c r="U3" s="114">
        <f t="shared" ref="U3:U15" si="21">AV3</f>
        <v>27</v>
      </c>
      <c r="V3" s="96">
        <f t="shared" ref="V3:V15" si="22">AW3</f>
        <v>37.04</v>
      </c>
      <c r="W3" s="109" t="s">
        <v>76</v>
      </c>
      <c r="X3" s="108">
        <v>1</v>
      </c>
      <c r="Y3" s="108">
        <v>1</v>
      </c>
      <c r="Z3" s="108">
        <v>0</v>
      </c>
      <c r="AA3" s="108">
        <v>0</v>
      </c>
      <c r="AB3" s="108">
        <v>0</v>
      </c>
      <c r="AC3" s="108">
        <v>3</v>
      </c>
      <c r="AD3" s="108">
        <v>10</v>
      </c>
      <c r="AE3" s="108">
        <v>2</v>
      </c>
      <c r="AF3" s="108">
        <v>8</v>
      </c>
      <c r="AG3" s="108">
        <v>1</v>
      </c>
      <c r="AH3" s="108">
        <v>1</v>
      </c>
      <c r="AI3" s="108">
        <v>0</v>
      </c>
      <c r="AJ3" s="107">
        <v>100</v>
      </c>
      <c r="AK3" s="108">
        <v>2</v>
      </c>
      <c r="AL3" s="108">
        <v>1</v>
      </c>
      <c r="AM3" s="108">
        <v>0</v>
      </c>
      <c r="AN3" s="107">
        <v>50</v>
      </c>
      <c r="AO3" s="108">
        <v>2</v>
      </c>
      <c r="AP3" s="108">
        <v>0</v>
      </c>
      <c r="AQ3" s="108">
        <v>0</v>
      </c>
      <c r="AR3" s="108">
        <v>0</v>
      </c>
      <c r="AS3" s="108">
        <v>0</v>
      </c>
      <c r="AT3" s="108">
        <v>0</v>
      </c>
      <c r="AU3" s="108">
        <v>4</v>
      </c>
      <c r="AV3" s="108">
        <v>27</v>
      </c>
      <c r="AW3" s="107">
        <v>37.04</v>
      </c>
      <c r="AX3" s="108">
        <v>265</v>
      </c>
      <c r="AY3" s="108">
        <v>0</v>
      </c>
      <c r="AZ3" s="108">
        <v>10</v>
      </c>
      <c r="BA3" s="3" t="s">
        <v>83</v>
      </c>
      <c r="BB3" s="66" t="s">
        <v>106</v>
      </c>
      <c r="BC3" s="66">
        <f t="shared" ref="BC3:BC15" si="23">MATCH(BA3,$B$2:$B$15,0)</f>
        <v>9</v>
      </c>
      <c r="BD3" s="66">
        <f t="shared" ref="BD3:BD15" si="24">_xlfn.RANK.EQ(VLOOKUP(BA3,$B$2:$V$15,14,FALSE),$O$2:$O$15,0)</f>
        <v>1</v>
      </c>
      <c r="BE3" s="66">
        <f t="shared" ref="BE3:BE15" si="25">_xlfn.RANK.EQ(VLOOKUP(BA3,$B$2:$V$15,18,FALSE),$S$2:$S$15,0)</f>
        <v>9</v>
      </c>
      <c r="BF3" s="66">
        <f t="shared" ref="BF3:BF15" si="26">_xlfn.RANK.EQ(VLOOKUP(BA3,$B$2:$V$16,19,FALSE),$T$2:$T$15,1)</f>
        <v>3</v>
      </c>
    </row>
    <row r="4" spans="1:58" ht="24" customHeight="1" x14ac:dyDescent="0.25">
      <c r="A4" s="90">
        <v>3</v>
      </c>
      <c r="B4" s="27" t="str">
        <f t="shared" si="2"/>
        <v>1. SC TEMPISH Vítkovice</v>
      </c>
      <c r="C4" s="113">
        <f t="shared" si="3"/>
        <v>1</v>
      </c>
      <c r="D4" s="113">
        <f t="shared" si="4"/>
        <v>1</v>
      </c>
      <c r="E4" s="113">
        <f t="shared" si="5"/>
        <v>0</v>
      </c>
      <c r="F4" s="113">
        <f t="shared" si="6"/>
        <v>0</v>
      </c>
      <c r="G4" s="113">
        <f t="shared" si="7"/>
        <v>0</v>
      </c>
      <c r="H4" s="117">
        <f t="shared" si="8"/>
        <v>3</v>
      </c>
      <c r="I4" s="113">
        <f t="shared" si="9"/>
        <v>11</v>
      </c>
      <c r="J4" s="113">
        <f t="shared" si="10"/>
        <v>4</v>
      </c>
      <c r="K4" s="113">
        <f t="shared" si="11"/>
        <v>7</v>
      </c>
      <c r="L4" s="113">
        <f t="shared" si="12"/>
        <v>1</v>
      </c>
      <c r="M4" s="113">
        <f t="shared" si="13"/>
        <v>0</v>
      </c>
      <c r="N4" s="113">
        <f t="shared" si="14"/>
        <v>0</v>
      </c>
      <c r="O4" s="91">
        <f t="shared" si="15"/>
        <v>0</v>
      </c>
      <c r="P4" s="113">
        <f t="shared" si="16"/>
        <v>0</v>
      </c>
      <c r="Q4" s="113">
        <f t="shared" si="17"/>
        <v>0</v>
      </c>
      <c r="R4" s="113">
        <f t="shared" si="18"/>
        <v>0</v>
      </c>
      <c r="S4" s="91">
        <f t="shared" si="19"/>
        <v>0</v>
      </c>
      <c r="T4" s="113">
        <f t="shared" si="20"/>
        <v>0</v>
      </c>
      <c r="U4" s="113">
        <f t="shared" si="21"/>
        <v>35</v>
      </c>
      <c r="V4" s="92">
        <f t="shared" si="22"/>
        <v>31.43</v>
      </c>
      <c r="W4" s="109" t="s">
        <v>77</v>
      </c>
      <c r="X4" s="108">
        <v>1</v>
      </c>
      <c r="Y4" s="108">
        <v>1</v>
      </c>
      <c r="Z4" s="108">
        <v>0</v>
      </c>
      <c r="AA4" s="108">
        <v>0</v>
      </c>
      <c r="AB4" s="108">
        <v>0</v>
      </c>
      <c r="AC4" s="108">
        <v>3</v>
      </c>
      <c r="AD4" s="108">
        <v>11</v>
      </c>
      <c r="AE4" s="108">
        <v>4</v>
      </c>
      <c r="AF4" s="108">
        <v>7</v>
      </c>
      <c r="AG4" s="108">
        <v>1</v>
      </c>
      <c r="AH4" s="108">
        <v>0</v>
      </c>
      <c r="AI4" s="108">
        <v>0</v>
      </c>
      <c r="AJ4" s="107">
        <v>0</v>
      </c>
      <c r="AK4" s="108">
        <v>0</v>
      </c>
      <c r="AL4" s="108">
        <v>0</v>
      </c>
      <c r="AM4" s="108">
        <v>0</v>
      </c>
      <c r="AN4" s="107">
        <v>0</v>
      </c>
      <c r="AO4" s="108">
        <v>0</v>
      </c>
      <c r="AP4" s="108">
        <v>0</v>
      </c>
      <c r="AQ4" s="108">
        <v>0</v>
      </c>
      <c r="AR4" s="108">
        <v>0</v>
      </c>
      <c r="AS4" s="108">
        <v>0</v>
      </c>
      <c r="AT4" s="108">
        <v>0</v>
      </c>
      <c r="AU4" s="108">
        <v>0</v>
      </c>
      <c r="AV4" s="108">
        <v>35</v>
      </c>
      <c r="AW4" s="107">
        <v>31.43</v>
      </c>
      <c r="AX4" s="108">
        <v>133</v>
      </c>
      <c r="AY4" s="108">
        <v>0</v>
      </c>
      <c r="AZ4" s="108">
        <v>5</v>
      </c>
      <c r="BA4" s="3" t="s">
        <v>78</v>
      </c>
      <c r="BB4" s="66" t="s">
        <v>102</v>
      </c>
      <c r="BC4" s="66">
        <f t="shared" si="23"/>
        <v>4</v>
      </c>
      <c r="BD4" s="66">
        <f t="shared" si="24"/>
        <v>6</v>
      </c>
      <c r="BE4" s="66">
        <f t="shared" si="25"/>
        <v>4</v>
      </c>
      <c r="BF4" s="66">
        <f t="shared" si="26"/>
        <v>13</v>
      </c>
    </row>
    <row r="5" spans="1:58" ht="24" customHeight="1" x14ac:dyDescent="0.25">
      <c r="A5" s="93">
        <v>4</v>
      </c>
      <c r="B5" s="94" t="str">
        <f t="shared" si="2"/>
        <v>BLACK ANGELS</v>
      </c>
      <c r="C5" s="114">
        <f t="shared" si="3"/>
        <v>1</v>
      </c>
      <c r="D5" s="114">
        <f t="shared" si="4"/>
        <v>1</v>
      </c>
      <c r="E5" s="114">
        <f t="shared" si="5"/>
        <v>0</v>
      </c>
      <c r="F5" s="114">
        <f t="shared" si="6"/>
        <v>0</v>
      </c>
      <c r="G5" s="114">
        <f t="shared" si="7"/>
        <v>0</v>
      </c>
      <c r="H5" s="117">
        <f t="shared" si="8"/>
        <v>3</v>
      </c>
      <c r="I5" s="114">
        <f t="shared" si="9"/>
        <v>5</v>
      </c>
      <c r="J5" s="114">
        <f t="shared" si="10"/>
        <v>1</v>
      </c>
      <c r="K5" s="114">
        <f t="shared" si="11"/>
        <v>4</v>
      </c>
      <c r="L5" s="114">
        <f t="shared" si="12"/>
        <v>2</v>
      </c>
      <c r="M5" s="114">
        <f t="shared" si="13"/>
        <v>1</v>
      </c>
      <c r="N5" s="114">
        <f t="shared" si="14"/>
        <v>0</v>
      </c>
      <c r="O5" s="95">
        <f t="shared" si="15"/>
        <v>50</v>
      </c>
      <c r="P5" s="114">
        <f t="shared" si="16"/>
        <v>5</v>
      </c>
      <c r="Q5" s="114">
        <f t="shared" si="17"/>
        <v>1</v>
      </c>
      <c r="R5" s="114">
        <f t="shared" si="18"/>
        <v>0</v>
      </c>
      <c r="S5" s="95">
        <f t="shared" si="19"/>
        <v>80</v>
      </c>
      <c r="T5" s="114">
        <f t="shared" si="20"/>
        <v>12</v>
      </c>
      <c r="U5" s="114">
        <f t="shared" si="21"/>
        <v>23</v>
      </c>
      <c r="V5" s="96">
        <f t="shared" si="22"/>
        <v>21.74</v>
      </c>
      <c r="W5" s="109" t="s">
        <v>78</v>
      </c>
      <c r="X5" s="108">
        <v>1</v>
      </c>
      <c r="Y5" s="108">
        <v>1</v>
      </c>
      <c r="Z5" s="108">
        <v>0</v>
      </c>
      <c r="AA5" s="108">
        <v>0</v>
      </c>
      <c r="AB5" s="108">
        <v>0</v>
      </c>
      <c r="AC5" s="108">
        <v>3</v>
      </c>
      <c r="AD5" s="108">
        <v>5</v>
      </c>
      <c r="AE5" s="108">
        <v>1</v>
      </c>
      <c r="AF5" s="108">
        <v>4</v>
      </c>
      <c r="AG5" s="108">
        <v>2</v>
      </c>
      <c r="AH5" s="108">
        <v>1</v>
      </c>
      <c r="AI5" s="108">
        <v>0</v>
      </c>
      <c r="AJ5" s="107">
        <v>50</v>
      </c>
      <c r="AK5" s="108">
        <v>5</v>
      </c>
      <c r="AL5" s="108">
        <v>1</v>
      </c>
      <c r="AM5" s="108">
        <v>0</v>
      </c>
      <c r="AN5" s="107">
        <v>80</v>
      </c>
      <c r="AO5" s="108">
        <v>6</v>
      </c>
      <c r="AP5" s="108">
        <v>0</v>
      </c>
      <c r="AQ5" s="108">
        <v>0</v>
      </c>
      <c r="AR5" s="108">
        <v>0</v>
      </c>
      <c r="AS5" s="108">
        <v>0</v>
      </c>
      <c r="AT5" s="108">
        <v>0</v>
      </c>
      <c r="AU5" s="108">
        <v>12</v>
      </c>
      <c r="AV5" s="108">
        <v>23</v>
      </c>
      <c r="AW5" s="107">
        <v>21.74</v>
      </c>
      <c r="AX5" s="108">
        <v>0</v>
      </c>
      <c r="AY5" s="108">
        <v>65</v>
      </c>
      <c r="AZ5" s="108">
        <v>2</v>
      </c>
      <c r="BA5" s="3" t="s">
        <v>81</v>
      </c>
      <c r="BB5" s="66" t="s">
        <v>24</v>
      </c>
      <c r="BC5" s="66">
        <f t="shared" si="23"/>
        <v>7</v>
      </c>
      <c r="BD5" s="66">
        <f t="shared" si="24"/>
        <v>10</v>
      </c>
      <c r="BE5" s="66">
        <f t="shared" si="25"/>
        <v>8</v>
      </c>
      <c r="BF5" s="66">
        <f t="shared" si="26"/>
        <v>11</v>
      </c>
    </row>
    <row r="6" spans="1:58" ht="24" customHeight="1" x14ac:dyDescent="0.25">
      <c r="A6" s="90">
        <v>5</v>
      </c>
      <c r="B6" s="27" t="str">
        <f t="shared" si="2"/>
        <v>FbŠ Bohemians</v>
      </c>
      <c r="C6" s="113">
        <f t="shared" si="3"/>
        <v>1</v>
      </c>
      <c r="D6" s="113">
        <f t="shared" si="4"/>
        <v>1</v>
      </c>
      <c r="E6" s="113">
        <f t="shared" si="5"/>
        <v>0</v>
      </c>
      <c r="F6" s="113">
        <f t="shared" si="6"/>
        <v>0</v>
      </c>
      <c r="G6" s="113">
        <f t="shared" si="7"/>
        <v>0</v>
      </c>
      <c r="H6" s="117">
        <f t="shared" si="8"/>
        <v>3</v>
      </c>
      <c r="I6" s="113">
        <f t="shared" si="9"/>
        <v>10</v>
      </c>
      <c r="J6" s="113">
        <f t="shared" si="10"/>
        <v>6</v>
      </c>
      <c r="K6" s="113">
        <f t="shared" si="11"/>
        <v>4</v>
      </c>
      <c r="L6" s="113">
        <f t="shared" si="12"/>
        <v>6</v>
      </c>
      <c r="M6" s="113">
        <f t="shared" si="13"/>
        <v>3</v>
      </c>
      <c r="N6" s="113">
        <f t="shared" si="14"/>
        <v>1</v>
      </c>
      <c r="O6" s="91">
        <f t="shared" si="15"/>
        <v>50</v>
      </c>
      <c r="P6" s="113">
        <f t="shared" si="16"/>
        <v>0</v>
      </c>
      <c r="Q6" s="113">
        <f t="shared" si="17"/>
        <v>0</v>
      </c>
      <c r="R6" s="113">
        <f t="shared" si="18"/>
        <v>0</v>
      </c>
      <c r="S6" s="91">
        <f t="shared" si="19"/>
        <v>0</v>
      </c>
      <c r="T6" s="113">
        <f t="shared" si="20"/>
        <v>0</v>
      </c>
      <c r="U6" s="113">
        <f t="shared" si="21"/>
        <v>39</v>
      </c>
      <c r="V6" s="92">
        <f t="shared" si="22"/>
        <v>25.64</v>
      </c>
      <c r="W6" s="109" t="s">
        <v>79</v>
      </c>
      <c r="X6" s="108">
        <v>1</v>
      </c>
      <c r="Y6" s="108">
        <v>1</v>
      </c>
      <c r="Z6" s="108">
        <v>0</v>
      </c>
      <c r="AA6" s="108">
        <v>0</v>
      </c>
      <c r="AB6" s="108">
        <v>0</v>
      </c>
      <c r="AC6" s="108">
        <v>3</v>
      </c>
      <c r="AD6" s="108">
        <v>10</v>
      </c>
      <c r="AE6" s="108">
        <v>6</v>
      </c>
      <c r="AF6" s="108">
        <v>4</v>
      </c>
      <c r="AG6" s="108">
        <v>6</v>
      </c>
      <c r="AH6" s="108">
        <v>3</v>
      </c>
      <c r="AI6" s="108">
        <v>1</v>
      </c>
      <c r="AJ6" s="107">
        <v>50</v>
      </c>
      <c r="AK6" s="108">
        <v>0</v>
      </c>
      <c r="AL6" s="108">
        <v>0</v>
      </c>
      <c r="AM6" s="108">
        <v>0</v>
      </c>
      <c r="AN6" s="107">
        <v>0</v>
      </c>
      <c r="AO6" s="108">
        <v>0</v>
      </c>
      <c r="AP6" s="108">
        <v>0</v>
      </c>
      <c r="AQ6" s="108">
        <v>0</v>
      </c>
      <c r="AR6" s="108">
        <v>0</v>
      </c>
      <c r="AS6" s="108">
        <v>0</v>
      </c>
      <c r="AT6" s="108">
        <v>0</v>
      </c>
      <c r="AU6" s="108">
        <v>0</v>
      </c>
      <c r="AV6" s="108">
        <v>39</v>
      </c>
      <c r="AW6" s="107">
        <v>25.64</v>
      </c>
      <c r="AX6" s="108">
        <v>107</v>
      </c>
      <c r="AY6" s="108">
        <v>0</v>
      </c>
      <c r="AZ6" s="108">
        <v>4</v>
      </c>
      <c r="BA6" s="3" t="s">
        <v>84</v>
      </c>
      <c r="BB6" s="66" t="s">
        <v>107</v>
      </c>
      <c r="BC6" s="66">
        <f t="shared" si="23"/>
        <v>10</v>
      </c>
      <c r="BD6" s="66">
        <f t="shared" si="24"/>
        <v>10</v>
      </c>
      <c r="BE6" s="66">
        <f t="shared" si="25"/>
        <v>5</v>
      </c>
      <c r="BF6" s="66">
        <f t="shared" si="26"/>
        <v>13</v>
      </c>
    </row>
    <row r="7" spans="1:58" ht="24" customHeight="1" x14ac:dyDescent="0.25">
      <c r="A7" s="93">
        <v>6</v>
      </c>
      <c r="B7" s="94" t="str">
        <f t="shared" si="2"/>
        <v>FBC ČPP OSTRAVA</v>
      </c>
      <c r="C7" s="114">
        <f t="shared" si="3"/>
        <v>1</v>
      </c>
      <c r="D7" s="114">
        <f t="shared" si="4"/>
        <v>1</v>
      </c>
      <c r="E7" s="114">
        <f t="shared" si="5"/>
        <v>0</v>
      </c>
      <c r="F7" s="114">
        <f t="shared" si="6"/>
        <v>0</v>
      </c>
      <c r="G7" s="114">
        <f t="shared" si="7"/>
        <v>0</v>
      </c>
      <c r="H7" s="117">
        <f t="shared" si="8"/>
        <v>3</v>
      </c>
      <c r="I7" s="114">
        <f t="shared" si="9"/>
        <v>7</v>
      </c>
      <c r="J7" s="114">
        <f t="shared" si="10"/>
        <v>5</v>
      </c>
      <c r="K7" s="114">
        <f t="shared" si="11"/>
        <v>2</v>
      </c>
      <c r="L7" s="114">
        <f t="shared" si="12"/>
        <v>1</v>
      </c>
      <c r="M7" s="114">
        <f t="shared" si="13"/>
        <v>1</v>
      </c>
      <c r="N7" s="114">
        <f t="shared" si="14"/>
        <v>0</v>
      </c>
      <c r="O7" s="95">
        <f t="shared" si="15"/>
        <v>100</v>
      </c>
      <c r="P7" s="114">
        <f t="shared" si="16"/>
        <v>1</v>
      </c>
      <c r="Q7" s="114">
        <f t="shared" si="17"/>
        <v>1</v>
      </c>
      <c r="R7" s="114">
        <f t="shared" si="18"/>
        <v>0</v>
      </c>
      <c r="S7" s="95">
        <f t="shared" si="19"/>
        <v>0</v>
      </c>
      <c r="T7" s="114">
        <f t="shared" si="20"/>
        <v>2</v>
      </c>
      <c r="U7" s="114">
        <f t="shared" si="21"/>
        <v>20</v>
      </c>
      <c r="V7" s="96">
        <f t="shared" si="22"/>
        <v>35</v>
      </c>
      <c r="W7" s="109" t="s">
        <v>80</v>
      </c>
      <c r="X7" s="108">
        <v>1</v>
      </c>
      <c r="Y7" s="108">
        <v>1</v>
      </c>
      <c r="Z7" s="108">
        <v>0</v>
      </c>
      <c r="AA7" s="108">
        <v>0</v>
      </c>
      <c r="AB7" s="108">
        <v>0</v>
      </c>
      <c r="AC7" s="108">
        <v>3</v>
      </c>
      <c r="AD7" s="108">
        <v>7</v>
      </c>
      <c r="AE7" s="108">
        <v>5</v>
      </c>
      <c r="AF7" s="108">
        <v>2</v>
      </c>
      <c r="AG7" s="108">
        <v>1</v>
      </c>
      <c r="AH7" s="108">
        <v>1</v>
      </c>
      <c r="AI7" s="108">
        <v>0</v>
      </c>
      <c r="AJ7" s="107">
        <v>100</v>
      </c>
      <c r="AK7" s="108">
        <v>1</v>
      </c>
      <c r="AL7" s="108">
        <v>1</v>
      </c>
      <c r="AM7" s="108">
        <v>0</v>
      </c>
      <c r="AN7" s="107">
        <v>0</v>
      </c>
      <c r="AO7" s="108">
        <v>1</v>
      </c>
      <c r="AP7" s="108">
        <v>0</v>
      </c>
      <c r="AQ7" s="108">
        <v>0</v>
      </c>
      <c r="AR7" s="108">
        <v>0</v>
      </c>
      <c r="AS7" s="108">
        <v>0</v>
      </c>
      <c r="AT7" s="108">
        <v>0</v>
      </c>
      <c r="AU7" s="108">
        <v>2</v>
      </c>
      <c r="AV7" s="108">
        <v>20</v>
      </c>
      <c r="AW7" s="107">
        <v>35</v>
      </c>
      <c r="AX7" s="108">
        <v>0</v>
      </c>
      <c r="AY7" s="108">
        <v>359</v>
      </c>
      <c r="AZ7" s="108">
        <v>14</v>
      </c>
      <c r="BA7" s="3" t="s">
        <v>80</v>
      </c>
      <c r="BB7" s="66" t="s">
        <v>104</v>
      </c>
      <c r="BC7" s="66">
        <f t="shared" si="23"/>
        <v>6</v>
      </c>
      <c r="BD7" s="66">
        <f t="shared" si="24"/>
        <v>1</v>
      </c>
      <c r="BE7" s="66">
        <f t="shared" si="25"/>
        <v>9</v>
      </c>
      <c r="BF7" s="66">
        <f t="shared" si="26"/>
        <v>3</v>
      </c>
    </row>
    <row r="8" spans="1:58" ht="24" customHeight="1" x14ac:dyDescent="0.25">
      <c r="A8" s="90">
        <v>7</v>
      </c>
      <c r="B8" s="27" t="str">
        <f t="shared" si="2"/>
        <v>FAT PIPE FLORBAL CHODOV</v>
      </c>
      <c r="C8" s="113">
        <f t="shared" si="3"/>
        <v>1</v>
      </c>
      <c r="D8" s="113">
        <f t="shared" si="4"/>
        <v>1</v>
      </c>
      <c r="E8" s="113">
        <f t="shared" si="5"/>
        <v>0</v>
      </c>
      <c r="F8" s="113">
        <f t="shared" si="6"/>
        <v>0</v>
      </c>
      <c r="G8" s="113">
        <f t="shared" si="7"/>
        <v>0</v>
      </c>
      <c r="H8" s="117">
        <f t="shared" si="8"/>
        <v>3</v>
      </c>
      <c r="I8" s="113">
        <f t="shared" si="9"/>
        <v>7</v>
      </c>
      <c r="J8" s="113">
        <f t="shared" si="10"/>
        <v>6</v>
      </c>
      <c r="K8" s="113">
        <f t="shared" si="11"/>
        <v>1</v>
      </c>
      <c r="L8" s="113">
        <f t="shared" si="12"/>
        <v>1</v>
      </c>
      <c r="M8" s="113">
        <f t="shared" si="13"/>
        <v>0</v>
      </c>
      <c r="N8" s="113">
        <f t="shared" si="14"/>
        <v>0</v>
      </c>
      <c r="O8" s="91">
        <f t="shared" si="15"/>
        <v>0</v>
      </c>
      <c r="P8" s="113">
        <f t="shared" si="16"/>
        <v>3</v>
      </c>
      <c r="Q8" s="113">
        <f t="shared" si="17"/>
        <v>2</v>
      </c>
      <c r="R8" s="113">
        <f t="shared" si="18"/>
        <v>0</v>
      </c>
      <c r="S8" s="91">
        <f t="shared" si="19"/>
        <v>33.33</v>
      </c>
      <c r="T8" s="113">
        <f t="shared" si="20"/>
        <v>6</v>
      </c>
      <c r="U8" s="113">
        <f t="shared" si="21"/>
        <v>20</v>
      </c>
      <c r="V8" s="92">
        <f t="shared" si="22"/>
        <v>35</v>
      </c>
      <c r="W8" s="109" t="s">
        <v>81</v>
      </c>
      <c r="X8" s="108">
        <v>1</v>
      </c>
      <c r="Y8" s="108">
        <v>1</v>
      </c>
      <c r="Z8" s="108">
        <v>0</v>
      </c>
      <c r="AA8" s="108">
        <v>0</v>
      </c>
      <c r="AB8" s="108">
        <v>0</v>
      </c>
      <c r="AC8" s="108">
        <v>3</v>
      </c>
      <c r="AD8" s="108">
        <v>7</v>
      </c>
      <c r="AE8" s="108">
        <v>6</v>
      </c>
      <c r="AF8" s="108">
        <v>1</v>
      </c>
      <c r="AG8" s="108">
        <v>1</v>
      </c>
      <c r="AH8" s="108">
        <v>0</v>
      </c>
      <c r="AI8" s="108">
        <v>0</v>
      </c>
      <c r="AJ8" s="107">
        <v>0</v>
      </c>
      <c r="AK8" s="108">
        <v>3</v>
      </c>
      <c r="AL8" s="108">
        <v>2</v>
      </c>
      <c r="AM8" s="108">
        <v>0</v>
      </c>
      <c r="AN8" s="107">
        <v>33.33</v>
      </c>
      <c r="AO8" s="108">
        <v>3</v>
      </c>
      <c r="AP8" s="108">
        <v>0</v>
      </c>
      <c r="AQ8" s="108">
        <v>0</v>
      </c>
      <c r="AR8" s="108">
        <v>0</v>
      </c>
      <c r="AS8" s="108">
        <v>0</v>
      </c>
      <c r="AT8" s="108">
        <v>0</v>
      </c>
      <c r="AU8" s="108">
        <v>6</v>
      </c>
      <c r="AV8" s="108">
        <v>20</v>
      </c>
      <c r="AW8" s="107">
        <v>35</v>
      </c>
      <c r="AX8" s="108">
        <v>0</v>
      </c>
      <c r="AY8" s="108">
        <v>110</v>
      </c>
      <c r="AZ8" s="108">
        <v>4</v>
      </c>
      <c r="BA8" s="3" t="s">
        <v>87</v>
      </c>
      <c r="BB8" s="66" t="s">
        <v>110</v>
      </c>
      <c r="BC8" s="66">
        <f t="shared" si="23"/>
        <v>13</v>
      </c>
      <c r="BD8" s="66">
        <f t="shared" si="24"/>
        <v>6</v>
      </c>
      <c r="BE8" s="66">
        <f t="shared" si="25"/>
        <v>9</v>
      </c>
      <c r="BF8" s="66">
        <f t="shared" si="26"/>
        <v>3</v>
      </c>
    </row>
    <row r="9" spans="1:58" ht="24" customHeight="1" x14ac:dyDescent="0.25">
      <c r="A9" s="93">
        <v>8</v>
      </c>
      <c r="B9" s="94" t="str">
        <f t="shared" si="2"/>
        <v>Navláčil PANTHERS OTROKOVICE</v>
      </c>
      <c r="C9" s="114">
        <f t="shared" si="3"/>
        <v>1</v>
      </c>
      <c r="D9" s="114">
        <f t="shared" si="4"/>
        <v>0</v>
      </c>
      <c r="E9" s="114">
        <f t="shared" si="5"/>
        <v>0</v>
      </c>
      <c r="F9" s="114">
        <f t="shared" si="6"/>
        <v>0</v>
      </c>
      <c r="G9" s="114">
        <f t="shared" si="7"/>
        <v>1</v>
      </c>
      <c r="H9" s="117">
        <f t="shared" si="8"/>
        <v>0</v>
      </c>
      <c r="I9" s="114">
        <f t="shared" si="9"/>
        <v>6</v>
      </c>
      <c r="J9" s="114">
        <f t="shared" si="10"/>
        <v>7</v>
      </c>
      <c r="K9" s="114">
        <f t="shared" si="11"/>
        <v>-1</v>
      </c>
      <c r="L9" s="114">
        <f t="shared" si="12"/>
        <v>3</v>
      </c>
      <c r="M9" s="114">
        <f t="shared" si="13"/>
        <v>2</v>
      </c>
      <c r="N9" s="114">
        <f t="shared" si="14"/>
        <v>0</v>
      </c>
      <c r="O9" s="95">
        <f t="shared" si="15"/>
        <v>66.67</v>
      </c>
      <c r="P9" s="114">
        <f t="shared" si="16"/>
        <v>1</v>
      </c>
      <c r="Q9" s="114">
        <f t="shared" si="17"/>
        <v>0</v>
      </c>
      <c r="R9" s="114">
        <f t="shared" si="18"/>
        <v>0</v>
      </c>
      <c r="S9" s="95">
        <f t="shared" si="19"/>
        <v>100</v>
      </c>
      <c r="T9" s="114">
        <f t="shared" si="20"/>
        <v>2</v>
      </c>
      <c r="U9" s="114">
        <f t="shared" si="21"/>
        <v>18</v>
      </c>
      <c r="V9" s="96">
        <f t="shared" si="22"/>
        <v>33.33</v>
      </c>
      <c r="W9" s="109" t="s">
        <v>82</v>
      </c>
      <c r="X9" s="108">
        <v>1</v>
      </c>
      <c r="Y9" s="108">
        <v>0</v>
      </c>
      <c r="Z9" s="108">
        <v>0</v>
      </c>
      <c r="AA9" s="108">
        <v>0</v>
      </c>
      <c r="AB9" s="108">
        <v>1</v>
      </c>
      <c r="AC9" s="108">
        <v>0</v>
      </c>
      <c r="AD9" s="108">
        <v>6</v>
      </c>
      <c r="AE9" s="108">
        <v>7</v>
      </c>
      <c r="AF9" s="108">
        <v>-1</v>
      </c>
      <c r="AG9" s="108">
        <v>3</v>
      </c>
      <c r="AH9" s="108">
        <v>2</v>
      </c>
      <c r="AI9" s="108">
        <v>0</v>
      </c>
      <c r="AJ9" s="107">
        <v>66.67</v>
      </c>
      <c r="AK9" s="108">
        <v>1</v>
      </c>
      <c r="AL9" s="108">
        <v>0</v>
      </c>
      <c r="AM9" s="108">
        <v>0</v>
      </c>
      <c r="AN9" s="107">
        <v>100</v>
      </c>
      <c r="AO9" s="108">
        <v>1</v>
      </c>
      <c r="AP9" s="108">
        <v>0</v>
      </c>
      <c r="AQ9" s="108">
        <v>0</v>
      </c>
      <c r="AR9" s="108">
        <v>0</v>
      </c>
      <c r="AS9" s="108">
        <v>0</v>
      </c>
      <c r="AT9" s="108">
        <v>0</v>
      </c>
      <c r="AU9" s="108">
        <v>2</v>
      </c>
      <c r="AV9" s="108">
        <v>18</v>
      </c>
      <c r="AW9" s="107">
        <v>33.33</v>
      </c>
      <c r="AX9" s="108">
        <v>110</v>
      </c>
      <c r="AY9" s="108">
        <v>0</v>
      </c>
      <c r="AZ9" s="108">
        <v>4</v>
      </c>
      <c r="BA9" s="3" t="s">
        <v>79</v>
      </c>
      <c r="BB9" s="66" t="s">
        <v>103</v>
      </c>
      <c r="BC9" s="66">
        <f t="shared" si="23"/>
        <v>5</v>
      </c>
      <c r="BD9" s="66">
        <f t="shared" si="24"/>
        <v>6</v>
      </c>
      <c r="BE9" s="66">
        <f t="shared" si="25"/>
        <v>9</v>
      </c>
      <c r="BF9" s="66">
        <f t="shared" si="26"/>
        <v>1</v>
      </c>
    </row>
    <row r="10" spans="1:58" ht="24" customHeight="1" x14ac:dyDescent="0.25">
      <c r="A10" s="97">
        <v>9</v>
      </c>
      <c r="B10" s="27" t="str">
        <f t="shared" si="2"/>
        <v>ACEMA Sparta Praha</v>
      </c>
      <c r="C10" s="113">
        <f t="shared" si="3"/>
        <v>1</v>
      </c>
      <c r="D10" s="113">
        <f t="shared" si="4"/>
        <v>0</v>
      </c>
      <c r="E10" s="113">
        <f t="shared" si="5"/>
        <v>0</v>
      </c>
      <c r="F10" s="113">
        <f t="shared" si="6"/>
        <v>0</v>
      </c>
      <c r="G10" s="113">
        <f t="shared" si="7"/>
        <v>1</v>
      </c>
      <c r="H10" s="117">
        <f t="shared" si="8"/>
        <v>0</v>
      </c>
      <c r="I10" s="113">
        <f t="shared" si="9"/>
        <v>5</v>
      </c>
      <c r="J10" s="113">
        <f t="shared" si="10"/>
        <v>7</v>
      </c>
      <c r="K10" s="113">
        <f t="shared" si="11"/>
        <v>-2</v>
      </c>
      <c r="L10" s="113">
        <f t="shared" si="12"/>
        <v>1</v>
      </c>
      <c r="M10" s="113">
        <f t="shared" si="13"/>
        <v>1</v>
      </c>
      <c r="N10" s="113">
        <f t="shared" si="14"/>
        <v>0</v>
      </c>
      <c r="O10" s="91">
        <f t="shared" si="15"/>
        <v>100</v>
      </c>
      <c r="P10" s="113">
        <f t="shared" si="16"/>
        <v>1</v>
      </c>
      <c r="Q10" s="113">
        <f t="shared" si="17"/>
        <v>1</v>
      </c>
      <c r="R10" s="113">
        <f t="shared" si="18"/>
        <v>0</v>
      </c>
      <c r="S10" s="91">
        <f t="shared" si="19"/>
        <v>0</v>
      </c>
      <c r="T10" s="113">
        <f t="shared" si="20"/>
        <v>2</v>
      </c>
      <c r="U10" s="113">
        <f t="shared" si="21"/>
        <v>29</v>
      </c>
      <c r="V10" s="92">
        <f t="shared" si="22"/>
        <v>17.239999999999998</v>
      </c>
      <c r="W10" s="109" t="s">
        <v>83</v>
      </c>
      <c r="X10" s="108">
        <v>1</v>
      </c>
      <c r="Y10" s="108">
        <v>0</v>
      </c>
      <c r="Z10" s="108">
        <v>0</v>
      </c>
      <c r="AA10" s="108">
        <v>0</v>
      </c>
      <c r="AB10" s="108">
        <v>1</v>
      </c>
      <c r="AC10" s="108">
        <v>0</v>
      </c>
      <c r="AD10" s="108">
        <v>5</v>
      </c>
      <c r="AE10" s="108">
        <v>7</v>
      </c>
      <c r="AF10" s="108">
        <v>-2</v>
      </c>
      <c r="AG10" s="108">
        <v>1</v>
      </c>
      <c r="AH10" s="108">
        <v>1</v>
      </c>
      <c r="AI10" s="108">
        <v>0</v>
      </c>
      <c r="AJ10" s="107">
        <v>100</v>
      </c>
      <c r="AK10" s="108">
        <v>1</v>
      </c>
      <c r="AL10" s="108">
        <v>1</v>
      </c>
      <c r="AM10" s="108">
        <v>0</v>
      </c>
      <c r="AN10" s="107">
        <v>0</v>
      </c>
      <c r="AO10" s="108">
        <v>1</v>
      </c>
      <c r="AP10" s="108">
        <v>0</v>
      </c>
      <c r="AQ10" s="108">
        <v>0</v>
      </c>
      <c r="AR10" s="108">
        <v>0</v>
      </c>
      <c r="AS10" s="108">
        <v>0</v>
      </c>
      <c r="AT10" s="108">
        <v>0</v>
      </c>
      <c r="AU10" s="108">
        <v>2</v>
      </c>
      <c r="AV10" s="108">
        <v>29</v>
      </c>
      <c r="AW10" s="107">
        <v>17.239999999999998</v>
      </c>
      <c r="AX10" s="108">
        <v>359</v>
      </c>
      <c r="AY10" s="108">
        <v>0</v>
      </c>
      <c r="AZ10" s="108">
        <v>14</v>
      </c>
      <c r="BA10" s="3" t="s">
        <v>85</v>
      </c>
      <c r="BB10" s="66" t="s">
        <v>108</v>
      </c>
      <c r="BC10" s="66">
        <f t="shared" si="23"/>
        <v>11</v>
      </c>
      <c r="BD10" s="66">
        <f t="shared" si="24"/>
        <v>9</v>
      </c>
      <c r="BE10" s="66">
        <f t="shared" si="25"/>
        <v>5</v>
      </c>
      <c r="BF10" s="66">
        <f t="shared" si="26"/>
        <v>11</v>
      </c>
    </row>
    <row r="11" spans="1:58" ht="24" customHeight="1" x14ac:dyDescent="0.25">
      <c r="A11" s="98">
        <v>10</v>
      </c>
      <c r="B11" s="94" t="str">
        <f t="shared" si="2"/>
        <v>FBC 4CLEAN Česká Lípa</v>
      </c>
      <c r="C11" s="114">
        <f t="shared" si="3"/>
        <v>1</v>
      </c>
      <c r="D11" s="114">
        <f t="shared" si="4"/>
        <v>0</v>
      </c>
      <c r="E11" s="114">
        <f t="shared" si="5"/>
        <v>0</v>
      </c>
      <c r="F11" s="114">
        <f t="shared" si="6"/>
        <v>0</v>
      </c>
      <c r="G11" s="114">
        <f t="shared" si="7"/>
        <v>1</v>
      </c>
      <c r="H11" s="117">
        <f t="shared" si="8"/>
        <v>0</v>
      </c>
      <c r="I11" s="114">
        <f t="shared" si="9"/>
        <v>6</v>
      </c>
      <c r="J11" s="114">
        <f t="shared" si="10"/>
        <v>10</v>
      </c>
      <c r="K11" s="114">
        <f t="shared" si="11"/>
        <v>-4</v>
      </c>
      <c r="L11" s="114">
        <f t="shared" si="12"/>
        <v>0</v>
      </c>
      <c r="M11" s="114">
        <f t="shared" si="13"/>
        <v>0</v>
      </c>
      <c r="N11" s="114">
        <f t="shared" si="14"/>
        <v>0</v>
      </c>
      <c r="O11" s="95">
        <f t="shared" si="15"/>
        <v>0</v>
      </c>
      <c r="P11" s="114">
        <f t="shared" si="16"/>
        <v>6</v>
      </c>
      <c r="Q11" s="114">
        <f t="shared" si="17"/>
        <v>3</v>
      </c>
      <c r="R11" s="114">
        <f t="shared" si="18"/>
        <v>1</v>
      </c>
      <c r="S11" s="95">
        <f t="shared" si="19"/>
        <v>50</v>
      </c>
      <c r="T11" s="114">
        <f t="shared" si="20"/>
        <v>12</v>
      </c>
      <c r="U11" s="114">
        <f t="shared" si="21"/>
        <v>23</v>
      </c>
      <c r="V11" s="96">
        <f t="shared" si="22"/>
        <v>26.09</v>
      </c>
      <c r="W11" s="109" t="s">
        <v>84</v>
      </c>
      <c r="X11" s="108">
        <v>1</v>
      </c>
      <c r="Y11" s="108">
        <v>0</v>
      </c>
      <c r="Z11" s="108">
        <v>0</v>
      </c>
      <c r="AA11" s="108">
        <v>0</v>
      </c>
      <c r="AB11" s="108">
        <v>1</v>
      </c>
      <c r="AC11" s="108">
        <v>0</v>
      </c>
      <c r="AD11" s="108">
        <v>6</v>
      </c>
      <c r="AE11" s="108">
        <v>10</v>
      </c>
      <c r="AF11" s="108">
        <v>-4</v>
      </c>
      <c r="AG11" s="108">
        <v>0</v>
      </c>
      <c r="AH11" s="108">
        <v>0</v>
      </c>
      <c r="AI11" s="108">
        <v>0</v>
      </c>
      <c r="AJ11" s="107">
        <v>0</v>
      </c>
      <c r="AK11" s="108">
        <v>6</v>
      </c>
      <c r="AL11" s="108">
        <v>3</v>
      </c>
      <c r="AM11" s="108">
        <v>1</v>
      </c>
      <c r="AN11" s="107">
        <v>50</v>
      </c>
      <c r="AO11" s="108">
        <v>6</v>
      </c>
      <c r="AP11" s="108">
        <v>0</v>
      </c>
      <c r="AQ11" s="108">
        <v>0</v>
      </c>
      <c r="AR11" s="108">
        <v>0</v>
      </c>
      <c r="AS11" s="108">
        <v>0</v>
      </c>
      <c r="AT11" s="108">
        <v>0</v>
      </c>
      <c r="AU11" s="108">
        <v>12</v>
      </c>
      <c r="AV11" s="108">
        <v>23</v>
      </c>
      <c r="AW11" s="107">
        <v>26.09</v>
      </c>
      <c r="AX11" s="108">
        <v>0</v>
      </c>
      <c r="AY11" s="108">
        <v>107</v>
      </c>
      <c r="AZ11" s="108">
        <v>4</v>
      </c>
      <c r="BA11" s="3" t="s">
        <v>82</v>
      </c>
      <c r="BB11" s="66" t="s">
        <v>105</v>
      </c>
      <c r="BC11" s="66">
        <f t="shared" si="23"/>
        <v>8</v>
      </c>
      <c r="BD11" s="66">
        <f t="shared" si="24"/>
        <v>5</v>
      </c>
      <c r="BE11" s="66">
        <f t="shared" si="25"/>
        <v>1</v>
      </c>
      <c r="BF11" s="66">
        <f t="shared" si="26"/>
        <v>3</v>
      </c>
    </row>
    <row r="12" spans="1:58" ht="24" customHeight="1" x14ac:dyDescent="0.25">
      <c r="A12" s="99">
        <v>11</v>
      </c>
      <c r="B12" s="27" t="str">
        <f t="shared" si="2"/>
        <v>FBŠ Hummel Hattrick Brno</v>
      </c>
      <c r="C12" s="113">
        <f t="shared" si="3"/>
        <v>1</v>
      </c>
      <c r="D12" s="113">
        <f t="shared" si="4"/>
        <v>0</v>
      </c>
      <c r="E12" s="113">
        <f t="shared" si="5"/>
        <v>0</v>
      </c>
      <c r="F12" s="113">
        <f t="shared" si="6"/>
        <v>0</v>
      </c>
      <c r="G12" s="113">
        <f t="shared" si="7"/>
        <v>1</v>
      </c>
      <c r="H12" s="117">
        <f t="shared" si="8"/>
        <v>0</v>
      </c>
      <c r="I12" s="113">
        <f t="shared" si="9"/>
        <v>1</v>
      </c>
      <c r="J12" s="113">
        <f t="shared" si="10"/>
        <v>5</v>
      </c>
      <c r="K12" s="113">
        <f t="shared" si="11"/>
        <v>-4</v>
      </c>
      <c r="L12" s="113">
        <f t="shared" si="12"/>
        <v>5</v>
      </c>
      <c r="M12" s="113">
        <f t="shared" si="13"/>
        <v>1</v>
      </c>
      <c r="N12" s="113">
        <f t="shared" si="14"/>
        <v>0</v>
      </c>
      <c r="O12" s="91">
        <f t="shared" si="15"/>
        <v>20</v>
      </c>
      <c r="P12" s="113">
        <f t="shared" si="16"/>
        <v>2</v>
      </c>
      <c r="Q12" s="113">
        <f t="shared" si="17"/>
        <v>1</v>
      </c>
      <c r="R12" s="113">
        <f t="shared" si="18"/>
        <v>0</v>
      </c>
      <c r="S12" s="91">
        <f t="shared" si="19"/>
        <v>50</v>
      </c>
      <c r="T12" s="113">
        <f t="shared" si="20"/>
        <v>6</v>
      </c>
      <c r="U12" s="113">
        <f t="shared" si="21"/>
        <v>18</v>
      </c>
      <c r="V12" s="92">
        <f t="shared" si="22"/>
        <v>5.56</v>
      </c>
      <c r="W12" s="109" t="s">
        <v>85</v>
      </c>
      <c r="X12" s="108">
        <v>1</v>
      </c>
      <c r="Y12" s="108">
        <v>0</v>
      </c>
      <c r="Z12" s="108">
        <v>0</v>
      </c>
      <c r="AA12" s="108">
        <v>0</v>
      </c>
      <c r="AB12" s="108">
        <v>1</v>
      </c>
      <c r="AC12" s="108">
        <v>0</v>
      </c>
      <c r="AD12" s="108">
        <v>1</v>
      </c>
      <c r="AE12" s="108">
        <v>5</v>
      </c>
      <c r="AF12" s="108">
        <v>-4</v>
      </c>
      <c r="AG12" s="108">
        <v>5</v>
      </c>
      <c r="AH12" s="108">
        <v>1</v>
      </c>
      <c r="AI12" s="108">
        <v>0</v>
      </c>
      <c r="AJ12" s="107">
        <v>20</v>
      </c>
      <c r="AK12" s="108">
        <v>2</v>
      </c>
      <c r="AL12" s="108">
        <v>1</v>
      </c>
      <c r="AM12" s="108">
        <v>0</v>
      </c>
      <c r="AN12" s="107">
        <v>50</v>
      </c>
      <c r="AO12" s="108">
        <v>3</v>
      </c>
      <c r="AP12" s="108">
        <v>0</v>
      </c>
      <c r="AQ12" s="108">
        <v>0</v>
      </c>
      <c r="AR12" s="108">
        <v>0</v>
      </c>
      <c r="AS12" s="108">
        <v>0</v>
      </c>
      <c r="AT12" s="108">
        <v>0</v>
      </c>
      <c r="AU12" s="108">
        <v>6</v>
      </c>
      <c r="AV12" s="108">
        <v>18</v>
      </c>
      <c r="AW12" s="107">
        <v>5.56</v>
      </c>
      <c r="AX12" s="108">
        <v>65</v>
      </c>
      <c r="AY12" s="108">
        <v>0</v>
      </c>
      <c r="AZ12" s="108">
        <v>2</v>
      </c>
      <c r="BA12" s="3" t="s">
        <v>76</v>
      </c>
      <c r="BB12" s="66" t="s">
        <v>23</v>
      </c>
      <c r="BC12" s="66">
        <f t="shared" si="23"/>
        <v>2</v>
      </c>
      <c r="BD12" s="66">
        <f t="shared" si="24"/>
        <v>1</v>
      </c>
      <c r="BE12" s="66">
        <f t="shared" si="25"/>
        <v>5</v>
      </c>
      <c r="BF12" s="66">
        <f t="shared" si="26"/>
        <v>9</v>
      </c>
    </row>
    <row r="13" spans="1:58" ht="24" customHeight="1" x14ac:dyDescent="0.25">
      <c r="A13" s="100">
        <v>12</v>
      </c>
      <c r="B13" s="94" t="str">
        <f t="shared" si="2"/>
        <v>SOKOLI Pardubice</v>
      </c>
      <c r="C13" s="114">
        <f t="shared" si="3"/>
        <v>1</v>
      </c>
      <c r="D13" s="114">
        <f t="shared" si="4"/>
        <v>0</v>
      </c>
      <c r="E13" s="114">
        <f t="shared" si="5"/>
        <v>0</v>
      </c>
      <c r="F13" s="114">
        <f t="shared" si="6"/>
        <v>0</v>
      </c>
      <c r="G13" s="114">
        <f t="shared" si="7"/>
        <v>1</v>
      </c>
      <c r="H13" s="117">
        <f t="shared" si="8"/>
        <v>0</v>
      </c>
      <c r="I13" s="114">
        <f t="shared" si="9"/>
        <v>4</v>
      </c>
      <c r="J13" s="114">
        <f t="shared" si="10"/>
        <v>11</v>
      </c>
      <c r="K13" s="114">
        <f t="shared" si="11"/>
        <v>-7</v>
      </c>
      <c r="L13" s="114">
        <f t="shared" si="12"/>
        <v>0</v>
      </c>
      <c r="M13" s="114">
        <f t="shared" si="13"/>
        <v>0</v>
      </c>
      <c r="N13" s="114">
        <f t="shared" si="14"/>
        <v>0</v>
      </c>
      <c r="O13" s="95">
        <f t="shared" si="15"/>
        <v>0</v>
      </c>
      <c r="P13" s="114">
        <f t="shared" si="16"/>
        <v>1</v>
      </c>
      <c r="Q13" s="114">
        <f t="shared" si="17"/>
        <v>0</v>
      </c>
      <c r="R13" s="114">
        <f t="shared" si="18"/>
        <v>0</v>
      </c>
      <c r="S13" s="95">
        <f t="shared" si="19"/>
        <v>100</v>
      </c>
      <c r="T13" s="114">
        <f t="shared" si="20"/>
        <v>2</v>
      </c>
      <c r="U13" s="114">
        <f t="shared" si="21"/>
        <v>11</v>
      </c>
      <c r="V13" s="96">
        <f t="shared" si="22"/>
        <v>36.36</v>
      </c>
      <c r="W13" s="109" t="s">
        <v>86</v>
      </c>
      <c r="X13" s="108">
        <v>1</v>
      </c>
      <c r="Y13" s="108">
        <v>0</v>
      </c>
      <c r="Z13" s="108">
        <v>0</v>
      </c>
      <c r="AA13" s="108">
        <v>0</v>
      </c>
      <c r="AB13" s="108">
        <v>1</v>
      </c>
      <c r="AC13" s="108">
        <v>0</v>
      </c>
      <c r="AD13" s="108">
        <v>4</v>
      </c>
      <c r="AE13" s="108">
        <v>11</v>
      </c>
      <c r="AF13" s="108">
        <v>-7</v>
      </c>
      <c r="AG13" s="108">
        <v>0</v>
      </c>
      <c r="AH13" s="108">
        <v>0</v>
      </c>
      <c r="AI13" s="108">
        <v>0</v>
      </c>
      <c r="AJ13" s="107">
        <v>0</v>
      </c>
      <c r="AK13" s="108">
        <v>1</v>
      </c>
      <c r="AL13" s="108">
        <v>0</v>
      </c>
      <c r="AM13" s="108">
        <v>0</v>
      </c>
      <c r="AN13" s="107">
        <v>100</v>
      </c>
      <c r="AO13" s="108">
        <v>1</v>
      </c>
      <c r="AP13" s="108">
        <v>0</v>
      </c>
      <c r="AQ13" s="108">
        <v>0</v>
      </c>
      <c r="AR13" s="108">
        <v>0</v>
      </c>
      <c r="AS13" s="108">
        <v>0</v>
      </c>
      <c r="AT13" s="108">
        <v>0</v>
      </c>
      <c r="AU13" s="108">
        <v>2</v>
      </c>
      <c r="AV13" s="108">
        <v>11</v>
      </c>
      <c r="AW13" s="107">
        <v>36.36</v>
      </c>
      <c r="AX13" s="108">
        <v>0</v>
      </c>
      <c r="AY13" s="108">
        <v>133</v>
      </c>
      <c r="AZ13" s="108">
        <v>5</v>
      </c>
      <c r="BA13" s="3" t="s">
        <v>86</v>
      </c>
      <c r="BB13" s="66" t="s">
        <v>109</v>
      </c>
      <c r="BC13" s="66">
        <f t="shared" si="23"/>
        <v>12</v>
      </c>
      <c r="BD13" s="66">
        <f t="shared" si="24"/>
        <v>10</v>
      </c>
      <c r="BE13" s="66">
        <f t="shared" si="25"/>
        <v>1</v>
      </c>
      <c r="BF13" s="66">
        <f t="shared" si="26"/>
        <v>3</v>
      </c>
    </row>
    <row r="14" spans="1:58" ht="24" customHeight="1" x14ac:dyDescent="0.25">
      <c r="A14" s="99">
        <v>13</v>
      </c>
      <c r="B14" s="27" t="str">
        <f t="shared" si="2"/>
        <v>FBC Liberec</v>
      </c>
      <c r="C14" s="113">
        <f t="shared" si="3"/>
        <v>1</v>
      </c>
      <c r="D14" s="113">
        <f t="shared" si="4"/>
        <v>0</v>
      </c>
      <c r="E14" s="113">
        <f t="shared" si="5"/>
        <v>0</v>
      </c>
      <c r="F14" s="113">
        <f t="shared" si="6"/>
        <v>0</v>
      </c>
      <c r="G14" s="113">
        <f t="shared" si="7"/>
        <v>1</v>
      </c>
      <c r="H14" s="117">
        <f t="shared" si="8"/>
        <v>0</v>
      </c>
      <c r="I14" s="113">
        <f t="shared" si="9"/>
        <v>2</v>
      </c>
      <c r="J14" s="113">
        <f t="shared" si="10"/>
        <v>10</v>
      </c>
      <c r="K14" s="113">
        <f t="shared" si="11"/>
        <v>-8</v>
      </c>
      <c r="L14" s="113">
        <f t="shared" si="12"/>
        <v>2</v>
      </c>
      <c r="M14" s="113">
        <f t="shared" si="13"/>
        <v>1</v>
      </c>
      <c r="N14" s="113">
        <f t="shared" si="14"/>
        <v>0</v>
      </c>
      <c r="O14" s="91">
        <f t="shared" si="15"/>
        <v>50</v>
      </c>
      <c r="P14" s="113">
        <f t="shared" si="16"/>
        <v>1</v>
      </c>
      <c r="Q14" s="113">
        <f t="shared" si="17"/>
        <v>1</v>
      </c>
      <c r="R14" s="113">
        <f t="shared" si="18"/>
        <v>0</v>
      </c>
      <c r="S14" s="91">
        <f t="shared" si="19"/>
        <v>0</v>
      </c>
      <c r="T14" s="113">
        <f t="shared" si="20"/>
        <v>2</v>
      </c>
      <c r="U14" s="113">
        <f t="shared" si="21"/>
        <v>9</v>
      </c>
      <c r="V14" s="92">
        <f t="shared" si="22"/>
        <v>22.22</v>
      </c>
      <c r="W14" s="109" t="s">
        <v>87</v>
      </c>
      <c r="X14" s="108">
        <v>1</v>
      </c>
      <c r="Y14" s="108">
        <v>0</v>
      </c>
      <c r="Z14" s="108">
        <v>0</v>
      </c>
      <c r="AA14" s="108">
        <v>0</v>
      </c>
      <c r="AB14" s="108">
        <v>1</v>
      </c>
      <c r="AC14" s="108">
        <v>0</v>
      </c>
      <c r="AD14" s="108">
        <v>2</v>
      </c>
      <c r="AE14" s="108">
        <v>10</v>
      </c>
      <c r="AF14" s="108">
        <v>-8</v>
      </c>
      <c r="AG14" s="108">
        <v>2</v>
      </c>
      <c r="AH14" s="108">
        <v>1</v>
      </c>
      <c r="AI14" s="108">
        <v>0</v>
      </c>
      <c r="AJ14" s="107">
        <v>50</v>
      </c>
      <c r="AK14" s="108">
        <v>1</v>
      </c>
      <c r="AL14" s="108">
        <v>1</v>
      </c>
      <c r="AM14" s="108">
        <v>0</v>
      </c>
      <c r="AN14" s="107">
        <v>0</v>
      </c>
      <c r="AO14" s="108">
        <v>1</v>
      </c>
      <c r="AP14" s="108">
        <v>0</v>
      </c>
      <c r="AQ14" s="108">
        <v>0</v>
      </c>
      <c r="AR14" s="108">
        <v>0</v>
      </c>
      <c r="AS14" s="108">
        <v>0</v>
      </c>
      <c r="AT14" s="108">
        <v>0</v>
      </c>
      <c r="AU14" s="108">
        <v>2</v>
      </c>
      <c r="AV14" s="108">
        <v>9</v>
      </c>
      <c r="AW14" s="107">
        <v>22.22</v>
      </c>
      <c r="AX14" s="108">
        <v>0</v>
      </c>
      <c r="AY14" s="108">
        <v>265</v>
      </c>
      <c r="AZ14" s="108">
        <v>10</v>
      </c>
      <c r="BA14" s="3" t="s">
        <v>75</v>
      </c>
      <c r="BB14" s="66" t="s">
        <v>99</v>
      </c>
      <c r="BC14" s="66">
        <f t="shared" si="23"/>
        <v>1</v>
      </c>
      <c r="BD14" s="66">
        <f t="shared" si="24"/>
        <v>1</v>
      </c>
      <c r="BE14" s="66">
        <f t="shared" si="25"/>
        <v>1</v>
      </c>
      <c r="BF14" s="66">
        <f t="shared" si="26"/>
        <v>9</v>
      </c>
    </row>
    <row r="15" spans="1:58" ht="24" customHeight="1" thickBot="1" x14ac:dyDescent="0.3">
      <c r="A15" s="101">
        <v>14</v>
      </c>
      <c r="B15" s="102" t="str">
        <f t="shared" si="2"/>
        <v>TJ Sokol Královské Vinohrady</v>
      </c>
      <c r="C15" s="115">
        <f t="shared" si="3"/>
        <v>1</v>
      </c>
      <c r="D15" s="115">
        <f t="shared" si="4"/>
        <v>0</v>
      </c>
      <c r="E15" s="115">
        <f t="shared" si="5"/>
        <v>0</v>
      </c>
      <c r="F15" s="115">
        <f t="shared" si="6"/>
        <v>0</v>
      </c>
      <c r="G15" s="115">
        <f t="shared" si="7"/>
        <v>1</v>
      </c>
      <c r="H15" s="118">
        <f t="shared" si="8"/>
        <v>0</v>
      </c>
      <c r="I15" s="115">
        <f t="shared" si="9"/>
        <v>2</v>
      </c>
      <c r="J15" s="115">
        <f t="shared" si="10"/>
        <v>11</v>
      </c>
      <c r="K15" s="115">
        <f t="shared" si="11"/>
        <v>-9</v>
      </c>
      <c r="L15" s="115">
        <f t="shared" si="12"/>
        <v>2</v>
      </c>
      <c r="M15" s="115">
        <f t="shared" si="13"/>
        <v>0</v>
      </c>
      <c r="N15" s="115">
        <f t="shared" si="14"/>
        <v>1</v>
      </c>
      <c r="O15" s="103">
        <f t="shared" si="15"/>
        <v>0</v>
      </c>
      <c r="P15" s="115">
        <f t="shared" si="16"/>
        <v>1</v>
      </c>
      <c r="Q15" s="115">
        <f t="shared" si="17"/>
        <v>1</v>
      </c>
      <c r="R15" s="115">
        <f t="shared" si="18"/>
        <v>0</v>
      </c>
      <c r="S15" s="103">
        <f t="shared" si="19"/>
        <v>0</v>
      </c>
      <c r="T15" s="115">
        <f t="shared" si="20"/>
        <v>2</v>
      </c>
      <c r="U15" s="115">
        <f t="shared" si="21"/>
        <v>10</v>
      </c>
      <c r="V15" s="104">
        <f t="shared" si="22"/>
        <v>20</v>
      </c>
      <c r="W15" s="109" t="s">
        <v>88</v>
      </c>
      <c r="X15" s="108">
        <v>1</v>
      </c>
      <c r="Y15" s="108">
        <v>0</v>
      </c>
      <c r="Z15" s="108">
        <v>0</v>
      </c>
      <c r="AA15" s="108">
        <v>0</v>
      </c>
      <c r="AB15" s="108">
        <v>1</v>
      </c>
      <c r="AC15" s="108">
        <v>0</v>
      </c>
      <c r="AD15" s="108">
        <v>2</v>
      </c>
      <c r="AE15" s="108">
        <v>11</v>
      </c>
      <c r="AF15" s="108">
        <v>-9</v>
      </c>
      <c r="AG15" s="108">
        <v>2</v>
      </c>
      <c r="AH15" s="108">
        <v>0</v>
      </c>
      <c r="AI15" s="108">
        <v>1</v>
      </c>
      <c r="AJ15" s="107">
        <v>0</v>
      </c>
      <c r="AK15" s="108">
        <v>1</v>
      </c>
      <c r="AL15" s="108">
        <v>1</v>
      </c>
      <c r="AM15" s="108">
        <v>0</v>
      </c>
      <c r="AN15" s="107">
        <v>0</v>
      </c>
      <c r="AO15" s="108">
        <v>1</v>
      </c>
      <c r="AP15" s="108">
        <v>0</v>
      </c>
      <c r="AQ15" s="108">
        <v>0</v>
      </c>
      <c r="AR15" s="108">
        <v>0</v>
      </c>
      <c r="AS15" s="108">
        <v>0</v>
      </c>
      <c r="AT15" s="108">
        <v>0</v>
      </c>
      <c r="AU15" s="108">
        <v>2</v>
      </c>
      <c r="AV15" s="108">
        <v>10</v>
      </c>
      <c r="AW15" s="107">
        <v>20</v>
      </c>
      <c r="AX15" s="108">
        <v>124</v>
      </c>
      <c r="AY15" s="108">
        <v>0</v>
      </c>
      <c r="AZ15" s="108">
        <v>5</v>
      </c>
      <c r="BA15" s="3" t="s">
        <v>88</v>
      </c>
      <c r="BB15" s="66" t="s">
        <v>5</v>
      </c>
      <c r="BC15" s="66">
        <f t="shared" si="23"/>
        <v>14</v>
      </c>
      <c r="BD15" s="66">
        <f t="shared" si="24"/>
        <v>10</v>
      </c>
      <c r="BE15" s="66">
        <f t="shared" si="25"/>
        <v>9</v>
      </c>
      <c r="BF15" s="66">
        <f t="shared" si="26"/>
        <v>3</v>
      </c>
    </row>
    <row r="16" spans="1:58" ht="15" thickTop="1" x14ac:dyDescent="0.25"/>
  </sheetData>
  <sortState ref="BA2:BB15">
    <sortCondition ref="BA2:BA15"/>
  </sortState>
  <pageMargins left="0.25" right="0.25" top="0.75" bottom="0.75" header="0.3" footer="0.3"/>
  <pageSetup paperSize="9" orientation="landscape" r:id="rId1"/>
  <headerFooter>
    <oddHeader>&amp;C&amp;"Bahnschrift,Tučné"&amp;22Tabulka Livesport superligy</oddHeader>
    <oddFooter>&amp;C&amp;"Bahnschrift,Tučné"&amp;22&amp;D</oddFooter>
  </headerFooter>
  <rowBreaks count="1" manualBreakCount="1">
    <brk id="15" max="16383" man="1"/>
  </rowBreaks>
  <colBreaks count="1" manualBreakCount="1">
    <brk id="2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2"/>
  <dimension ref="A1:AD50"/>
  <sheetViews>
    <sheetView view="pageLayout" zoomScaleNormal="100" zoomScaleSheetLayoutView="100" workbookViewId="0">
      <selection sqref="A1:I2"/>
    </sheetView>
  </sheetViews>
  <sheetFormatPr defaultColWidth="9.140625" defaultRowHeight="15" x14ac:dyDescent="0.25"/>
  <cols>
    <col min="1" max="18" width="5.28515625" style="65" customWidth="1"/>
    <col min="19" max="22" width="11.5703125" style="66" customWidth="1"/>
    <col min="23" max="30" width="5.28515625" style="66" customWidth="1"/>
    <col min="31" max="16384" width="9.140625" style="65"/>
  </cols>
  <sheetData>
    <row r="1" spans="1:30" ht="15" customHeight="1" thickTop="1" thickBot="1" x14ac:dyDescent="0.3">
      <c r="A1" s="154" t="s">
        <v>5</v>
      </c>
      <c r="B1" s="154"/>
      <c r="C1" s="154"/>
      <c r="D1" s="154"/>
      <c r="E1" s="154"/>
      <c r="F1" s="154"/>
      <c r="G1" s="154"/>
      <c r="H1" s="154"/>
      <c r="I1" s="154"/>
      <c r="J1" s="154" t="s">
        <v>110</v>
      </c>
      <c r="K1" s="154"/>
      <c r="L1" s="154"/>
      <c r="M1" s="154"/>
      <c r="N1" s="154"/>
      <c r="O1" s="154"/>
      <c r="P1" s="154"/>
      <c r="Q1" s="154"/>
      <c r="R1" s="154"/>
      <c r="S1" s="254" t="s">
        <v>57</v>
      </c>
      <c r="T1" s="255"/>
      <c r="U1" s="255"/>
      <c r="V1" s="255"/>
      <c r="W1" s="255"/>
      <c r="X1" s="255"/>
      <c r="Y1" s="255"/>
      <c r="Z1" s="255"/>
      <c r="AA1" s="255"/>
      <c r="AB1" s="255"/>
      <c r="AC1" s="255"/>
      <c r="AD1" s="256"/>
    </row>
    <row r="2" spans="1:30" ht="15" customHeight="1" thickBot="1" x14ac:dyDescent="0.3">
      <c r="A2" s="155"/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71" t="s">
        <v>52</v>
      </c>
      <c r="T2" s="72" t="s">
        <v>53</v>
      </c>
      <c r="U2" s="72" t="s">
        <v>28</v>
      </c>
      <c r="V2" s="73" t="s">
        <v>54</v>
      </c>
      <c r="W2" s="257" t="s">
        <v>55</v>
      </c>
      <c r="X2" s="258"/>
      <c r="Y2" s="258"/>
      <c r="Z2" s="258"/>
      <c r="AA2" s="70" t="s">
        <v>28</v>
      </c>
      <c r="AB2" s="258" t="s">
        <v>54</v>
      </c>
      <c r="AC2" s="258"/>
      <c r="AD2" s="259"/>
    </row>
    <row r="3" spans="1:30" ht="15" customHeight="1" thickTop="1" thickBot="1" x14ac:dyDescent="0.3">
      <c r="A3" s="160" t="str">
        <f>INDEX(tabulka!$BA$2:$BA$15,MATCH($A$1,tabulka!$BB$2:$BB$15,0))</f>
        <v>TJ Sokol Královské Vinohrady</v>
      </c>
      <c r="B3" s="160"/>
      <c r="C3" s="160"/>
      <c r="D3" s="160"/>
      <c r="E3" s="160"/>
      <c r="F3" s="160"/>
      <c r="G3" s="160"/>
      <c r="H3" s="160"/>
      <c r="I3" s="160"/>
      <c r="J3" s="160" t="str">
        <f>INDEX(tabulka!$BA$2:$BA$15,MATCH($J$1,tabulka!$BB$2:$BB$15,0))</f>
        <v>FBC Liberec</v>
      </c>
      <c r="K3" s="160"/>
      <c r="L3" s="160"/>
      <c r="M3" s="160"/>
      <c r="N3" s="160"/>
      <c r="O3" s="160"/>
      <c r="P3" s="160"/>
      <c r="Q3" s="160"/>
      <c r="R3" s="160"/>
      <c r="S3" s="79" t="s">
        <v>5</v>
      </c>
      <c r="T3" s="80" t="s">
        <v>110</v>
      </c>
      <c r="U3" s="80" t="s">
        <v>116</v>
      </c>
      <c r="V3" s="81" t="s">
        <v>117</v>
      </c>
      <c r="W3" s="260" t="str">
        <f>IF(S3&lt;&gt;"",CONCATENATE(S3, " - ",T3),"")</f>
        <v>SKV - LIB</v>
      </c>
      <c r="X3" s="252"/>
      <c r="Y3" s="252"/>
      <c r="Z3" s="261"/>
      <c r="AA3" s="15" t="str">
        <f>IF(U3&lt;&gt;"",U3,"")</f>
        <v>4:11</v>
      </c>
      <c r="AB3" s="251" t="str">
        <f>IF(V3&lt;&gt;"",V3,"")</f>
        <v>2020/2021</v>
      </c>
      <c r="AC3" s="252"/>
      <c r="AD3" s="253"/>
    </row>
    <row r="4" spans="1:30" ht="15" customHeight="1" thickTop="1" thickBot="1" x14ac:dyDescent="0.3">
      <c r="A4" s="156" t="s">
        <v>25</v>
      </c>
      <c r="B4" s="157"/>
      <c r="C4" s="30" t="s">
        <v>26</v>
      </c>
      <c r="D4" s="30" t="s">
        <v>27</v>
      </c>
      <c r="E4" s="157" t="s">
        <v>28</v>
      </c>
      <c r="F4" s="157"/>
      <c r="G4" s="30" t="s">
        <v>29</v>
      </c>
      <c r="H4" s="30" t="s">
        <v>30</v>
      </c>
      <c r="I4" s="31" t="s">
        <v>31</v>
      </c>
      <c r="J4" s="158" t="s">
        <v>25</v>
      </c>
      <c r="K4" s="159"/>
      <c r="L4" s="32" t="s">
        <v>26</v>
      </c>
      <c r="M4" s="32" t="s">
        <v>27</v>
      </c>
      <c r="N4" s="159" t="s">
        <v>28</v>
      </c>
      <c r="O4" s="159"/>
      <c r="P4" s="32" t="s">
        <v>29</v>
      </c>
      <c r="Q4" s="32" t="s">
        <v>30</v>
      </c>
      <c r="R4" s="69" t="s">
        <v>31</v>
      </c>
      <c r="S4" s="82" t="s">
        <v>110</v>
      </c>
      <c r="T4" s="83" t="s">
        <v>5</v>
      </c>
      <c r="U4" s="83" t="s">
        <v>118</v>
      </c>
      <c r="V4" s="84" t="s">
        <v>117</v>
      </c>
      <c r="W4" s="262" t="str">
        <f t="shared" ref="W4:W14" si="0">IF(S4&lt;&gt;"",CONCATENATE(S4, " - ",T4),"")</f>
        <v>LIB - SKV</v>
      </c>
      <c r="X4" s="263"/>
      <c r="Y4" s="263"/>
      <c r="Z4" s="264"/>
      <c r="AA4" s="25" t="str">
        <f t="shared" ref="AA4:AA14" si="1">IF(U4&lt;&gt;"",U4,"")</f>
        <v>6:5pn</v>
      </c>
      <c r="AB4" s="282" t="str">
        <f t="shared" ref="AB4:AB14" si="2">IF(V4&lt;&gt;"",V4,"")</f>
        <v>2020/2021</v>
      </c>
      <c r="AC4" s="263"/>
      <c r="AD4" s="283"/>
    </row>
    <row r="5" spans="1:30" ht="15" customHeight="1" thickBot="1" x14ac:dyDescent="0.3">
      <c r="A5" s="142" t="str">
        <f>IFERROR(CONCATENATE(VLOOKUP($A$1,tabulka!$BB$2:$BF$15,2,FALSE),". místo"),"")</f>
        <v>14. místo</v>
      </c>
      <c r="B5" s="143"/>
      <c r="C5" s="33">
        <f>IFERROR(VLOOKUP($A$3,tabulka!$B$2:$V$15,3,FALSE)+VLOOKUP($A$3,tabulka!$B$2:$V$15,4,FALSE),"")</f>
        <v>0</v>
      </c>
      <c r="D5" s="34">
        <f>IFERROR(VLOOKUP($A$3,tabulka!$B$2:$V$15,5,FALSE)+VLOOKUP($A$3,tabulka!$B$2:$V$15,6,FALSE),"")</f>
        <v>1</v>
      </c>
      <c r="E5" s="143" t="str">
        <f>IFERROR(CONCATENATE(VLOOKUP($A$3,tabulka!$B$2:$V$15,8,FALSE),":",VLOOKUP($A$3,tabulka!$B$2:$V$15,9,FALSE)),"")</f>
        <v>2:11</v>
      </c>
      <c r="F5" s="143"/>
      <c r="G5" s="121">
        <f>IFERROR(VLOOKUP($A$3,tabulka!$B$2:$V$15,14,FALSE),"")</f>
        <v>0</v>
      </c>
      <c r="H5" s="121">
        <f>IFERROR(VLOOKUP($A$3,tabulka!$B$2:$V$15,18,FALSE),"")</f>
        <v>0</v>
      </c>
      <c r="I5" s="35">
        <f>IFERROR(VLOOKUP($A$3,tabulka!$B$2:$V$15,19,FALSE),"")</f>
        <v>2</v>
      </c>
      <c r="J5" s="144" t="str">
        <f>IFERROR(CONCATENATE(VLOOKUP($J$1,tabulka!$BB$2:$BF$15,2,FALSE),". místo"),"")</f>
        <v>13. místo</v>
      </c>
      <c r="K5" s="145"/>
      <c r="L5" s="36">
        <f>IFERROR(VLOOKUP($J$3,tabulka!$B$2:$V$15,3,FALSE)+VLOOKUP($J$3,tabulka!$B$2:$V$15,4,FALSE),"")</f>
        <v>0</v>
      </c>
      <c r="M5" s="37">
        <f>IFERROR(VLOOKUP($J$3,tabulka!$B$2:$V$15,5,FALSE)+VLOOKUP($J$3,tabulka!$B$2:$V$15,6,FALSE),"")</f>
        <v>1</v>
      </c>
      <c r="N5" s="145" t="str">
        <f>IFERROR(CONCATENATE(VLOOKUP($J$3,tabulka!$B$2:$V$15,8,FALSE),":",VLOOKUP($J$3,tabulka!$B$2:$V$15,9,FALSE)),"")</f>
        <v>2:10</v>
      </c>
      <c r="O5" s="145"/>
      <c r="P5" s="122">
        <f>IFERROR(VLOOKUP($J$3,tabulka!$B$2:$V$15,14,FALSE),"")</f>
        <v>50</v>
      </c>
      <c r="Q5" s="122">
        <f>IFERROR(VLOOKUP($J$3,tabulka!$B$2:$V$15,18,FALSE),"")</f>
        <v>0</v>
      </c>
      <c r="R5" s="37">
        <f>IFERROR(VLOOKUP($J$3,tabulka!$B$2:$V$15,19,FALSE),"")</f>
        <v>2</v>
      </c>
      <c r="S5" s="82" t="s">
        <v>110</v>
      </c>
      <c r="T5" s="83" t="s">
        <v>5</v>
      </c>
      <c r="U5" s="83" t="s">
        <v>119</v>
      </c>
      <c r="V5" s="84" t="s">
        <v>120</v>
      </c>
      <c r="W5" s="262" t="str">
        <f t="shared" si="0"/>
        <v>LIB - SKV</v>
      </c>
      <c r="X5" s="263"/>
      <c r="Y5" s="263"/>
      <c r="Z5" s="264"/>
      <c r="AA5" s="25" t="str">
        <f t="shared" si="1"/>
        <v>7:6p</v>
      </c>
      <c r="AB5" s="282" t="str">
        <f t="shared" si="2"/>
        <v>2019/2020</v>
      </c>
      <c r="AC5" s="263"/>
      <c r="AD5" s="283"/>
    </row>
    <row r="6" spans="1:30" ht="15" customHeight="1" thickTop="1" x14ac:dyDescent="0.25">
      <c r="A6" s="28"/>
      <c r="B6" s="28"/>
      <c r="C6" s="28"/>
      <c r="D6" s="28"/>
      <c r="E6" s="284" t="s">
        <v>115</v>
      </c>
      <c r="F6" s="284"/>
      <c r="G6" s="38">
        <f>IFERROR(VLOOKUP($A$1,tabulka!$BB$2:$BF$15,3,FALSE),"")</f>
        <v>10</v>
      </c>
      <c r="H6" s="38">
        <f>IFERROR(VLOOKUP($A$1,tabulka!$BB$2:$BF$15,4,FALSE),"")</f>
        <v>9</v>
      </c>
      <c r="I6" s="38">
        <f>IFERROR(VLOOKUP($A$1,tabulka!$BB$2:$BF$15,5,FALSE),"")</f>
        <v>3</v>
      </c>
      <c r="J6" s="28"/>
      <c r="K6" s="28"/>
      <c r="L6" s="28"/>
      <c r="N6" s="284" t="s">
        <v>115</v>
      </c>
      <c r="O6" s="284"/>
      <c r="P6" s="38">
        <f>IFERROR(VLOOKUP($J$1,tabulka!$BB$2:$BF$15,3,FALSE),"")</f>
        <v>6</v>
      </c>
      <c r="Q6" s="38">
        <f>IFERROR(VLOOKUP($J$1,tabulka!$BB$2:$BF$15,4,FALSE),"")</f>
        <v>9</v>
      </c>
      <c r="R6" s="38">
        <f>IFERROR(VLOOKUP($J$1,tabulka!$BB$2:$BF$15,5,FALSE),"")</f>
        <v>3</v>
      </c>
      <c r="S6" s="82" t="s">
        <v>5</v>
      </c>
      <c r="T6" s="83" t="s">
        <v>110</v>
      </c>
      <c r="U6" s="83" t="s">
        <v>121</v>
      </c>
      <c r="V6" s="84" t="s">
        <v>120</v>
      </c>
      <c r="W6" s="262" t="str">
        <f t="shared" si="0"/>
        <v>SKV - LIB</v>
      </c>
      <c r="X6" s="263"/>
      <c r="Y6" s="263"/>
      <c r="Z6" s="264"/>
      <c r="AA6" s="25" t="str">
        <f t="shared" si="1"/>
        <v>5:3</v>
      </c>
      <c r="AB6" s="282" t="str">
        <f t="shared" si="2"/>
        <v>2019/2020</v>
      </c>
      <c r="AC6" s="263"/>
      <c r="AD6" s="283"/>
    </row>
    <row r="7" spans="1:30" ht="15" customHeight="1" thickBot="1" x14ac:dyDescent="0.3">
      <c r="A7" s="39"/>
      <c r="B7" s="27"/>
      <c r="C7" s="27"/>
      <c r="D7" s="40"/>
      <c r="E7" s="27"/>
      <c r="F7" s="27"/>
      <c r="G7" s="27"/>
      <c r="H7" s="27"/>
      <c r="I7" s="27"/>
      <c r="J7" s="27"/>
      <c r="K7" s="27"/>
      <c r="L7" s="27"/>
      <c r="M7" s="39"/>
      <c r="N7" s="27"/>
      <c r="O7" s="27"/>
      <c r="P7" s="40"/>
      <c r="Q7" s="27"/>
      <c r="R7" s="27"/>
      <c r="S7" s="82" t="s">
        <v>110</v>
      </c>
      <c r="T7" s="83" t="s">
        <v>5</v>
      </c>
      <c r="U7" s="83" t="s">
        <v>122</v>
      </c>
      <c r="V7" s="84" t="s">
        <v>123</v>
      </c>
      <c r="W7" s="262" t="str">
        <f t="shared" si="0"/>
        <v>LIB - SKV</v>
      </c>
      <c r="X7" s="263"/>
      <c r="Y7" s="263"/>
      <c r="Z7" s="264"/>
      <c r="AA7" s="25" t="str">
        <f t="shared" si="1"/>
        <v>6:5</v>
      </c>
      <c r="AB7" s="282" t="str">
        <f t="shared" si="2"/>
        <v>2018/2019</v>
      </c>
      <c r="AC7" s="263"/>
      <c r="AD7" s="283"/>
    </row>
    <row r="8" spans="1:30" ht="15" customHeight="1" thickTop="1" thickBot="1" x14ac:dyDescent="0.3">
      <c r="A8" s="146" t="s">
        <v>32</v>
      </c>
      <c r="B8" s="147"/>
      <c r="C8" s="148" t="str">
        <f ca="1">IFERROR(IF(INDIRECT("priprava_" &amp; A1 &amp; "!BY12")&lt;&gt;0,INDIRECT("priprava_" &amp; A1 &amp; "!BY12"),""),"")</f>
        <v>P</v>
      </c>
      <c r="D8" s="148"/>
      <c r="E8" s="148"/>
      <c r="F8" s="148"/>
      <c r="G8" s="148"/>
      <c r="H8" s="149"/>
      <c r="I8" s="27"/>
      <c r="J8" s="150" t="s">
        <v>32</v>
      </c>
      <c r="K8" s="151"/>
      <c r="L8" s="152" t="str">
        <f ca="1">IFERROR(IF(INDIRECT("priprava_" &amp; J1 &amp; "!BY12")&lt;&gt;0,INDIRECT("priprava_" &amp; J1 &amp; "!BY12"),""),"")</f>
        <v>P</v>
      </c>
      <c r="M8" s="152"/>
      <c r="N8" s="152"/>
      <c r="O8" s="152"/>
      <c r="P8" s="152"/>
      <c r="Q8" s="153"/>
      <c r="R8" s="27"/>
      <c r="S8" s="82" t="s">
        <v>5</v>
      </c>
      <c r="T8" s="83" t="s">
        <v>110</v>
      </c>
      <c r="U8" s="83" t="s">
        <v>124</v>
      </c>
      <c r="V8" s="84" t="s">
        <v>123</v>
      </c>
      <c r="W8" s="262" t="str">
        <f t="shared" si="0"/>
        <v>SKV - LIB</v>
      </c>
      <c r="X8" s="263"/>
      <c r="Y8" s="263"/>
      <c r="Z8" s="264"/>
      <c r="AA8" s="25" t="str">
        <f t="shared" si="1"/>
        <v>5:6</v>
      </c>
      <c r="AB8" s="282" t="str">
        <f t="shared" si="2"/>
        <v>2018/2019</v>
      </c>
      <c r="AC8" s="263"/>
      <c r="AD8" s="283"/>
    </row>
    <row r="9" spans="1:30" ht="15" customHeight="1" thickTop="1" thickBot="1" x14ac:dyDescent="0.3">
      <c r="A9" s="27"/>
      <c r="B9" s="27"/>
      <c r="C9" s="27"/>
      <c r="D9" s="27"/>
      <c r="E9" s="27"/>
      <c r="F9" s="39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82" t="s">
        <v>5</v>
      </c>
      <c r="T9" s="83" t="s">
        <v>110</v>
      </c>
      <c r="U9" s="83" t="s">
        <v>125</v>
      </c>
      <c r="V9" s="84" t="s">
        <v>126</v>
      </c>
      <c r="W9" s="262" t="str">
        <f t="shared" si="0"/>
        <v>SKV - LIB</v>
      </c>
      <c r="X9" s="263"/>
      <c r="Y9" s="263"/>
      <c r="Z9" s="264"/>
      <c r="AA9" s="25" t="str">
        <f t="shared" si="1"/>
        <v>5:6p</v>
      </c>
      <c r="AB9" s="282" t="str">
        <f t="shared" si="2"/>
        <v>2014/2015</v>
      </c>
      <c r="AC9" s="263"/>
      <c r="AD9" s="283"/>
    </row>
    <row r="10" spans="1:30" ht="15" customHeight="1" thickTop="1" thickBot="1" x14ac:dyDescent="0.3">
      <c r="A10" s="156" t="s">
        <v>33</v>
      </c>
      <c r="B10" s="157"/>
      <c r="C10" s="157"/>
      <c r="D10" s="161"/>
      <c r="E10" s="162" t="s">
        <v>34</v>
      </c>
      <c r="F10" s="157"/>
      <c r="G10" s="157"/>
      <c r="H10" s="161"/>
      <c r="I10" s="27"/>
      <c r="J10" s="156" t="s">
        <v>33</v>
      </c>
      <c r="K10" s="157"/>
      <c r="L10" s="157"/>
      <c r="M10" s="161"/>
      <c r="N10" s="162" t="s">
        <v>34</v>
      </c>
      <c r="O10" s="157"/>
      <c r="P10" s="157"/>
      <c r="Q10" s="161"/>
      <c r="R10" s="39"/>
      <c r="S10" s="82" t="s">
        <v>110</v>
      </c>
      <c r="T10" s="83" t="s">
        <v>5</v>
      </c>
      <c r="U10" s="83" t="s">
        <v>127</v>
      </c>
      <c r="V10" s="84" t="s">
        <v>126</v>
      </c>
      <c r="W10" s="262" t="str">
        <f t="shared" si="0"/>
        <v>LIB - SKV</v>
      </c>
      <c r="X10" s="263"/>
      <c r="Y10" s="263"/>
      <c r="Z10" s="264"/>
      <c r="AA10" s="25" t="str">
        <f t="shared" si="1"/>
        <v>11:4</v>
      </c>
      <c r="AB10" s="282" t="str">
        <f t="shared" si="2"/>
        <v>2014/2015</v>
      </c>
      <c r="AC10" s="263"/>
      <c r="AD10" s="283"/>
    </row>
    <row r="11" spans="1:30" ht="15" customHeight="1" x14ac:dyDescent="0.25">
      <c r="A11" s="163" t="str">
        <f ca="1">IFERROR(IF(INDIRECT("priprava_" &amp; A$1 &amp; "!BZ2")&lt;&gt;"",INDIRECT("priprava_" &amp; A$1 &amp; "!BZ2"),""),"")</f>
        <v>TAT</v>
      </c>
      <c r="B11" s="164"/>
      <c r="C11" s="165" t="str">
        <f ca="1">IFERROR(IF(A11&lt;&gt;"",INDIRECT("priprava_" &amp; A$1 &amp; "!CA2"),""),"")</f>
        <v>2:11</v>
      </c>
      <c r="D11" s="166"/>
      <c r="E11" s="167" t="str">
        <f ca="1">IFERROR(IF(INDIRECT("priprava_" &amp; A$1 &amp; "!BZ7")&lt;&gt;"",INDIRECT("priprava_" &amp; A$1 &amp; "!BZ7"),""),"")</f>
        <v>OST</v>
      </c>
      <c r="F11" s="164"/>
      <c r="G11" s="165" t="str">
        <f ca="1">IFERROR(IF(E11&lt;&gt;"",INDIRECT("priprava_" &amp; A$1 &amp; "!BY7"),""),"")</f>
        <v>17. 9.</v>
      </c>
      <c r="H11" s="166"/>
      <c r="I11" s="27"/>
      <c r="J11" s="163" t="str">
        <f ca="1">IFERROR(IF(INDIRECT("priprava_" &amp; J$1 &amp; "!BZ2")&lt;&gt;"",INDIRECT("priprava_" &amp; J$1 &amp; "!BZ2"),""),"")</f>
        <v>MB</v>
      </c>
      <c r="K11" s="164"/>
      <c r="L11" s="165" t="str">
        <f ca="1">IFERROR(IF(J11&lt;&gt;"",INDIRECT("priprava_" &amp; J$1 &amp; "!CA2"),""),"")</f>
        <v>2:10</v>
      </c>
      <c r="M11" s="166"/>
      <c r="N11" s="167" t="str">
        <f ca="1">IFERROR(IF(INDIRECT("priprava_" &amp; J$1 &amp; "!BZ7")&lt;&gt;"",INDIRECT("priprava_" &amp; J$1 &amp; "!BZ7"),""),"")</f>
        <v>SPA</v>
      </c>
      <c r="O11" s="164"/>
      <c r="P11" s="165" t="str">
        <f ca="1">IFERROR(IF(N11&lt;&gt;"",INDIRECT("priprava_" &amp; J$1 &amp; "!BY7"),""),"")</f>
        <v>17. 9.</v>
      </c>
      <c r="Q11" s="166"/>
      <c r="R11" s="40"/>
      <c r="S11" s="82" t="s">
        <v>5</v>
      </c>
      <c r="T11" s="83" t="s">
        <v>110</v>
      </c>
      <c r="U11" s="83" t="s">
        <v>128</v>
      </c>
      <c r="V11" s="84" t="s">
        <v>129</v>
      </c>
      <c r="W11" s="262" t="str">
        <f t="shared" si="0"/>
        <v>SKV - LIB</v>
      </c>
      <c r="X11" s="263"/>
      <c r="Y11" s="263"/>
      <c r="Z11" s="264"/>
      <c r="AA11" s="25" t="str">
        <f t="shared" si="1"/>
        <v>0:6</v>
      </c>
      <c r="AB11" s="282" t="str">
        <f t="shared" si="2"/>
        <v>2006/2007</v>
      </c>
      <c r="AC11" s="263"/>
      <c r="AD11" s="283"/>
    </row>
    <row r="12" spans="1:30" ht="15" customHeight="1" x14ac:dyDescent="0.25">
      <c r="A12" s="168" t="str">
        <f ca="1">IFERROR(IF(INDIRECT("priprava_" &amp; A$1 &amp; "!BZ3")&lt;&gt;"",INDIRECT("priprava_" &amp; A$1 &amp; "!BZ3"),""),"")</f>
        <v/>
      </c>
      <c r="B12" s="169"/>
      <c r="C12" s="170" t="str">
        <f ca="1">IFERROR(IF(A12&lt;&gt;"",INDIRECT("priprava_" &amp; A$1 &amp; "!CA3"),""),"")</f>
        <v/>
      </c>
      <c r="D12" s="171"/>
      <c r="E12" s="172" t="str">
        <f ca="1">IFERROR(IF(INDIRECT("priprava_" &amp; A$1 &amp; "!BZ8")&lt;&gt;"",INDIRECT("priprava_" &amp; A$1 &amp; "!BZ8"),""),"")</f>
        <v>LIB</v>
      </c>
      <c r="F12" s="169"/>
      <c r="G12" s="170" t="str">
        <f ca="1">IFERROR(IF(E12&lt;&gt;"",INDIRECT("priprava_" &amp; A$1 &amp; "!BY8"),""),"")</f>
        <v>19. 9.</v>
      </c>
      <c r="H12" s="171"/>
      <c r="I12" s="28"/>
      <c r="J12" s="168" t="str">
        <f ca="1">IFERROR(IF(INDIRECT("priprava_" &amp; J$1 &amp; "!BZ3")&lt;&gt;"",INDIRECT("priprava_" &amp; J$1 &amp; "!BZ3"),""),"")</f>
        <v/>
      </c>
      <c r="K12" s="169"/>
      <c r="L12" s="170" t="str">
        <f ca="1">IFERROR(IF(J12&lt;&gt;"",INDIRECT("priprava_" &amp; J$1 &amp; "!CA3"),""),"")</f>
        <v/>
      </c>
      <c r="M12" s="171"/>
      <c r="N12" s="172" t="str">
        <f ca="1">IFERROR(IF(INDIRECT("priprava_" &amp; J$1 &amp; "!BZ8")&lt;&gt;"",INDIRECT("priprava_" &amp; J$1 &amp; "!BZ8"),""),"")</f>
        <v>SKV</v>
      </c>
      <c r="O12" s="169"/>
      <c r="P12" s="170" t="str">
        <f ca="1">IFERROR(IF(N12&lt;&gt;"",INDIRECT("priprava_" &amp; J$1 &amp; "!BY8"),""),"")</f>
        <v>19. 9.</v>
      </c>
      <c r="Q12" s="171"/>
      <c r="R12" s="27"/>
      <c r="S12" s="82" t="s">
        <v>110</v>
      </c>
      <c r="T12" s="83" t="s">
        <v>5</v>
      </c>
      <c r="U12" s="83" t="s">
        <v>130</v>
      </c>
      <c r="V12" s="84" t="s">
        <v>129</v>
      </c>
      <c r="W12" s="262" t="str">
        <f t="shared" si="0"/>
        <v>LIB - SKV</v>
      </c>
      <c r="X12" s="263"/>
      <c r="Y12" s="263"/>
      <c r="Z12" s="264"/>
      <c r="AA12" s="25" t="str">
        <f t="shared" si="1"/>
        <v>10:3</v>
      </c>
      <c r="AB12" s="282" t="str">
        <f t="shared" si="2"/>
        <v>2006/2007</v>
      </c>
      <c r="AC12" s="263"/>
      <c r="AD12" s="283"/>
    </row>
    <row r="13" spans="1:30" ht="15" customHeight="1" x14ac:dyDescent="0.25">
      <c r="A13" s="173" t="str">
        <f ca="1">IFERROR(IF(INDIRECT("priprava_" &amp; A$1 &amp; "!BZ4")&lt;&gt;"",INDIRECT("priprava_" &amp; A$1 &amp; "!BZ4"),""),"")</f>
        <v/>
      </c>
      <c r="B13" s="174"/>
      <c r="C13" s="175" t="str">
        <f ca="1">IFERROR(IF(A13&lt;&gt;"",INDIRECT("priprava_" &amp; A$1 &amp; "!CA4"),""),"")</f>
        <v/>
      </c>
      <c r="D13" s="176"/>
      <c r="E13" s="177" t="str">
        <f ca="1">IFERROR(IF(INDIRECT("priprava_" &amp; A$1 &amp; "!BZ9")&lt;&gt;"",INDIRECT("priprava_" &amp; A$1 &amp; "!BZ9"),""),"")</f>
        <v>CHO</v>
      </c>
      <c r="F13" s="174"/>
      <c r="G13" s="175" t="str">
        <f ca="1">IFERROR(IF(E13&lt;&gt;"",INDIRECT("priprava_" &amp; A$1 &amp; "!BY9"),""),"")</f>
        <v>25. 9.</v>
      </c>
      <c r="H13" s="176"/>
      <c r="I13" s="27"/>
      <c r="J13" s="173" t="str">
        <f ca="1">IFERROR(IF(INDIRECT("priprava_" &amp; J$1 &amp; "!BZ4")&lt;&gt;"",INDIRECT("priprava_" &amp; J$1 &amp; "!BZ4"),""),"")</f>
        <v/>
      </c>
      <c r="K13" s="174"/>
      <c r="L13" s="175" t="str">
        <f ca="1">IFERROR(IF(J13&lt;&gt;"",INDIRECT("priprava_" &amp; J$1 &amp; "!CA4"),""),"")</f>
        <v/>
      </c>
      <c r="M13" s="176"/>
      <c r="N13" s="177" t="str">
        <f ca="1">IFERROR(IF(INDIRECT("priprava_" &amp; J$1 &amp; "!BZ9")&lt;&gt;"",INDIRECT("priprava_" &amp; J$1 &amp; "!BZ9"),""),"")</f>
        <v>TAT</v>
      </c>
      <c r="O13" s="174"/>
      <c r="P13" s="175" t="str">
        <f ca="1">IFERROR(IF(N13&lt;&gt;"",INDIRECT("priprava_" &amp; J$1 &amp; "!BY9"),""),"")</f>
        <v>26. 9.</v>
      </c>
      <c r="Q13" s="176"/>
      <c r="R13" s="29"/>
      <c r="S13" s="82"/>
      <c r="T13" s="83"/>
      <c r="U13" s="83"/>
      <c r="V13" s="84"/>
      <c r="W13" s="262" t="str">
        <f t="shared" si="0"/>
        <v/>
      </c>
      <c r="X13" s="263"/>
      <c r="Y13" s="263"/>
      <c r="Z13" s="264"/>
      <c r="AA13" s="25" t="str">
        <f t="shared" si="1"/>
        <v/>
      </c>
      <c r="AB13" s="282" t="str">
        <f t="shared" si="2"/>
        <v/>
      </c>
      <c r="AC13" s="263"/>
      <c r="AD13" s="283"/>
    </row>
    <row r="14" spans="1:30" ht="15" customHeight="1" thickBot="1" x14ac:dyDescent="0.3">
      <c r="A14" s="168" t="str">
        <f ca="1">IFERROR(IF(INDIRECT("priprava_" &amp; A$1 &amp; "!BZ5")&lt;&gt;"",INDIRECT("priprava_" &amp; A$1 &amp; "!BZ5"),""),"")</f>
        <v/>
      </c>
      <c r="B14" s="169"/>
      <c r="C14" s="170" t="str">
        <f ca="1">IFERROR(IF(A14&lt;&gt;"",INDIRECT("priprava_" &amp; A$1 &amp; "!CA5"),""),"")</f>
        <v/>
      </c>
      <c r="D14" s="171"/>
      <c r="E14" s="172" t="str">
        <f ca="1">IFERROR(IF(INDIRECT("priprava_" &amp; A$1 &amp; "!BZ10")&lt;&gt;"",INDIRECT("priprava_" &amp; A$1 &amp; "!BZ10"),""),"")</f>
        <v>BA</v>
      </c>
      <c r="F14" s="169"/>
      <c r="G14" s="170" t="str">
        <f ca="1">IFERROR(IF(E14&lt;&gt;"",INDIRECT("priprava_" &amp; A$1 &amp; "!BY10"),""),"")</f>
        <v>28. 9.</v>
      </c>
      <c r="H14" s="171"/>
      <c r="I14" s="28"/>
      <c r="J14" s="168" t="str">
        <f ca="1">IFERROR(IF(INDIRECT("priprava_" &amp; J$1 &amp; "!BZ5")&lt;&gt;"",INDIRECT("priprava_" &amp; J$1 &amp; "!BZ5"),""),"")</f>
        <v/>
      </c>
      <c r="K14" s="169"/>
      <c r="L14" s="170" t="str">
        <f ca="1">IFERROR(IF(J14&lt;&gt;"",INDIRECT("priprava_" &amp; J$1 &amp; "!CA5"),""),"")</f>
        <v/>
      </c>
      <c r="M14" s="171"/>
      <c r="N14" s="172" t="str">
        <f ca="1">IFERROR(IF(INDIRECT("priprava_" &amp; J$1 &amp; "!BZ10")&lt;&gt;"",INDIRECT("priprava_" &amp; J$1 &amp; "!BZ10"),""),"")</f>
        <v>OST</v>
      </c>
      <c r="O14" s="169"/>
      <c r="P14" s="170" t="str">
        <f ca="1">IFERROR(IF(N14&lt;&gt;"",INDIRECT("priprava_" &amp; J$1 &amp; "!BY10"),""),"")</f>
        <v>28. 9.</v>
      </c>
      <c r="Q14" s="171"/>
      <c r="R14" s="27"/>
      <c r="S14" s="85"/>
      <c r="T14" s="86"/>
      <c r="U14" s="86"/>
      <c r="V14" s="87"/>
      <c r="W14" s="285" t="str">
        <f t="shared" si="0"/>
        <v/>
      </c>
      <c r="X14" s="286"/>
      <c r="Y14" s="286"/>
      <c r="Z14" s="287"/>
      <c r="AA14" s="26" t="str">
        <f t="shared" si="1"/>
        <v/>
      </c>
      <c r="AB14" s="288" t="str">
        <f t="shared" si="2"/>
        <v/>
      </c>
      <c r="AC14" s="286"/>
      <c r="AD14" s="289"/>
    </row>
    <row r="15" spans="1:30" ht="15" customHeight="1" thickTop="1" thickBot="1" x14ac:dyDescent="0.3">
      <c r="A15" s="197" t="str">
        <f ca="1">IFERROR(IF(INDIRECT("priprava_" &amp; A$1 &amp; "!BZ6")&lt;&gt;"",INDIRECT("priprava_" &amp; A$1 &amp; "!BZ6"),""),"")</f>
        <v/>
      </c>
      <c r="B15" s="185"/>
      <c r="C15" s="186" t="str">
        <f ca="1">IFERROR(IF(A15&lt;&gt;"",INDIRECT("priprava_" &amp; A$1 &amp; "!CA6"),""),"")</f>
        <v/>
      </c>
      <c r="D15" s="187"/>
      <c r="E15" s="184" t="str">
        <f ca="1">IFERROR(IF(INDIRECT("priprava_" &amp; A$1 &amp; "!BZ11")&lt;&gt;"",INDIRECT("priprava_" &amp; A$1 &amp; "!BZ11"),""),"")</f>
        <v>CLP</v>
      </c>
      <c r="F15" s="185"/>
      <c r="G15" s="186" t="str">
        <f ca="1">IFERROR(IF(E15&lt;&gt;"",INDIRECT("priprava_" &amp; A$1 &amp; "!BY11"),""),"")</f>
        <v>2. 10.</v>
      </c>
      <c r="H15" s="187"/>
      <c r="I15" s="27"/>
      <c r="J15" s="197" t="str">
        <f ca="1">IFERROR(IF(INDIRECT("priprava_" &amp; J$1 &amp; "!BZ6")&lt;&gt;"",INDIRECT("priprava_" &amp; J$1 &amp; "!BZ6"),""),"")</f>
        <v/>
      </c>
      <c r="K15" s="185"/>
      <c r="L15" s="186" t="str">
        <f ca="1">IFERROR(IF(J15&lt;&gt;"",INDIRECT("priprava_" &amp; J$1 &amp; "!CA6"),""),"")</f>
        <v/>
      </c>
      <c r="M15" s="187"/>
      <c r="N15" s="184" t="str">
        <f ca="1">IFERROR(IF(INDIRECT("priprava_" &amp; J$1 &amp; "!BZ11")&lt;&gt;"",INDIRECT("priprava_" &amp; J$1 &amp; "!BZ11"),""),"")</f>
        <v>OTR</v>
      </c>
      <c r="O15" s="185"/>
      <c r="P15" s="186" t="str">
        <f ca="1">IFERROR(IF(N15&lt;&gt;"",INDIRECT("priprava_" &amp; J$1 &amp; "!BY11"),""),"")</f>
        <v>3. 10.</v>
      </c>
      <c r="Q15" s="187"/>
      <c r="R15" s="27"/>
    </row>
    <row r="16" spans="1:30" ht="15" customHeight="1" thickTop="1" x14ac:dyDescent="0.25">
      <c r="R16" s="39"/>
    </row>
    <row r="17" spans="1:18" ht="15" customHeight="1" thickBot="1" x14ac:dyDescent="0.3">
      <c r="A17" s="188" t="s">
        <v>35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</row>
    <row r="18" spans="1:18" ht="15" customHeight="1" thickTop="1" thickBot="1" x14ac:dyDescent="0.3">
      <c r="A18" s="156" t="s">
        <v>36</v>
      </c>
      <c r="B18" s="157"/>
      <c r="C18" s="189"/>
      <c r="D18" s="190" t="s">
        <v>37</v>
      </c>
      <c r="E18" s="157"/>
      <c r="F18" s="191"/>
      <c r="G18" s="162" t="s">
        <v>38</v>
      </c>
      <c r="H18" s="157"/>
      <c r="I18" s="161"/>
      <c r="J18" s="158" t="s">
        <v>36</v>
      </c>
      <c r="K18" s="159"/>
      <c r="L18" s="192"/>
      <c r="M18" s="193" t="s">
        <v>37</v>
      </c>
      <c r="N18" s="159"/>
      <c r="O18" s="194"/>
      <c r="P18" s="195" t="s">
        <v>38</v>
      </c>
      <c r="Q18" s="159"/>
      <c r="R18" s="196"/>
    </row>
    <row r="19" spans="1:18" ht="15" customHeight="1" x14ac:dyDescent="0.25">
      <c r="A19" s="178" t="str">
        <f ca="1">IFERROR(IF(INDIRECT("priprava_" &amp; A$1 &amp; "!BV2")&lt;&gt;"",VLOOKUP(INDIRECT("priprava_" &amp; A$1 &amp; "!BV2"),OFFSET(INDIRECT("priprava_" &amp; A$1 &amp; "!$AG$2"),,,COUNTIF(INDIRECT("priprava_" &amp; A$1 &amp; "!$AG$2:$AG$50"),"?*"),23),17,FALSE),""),"")</f>
        <v>Kopecký</v>
      </c>
      <c r="B19" s="179"/>
      <c r="C19" s="41">
        <f ca="1">IFERROR(IF(A19&lt;&gt;"",INDIRECT("priprava_" &amp; A$1 &amp; "!BW2"),""),"")</f>
        <v>1</v>
      </c>
      <c r="D19" s="180" t="str">
        <f ca="1">IFERROR(IF(INDIRECT("priprava_" &amp; A$1 &amp; "!BV12")&lt;&gt;"",VLOOKUP(INDIRECT("priprava_" &amp; A$1 &amp; "!BV12"),OFFSET(INDIRECT("priprava_" &amp; A$1 &amp; "!$AG$2"),,,COUNTIF(INDIRECT("priprava_" &amp; A$1 &amp; "!$AG$2:$AG$50"),"?*"),23),17,FALSE),""),"")</f>
        <v>Kopecký</v>
      </c>
      <c r="E19" s="179"/>
      <c r="F19" s="41">
        <f ca="1">IFERROR(IF(D19&lt;&gt;"",INDIRECT("priprava_" &amp; A$1 &amp; "!BW12"),""),"")</f>
        <v>1</v>
      </c>
      <c r="G19" s="180" t="str">
        <f ca="1">IFERROR(IF(INDIRECT("priprava_" &amp; A$1 &amp; "!BV22")&lt;&gt;"",VLOOKUP(INDIRECT("priprava_" &amp; A$1 &amp; "!BV22"),OFFSET(INDIRECT("priprava_" &amp; A$1 &amp; "!$AG$2"),,,COUNTIF(INDIRECT("priprava_" &amp; A$1 &amp; "!$AG$2:$AG$50"),"?*"),23),17,FALSE),""),"")</f>
        <v>Cabejšek</v>
      </c>
      <c r="H19" s="179"/>
      <c r="I19" s="41">
        <f ca="1">IFERROR(IF(G19&lt;&gt;"",INDIRECT("priprava_" &amp; A$1 &amp; "!BW22"),""),"")</f>
        <v>1</v>
      </c>
      <c r="J19" s="181" t="str">
        <f ca="1">IFERROR(IF(INDIRECT("priprava_" &amp; J$1 &amp; "!BV2")&lt;&gt;"",VLOOKUP(INDIRECT("priprava_" &amp; J$1 &amp; "!BV2"),OFFSET(INDIRECT("priprava_" &amp; J$1 &amp; "!$AG$2"),,,COUNTIF(INDIRECT("priprava_" &amp; J$1 &amp; "!$AG$2:$AG$50"),"?*"),23),17,FALSE),""),"")</f>
        <v>Kopecký</v>
      </c>
      <c r="K19" s="182"/>
      <c r="L19" s="42">
        <f ca="1">IFERROR(IF(J19&lt;&gt;"",INDIRECT("priprava_" &amp; J$1 &amp; "!BW2"),""),"")</f>
        <v>2</v>
      </c>
      <c r="M19" s="183" t="str">
        <f ca="1">IFERROR(IF(INDIRECT("priprava_" &amp; J$1 &amp; "!BV12")&lt;&gt;"",VLOOKUP(INDIRECT("priprava_" &amp; J$1 &amp; "!BV12"),OFFSET(INDIRECT("priprava_" &amp; J$1 &amp; "!$AG$2"),,,COUNTIF(INDIRECT("priprava_" &amp; J$1 &amp; "!$AG$2:$AG$50"),"?*"),23),17,FALSE),""),"")</f>
        <v>Kopecký</v>
      </c>
      <c r="N19" s="182"/>
      <c r="O19" s="42">
        <f ca="1">IFERROR(IF(M19&lt;&gt;"",INDIRECT("priprava_" &amp; J$1 &amp; "!BW12"),""),"")</f>
        <v>1</v>
      </c>
      <c r="P19" s="183" t="str">
        <f ca="1">IFERROR(IF(INDIRECT("priprava_" &amp; J$1 &amp; "!BV22")&lt;&gt;"",VLOOKUP(INDIRECT("priprava_" &amp; J$1 &amp; "!BV22"),OFFSET(INDIRECT("priprava_" &amp; J$1 &amp; "!$AG$2"),,,COUNTIF(INDIRECT("priprava_" &amp; J$1 &amp; "!$AG$2:$AG$50"),"?*"),23),17,FALSE),""),"")</f>
        <v>Kopecký</v>
      </c>
      <c r="Q19" s="182"/>
      <c r="R19" s="43">
        <f ca="1">IFERROR(IF(P19&lt;&gt;"",INDIRECT("priprava_" &amp; J$1 &amp; "!BW22"),""),"")</f>
        <v>1</v>
      </c>
    </row>
    <row r="20" spans="1:18" ht="15" customHeight="1" x14ac:dyDescent="0.25">
      <c r="A20" s="198" t="str">
        <f ca="1">IFERROR(IF(INDIRECT("priprava_" &amp; A$1 &amp; "!BV3")&lt;&gt;"",VLOOKUP(INDIRECT("priprava_" &amp; A$1 &amp; "!BV3"),OFFSET(INDIRECT("priprava_" &amp; A$1 &amp; "!$AG$2"),,,COUNTIF(INDIRECT("priprava_" &amp; A$1 &amp; "!$AG$2:$AG$50"),"?*"),23),17,FALSE),""),"")</f>
        <v>Klápa</v>
      </c>
      <c r="B20" s="199"/>
      <c r="C20" s="44">
        <f ca="1">IFERROR(IF(A20&lt;&gt;"",INDIRECT("priprava_" &amp; A$1 &amp; "!BW3"),""),"")</f>
        <v>1</v>
      </c>
      <c r="D20" s="200" t="str">
        <f ca="1">IFERROR(IF(INDIRECT("priprava_" &amp; A$1 &amp; "!BV13")&lt;&gt;"",VLOOKUP(INDIRECT("priprava_" &amp; A$1 &amp; "!BV13"),OFFSET(INDIRECT("priprava_" &amp; A$1 &amp; "!$AG$2"),,,COUNTIF(INDIRECT("priprava_" &amp; A$1 &amp; "!$AG$2:$AG$50"),"?*"),23),17,FALSE),""),"")</f>
        <v>Klápa</v>
      </c>
      <c r="E20" s="199"/>
      <c r="F20" s="45">
        <f ca="1">IFERROR(IF(D20&lt;&gt;"",INDIRECT("priprava_" &amp; A$1 &amp; "!BW13"),""),"")</f>
        <v>1</v>
      </c>
      <c r="G20" s="201" t="str">
        <f ca="1">IFERROR(IF(INDIRECT("priprava_" &amp; A$1 &amp; "!BV23")&lt;&gt;"",VLOOKUP(INDIRECT("priprava_" &amp; A$1 &amp; "!BV23"),OFFSET(INDIRECT("priprava_" &amp; A$1 &amp; "!$AG$2"),,,COUNTIF(INDIRECT("priprava_" &amp; A$1 &amp; "!$AG$2:$AG$50"),"?*"),23),17,FALSE),""),"")</f>
        <v>Čuda</v>
      </c>
      <c r="H20" s="199"/>
      <c r="I20" s="46">
        <f ca="1">IFERROR(IF(G20&lt;&gt;"",INDIRECT("priprava_" &amp; A$1 &amp; "!BW23"),""),"")</f>
        <v>1</v>
      </c>
      <c r="J20" s="202" t="str">
        <f ca="1">IFERROR(IF(INDIRECT("priprava_" &amp; J$1 &amp; "!BV3")&lt;&gt;"",VLOOKUP(INDIRECT("priprava_" &amp; J$1 &amp; "!BV3"),OFFSET(INDIRECT("priprava_" &amp; J$1 &amp; "!$AG$2"),,,COUNTIF(INDIRECT("priprava_" &amp; J$1 &amp; "!$AG$2:$AG$50"),"?*"),23),17,FALSE),""),"")</f>
        <v>Šoltys</v>
      </c>
      <c r="K20" s="203"/>
      <c r="L20" s="47">
        <f ca="1">IFERROR(IF(J20&lt;&gt;"",INDIRECT("priprava_" &amp; J$1 &amp; "!BW3"),""),"")</f>
        <v>1</v>
      </c>
      <c r="M20" s="204" t="str">
        <f ca="1">IFERROR(IF(INDIRECT("priprava_" &amp; J$1 &amp; "!BV13")&lt;&gt;"",VLOOKUP(INDIRECT("priprava_" &amp; J$1 &amp; "!BV13"),OFFSET(INDIRECT("priprava_" &amp; J$1 &amp; "!$AG$2"),,,COUNTIF(INDIRECT("priprava_" &amp; J$1 &amp; "!$AG$2:$AG$50"),"?*"),23),17,FALSE),""),"")</f>
        <v>Šoltys</v>
      </c>
      <c r="N20" s="203"/>
      <c r="O20" s="48">
        <f ca="1">IFERROR(IF(M20&lt;&gt;"",INDIRECT("priprava_" &amp; J$1 &amp; "!BW13"),""),"")</f>
        <v>1</v>
      </c>
      <c r="P20" s="205" t="str">
        <f ca="1">IFERROR(IF(INDIRECT("priprava_" &amp; J$1 &amp; "!BV23")&lt;&gt;"",VLOOKUP(INDIRECT("priprava_" &amp; J$1 &amp; "!BV23"),OFFSET(INDIRECT("priprava_" &amp; J$1 &amp; "!$AG$2"),,,COUNTIF(INDIRECT("priprava_" &amp; J$1 &amp; "!$AG$2:$AG$50"),"?*"),23),17,FALSE),""),"")</f>
        <v>Valeš</v>
      </c>
      <c r="Q20" s="203"/>
      <c r="R20" s="49">
        <f ca="1">IFERROR(IF(P20&lt;&gt;"",INDIRECT("priprava_" &amp; J$1 &amp; "!BW23"),""),"")</f>
        <v>1</v>
      </c>
    </row>
    <row r="21" spans="1:18" ht="15" customHeight="1" x14ac:dyDescent="0.25">
      <c r="A21" s="198" t="str">
        <f ca="1">IFERROR(IF(INDIRECT("priprava_" &amp; A$1 &amp; "!BV4")&lt;&gt;"",VLOOKUP(INDIRECT("priprava_" &amp; A$1 &amp; "!BV4"),OFFSET(INDIRECT("priprava_" &amp; A$1 &amp; "!$AG$2"),,,COUNTIF(INDIRECT("priprava_" &amp; A$1 &amp; "!$AG$2:$AG$50"),"?*"),23),17,FALSE),""),"")</f>
        <v>Cabejšek</v>
      </c>
      <c r="B21" s="199"/>
      <c r="C21" s="44">
        <f ca="1">IFERROR(IF(A21&lt;&gt;"",INDIRECT("priprava_" &amp; A$1 &amp; "!BW4"),""),"")</f>
        <v>1</v>
      </c>
      <c r="D21" s="200" t="str">
        <f ca="1">IFERROR(IF(INDIRECT("priprava_" &amp; A$1 &amp; "!BV14")&lt;&gt;"",VLOOKUP(INDIRECT("priprava_" &amp; A$1 &amp; "!BV14"),OFFSET(INDIRECT("priprava_" &amp; A$1 &amp; "!$AG$2"),,,COUNTIF(INDIRECT("priprava_" &amp; A$1 &amp; "!$AG$2:$AG$50"),"?*"),23),17,FALSE),""),"")</f>
        <v>Cabejšek</v>
      </c>
      <c r="E21" s="199"/>
      <c r="F21" s="45">
        <f ca="1">IFERROR(IF(D21&lt;&gt;"",INDIRECT("priprava_" &amp; A$1 &amp; "!BW14"),""),"")</f>
        <v>0</v>
      </c>
      <c r="G21" s="201" t="str">
        <f ca="1">IFERROR(IF(INDIRECT("priprava_" &amp; A$1 &amp; "!BV24")&lt;&gt;"",VLOOKUP(INDIRECT("priprava_" &amp; A$1 &amp; "!BV24"),OFFSET(INDIRECT("priprava_" &amp; A$1 &amp; "!$AG$2"),,,COUNTIF(INDIRECT("priprava_" &amp; A$1 &amp; "!$AG$2:$AG$50"),"?*"),23),17,FALSE),""),"")</f>
        <v>Ježek</v>
      </c>
      <c r="H21" s="199"/>
      <c r="I21" s="46">
        <f ca="1">IFERROR(IF(G21&lt;&gt;"",INDIRECT("priprava_" &amp; A$1 &amp; "!BW24"),""),"")</f>
        <v>0</v>
      </c>
      <c r="J21" s="202" t="str">
        <f ca="1">IFERROR(IF(INDIRECT("priprava_" &amp; J$1 &amp; "!BV4")&lt;&gt;"",VLOOKUP(INDIRECT("priprava_" &amp; J$1 &amp; "!BV4"),OFFSET(INDIRECT("priprava_" &amp; J$1 &amp; "!$AG$2"),,,COUNTIF(INDIRECT("priprava_" &amp; J$1 &amp; "!$AG$2:$AG$50"),"?*"),23),17,FALSE),""),"")</f>
        <v>Valeš</v>
      </c>
      <c r="K21" s="203"/>
      <c r="L21" s="47">
        <f ca="1">IFERROR(IF(J21&lt;&gt;"",INDIRECT("priprava_" &amp; J$1 &amp; "!BW4"),""),"")</f>
        <v>1</v>
      </c>
      <c r="M21" s="204" t="str">
        <f ca="1">IFERROR(IF(INDIRECT("priprava_" &amp; J$1 &amp; "!BV14")&lt;&gt;"",VLOOKUP(INDIRECT("priprava_" &amp; J$1 &amp; "!BV14"),OFFSET(INDIRECT("priprava_" &amp; J$1 &amp; "!$AG$2"),,,COUNTIF(INDIRECT("priprava_" &amp; J$1 &amp; "!$AG$2:$AG$50"),"?*"),23),17,FALSE),""),"")</f>
        <v>Martínek</v>
      </c>
      <c r="N21" s="203"/>
      <c r="O21" s="48">
        <f ca="1">IFERROR(IF(M21&lt;&gt;"",INDIRECT("priprava_" &amp; J$1 &amp; "!BW14"),""),"")</f>
        <v>0</v>
      </c>
      <c r="P21" s="205" t="str">
        <f ca="1">IFERROR(IF(INDIRECT("priprava_" &amp; J$1 &amp; "!BV24")&lt;&gt;"",VLOOKUP(INDIRECT("priprava_" &amp; J$1 &amp; "!BV24"),OFFSET(INDIRECT("priprava_" &amp; J$1 &amp; "!$AG$2"),,,COUNTIF(INDIRECT("priprava_" &amp; J$1 &amp; "!$AG$2:$AG$50"),"?*"),23),17,FALSE),""),"")</f>
        <v>Martínek</v>
      </c>
      <c r="Q21" s="203"/>
      <c r="R21" s="49">
        <f ca="1">IFERROR(IF(P21&lt;&gt;"",INDIRECT("priprava_" &amp; J$1 &amp; "!BW24"),""),"")</f>
        <v>0</v>
      </c>
    </row>
    <row r="22" spans="1:18" ht="15" customHeight="1" x14ac:dyDescent="0.25">
      <c r="A22" s="198" t="str">
        <f ca="1">IFERROR(IF(INDIRECT("priprava_" &amp; A$1 &amp; "!BV5")&lt;&gt;"",VLOOKUP(INDIRECT("priprava_" &amp; A$1 &amp; "!BV5"),OFFSET(INDIRECT("priprava_" &amp; A$1 &amp; "!$AG$2"),,,COUNTIF(INDIRECT("priprava_" &amp; A$1 &amp; "!$AG$2:$AG$50"),"?*"),23),17,FALSE),""),"")</f>
        <v>Čuda</v>
      </c>
      <c r="B22" s="199"/>
      <c r="C22" s="44">
        <f ca="1">IFERROR(IF(A22&lt;&gt;"",INDIRECT("priprava_" &amp; A$1 &amp; "!BW5"),""),"")</f>
        <v>1</v>
      </c>
      <c r="D22" s="200" t="str">
        <f ca="1">IFERROR(IF(INDIRECT("priprava_" &amp; A$1 &amp; "!BV15")&lt;&gt;"",VLOOKUP(INDIRECT("priprava_" &amp; A$1 &amp; "!BV15"),OFFSET(INDIRECT("priprava_" &amp; A$1 &amp; "!$AG$2"),,,COUNTIF(INDIRECT("priprava_" &amp; A$1 &amp; "!$AG$2:$AG$50"),"?*"),23),17,FALSE),""),"")</f>
        <v>Ježek</v>
      </c>
      <c r="E22" s="199"/>
      <c r="F22" s="45">
        <f ca="1">IFERROR(IF(D22&lt;&gt;"",INDIRECT("priprava_" &amp; A$1 &amp; "!BW15"),""),"")</f>
        <v>0</v>
      </c>
      <c r="G22" s="201" t="str">
        <f ca="1">IFERROR(IF(INDIRECT("priprava_" &amp; A$1 &amp; "!BV25")&lt;&gt;"",VLOOKUP(INDIRECT("priprava_" &amp; A$1 &amp; "!BV25"),OFFSET(INDIRECT("priprava_" &amp; A$1 &amp; "!$AG$2"),,,COUNTIF(INDIRECT("priprava_" &amp; A$1 &amp; "!$AG$2:$AG$50"),"?*"),23),17,FALSE),""),"")</f>
        <v>Pergler</v>
      </c>
      <c r="H22" s="199"/>
      <c r="I22" s="46">
        <f ca="1">IFERROR(IF(G22&lt;&gt;"",INDIRECT("priprava_" &amp; A$1 &amp; "!BW25"),""),"")</f>
        <v>0</v>
      </c>
      <c r="J22" s="202" t="str">
        <f ca="1">IFERROR(IF(INDIRECT("priprava_" &amp; J$1 &amp; "!BV5")&lt;&gt;"",VLOOKUP(INDIRECT("priprava_" &amp; J$1 &amp; "!BV5"),OFFSET(INDIRECT("priprava_" &amp; J$1 &amp; "!$AG$2"),,,COUNTIF(INDIRECT("priprava_" &amp; J$1 &amp; "!$AG$2:$AG$50"),"?*"),23),17,FALSE),""),"")</f>
        <v>Martínek</v>
      </c>
      <c r="K22" s="203"/>
      <c r="L22" s="47">
        <f ca="1">IFERROR(IF(J22&lt;&gt;"",INDIRECT("priprava_" &amp; J$1 &amp; "!BW5"),""),"")</f>
        <v>0</v>
      </c>
      <c r="M22" s="204" t="str">
        <f ca="1">IFERROR(IF(INDIRECT("priprava_" &amp; J$1 &amp; "!BV15")&lt;&gt;"",VLOOKUP(INDIRECT("priprava_" &amp; J$1 &amp; "!BV15"),OFFSET(INDIRECT("priprava_" &amp; J$1 &amp; "!$AG$2"),,,COUNTIF(INDIRECT("priprava_" &amp; J$1 &amp; "!$AG$2:$AG$50"),"?*"),23),17,FALSE),""),"")</f>
        <v/>
      </c>
      <c r="N22" s="203"/>
      <c r="O22" s="48" t="str">
        <f ca="1">IFERROR(IF(M22&lt;&gt;"",INDIRECT("priprava_" &amp; J$1 &amp; "!BW15"),""),"")</f>
        <v/>
      </c>
      <c r="P22" s="205" t="str">
        <f ca="1">IFERROR(IF(INDIRECT("priprava_" &amp; J$1 &amp; "!BV25")&lt;&gt;"",VLOOKUP(INDIRECT("priprava_" &amp; J$1 &amp; "!BV25"),OFFSET(INDIRECT("priprava_" &amp; J$1 &amp; "!$AG$2"),,,COUNTIF(INDIRECT("priprava_" &amp; J$1 &amp; "!$AG$2:$AG$50"),"?*"),23),17,FALSE),""),"")</f>
        <v/>
      </c>
      <c r="Q22" s="203"/>
      <c r="R22" s="49" t="str">
        <f ca="1">IFERROR(IF(P22&lt;&gt;"",INDIRECT("priprava_" &amp; J$1 &amp; "!BW25"),""),"")</f>
        <v/>
      </c>
    </row>
    <row r="23" spans="1:18" ht="15" customHeight="1" thickBot="1" x14ac:dyDescent="0.3">
      <c r="A23" s="206" t="str">
        <f ca="1">IFERROR(IF(INDIRECT("priprava_" &amp; A$1 &amp; "!BV6")&lt;&gt;"",VLOOKUP(INDIRECT("priprava_" &amp; A$1 &amp; "!BV6"),OFFSET(INDIRECT("priprava_" &amp; A$1 &amp; "!$AG$2"),,,COUNTIF(INDIRECT("priprava_" &amp; A$1 &amp; "!$AG$2:$AG$50"),"?*"),23),17,FALSE),""),"")</f>
        <v>Ježek</v>
      </c>
      <c r="B23" s="207"/>
      <c r="C23" s="50">
        <f ca="1">IFERROR(IF(A23&lt;&gt;"",INDIRECT("priprava_" &amp; A$1 &amp; "!BW6"),""),"")</f>
        <v>0</v>
      </c>
      <c r="D23" s="208" t="str">
        <f ca="1">IFERROR(IF(INDIRECT("priprava_" &amp; A$1 &amp; "!BV16")&lt;&gt;"",VLOOKUP(INDIRECT("priprava_" &amp; A$1 &amp; "!BV16"),OFFSET(INDIRECT("priprava_" &amp; A$1 &amp; "!$AG$2"),,,COUNTIF(INDIRECT("priprava_" &amp; A$1 &amp; "!$AG$2:$AG$50"),"?*"),23),17,FALSE),""),"")</f>
        <v>Pergler</v>
      </c>
      <c r="E23" s="207"/>
      <c r="F23" s="51">
        <f ca="1">IFERROR(IF(D23&lt;&gt;"",INDIRECT("priprava_" &amp; A$1 &amp; "!BW16"),""),"")</f>
        <v>0</v>
      </c>
      <c r="G23" s="209" t="str">
        <f ca="1">IFERROR(IF(INDIRECT("priprava_" &amp; A$1 &amp; "!BV26")&lt;&gt;"",VLOOKUP(INDIRECT("priprava_" &amp; A$1 &amp; "!BV26"),OFFSET(INDIRECT("priprava_" &amp; A$1 &amp; "!$AG$2"),,,COUNTIF(INDIRECT("priprava_" &amp; A$1 &amp; "!$AG$2:$AG$50"),"?*"),23),17,FALSE),""),"")</f>
        <v>Fiala</v>
      </c>
      <c r="H23" s="207"/>
      <c r="I23" s="52">
        <f ca="1">IFERROR(IF(G23&lt;&gt;"",INDIRECT("priprava_" &amp; A$1 &amp; "!BW26"),""),"")</f>
        <v>0</v>
      </c>
      <c r="J23" s="210" t="str">
        <f ca="1">IFERROR(IF(INDIRECT("priprava_" &amp; J$1 &amp; "!BV6")&lt;&gt;"",VLOOKUP(INDIRECT("priprava_" &amp; J$1 &amp; "!BV6"),OFFSET(INDIRECT("priprava_" &amp; J$1 &amp; "!$AG$2"),,,COUNTIF(INDIRECT("priprava_" &amp; J$1 &amp; "!$AG$2:$AG$50"),"?*"),23),17,FALSE),""),"")</f>
        <v/>
      </c>
      <c r="K23" s="211"/>
      <c r="L23" s="53" t="str">
        <f ca="1">IFERROR(IF(J23&lt;&gt;"",INDIRECT("priprava_" &amp; J$1 &amp; "!BW6"),""),"")</f>
        <v/>
      </c>
      <c r="M23" s="212" t="str">
        <f ca="1">IFERROR(IF(INDIRECT("priprava_" &amp; J$1 &amp; "!BV16")&lt;&gt;"",VLOOKUP(INDIRECT("priprava_" &amp; J$1 &amp; "!BV16"),OFFSET(INDIRECT("priprava_" &amp; J$1 &amp; "!$AG$2"),,,COUNTIF(INDIRECT("priprava_" &amp; J$1 &amp; "!$AG$2:$AG$50"),"?*"),23),17,FALSE),""),"")</f>
        <v>Kárník</v>
      </c>
      <c r="N23" s="211"/>
      <c r="O23" s="54">
        <f ca="1">IFERROR(IF(M23&lt;&gt;"",INDIRECT("priprava_" &amp; J$1 &amp; "!BW16"),""),"")</f>
        <v>0</v>
      </c>
      <c r="P23" s="213" t="str">
        <f ca="1">IFERROR(IF(INDIRECT("priprava_" &amp; J$1 &amp; "!BV26")&lt;&gt;"",VLOOKUP(INDIRECT("priprava_" &amp; J$1 &amp; "!BV26"),OFFSET(INDIRECT("priprava_" &amp; J$1 &amp; "!$AG$2"),,,COUNTIF(INDIRECT("priprava_" &amp; J$1 &amp; "!$AG$2:$AG$50"),"?*"),23),17,FALSE),""),"")</f>
        <v>Kárník</v>
      </c>
      <c r="Q23" s="211"/>
      <c r="R23" s="55">
        <f ca="1">IFERROR(IF(P23&lt;&gt;"",INDIRECT("priprava_" &amp; J$1 &amp; "!BW26"),""),"")</f>
        <v>0</v>
      </c>
    </row>
    <row r="24" spans="1:18" ht="15" customHeight="1" thickTop="1" thickBot="1" x14ac:dyDescent="0.3">
      <c r="A24" s="39"/>
      <c r="B24" s="27"/>
      <c r="C24" s="27"/>
      <c r="D24" s="40"/>
      <c r="E24" s="27"/>
      <c r="F24" s="27"/>
      <c r="G24" s="27"/>
      <c r="H24" s="27"/>
      <c r="I24" s="27"/>
      <c r="J24" s="27"/>
      <c r="K24" s="27"/>
      <c r="L24" s="27"/>
      <c r="M24" s="39"/>
      <c r="N24" s="27"/>
      <c r="O24" s="27"/>
      <c r="P24" s="40"/>
      <c r="Q24" s="27"/>
      <c r="R24" s="27"/>
    </row>
    <row r="25" spans="1:18" ht="15" customHeight="1" thickTop="1" thickBot="1" x14ac:dyDescent="0.3">
      <c r="A25" s="156" t="s">
        <v>39</v>
      </c>
      <c r="B25" s="157"/>
      <c r="C25" s="189"/>
      <c r="D25" s="190" t="s">
        <v>40</v>
      </c>
      <c r="E25" s="157"/>
      <c r="F25" s="191"/>
      <c r="G25" s="162" t="s">
        <v>41</v>
      </c>
      <c r="H25" s="157"/>
      <c r="I25" s="161"/>
      <c r="J25" s="158" t="s">
        <v>39</v>
      </c>
      <c r="K25" s="159"/>
      <c r="L25" s="192"/>
      <c r="M25" s="193" t="s">
        <v>40</v>
      </c>
      <c r="N25" s="159"/>
      <c r="O25" s="194"/>
      <c r="P25" s="195" t="s">
        <v>41</v>
      </c>
      <c r="Q25" s="159"/>
      <c r="R25" s="196"/>
    </row>
    <row r="26" spans="1:18" ht="15" customHeight="1" x14ac:dyDescent="0.25">
      <c r="A26" s="178" t="str">
        <f ca="1">IFERROR(IF(INDIRECT("priprava_" &amp; A$1 &amp; "!BV27")&lt;&gt;"",VLOOKUP(INDIRECT("priprava_" &amp; A$1 &amp; "!BV27"),OFFSET(INDIRECT("priprava_" &amp; A$1 &amp; "!$AG$2"),,,COUNTIF(INDIRECT("priprava_" &amp; A$1 &amp; "!$AG$2:$AG$50"),"?*"),23),17,FALSE),""),"")</f>
        <v>Klápa</v>
      </c>
      <c r="B26" s="179"/>
      <c r="C26" s="41">
        <f ca="1">IFERROR(IF(A26&lt;&gt;"",INDIRECT("priprava_" &amp; A$1 &amp; "!BW27"),""),"")</f>
        <v>2</v>
      </c>
      <c r="D26" s="180" t="str">
        <f ca="1">IFERROR(IF(INDIRECT("priprava_" &amp; A$1 &amp; "!BV7")&lt;&gt;"",VLOOKUP(INDIRECT("priprava_" &amp; A$1 &amp; "!BV7"),OFFSET(INDIRECT("priprava_" &amp; A$1 &amp; "!$AG$2"),,,COUNTIF(INDIRECT("priprava_" &amp; A$1 &amp; "!$AG$2:$AG$50"),"?*"),23),17,FALSE),""),"")</f>
        <v>Musil</v>
      </c>
      <c r="E26" s="179"/>
      <c r="F26" s="56">
        <f ca="1">IFERROR(IF(D26&lt;&gt;"",INDIRECT("priprava_" &amp; A$1 &amp; "!BW7"),""),"")</f>
        <v>11</v>
      </c>
      <c r="G26" s="180" t="str">
        <f ca="1">IFERROR(IF(INDIRECT("priprava_" &amp; A$1 &amp; "!BV17")&lt;&gt;"",VLOOKUP(INDIRECT("priprava_" &amp; A$1 &amp; "!BV17"),OFFSET(INDIRECT("priprava_" &amp; A$1 &amp; "!$AG$2"),,,COUNTIF(INDIRECT("priprava_" &amp; A$1 &amp; "!$AG$2:$AG$50"),"?*"),23),17,FALSE),""),"")</f>
        <v>Musil</v>
      </c>
      <c r="H26" s="179"/>
      <c r="I26" s="41">
        <f ca="1">IFERROR(IF(G26&lt;&gt;"",INDIRECT("priprava_" &amp; A$1 &amp; "!BW17"),""),"")</f>
        <v>0</v>
      </c>
      <c r="J26" s="181" t="str">
        <f ca="1">IFERROR(IF(INDIRECT("priprava_" &amp; J$1 &amp; "!BV27")&lt;&gt;"",VLOOKUP(INDIRECT("priprava_" &amp; J$1 &amp; "!BV27"),OFFSET(INDIRECT("priprava_" &amp; J$1 &amp; "!$AG$2"),,,COUNTIF(INDIRECT("priprava_" &amp; J$1 &amp; "!$AG$2:$AG$50"),"?*"),23),17,FALSE),""),"")</f>
        <v>Valeš</v>
      </c>
      <c r="K26" s="182"/>
      <c r="L26" s="42">
        <f ca="1">IFERROR(IF(J26&lt;&gt;"",INDIRECT("priprava_" &amp; J$1 &amp; "!BW27"),""),"")</f>
        <v>2</v>
      </c>
      <c r="M26" s="183" t="str">
        <f ca="1">IFERROR(IF(INDIRECT("priprava_" &amp; J$1 &amp; "!BV7")&lt;&gt;"",VLOOKUP(INDIRECT("priprava_" &amp; J$1 &amp; "!BV7"),OFFSET(INDIRECT("priprava_" &amp; J$1 &amp; "!$AG$2"),,,COUNTIF(INDIRECT("priprava_" &amp; J$1 &amp; "!$AG$2:$AG$50"),"?*"),23),17,FALSE),""),"")</f>
        <v>Chlad</v>
      </c>
      <c r="N26" s="182"/>
      <c r="O26" s="57">
        <f ca="1">IFERROR(IF(M26&lt;&gt;"",INDIRECT("priprava_" &amp; J$1 &amp; "!BW7"),""),"")</f>
        <v>10</v>
      </c>
      <c r="P26" s="183" t="str">
        <f ca="1">IFERROR(IF(INDIRECT("priprava_" &amp; J$1 &amp; "!BV17")&lt;&gt;"",VLOOKUP(INDIRECT("priprava_" &amp; J$1 &amp; "!BV17"),OFFSET(INDIRECT("priprava_" &amp; J$1 &amp; "!$AG$2"),,,COUNTIF(INDIRECT("priprava_" &amp; J$1 &amp; "!$AG$2:$AG$50"),"?*"),23),17,FALSE),""),"")</f>
        <v>Chlad</v>
      </c>
      <c r="Q26" s="182"/>
      <c r="R26" s="43">
        <f ca="1">IFERROR(IF(P26&lt;&gt;"",INDIRECT("priprava_" &amp; J$1 &amp; "!BW17"),""),"")</f>
        <v>0</v>
      </c>
    </row>
    <row r="27" spans="1:18" ht="15" customHeight="1" x14ac:dyDescent="0.25">
      <c r="A27" s="198" t="str">
        <f ca="1">IFERROR(IF(INDIRECT("priprava_" &amp; A$1 &amp; "!BV28")&lt;&gt;"",VLOOKUP(INDIRECT("priprava_" &amp; A$1 &amp; "!BV28"),OFFSET(INDIRECT("priprava_" &amp; A$1 &amp; "!$AG$2"),,,COUNTIF(INDIRECT("priprava_" &amp; A$1 &amp; "!$AG$2:$AG$50"),"?*"),23),17,FALSE),""),"")</f>
        <v>Cabejšek</v>
      </c>
      <c r="B27" s="199"/>
      <c r="C27" s="44">
        <f ca="1">IFERROR(IF(A27&lt;&gt;"",INDIRECT("priprava_" &amp; A$1 &amp; "!BW28"),""),"")</f>
        <v>0</v>
      </c>
      <c r="D27" s="200" t="str">
        <f ca="1">IFERROR(IF(INDIRECT("priprava_" &amp; A$1 &amp; "!BV8")&lt;&gt;"",VLOOKUP(INDIRECT("priprava_" &amp; A$1 &amp; "!BV8"),OFFSET(INDIRECT("priprava_" &amp; A$1 &amp; "!$AG$2"),,,COUNTIF(INDIRECT("priprava_" &amp; A$1 &amp; "!$AG$2:$AG$50"),"?*"),23),17,FALSE),""),"")</f>
        <v>Šantora</v>
      </c>
      <c r="E27" s="199"/>
      <c r="F27" s="58">
        <f ca="1">IFERROR(IF(D27&lt;&gt;"",INDIRECT("priprava_" &amp; A$1 &amp; "!BW8"),""),"")</f>
        <v>0</v>
      </c>
      <c r="G27" s="201" t="str">
        <f ca="1">IFERROR(IF(INDIRECT("priprava_" &amp; A$1 &amp; "!BV18")&lt;&gt;"",VLOOKUP(INDIRECT("priprava_" &amp; A$1 &amp; "!BV18"),OFFSET(INDIRECT("priprava_" &amp; A$1 &amp; "!$AG$2"),,,COUNTIF(INDIRECT("priprava_" &amp; A$1 &amp; "!$AG$2:$AG$50"),"?*"),23),17,FALSE),""),"")</f>
        <v>Šantora</v>
      </c>
      <c r="H27" s="199"/>
      <c r="I27" s="46">
        <f ca="1">IFERROR(IF(G27&lt;&gt;"",INDIRECT("priprava_" &amp; A$1 &amp; "!BW18"),""),"")</f>
        <v>0</v>
      </c>
      <c r="J27" s="202" t="str">
        <f ca="1">IFERROR(IF(INDIRECT("priprava_" &amp; J$1 &amp; "!BV28")&lt;&gt;"",VLOOKUP(INDIRECT("priprava_" &amp; J$1 &amp; "!BV28"),OFFSET(INDIRECT("priprava_" &amp; J$1 &amp; "!$AG$2"),,,COUNTIF(INDIRECT("priprava_" &amp; J$1 &amp; "!$AG$2:$AG$50"),"?*"),23),17,FALSE),""),"")</f>
        <v>Martínek</v>
      </c>
      <c r="K27" s="203"/>
      <c r="L27" s="47">
        <f ca="1">IFERROR(IF(J27&lt;&gt;"",INDIRECT("priprava_" &amp; J$1 &amp; "!BW28"),""),"")</f>
        <v>0</v>
      </c>
      <c r="M27" s="204" t="str">
        <f ca="1">IFERROR(IF(INDIRECT("priprava_" &amp; J$1 &amp; "!BV8")&lt;&gt;"",VLOOKUP(INDIRECT("priprava_" &amp; J$1 &amp; "!BV8"),OFFSET(INDIRECT("priprava_" &amp; J$1 &amp; "!$AG$2"),,,COUNTIF(INDIRECT("priprava_" &amp; J$1 &amp; "!$AG$2:$AG$50"),"?*"),23),17,FALSE),""),"")</f>
        <v/>
      </c>
      <c r="N27" s="203"/>
      <c r="O27" s="59" t="str">
        <f ca="1">IFERROR(IF(M27&lt;&gt;"",INDIRECT("priprava_" &amp; J$1 &amp; "!BW8"),""),"")</f>
        <v/>
      </c>
      <c r="P27" s="205" t="str">
        <f ca="1">IFERROR(IF(INDIRECT("priprava_" &amp; J$1 &amp; "!BV18")&lt;&gt;"",VLOOKUP(INDIRECT("priprava_" &amp; J$1 &amp; "!BV18"),OFFSET(INDIRECT("priprava_" &amp; J$1 &amp; "!$AG$2"),,,COUNTIF(INDIRECT("priprava_" &amp; J$1 &amp; "!$AG$2:$AG$50"),"?*"),23),17,FALSE),""),"")</f>
        <v/>
      </c>
      <c r="Q27" s="203"/>
      <c r="R27" s="49" t="str">
        <f ca="1">IFERROR(IF(P27&lt;&gt;"",INDIRECT("priprava_" &amp; J$1 &amp; "!BW18"),""),"")</f>
        <v/>
      </c>
    </row>
    <row r="28" spans="1:18" ht="15" customHeight="1" x14ac:dyDescent="0.25">
      <c r="A28" s="198" t="str">
        <f ca="1">IFERROR(IF(INDIRECT("priprava_" &amp; A$1 &amp; "!BV29")&lt;&gt;"",VLOOKUP(INDIRECT("priprava_" &amp; A$1 &amp; "!BV29"),OFFSET(INDIRECT("priprava_" &amp; A$1 &amp; "!$AG$2"),,,COUNTIF(INDIRECT("priprava_" &amp; A$1 &amp; "!$AG$2:$AG$50"),"?*"),23),17,FALSE),""),"")</f>
        <v>Ježek</v>
      </c>
      <c r="B28" s="199"/>
      <c r="C28" s="44">
        <f ca="1">IFERROR(IF(A28&lt;&gt;"",INDIRECT("priprava_" &amp; A$1 &amp; "!BW29"),""),"")</f>
        <v>0</v>
      </c>
      <c r="D28" s="200" t="str">
        <f ca="1">IFERROR(IF(INDIRECT("priprava_" &amp; A$1 &amp; "!BV9")&lt;&gt;"",VLOOKUP(INDIRECT("priprava_" &amp; A$1 &amp; "!BV9"),OFFSET(INDIRECT("priprava_" &amp; A$1 &amp; "!$AG$2"),,,COUNTIF(INDIRECT("priprava_" &amp; A$1 &amp; "!$AG$2:$AG$50"),"?*"),23),17,FALSE),""),"")</f>
        <v/>
      </c>
      <c r="E28" s="199"/>
      <c r="F28" s="58" t="str">
        <f ca="1">IFERROR(IF(D28&lt;&gt;"",INDIRECT("priprava_" &amp; A$1 &amp; "!BW9"),""),"")</f>
        <v/>
      </c>
      <c r="G28" s="201" t="str">
        <f ca="1">IFERROR(IF(INDIRECT("priprava_" &amp; A$1 &amp; "!BV19")&lt;&gt;"",VLOOKUP(INDIRECT("priprava_" &amp; A$1 &amp; "!BV19"),OFFSET(INDIRECT("priprava_" &amp; A$1 &amp; "!$AG$2"),,,COUNTIF(INDIRECT("priprava_" &amp; A$1 &amp; "!$AG$2:$AG$50"),"?*"),23),17,FALSE),""),"")</f>
        <v/>
      </c>
      <c r="H28" s="199"/>
      <c r="I28" s="46" t="str">
        <f ca="1">IFERROR(IF(G28&lt;&gt;"",INDIRECT("priprava_" &amp; A$1 &amp; "!BW19"),""),"")</f>
        <v/>
      </c>
      <c r="J28" s="202" t="str">
        <f ca="1">IFERROR(IF(INDIRECT("priprava_" &amp; J$1 &amp; "!BV29")&lt;&gt;"",VLOOKUP(INDIRECT("priprava_" &amp; J$1 &amp; "!BV29"),OFFSET(INDIRECT("priprava_" &amp; J$1 &amp; "!$AG$2"),,,COUNTIF(INDIRECT("priprava_" &amp; J$1 &amp; "!$AG$2:$AG$50"),"?*"),23),17,FALSE),""),"")</f>
        <v/>
      </c>
      <c r="K28" s="203"/>
      <c r="L28" s="47" t="str">
        <f ca="1">IFERROR(IF(J28&lt;&gt;"",INDIRECT("priprava_" &amp; J$1 &amp; "!BW29"),""),"")</f>
        <v/>
      </c>
      <c r="M28" s="204" t="str">
        <f ca="1">IFERROR(IF(INDIRECT("priprava_" &amp; J$1 &amp; "!BV9")&lt;&gt;"",VLOOKUP(INDIRECT("priprava_" &amp; J$1 &amp; "!BV9"),OFFSET(INDIRECT("priprava_" &amp; J$1 &amp; "!$AG$2"),,,COUNTIF(INDIRECT("priprava_" &amp; J$1 &amp; "!$AG$2:$AG$50"),"?*"),23),17,FALSE),""),"")</f>
        <v/>
      </c>
      <c r="N28" s="203"/>
      <c r="O28" s="59" t="str">
        <f ca="1">IFERROR(IF(M28&lt;&gt;"",INDIRECT("priprava_" &amp; J$1 &amp; "!BW9"),""),"")</f>
        <v/>
      </c>
      <c r="P28" s="205" t="str">
        <f ca="1">IFERROR(IF(INDIRECT("priprava_" &amp; J$1 &amp; "!BV19")&lt;&gt;"",VLOOKUP(INDIRECT("priprava_" &amp; J$1 &amp; "!BV19"),OFFSET(INDIRECT("priprava_" &amp; J$1 &amp; "!$AG$2"),,,COUNTIF(INDIRECT("priprava_" &amp; J$1 &amp; "!$AG$2:$AG$50"),"?*"),23),17,FALSE),""),"")</f>
        <v/>
      </c>
      <c r="Q28" s="203"/>
      <c r="R28" s="49" t="str">
        <f ca="1">IFERROR(IF(P28&lt;&gt;"",INDIRECT("priprava_" &amp; J$1 &amp; "!BW19"),""),"")</f>
        <v/>
      </c>
    </row>
    <row r="29" spans="1:18" ht="15" customHeight="1" x14ac:dyDescent="0.25">
      <c r="A29" s="198" t="str">
        <f ca="1">IFERROR(IF(INDIRECT("priprava_" &amp; A$1 &amp; "!BV30")&lt;&gt;"",VLOOKUP(INDIRECT("priprava_" &amp; A$1 &amp; "!BV30"),OFFSET(INDIRECT("priprava_" &amp; A$1 &amp; "!$AG$2"),,,COUNTIF(INDIRECT("priprava_" &amp; A$1 &amp; "!$AG$2:$AG$50"),"?*"),23),17,FALSE),""),"")</f>
        <v>Pergler</v>
      </c>
      <c r="B29" s="199"/>
      <c r="C29" s="44">
        <f ca="1">IFERROR(IF(A29&lt;&gt;"",INDIRECT("priprava_" &amp; A$1 &amp; "!BW30"),""),"")</f>
        <v>0</v>
      </c>
      <c r="D29" s="200" t="str">
        <f ca="1">IFERROR(IF(INDIRECT("priprava_" &amp; A$1 &amp; "!BV10")&lt;&gt;"",VLOOKUP(INDIRECT("priprava_" &amp; A$1 &amp; "!BV10"),OFFSET(INDIRECT("priprava_" &amp; A$1 &amp; "!$AG$2"),,,COUNTIF(INDIRECT("priprava_" &amp; A$1 &amp; "!$AG$2:$AG$50"),"?*"),23),17,FALSE),""),"")</f>
        <v/>
      </c>
      <c r="E29" s="199"/>
      <c r="F29" s="58" t="str">
        <f ca="1">IFERROR(IF(D29&lt;&gt;"",INDIRECT("priprava_" &amp; A$1 &amp; "!BW10"),""),"")</f>
        <v/>
      </c>
      <c r="G29" s="201" t="str">
        <f ca="1">IFERROR(IF(INDIRECT("priprava_" &amp; A$1 &amp; "!BV20")&lt;&gt;"",VLOOKUP(INDIRECT("priprava_" &amp; A$1 &amp; "!BV20"),OFFSET(INDIRECT("priprava_" &amp; A$1 &amp; "!$AG$2"),,,COUNTIF(INDIRECT("priprava_" &amp; A$1 &amp; "!$AG$2:$AG$50"),"?*"),23),17,FALSE),""),"")</f>
        <v/>
      </c>
      <c r="H29" s="199"/>
      <c r="I29" s="46" t="str">
        <f ca="1">IFERROR(IF(G29&lt;&gt;"",INDIRECT("priprava_" &amp; A$1 &amp; "!BW20"),""),"")</f>
        <v/>
      </c>
      <c r="J29" s="202" t="str">
        <f ca="1">IFERROR(IF(INDIRECT("priprava_" &amp; J$1 &amp; "!BV30")&lt;&gt;"",VLOOKUP(INDIRECT("priprava_" &amp; J$1 &amp; "!BV30"),OFFSET(INDIRECT("priprava_" &amp; J$1 &amp; "!$AG$2"),,,COUNTIF(INDIRECT("priprava_" &amp; J$1 &amp; "!$AG$2:$AG$50"),"?*"),23),17,FALSE),""),"")</f>
        <v>Kopecký</v>
      </c>
      <c r="K29" s="203"/>
      <c r="L29" s="47">
        <f ca="1">IFERROR(IF(J29&lt;&gt;"",INDIRECT("priprava_" &amp; J$1 &amp; "!BW30"),""),"")</f>
        <v>0</v>
      </c>
      <c r="M29" s="204" t="str">
        <f ca="1">IFERROR(IF(INDIRECT("priprava_" &amp; J$1 &amp; "!BV10")&lt;&gt;"",VLOOKUP(INDIRECT("priprava_" &amp; J$1 &amp; "!BV10"),OFFSET(INDIRECT("priprava_" &amp; J$1 &amp; "!$AG$2"),,,COUNTIF(INDIRECT("priprava_" &amp; J$1 &amp; "!$AG$2:$AG$50"),"?*"),23),17,FALSE),""),"")</f>
        <v/>
      </c>
      <c r="N29" s="203"/>
      <c r="O29" s="59" t="str">
        <f ca="1">IFERROR(IF(M29&lt;&gt;"",INDIRECT("priprava_" &amp; J$1 &amp; "!BW10"),""),"")</f>
        <v/>
      </c>
      <c r="P29" s="205" t="str">
        <f ca="1">IFERROR(IF(INDIRECT("priprava_" &amp; J$1 &amp; "!BV20")&lt;&gt;"",VLOOKUP(INDIRECT("priprava_" &amp; J$1 &amp; "!BV20"),OFFSET(INDIRECT("priprava_" &amp; J$1 &amp; "!$AG$2"),,,COUNTIF(INDIRECT("priprava_" &amp; J$1 &amp; "!$AG$2:$AG$50"),"?*"),23),17,FALSE),""),"")</f>
        <v/>
      </c>
      <c r="Q29" s="203"/>
      <c r="R29" s="49" t="str">
        <f ca="1">IFERROR(IF(P29&lt;&gt;"",INDIRECT("priprava_" &amp; J$1 &amp; "!BW20"),""),"")</f>
        <v/>
      </c>
    </row>
    <row r="30" spans="1:18" ht="15" customHeight="1" thickBot="1" x14ac:dyDescent="0.3">
      <c r="A30" s="206" t="str">
        <f ca="1">IFERROR(IF(INDIRECT("priprava_" &amp; A$1 &amp; "!BV31")&lt;&gt;"",VLOOKUP(INDIRECT("priprava_" &amp; A$1 &amp; "!BV31"),OFFSET(INDIRECT("priprava_" &amp; A$1 &amp; "!$AG$2"),,,COUNTIF(INDIRECT("priprava_" &amp; A$1 &amp; "!$AG$2:$AG$50"),"?*"),23),17,FALSE),""),"")</f>
        <v>Fiala</v>
      </c>
      <c r="B30" s="207"/>
      <c r="C30" s="50">
        <f ca="1">IFERROR(IF(A30&lt;&gt;"",INDIRECT("priprava_" &amp; A$1 &amp; "!BW31"),""),"")</f>
        <v>0</v>
      </c>
      <c r="D30" s="208" t="str">
        <f ca="1">IFERROR(IF(INDIRECT("priprava_" &amp; A$1 &amp; "!BV11")&lt;&gt;"",VLOOKUP(INDIRECT("priprava_" &amp; A$1 &amp; "!BV11"),OFFSET(INDIRECT("priprava_" &amp; A$1 &amp; "!$AG$2"),,,COUNTIF(INDIRECT("priprava_" &amp; A$1 &amp; "!$AG$2:$AG$50"),"?*"),23),17,FALSE),""),"")</f>
        <v/>
      </c>
      <c r="E30" s="207"/>
      <c r="F30" s="60" t="str">
        <f ca="1">IFERROR(IF(D30&lt;&gt;"",INDIRECT("priprava_" &amp; A$1 &amp; "!BW11"),""),"")</f>
        <v/>
      </c>
      <c r="G30" s="209" t="str">
        <f ca="1">IFERROR(IF(INDIRECT("priprava_" &amp; A$1 &amp; "!BV21")&lt;&gt;"",VLOOKUP(INDIRECT("priprava_" &amp; A$1 &amp; "!BV21"),OFFSET(INDIRECT("priprava_" &amp; A$1 &amp; "!$AG$2"),,,COUNTIF(INDIRECT("priprava_" &amp; A$1 &amp; "!$AG$2:$AG$50"),"?*"),23),17,FALSE),""),"")</f>
        <v/>
      </c>
      <c r="H30" s="207"/>
      <c r="I30" s="52" t="str">
        <f ca="1">IFERROR(IF(G30&lt;&gt;"",INDIRECT("priprava_" &amp; A$1 &amp; "!BW21"),""),"")</f>
        <v/>
      </c>
      <c r="J30" s="210" t="str">
        <f ca="1">IFERROR(IF(INDIRECT("priprava_" &amp; J$1 &amp; "!BV31")&lt;&gt;"",VLOOKUP(INDIRECT("priprava_" &amp; J$1 &amp; "!BV31"),OFFSET(INDIRECT("priprava_" &amp; J$1 &amp; "!$AG$2"),,,COUNTIF(INDIRECT("priprava_" &amp; J$1 &amp; "!$AG$2:$AG$50"),"?*"),23),17,FALSE),""),"")</f>
        <v>Kárník</v>
      </c>
      <c r="K30" s="211"/>
      <c r="L30" s="53">
        <f ca="1">IFERROR(IF(J30&lt;&gt;"",INDIRECT("priprava_" &amp; J$1 &amp; "!BW31"),""),"")</f>
        <v>0</v>
      </c>
      <c r="M30" s="212" t="str">
        <f ca="1">IFERROR(IF(INDIRECT("priprava_" &amp; J$1 &amp; "!BV11")&lt;&gt;"",VLOOKUP(INDIRECT("priprava_" &amp; J$1 &amp; "!BV11"),OFFSET(INDIRECT("priprava_" &amp; J$1 &amp; "!$AG$2"),,,COUNTIF(INDIRECT("priprava_" &amp; J$1 &amp; "!$AG$2:$AG$50"),"?*"),23),17,FALSE),""),"")</f>
        <v/>
      </c>
      <c r="N30" s="211"/>
      <c r="O30" s="61" t="str">
        <f ca="1">IFERROR(IF(M30&lt;&gt;"",INDIRECT("priprava_" &amp; J$1 &amp; "!BW11"),""),"")</f>
        <v/>
      </c>
      <c r="P30" s="213" t="str">
        <f ca="1">IFERROR(IF(INDIRECT("priprava_" &amp; J$1 &amp; "!BV21")&lt;&gt;"",VLOOKUP(INDIRECT("priprava_" &amp; J$1 &amp; "!BV21"),OFFSET(INDIRECT("priprava_" &amp; J$1 &amp; "!$AG$2"),,,COUNTIF(INDIRECT("priprava_" &amp; J$1 &amp; "!$AG$2:$AG$50"),"?*"),23),17,FALSE),""),"")</f>
        <v/>
      </c>
      <c r="Q30" s="211"/>
      <c r="R30" s="55" t="str">
        <f ca="1">IFERROR(IF(P30&lt;&gt;"",INDIRECT("priprava_" &amp; J$1 &amp; "!BW21"),""),"")</f>
        <v/>
      </c>
    </row>
    <row r="31" spans="1:18" ht="15" customHeight="1" thickTop="1" thickBot="1" x14ac:dyDescent="0.3"/>
    <row r="32" spans="1:18" ht="15" customHeight="1" thickTop="1" thickBot="1" x14ac:dyDescent="0.3">
      <c r="A32" s="156" t="s">
        <v>42</v>
      </c>
      <c r="B32" s="157"/>
      <c r="C32" s="157"/>
      <c r="D32" s="157"/>
      <c r="E32" s="157"/>
      <c r="F32" s="157"/>
      <c r="G32" s="157"/>
      <c r="H32" s="161"/>
      <c r="I32" s="27"/>
      <c r="J32" s="158" t="s">
        <v>42</v>
      </c>
      <c r="K32" s="159"/>
      <c r="L32" s="159"/>
      <c r="M32" s="159"/>
      <c r="N32" s="159"/>
      <c r="O32" s="159"/>
      <c r="P32" s="159"/>
      <c r="Q32" s="196"/>
    </row>
    <row r="33" spans="1:18" ht="15" customHeight="1" x14ac:dyDescent="0.25">
      <c r="A33" s="276"/>
      <c r="B33" s="277"/>
      <c r="C33" s="277"/>
      <c r="D33" s="277"/>
      <c r="E33" s="277"/>
      <c r="F33" s="277"/>
      <c r="G33" s="277"/>
      <c r="H33" s="278"/>
      <c r="I33" s="27"/>
      <c r="J33" s="279"/>
      <c r="K33" s="280"/>
      <c r="L33" s="280"/>
      <c r="M33" s="280"/>
      <c r="N33" s="280"/>
      <c r="O33" s="280"/>
      <c r="P33" s="280"/>
      <c r="Q33" s="281"/>
      <c r="R33" s="39"/>
    </row>
    <row r="34" spans="1:18" ht="15" customHeight="1" thickBot="1" x14ac:dyDescent="0.3">
      <c r="A34" s="265"/>
      <c r="B34" s="266"/>
      <c r="C34" s="266"/>
      <c r="D34" s="266"/>
      <c r="E34" s="266"/>
      <c r="F34" s="266"/>
      <c r="G34" s="266"/>
      <c r="H34" s="267"/>
      <c r="I34" s="27"/>
      <c r="J34" s="268"/>
      <c r="K34" s="269"/>
      <c r="L34" s="269"/>
      <c r="M34" s="269"/>
      <c r="N34" s="269"/>
      <c r="O34" s="269"/>
      <c r="P34" s="269"/>
      <c r="Q34" s="270"/>
      <c r="R34" s="39"/>
    </row>
    <row r="35" spans="1:18" ht="15" customHeight="1" thickTop="1" thickBot="1" x14ac:dyDescent="0.3">
      <c r="R35" s="27"/>
    </row>
    <row r="36" spans="1:18" ht="15" customHeight="1" thickTop="1" thickBot="1" x14ac:dyDescent="0.3">
      <c r="A36" s="254" t="s">
        <v>50</v>
      </c>
      <c r="B36" s="255"/>
      <c r="C36" s="255"/>
      <c r="D36" s="255"/>
      <c r="E36" s="255"/>
      <c r="F36" s="255"/>
      <c r="G36" s="255"/>
      <c r="H36" s="256"/>
      <c r="K36" s="156" t="s">
        <v>51</v>
      </c>
      <c r="L36" s="157"/>
      <c r="M36" s="157"/>
      <c r="N36" s="157"/>
      <c r="O36" s="157"/>
      <c r="P36" s="157"/>
      <c r="Q36" s="157"/>
      <c r="R36" s="161"/>
    </row>
    <row r="37" spans="1:18" ht="15" customHeight="1" x14ac:dyDescent="0.25">
      <c r="A37" s="248" t="str">
        <f>A1</f>
        <v>SKV</v>
      </c>
      <c r="B37" s="249"/>
      <c r="C37" s="249"/>
      <c r="D37" s="250"/>
      <c r="E37" s="251" t="str">
        <f>J1</f>
        <v>LIB</v>
      </c>
      <c r="F37" s="252"/>
      <c r="G37" s="252"/>
      <c r="H37" s="253"/>
      <c r="K37" s="271" t="str">
        <f>W3</f>
        <v>SKV - LIB</v>
      </c>
      <c r="L37" s="272"/>
      <c r="M37" s="272"/>
      <c r="N37" s="272"/>
      <c r="O37" s="74" t="str">
        <f>AA3</f>
        <v>4:11</v>
      </c>
      <c r="P37" s="273" t="str">
        <f>AB3</f>
        <v>2020/2021</v>
      </c>
      <c r="Q37" s="274"/>
      <c r="R37" s="275"/>
    </row>
    <row r="38" spans="1:18" ht="15" customHeight="1" x14ac:dyDescent="0.25">
      <c r="A38" s="231" t="s">
        <v>43</v>
      </c>
      <c r="B38" s="232"/>
      <c r="C38" s="240" t="s">
        <v>47</v>
      </c>
      <c r="D38" s="240"/>
      <c r="E38" s="240"/>
      <c r="F38" s="240"/>
      <c r="G38" s="240"/>
      <c r="H38" s="241"/>
      <c r="I38" s="27"/>
      <c r="J38" s="39"/>
      <c r="K38" s="235" t="str">
        <f t="shared" ref="K38:K48" si="3">W4</f>
        <v>LIB - SKV</v>
      </c>
      <c r="L38" s="236"/>
      <c r="M38" s="236"/>
      <c r="N38" s="236"/>
      <c r="O38" s="75" t="str">
        <f t="shared" ref="O38:O48" si="4">AA4</f>
        <v>6:5pn</v>
      </c>
      <c r="P38" s="237" t="str">
        <f t="shared" ref="P38:P48" si="5">AB4</f>
        <v>2020/2021</v>
      </c>
      <c r="Q38" s="238"/>
      <c r="R38" s="239"/>
    </row>
    <row r="39" spans="1:18" ht="15" customHeight="1" x14ac:dyDescent="0.25">
      <c r="A39" s="233" t="s">
        <v>44</v>
      </c>
      <c r="B39" s="234"/>
      <c r="C39" s="242" t="s">
        <v>48</v>
      </c>
      <c r="D39" s="242"/>
      <c r="E39" s="242"/>
      <c r="F39" s="242"/>
      <c r="G39" s="242"/>
      <c r="H39" s="243"/>
      <c r="I39" s="27"/>
      <c r="J39" s="39"/>
      <c r="K39" s="235" t="str">
        <f t="shared" si="3"/>
        <v>LIB - SKV</v>
      </c>
      <c r="L39" s="236"/>
      <c r="M39" s="236"/>
      <c r="N39" s="236"/>
      <c r="O39" s="75" t="str">
        <f t="shared" si="4"/>
        <v>7:6p</v>
      </c>
      <c r="P39" s="237" t="str">
        <f t="shared" si="5"/>
        <v>2019/2020</v>
      </c>
      <c r="Q39" s="238"/>
      <c r="R39" s="239"/>
    </row>
    <row r="40" spans="1:18" ht="15" customHeight="1" x14ac:dyDescent="0.25">
      <c r="A40" s="231" t="s">
        <v>45</v>
      </c>
      <c r="B40" s="232"/>
      <c r="C40" s="240" t="s">
        <v>49</v>
      </c>
      <c r="D40" s="240"/>
      <c r="E40" s="240"/>
      <c r="F40" s="240"/>
      <c r="G40" s="240"/>
      <c r="H40" s="241"/>
      <c r="K40" s="216" t="str">
        <f t="shared" si="3"/>
        <v>SKV - LIB</v>
      </c>
      <c r="L40" s="217"/>
      <c r="M40" s="217"/>
      <c r="N40" s="217"/>
      <c r="O40" s="76" t="str">
        <f t="shared" si="4"/>
        <v>5:3</v>
      </c>
      <c r="P40" s="218" t="str">
        <f t="shared" si="5"/>
        <v>2019/2020</v>
      </c>
      <c r="Q40" s="219"/>
      <c r="R40" s="220"/>
    </row>
    <row r="41" spans="1:18" ht="15" customHeight="1" x14ac:dyDescent="0.25">
      <c r="A41" s="233"/>
      <c r="B41" s="234"/>
      <c r="C41" s="242"/>
      <c r="D41" s="242"/>
      <c r="E41" s="242"/>
      <c r="F41" s="242"/>
      <c r="G41" s="242"/>
      <c r="H41" s="243"/>
      <c r="K41" s="216" t="str">
        <f t="shared" si="3"/>
        <v>LIB - SKV</v>
      </c>
      <c r="L41" s="217"/>
      <c r="M41" s="217"/>
      <c r="N41" s="217"/>
      <c r="O41" s="76" t="str">
        <f t="shared" si="4"/>
        <v>6:5</v>
      </c>
      <c r="P41" s="218" t="str">
        <f t="shared" si="5"/>
        <v>2018/2019</v>
      </c>
      <c r="Q41" s="219"/>
      <c r="R41" s="220"/>
    </row>
    <row r="42" spans="1:18" ht="15" customHeight="1" x14ac:dyDescent="0.25">
      <c r="A42" s="231"/>
      <c r="B42" s="232"/>
      <c r="C42" s="240"/>
      <c r="D42" s="240"/>
      <c r="E42" s="240"/>
      <c r="F42" s="240"/>
      <c r="G42" s="240"/>
      <c r="H42" s="241"/>
      <c r="K42" s="221" t="str">
        <f t="shared" si="3"/>
        <v>SKV - LIB</v>
      </c>
      <c r="L42" s="222"/>
      <c r="M42" s="222"/>
      <c r="N42" s="222"/>
      <c r="O42" s="77" t="str">
        <f t="shared" si="4"/>
        <v>5:6</v>
      </c>
      <c r="P42" s="223" t="str">
        <f t="shared" si="5"/>
        <v>2018/2019</v>
      </c>
      <c r="Q42" s="224"/>
      <c r="R42" s="225"/>
    </row>
    <row r="43" spans="1:18" ht="15" customHeight="1" x14ac:dyDescent="0.25">
      <c r="A43" s="233"/>
      <c r="B43" s="234"/>
      <c r="C43" s="242"/>
      <c r="D43" s="242"/>
      <c r="E43" s="242"/>
      <c r="F43" s="242"/>
      <c r="G43" s="242"/>
      <c r="H43" s="243"/>
      <c r="K43" s="216" t="str">
        <f t="shared" si="3"/>
        <v>SKV - LIB</v>
      </c>
      <c r="L43" s="217"/>
      <c r="M43" s="217"/>
      <c r="N43" s="217"/>
      <c r="O43" s="76" t="str">
        <f t="shared" si="4"/>
        <v>5:6p</v>
      </c>
      <c r="P43" s="218" t="str">
        <f t="shared" si="5"/>
        <v>2014/2015</v>
      </c>
      <c r="Q43" s="219"/>
      <c r="R43" s="220"/>
    </row>
    <row r="44" spans="1:18" ht="15" customHeight="1" x14ac:dyDescent="0.25">
      <c r="A44" s="231"/>
      <c r="B44" s="232"/>
      <c r="C44" s="240"/>
      <c r="D44" s="240"/>
      <c r="E44" s="240"/>
      <c r="F44" s="240"/>
      <c r="G44" s="240"/>
      <c r="H44" s="241"/>
      <c r="K44" s="216" t="str">
        <f t="shared" si="3"/>
        <v>LIB - SKV</v>
      </c>
      <c r="L44" s="217"/>
      <c r="M44" s="217"/>
      <c r="N44" s="217"/>
      <c r="O44" s="76" t="str">
        <f t="shared" si="4"/>
        <v>11:4</v>
      </c>
      <c r="P44" s="218" t="str">
        <f t="shared" si="5"/>
        <v>2014/2015</v>
      </c>
      <c r="Q44" s="219"/>
      <c r="R44" s="220"/>
    </row>
    <row r="45" spans="1:18" ht="15" customHeight="1" thickBot="1" x14ac:dyDescent="0.3">
      <c r="A45" s="246"/>
      <c r="B45" s="247"/>
      <c r="C45" s="244"/>
      <c r="D45" s="244"/>
      <c r="E45" s="244"/>
      <c r="F45" s="244"/>
      <c r="G45" s="244"/>
      <c r="H45" s="245"/>
      <c r="K45" s="221" t="str">
        <f t="shared" si="3"/>
        <v>SKV - LIB</v>
      </c>
      <c r="L45" s="222"/>
      <c r="M45" s="222"/>
      <c r="N45" s="222"/>
      <c r="O45" s="77" t="str">
        <f t="shared" si="4"/>
        <v>0:6</v>
      </c>
      <c r="P45" s="223" t="str">
        <f t="shared" si="5"/>
        <v>2006/2007</v>
      </c>
      <c r="Q45" s="224"/>
      <c r="R45" s="225"/>
    </row>
    <row r="46" spans="1:18" ht="15" customHeight="1" thickTop="1" x14ac:dyDescent="0.25">
      <c r="A46" s="62"/>
      <c r="B46" s="62"/>
      <c r="C46" s="63"/>
      <c r="D46" s="63"/>
      <c r="E46" s="27"/>
      <c r="K46" s="216" t="str">
        <f t="shared" si="3"/>
        <v>LIB - SKV</v>
      </c>
      <c r="L46" s="217"/>
      <c r="M46" s="217"/>
      <c r="N46" s="217"/>
      <c r="O46" s="76" t="str">
        <f t="shared" si="4"/>
        <v>10:3</v>
      </c>
      <c r="P46" s="218" t="str">
        <f t="shared" si="5"/>
        <v>2006/2007</v>
      </c>
      <c r="Q46" s="219"/>
      <c r="R46" s="220"/>
    </row>
    <row r="47" spans="1:18" ht="15" customHeight="1" x14ac:dyDescent="0.25">
      <c r="A47" s="27"/>
      <c r="B47" s="27"/>
      <c r="C47" s="27"/>
      <c r="D47" s="27"/>
      <c r="E47" s="27"/>
      <c r="K47" s="216" t="str">
        <f t="shared" si="3"/>
        <v/>
      </c>
      <c r="L47" s="217"/>
      <c r="M47" s="217"/>
      <c r="N47" s="217"/>
      <c r="O47" s="76" t="str">
        <f t="shared" si="4"/>
        <v/>
      </c>
      <c r="P47" s="218" t="str">
        <f t="shared" si="5"/>
        <v/>
      </c>
      <c r="Q47" s="219"/>
      <c r="R47" s="220"/>
    </row>
    <row r="48" spans="1:18" ht="15" customHeight="1" thickBot="1" x14ac:dyDescent="0.3">
      <c r="A48" s="27"/>
      <c r="B48" s="27"/>
      <c r="C48" s="27"/>
      <c r="D48" s="27"/>
      <c r="E48" s="27"/>
      <c r="K48" s="226" t="str">
        <f t="shared" si="3"/>
        <v/>
      </c>
      <c r="L48" s="227"/>
      <c r="M48" s="227"/>
      <c r="N48" s="227"/>
      <c r="O48" s="78" t="str">
        <f t="shared" si="4"/>
        <v/>
      </c>
      <c r="P48" s="228" t="str">
        <f t="shared" si="5"/>
        <v/>
      </c>
      <c r="Q48" s="229"/>
      <c r="R48" s="230"/>
    </row>
    <row r="49" spans="1:18" ht="15" customHeight="1" thickTop="1" x14ac:dyDescent="0.25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8"/>
      <c r="N49" s="28"/>
      <c r="O49" s="28"/>
      <c r="P49" s="28"/>
      <c r="Q49" s="28"/>
      <c r="R49" s="64"/>
    </row>
    <row r="50" spans="1:18" x14ac:dyDescent="0.25">
      <c r="A50" s="28"/>
      <c r="B50" s="28"/>
      <c r="C50" s="28"/>
      <c r="D50" s="28"/>
      <c r="E50" s="27"/>
      <c r="F50" s="27"/>
      <c r="G50" s="214">
        <f ca="1">TODAY()</f>
        <v>44453</v>
      </c>
      <c r="H50" s="215"/>
      <c r="I50" s="215"/>
      <c r="J50" s="215"/>
      <c r="K50" s="215"/>
      <c r="L50" s="215"/>
      <c r="M50" s="28"/>
      <c r="N50" s="27"/>
      <c r="O50" s="27"/>
      <c r="P50" s="27"/>
      <c r="Q50" s="27"/>
      <c r="R50" s="27"/>
    </row>
  </sheetData>
  <sheetProtection sheet="1" objects="1" scenarios="1" selectLockedCells="1"/>
  <dataConsolidate/>
  <mergeCells count="217">
    <mergeCell ref="AB3:AD3"/>
    <mergeCell ref="AB14:AD14"/>
    <mergeCell ref="AB4:AD4"/>
    <mergeCell ref="AB5:AD5"/>
    <mergeCell ref="AB6:AD6"/>
    <mergeCell ref="AB7:AD7"/>
    <mergeCell ref="AB8:AD8"/>
    <mergeCell ref="AB9:AD9"/>
    <mergeCell ref="AB10:AD10"/>
    <mergeCell ref="A33:D33"/>
    <mergeCell ref="E33:H33"/>
    <mergeCell ref="J33:M33"/>
    <mergeCell ref="N33:Q33"/>
    <mergeCell ref="AB11:AD11"/>
    <mergeCell ref="AB12:AD12"/>
    <mergeCell ref="AB13:AD13"/>
    <mergeCell ref="N6:O6"/>
    <mergeCell ref="E6:F6"/>
    <mergeCell ref="W14:Z14"/>
    <mergeCell ref="W8:Z8"/>
    <mergeCell ref="W9:Z9"/>
    <mergeCell ref="W10:Z10"/>
    <mergeCell ref="W11:Z11"/>
    <mergeCell ref="W12:Z12"/>
    <mergeCell ref="W13:Z13"/>
    <mergeCell ref="N13:O13"/>
    <mergeCell ref="P13:Q13"/>
    <mergeCell ref="N11:O11"/>
    <mergeCell ref="A42:B42"/>
    <mergeCell ref="A43:B43"/>
    <mergeCell ref="A44:B44"/>
    <mergeCell ref="A45:B45"/>
    <mergeCell ref="A37:D37"/>
    <mergeCell ref="E37:H37"/>
    <mergeCell ref="S1:AD1"/>
    <mergeCell ref="W2:Z2"/>
    <mergeCell ref="AB2:AD2"/>
    <mergeCell ref="W3:Z3"/>
    <mergeCell ref="W4:Z4"/>
    <mergeCell ref="W5:Z5"/>
    <mergeCell ref="W6:Z6"/>
    <mergeCell ref="W7:Z7"/>
    <mergeCell ref="A34:D34"/>
    <mergeCell ref="E34:H34"/>
    <mergeCell ref="J34:M34"/>
    <mergeCell ref="N34:Q34"/>
    <mergeCell ref="K36:R36"/>
    <mergeCell ref="K37:N37"/>
    <mergeCell ref="P37:R37"/>
    <mergeCell ref="A36:H36"/>
    <mergeCell ref="A32:H32"/>
    <mergeCell ref="J32:Q32"/>
    <mergeCell ref="A38:B38"/>
    <mergeCell ref="A39:B39"/>
    <mergeCell ref="A40:B40"/>
    <mergeCell ref="A41:B41"/>
    <mergeCell ref="K38:N38"/>
    <mergeCell ref="P38:R38"/>
    <mergeCell ref="K39:N39"/>
    <mergeCell ref="P39:R39"/>
    <mergeCell ref="C38:H38"/>
    <mergeCell ref="C39:H39"/>
    <mergeCell ref="C40:H40"/>
    <mergeCell ref="C41:H41"/>
    <mergeCell ref="G50:L50"/>
    <mergeCell ref="K40:N40"/>
    <mergeCell ref="P40:R40"/>
    <mergeCell ref="K41:N41"/>
    <mergeCell ref="P41:R41"/>
    <mergeCell ref="K42:N42"/>
    <mergeCell ref="P42:R42"/>
    <mergeCell ref="K46:N46"/>
    <mergeCell ref="K44:N44"/>
    <mergeCell ref="P44:R44"/>
    <mergeCell ref="K45:N45"/>
    <mergeCell ref="P45:R45"/>
    <mergeCell ref="K43:N43"/>
    <mergeCell ref="P43:R43"/>
    <mergeCell ref="P46:R46"/>
    <mergeCell ref="K47:N47"/>
    <mergeCell ref="P47:R47"/>
    <mergeCell ref="K48:N48"/>
    <mergeCell ref="P48:R48"/>
    <mergeCell ref="C42:H42"/>
    <mergeCell ref="C43:H43"/>
    <mergeCell ref="C44:H44"/>
    <mergeCell ref="C45:H45"/>
    <mergeCell ref="A30:B30"/>
    <mergeCell ref="D30:E30"/>
    <mergeCell ref="G30:H30"/>
    <mergeCell ref="J30:K30"/>
    <mergeCell ref="M30:N30"/>
    <mergeCell ref="P30:Q30"/>
    <mergeCell ref="A29:B29"/>
    <mergeCell ref="D29:E29"/>
    <mergeCell ref="G29:H29"/>
    <mergeCell ref="J29:K29"/>
    <mergeCell ref="M29:N29"/>
    <mergeCell ref="P29:Q29"/>
    <mergeCell ref="A28:B28"/>
    <mergeCell ref="D28:E28"/>
    <mergeCell ref="G28:H28"/>
    <mergeCell ref="J28:K28"/>
    <mergeCell ref="M28:N28"/>
    <mergeCell ref="P28:Q28"/>
    <mergeCell ref="A27:B27"/>
    <mergeCell ref="D27:E27"/>
    <mergeCell ref="G27:H27"/>
    <mergeCell ref="J27:K27"/>
    <mergeCell ref="M27:N27"/>
    <mergeCell ref="P27:Q27"/>
    <mergeCell ref="A26:B26"/>
    <mergeCell ref="D26:E26"/>
    <mergeCell ref="G26:H26"/>
    <mergeCell ref="J26:K26"/>
    <mergeCell ref="M26:N26"/>
    <mergeCell ref="P26:Q26"/>
    <mergeCell ref="A25:C25"/>
    <mergeCell ref="D25:F25"/>
    <mergeCell ref="G25:I25"/>
    <mergeCell ref="J25:L25"/>
    <mergeCell ref="M25:O25"/>
    <mergeCell ref="P25:R25"/>
    <mergeCell ref="A23:B23"/>
    <mergeCell ref="D23:E23"/>
    <mergeCell ref="G23:H23"/>
    <mergeCell ref="J23:K23"/>
    <mergeCell ref="M23:N23"/>
    <mergeCell ref="P23:Q23"/>
    <mergeCell ref="A22:B22"/>
    <mergeCell ref="D22:E22"/>
    <mergeCell ref="G22:H22"/>
    <mergeCell ref="J22:K22"/>
    <mergeCell ref="M22:N22"/>
    <mergeCell ref="P22:Q22"/>
    <mergeCell ref="A21:B21"/>
    <mergeCell ref="D21:E21"/>
    <mergeCell ref="G21:H21"/>
    <mergeCell ref="J21:K21"/>
    <mergeCell ref="M21:N21"/>
    <mergeCell ref="P21:Q21"/>
    <mergeCell ref="A20:B20"/>
    <mergeCell ref="D20:E20"/>
    <mergeCell ref="G20:H20"/>
    <mergeCell ref="J20:K20"/>
    <mergeCell ref="M20:N20"/>
    <mergeCell ref="P20:Q20"/>
    <mergeCell ref="A19:B19"/>
    <mergeCell ref="D19:E19"/>
    <mergeCell ref="G19:H19"/>
    <mergeCell ref="J19:K19"/>
    <mergeCell ref="M19:N19"/>
    <mergeCell ref="P19:Q19"/>
    <mergeCell ref="N15:O15"/>
    <mergeCell ref="P15:Q15"/>
    <mergeCell ref="A17:R17"/>
    <mergeCell ref="A18:C18"/>
    <mergeCell ref="D18:F18"/>
    <mergeCell ref="G18:I18"/>
    <mergeCell ref="J18:L18"/>
    <mergeCell ref="M18:O18"/>
    <mergeCell ref="P18:R18"/>
    <mergeCell ref="A15:B15"/>
    <mergeCell ref="C15:D15"/>
    <mergeCell ref="E15:F15"/>
    <mergeCell ref="G15:H15"/>
    <mergeCell ref="J15:K15"/>
    <mergeCell ref="L15:M15"/>
    <mergeCell ref="A12:B12"/>
    <mergeCell ref="C12:D12"/>
    <mergeCell ref="E12:F12"/>
    <mergeCell ref="G12:H12"/>
    <mergeCell ref="J12:K12"/>
    <mergeCell ref="L12:M12"/>
    <mergeCell ref="N12:O12"/>
    <mergeCell ref="P12:Q12"/>
    <mergeCell ref="A14:B14"/>
    <mergeCell ref="C14:D14"/>
    <mergeCell ref="E14:F14"/>
    <mergeCell ref="G14:H14"/>
    <mergeCell ref="J14:K14"/>
    <mergeCell ref="L14:M14"/>
    <mergeCell ref="N14:O14"/>
    <mergeCell ref="P14:Q14"/>
    <mergeCell ref="A13:B13"/>
    <mergeCell ref="C13:D13"/>
    <mergeCell ref="E13:F13"/>
    <mergeCell ref="G13:H13"/>
    <mergeCell ref="J13:K13"/>
    <mergeCell ref="L13:M13"/>
    <mergeCell ref="A10:D10"/>
    <mergeCell ref="E10:H10"/>
    <mergeCell ref="J10:M10"/>
    <mergeCell ref="N10:Q10"/>
    <mergeCell ref="A11:B11"/>
    <mergeCell ref="C11:D11"/>
    <mergeCell ref="E11:F11"/>
    <mergeCell ref="G11:H11"/>
    <mergeCell ref="J11:K11"/>
    <mergeCell ref="L11:M11"/>
    <mergeCell ref="P11:Q11"/>
    <mergeCell ref="A5:B5"/>
    <mergeCell ref="E5:F5"/>
    <mergeCell ref="J5:K5"/>
    <mergeCell ref="N5:O5"/>
    <mergeCell ref="A8:B8"/>
    <mergeCell ref="C8:H8"/>
    <mergeCell ref="J8:K8"/>
    <mergeCell ref="L8:Q8"/>
    <mergeCell ref="A1:I2"/>
    <mergeCell ref="J1:R2"/>
    <mergeCell ref="A4:B4"/>
    <mergeCell ref="E4:F4"/>
    <mergeCell ref="J4:K4"/>
    <mergeCell ref="N4:O4"/>
    <mergeCell ref="A3:I3"/>
    <mergeCell ref="J3:R3"/>
  </mergeCells>
  <conditionalFormatting sqref="A1:R2">
    <cfRule type="cellIs" dxfId="111" priority="1" stopIfTrue="1" operator="equal">
      <formula>"OTR"</formula>
    </cfRule>
  </conditionalFormatting>
  <conditionalFormatting sqref="A1:R2 A37 E37">
    <cfRule type="cellIs" dxfId="110" priority="2" stopIfTrue="1" operator="equal">
      <formula>"PAR"</formula>
    </cfRule>
    <cfRule type="cellIs" dxfId="109" priority="3" stopIfTrue="1" operator="equal">
      <formula>"CLP"</formula>
    </cfRule>
    <cfRule type="cellIs" dxfId="108" priority="4" stopIfTrue="1" operator="equal">
      <formula>"HAT"</formula>
    </cfRule>
    <cfRule type="cellIs" dxfId="107" priority="5" stopIfTrue="1" operator="equal">
      <formula>"LIB"</formula>
    </cfRule>
    <cfRule type="cellIs" dxfId="106" priority="6" stopIfTrue="1" operator="equal">
      <formula>"BA"</formula>
    </cfRule>
    <cfRule type="cellIs" dxfId="105" priority="7" stopIfTrue="1" operator="equal">
      <formula>"SPA"</formula>
    </cfRule>
    <cfRule type="cellIs" dxfId="104" priority="8" stopIfTrue="1" operator="equal">
      <formula>"OST"</formula>
    </cfRule>
    <cfRule type="cellIs" dxfId="103" priority="9" stopIfTrue="1" operator="equal">
      <formula>"BOH"</formula>
    </cfRule>
    <cfRule type="cellIs" dxfId="102" priority="10" stopIfTrue="1" operator="equal">
      <formula>"TAT"</formula>
    </cfRule>
    <cfRule type="cellIs" dxfId="101" priority="11" stopIfTrue="1" operator="equal">
      <formula>"MB"</formula>
    </cfRule>
    <cfRule type="cellIs" dxfId="100" priority="12" stopIfTrue="1" operator="equal">
      <formula>"VIT"</formula>
    </cfRule>
    <cfRule type="cellIs" dxfId="99" priority="13" stopIfTrue="1" operator="equal">
      <formula>"CHO"</formula>
    </cfRule>
    <cfRule type="cellIs" dxfId="98" priority="14" stopIfTrue="1" operator="equal">
      <formula>"SKV"</formula>
    </cfRule>
  </conditionalFormatting>
  <pageMargins left="0.25" right="0.25" top="0.75" bottom="0.75" header="0.3" footer="0.3"/>
  <pageSetup paperSize="9" orientation="portrait" r:id="rId1"/>
  <colBreaks count="1" manualBreakCount="1">
    <brk id="30" max="1048575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Title="Chybně zadaný tým!" error="Vámi zadaný tým nehraje v letošní sezóně Livesport superligu.">
          <x14:formula1>
            <xm:f>tabulka!$BB$2:$BB$15</xm:f>
          </x14:formula1>
          <xm:sqref>A1:R2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3"/>
  <dimension ref="A1:CA51"/>
  <sheetViews>
    <sheetView view="pageLayout" zoomScaleNormal="100" zoomScaleSheetLayoutView="100" workbookViewId="0">
      <selection sqref="A1:D1"/>
    </sheetView>
  </sheetViews>
  <sheetFormatPr defaultColWidth="9.140625" defaultRowHeight="14.25" x14ac:dyDescent="0.2"/>
  <cols>
    <col min="1" max="18" width="5.28515625" style="3" customWidth="1"/>
    <col min="19" max="19" width="17.5703125" style="3" customWidth="1"/>
    <col min="20" max="30" width="5.7109375" style="108" customWidth="1"/>
    <col min="31" max="32" width="5.7109375" style="66" customWidth="1"/>
    <col min="33" max="33" width="17.5703125" style="346" customWidth="1"/>
    <col min="34" max="34" width="8.7109375" style="347" bestFit="1" customWidth="1"/>
    <col min="35" max="40" width="4.85546875" style="348" customWidth="1"/>
    <col min="41" max="42" width="5.28515625" style="349" customWidth="1"/>
    <col min="43" max="44" width="5.28515625" style="348" customWidth="1"/>
    <col min="45" max="45" width="21.28515625" style="350" customWidth="1"/>
    <col min="46" max="46" width="9.140625" style="348"/>
    <col min="47" max="47" width="5.28515625" style="66" customWidth="1"/>
    <col min="48" max="48" width="9.140625" style="66" customWidth="1"/>
    <col min="49" max="49" width="11.28515625" style="123" customWidth="1"/>
    <col min="50" max="51" width="16" style="123" customWidth="1"/>
    <col min="52" max="55" width="5.28515625" style="123" customWidth="1"/>
    <col min="56" max="56" width="11.28515625" style="3" hidden="1" customWidth="1"/>
    <col min="57" max="57" width="5.28515625" style="123" hidden="1" customWidth="1"/>
    <col min="58" max="58" width="5.28515625" style="66" hidden="1" customWidth="1"/>
    <col min="59" max="59" width="11.28515625" style="3" hidden="1" customWidth="1"/>
    <col min="60" max="60" width="7.28515625" style="66" hidden="1" customWidth="1"/>
    <col min="61" max="61" width="11.28515625" style="3" hidden="1" customWidth="1"/>
    <col min="62" max="62" width="7.42578125" style="66" hidden="1" customWidth="1"/>
    <col min="63" max="63" width="11.28515625" style="3" hidden="1" customWidth="1"/>
    <col min="64" max="64" width="7.28515625" style="66" hidden="1" customWidth="1"/>
    <col min="65" max="65" width="11.28515625" style="3" hidden="1" customWidth="1"/>
    <col min="66" max="66" width="17.42578125" style="3" customWidth="1"/>
    <col min="67" max="67" width="8.7109375" style="127" customWidth="1"/>
    <col min="68" max="68" width="15" style="66" customWidth="1"/>
    <col min="69" max="69" width="52.42578125" style="3" customWidth="1"/>
    <col min="70" max="70" width="5.28515625" style="66" customWidth="1"/>
    <col min="71" max="71" width="9.140625" style="66"/>
    <col min="72" max="72" width="17.5703125" style="3" customWidth="1"/>
    <col min="73" max="73" width="6" style="66" bestFit="1" customWidth="1"/>
    <col min="74" max="74" width="17.5703125" style="3" customWidth="1"/>
    <col min="75" max="76" width="9.140625" style="3"/>
    <col min="77" max="78" width="9.140625" style="66" customWidth="1"/>
    <col min="79" max="79" width="9.140625" style="135" customWidth="1"/>
    <col min="80" max="16384" width="9.140625" style="3"/>
  </cols>
  <sheetData>
    <row r="1" spans="1:79" ht="15" customHeight="1" thickTop="1" thickBot="1" x14ac:dyDescent="0.3">
      <c r="A1" s="294"/>
      <c r="B1" s="295"/>
      <c r="C1" s="295"/>
      <c r="D1" s="295"/>
      <c r="E1" s="1" t="str">
        <f ca="1">IFERROR(IF(VLOOKUP(A1,OFFSET($AG$2,,,COUNTIF($AG$2:$AG$50,"?*"),23),9,FALSE)&lt;&gt;0,VLOOKUP(A1,OFFSET($AG$2,,,COUNTIF($AG$2:$AG$50,"?*"),23),9,FALSE),""),"")</f>
        <v/>
      </c>
      <c r="F1" s="2" t="str">
        <f ca="1">IFERROR(IF(VLOOKUP(A1,OFFSET($AG$2,,,COUNTIF($AG$2:$AG$50,"?*"),23),8,FALSE)&lt;&gt;0,VLOOKUP(A1,OFFSET($AG$2,,,COUNTIF($AG$2:$AG$50,"?*"),23),8,FALSE),"?"),"")</f>
        <v/>
      </c>
      <c r="H1" s="296" t="s">
        <v>1</v>
      </c>
      <c r="I1" s="296"/>
      <c r="J1" s="296"/>
      <c r="K1" s="296"/>
      <c r="M1" s="294"/>
      <c r="N1" s="295"/>
      <c r="O1" s="295"/>
      <c r="P1" s="295"/>
      <c r="Q1" s="1" t="str">
        <f ca="1">IFERROR(IF(VLOOKUP(M1,OFFSET($AG$2,,,COUNTIF($AG$2:$AG$50,"?*"),23),9,FALSE)&lt;&gt;0,VLOOKUP(M1,OFFSET($AG$2,,,COUNTIF($AG$2:$AG$50,"?*"),23),9,FALSE),""),"")</f>
        <v/>
      </c>
      <c r="R1" s="2" t="str">
        <f ca="1">IFERROR(IF(VLOOKUP(M1,OFFSET($AG$2,,,COUNTIF($AG$2:$AG$50,"?*"),23),8,FALSE)&lt;&gt;0,VLOOKUP(M1,OFFSET($AG$2,,,COUNTIF($AG$2:$AG$50,"?*"),23),8,FALSE),"?"),"")</f>
        <v/>
      </c>
      <c r="S1" s="68" t="s">
        <v>142</v>
      </c>
      <c r="T1" s="124" t="s">
        <v>143</v>
      </c>
      <c r="U1" s="124" t="s">
        <v>89</v>
      </c>
      <c r="V1" s="124" t="s">
        <v>132</v>
      </c>
      <c r="W1" s="124" t="s">
        <v>90</v>
      </c>
      <c r="X1" s="124" t="s">
        <v>64</v>
      </c>
      <c r="Y1" s="124" t="s">
        <v>144</v>
      </c>
      <c r="Z1" s="124" t="s">
        <v>46</v>
      </c>
      <c r="AA1" s="124" t="s">
        <v>31</v>
      </c>
      <c r="AB1" s="124" t="s">
        <v>145</v>
      </c>
      <c r="AG1" s="342" t="s">
        <v>142</v>
      </c>
      <c r="AH1" s="343" t="s">
        <v>151</v>
      </c>
      <c r="AI1" s="344" t="s">
        <v>152</v>
      </c>
      <c r="AJ1" s="344" t="s">
        <v>153</v>
      </c>
      <c r="AK1" s="344" t="s">
        <v>154</v>
      </c>
      <c r="AL1" s="344" t="s">
        <v>155</v>
      </c>
      <c r="AM1" s="344" t="s">
        <v>162</v>
      </c>
      <c r="AN1" s="344" t="s">
        <v>58</v>
      </c>
      <c r="AO1" s="345" t="s">
        <v>156</v>
      </c>
      <c r="AP1" s="345" t="s">
        <v>157</v>
      </c>
      <c r="AQ1" s="344" t="s">
        <v>158</v>
      </c>
      <c r="AR1" s="344" t="s">
        <v>159</v>
      </c>
      <c r="AS1" s="345" t="s">
        <v>160</v>
      </c>
      <c r="AT1" s="344" t="s">
        <v>161</v>
      </c>
      <c r="AU1" s="67" t="s">
        <v>163</v>
      </c>
      <c r="AV1" s="67" t="s">
        <v>204</v>
      </c>
      <c r="AW1" s="124" t="s">
        <v>191</v>
      </c>
      <c r="AX1" s="124" t="s">
        <v>199</v>
      </c>
      <c r="AY1" s="124" t="s">
        <v>205</v>
      </c>
      <c r="AZ1" s="124" t="s">
        <v>200</v>
      </c>
      <c r="BA1" s="124" t="s">
        <v>201</v>
      </c>
      <c r="BB1" s="67" t="s">
        <v>202</v>
      </c>
      <c r="BC1" s="67" t="s">
        <v>203</v>
      </c>
      <c r="BD1" s="67" t="s">
        <v>188</v>
      </c>
      <c r="BE1" s="124" t="s">
        <v>189</v>
      </c>
      <c r="BF1" s="67" t="s">
        <v>190</v>
      </c>
      <c r="BG1" s="67" t="s">
        <v>195</v>
      </c>
      <c r="BH1" s="67" t="s">
        <v>192</v>
      </c>
      <c r="BI1" s="67" t="s">
        <v>196</v>
      </c>
      <c r="BJ1" s="67" t="s">
        <v>193</v>
      </c>
      <c r="BK1" s="67" t="s">
        <v>197</v>
      </c>
      <c r="BL1" s="67" t="s">
        <v>194</v>
      </c>
      <c r="BM1" s="67" t="s">
        <v>198</v>
      </c>
      <c r="BN1" s="125" t="s">
        <v>142</v>
      </c>
      <c r="BO1" s="126" t="s">
        <v>151</v>
      </c>
      <c r="BP1" s="67" t="s">
        <v>206</v>
      </c>
      <c r="BQ1" s="67" t="s">
        <v>207</v>
      </c>
      <c r="BR1" s="67" t="s">
        <v>163</v>
      </c>
      <c r="BS1" s="67" t="s">
        <v>236</v>
      </c>
      <c r="BT1" s="68" t="s">
        <v>142</v>
      </c>
      <c r="BU1" s="67" t="s">
        <v>237</v>
      </c>
      <c r="BV1" s="68" t="s">
        <v>238</v>
      </c>
      <c r="BW1" s="67" t="s">
        <v>239</v>
      </c>
      <c r="BX1" s="67" t="s">
        <v>247</v>
      </c>
      <c r="BY1" s="67" t="s">
        <v>56</v>
      </c>
      <c r="BZ1" s="67" t="s">
        <v>248</v>
      </c>
      <c r="CA1" s="133" t="s">
        <v>28</v>
      </c>
    </row>
    <row r="2" spans="1:79" ht="15" customHeight="1" thickBot="1" x14ac:dyDescent="0.25">
      <c r="A2" s="4" t="str">
        <f ca="1">IFERROR(IF(VLOOKUP(A1,OFFSET($AG$2,,,COUNTIF($AG$2:$AG$50,"?*"),23),10,FALSE)&lt;&gt;0,VLOOKUP(A1,OFFSET($AG$2,,,COUNTIF($AG$2:$AG$50,"?*"),23),10,FALSE),"?"),"")</f>
        <v/>
      </c>
      <c r="B2" s="252" t="str">
        <f ca="1">IFERROR(IF(VLOOKUP(A1,OFFSET($AG$2,,,COUNTIF($AG$2:$AG$50,"?*"),23),2,FALSE)&lt;&gt;0,YEAR(VLOOKUP(A1,OFFSET($AG$2,,,COUNTIF($AG$2:$AG$50,"?*"),23),2,FALSE)),"?"),"")</f>
        <v/>
      </c>
      <c r="C2" s="261"/>
      <c r="D2" s="5" t="str">
        <f ca="1">IFERROR(VLOOKUP(A1,OFFSET($AG$2,,,COUNTIF($AG$2:$AG$50,"?*"),23),15,FALSE),"")</f>
        <v/>
      </c>
      <c r="E2" s="251" t="str">
        <f ca="1">IFERROR(VLOOKUP(A1,OFFSET($AG$2,,,COUNTIF($AG$2:$AG$50,"?*"),23),16,FALSE),"")</f>
        <v/>
      </c>
      <c r="F2" s="253"/>
      <c r="M2" s="4" t="str">
        <f ca="1">IFERROR(IF(VLOOKUP(M1,OFFSET($AG$2,,,COUNTIF($AG$2:$AG$50,"?*"),23),10,FALSE)&lt;&gt;0,VLOOKUP(M1,OFFSET($AG$2,,,COUNTIF($AG$2:$AG$50,"?*"),23),10,FALSE),"?"),"")</f>
        <v/>
      </c>
      <c r="N2" s="252" t="str">
        <f ca="1">IFERROR(IF(VLOOKUP(M1,OFFSET($AG$2,,,COUNTIF($AG$2:$AG$50,"?*"),23),2,FALSE)&lt;&gt;0,YEAR(VLOOKUP(M1,OFFSET($AG$2,,,COUNTIF($AG$2:$AG$50,"?*"),23),2,FALSE)),"?"),"")</f>
        <v/>
      </c>
      <c r="O2" s="261"/>
      <c r="P2" s="6" t="str">
        <f ca="1">IFERROR(VLOOKUP(M1,OFFSET($AG$2,,,COUNTIF($AG$2:$AG$50,"?*"),23),15,FALSE),"")</f>
        <v/>
      </c>
      <c r="Q2" s="251" t="str">
        <f ca="1">IFERROR(VLOOKUP(M1,OFFSET($AG$2,,,COUNTIF($AG$2:$AG$50,"?*"),23),16,FALSE),"")</f>
        <v/>
      </c>
      <c r="R2" s="253"/>
      <c r="S2" s="353" t="s">
        <v>131</v>
      </c>
      <c r="T2" s="330"/>
      <c r="U2" s="330">
        <v>1</v>
      </c>
      <c r="V2" s="330">
        <v>1</v>
      </c>
      <c r="W2" s="330">
        <v>0</v>
      </c>
      <c r="X2" s="330">
        <v>0</v>
      </c>
      <c r="Y2" s="330">
        <v>0</v>
      </c>
      <c r="Z2" s="330">
        <v>1</v>
      </c>
      <c r="AA2" s="330">
        <v>0</v>
      </c>
      <c r="AB2" s="330">
        <v>0</v>
      </c>
      <c r="AG2" s="328" t="s">
        <v>2</v>
      </c>
      <c r="AH2" s="329">
        <v>33786</v>
      </c>
      <c r="AI2" s="330">
        <v>141</v>
      </c>
      <c r="AJ2" s="330">
        <v>90</v>
      </c>
      <c r="AK2" s="330">
        <v>59</v>
      </c>
      <c r="AL2" s="330">
        <v>149</v>
      </c>
      <c r="AM2" s="330">
        <v>10</v>
      </c>
      <c r="AN2" s="330">
        <v>23</v>
      </c>
      <c r="AO2" s="331"/>
      <c r="AP2" s="331" t="s">
        <v>164</v>
      </c>
      <c r="AQ2" s="330">
        <v>181</v>
      </c>
      <c r="AR2" s="330">
        <v>78</v>
      </c>
      <c r="AS2" s="332" t="s">
        <v>165</v>
      </c>
      <c r="AT2" s="330">
        <v>2003</v>
      </c>
      <c r="AU2" s="66">
        <f t="shared" ref="AU2" ca="1" si="0">IF(AG2&lt;&gt;"",IF(AH2&lt;&gt;"",INT((TODAY()-AH2)/365),"?"),"")</f>
        <v>29</v>
      </c>
      <c r="AV2" s="66" t="str">
        <f>IF(AG2&lt;&gt;"",CONCATENATE(IF(AQ2&lt;&gt;"",AQ2,"? "),"/",IF(AR2&lt;&gt;"",AR2," ?")),"")</f>
        <v>181/78</v>
      </c>
      <c r="AW2" s="128" t="str">
        <f t="shared" ref="AW2" ca="1" si="1">IF(AG2&lt;&gt;"",IF(BE2=1,BD2,IF(BH2,BG2,IF(BJ2=1,BI2,IF(BL2=1,BK2,BM2)))),"")</f>
        <v>Bína</v>
      </c>
      <c r="AX2" s="123" t="str">
        <f t="shared" ref="AX2" ca="1" si="2">IFERROR(IF(MATCH(AG2,OFFSET($S$45,,,COUNTIF($S$45:$S$50,"?*")),0)&gt;0,CONCATENATE(VLOOKUP(AG2,OFFSET($S$45,,,COUNTIF($S$45:$S$50,"?*"),14),4,FALSE)," V, ",VLOOKUP(AG2,OFFSET($S$45,,,COUNTIF($S$45:$S$50,"?*"),14),9,FALSE)," P"),""),IFERROR(CONCATENATE(VLOOKUP(AG2,OFFSET($S$2,,,COUNTIF($S$2:$S$42,"?*"),10),3,FALSE)+AZ2," OZ, ",VLOOKUP(AG2,OFFSET($S$2,,,COUNTIF($S$2:$S$42,"?*"),10),8,FALSE)+BA2+BB2," (",VLOOKUP(AG2,OFFSET($S$2,,,COUNTIF($S$2:$S$42,"?*"),10),4,FALSE)+BA2,"+",VLOOKUP(AG2,OFFSET($S$2,,,COUNTIF($S$2:$S$42,"?*"),10),7,FALSE)+BB2,"), ",IF(VLOOKUP(AG2,OFFSET($S$2,,,COUNTIF($S$2:$S$42,"?*"),10),10,FALSE)+BC2&gt;0,"+",""),VLOOKUP(AG2,OFFSET($S$2,,,COUNTIF($S$2:$S$42,"?*"),10),10,FALSE)+BC2," ±"),IF(AG2&lt;&gt;"","0 OZ, 0 (0+0)","")))</f>
        <v>0 OZ, 0 (0+0)</v>
      </c>
      <c r="AY2" s="123" t="str">
        <f ca="1">IFERROR(CONCATENATE(AI2+VLOOKUP(AG2,OFFSET($S$45,,,COUNTIF($S$45:$S$50,"?*"),14),2,FALSE)," OZ, ",AK2+VLOOKUP(AG2,OFFSET($S$45,,,COUNTIF($S$45:$S$50,"?*"),14),11,FALSE)," A"),IFERROR(CONCATENATE(VLOOKUP(AG2,OFFSET($S$2,,,COUNTIF($S$2:$S$42,"?*"),10),3,FALSE)+AZ2+AI2," OZ, ",VLOOKUP(AG2,OFFSET($S$2,,,COUNTIF($S$2:$S$42,"?*"),10),8,FALSE)+BA2+BB2+AL2," (",VLOOKUP(AG2,OFFSET($S$2,,,COUNTIF($S$2:$S$42,"?*"),10),4,FALSE)+BA2+AJ2,"+",VLOOKUP(AG2,OFFSET($S$2,,,COUNTIF($S$2:$S$42,"?*"),10),7,FALSE)+BB2+AK2,")"),IF(AG2&lt;&gt;"",CONCATENATE(AI2," OZ, ",AL2," (",AJ2,"+",AK2,")"),"")))</f>
        <v>141 OZ, 149 (90+59)</v>
      </c>
      <c r="BD2" s="3" t="str">
        <f>IF(AG2&lt;&gt;"",RIGHT(AG2,LEN(AG2)-SEARCH(" ",AG2)),"")</f>
        <v>Bína</v>
      </c>
      <c r="BE2" s="123">
        <f ca="1">IF(AG2&lt;&gt;"",COUNTIF(OFFSET($BD$2,,,COUNTIF($AG$2:$AG$50,"?*")),BD2),"")</f>
        <v>1</v>
      </c>
      <c r="BF2" s="66" t="str">
        <f>IF(AG2&lt;&gt;"",LEFT(AG2,1),"")</f>
        <v>M</v>
      </c>
      <c r="BG2" s="3" t="str">
        <f ca="1">IF(AND($AG2&lt;&gt;"",BE2&gt;1),CONCATENATE($BD2," ",LEFT($AG2,MIN(1,SEARCH(" ",$AG2)-1)),IF(SEARCH(" ",$AG2)-1&gt;1,".",""),""),"")</f>
        <v/>
      </c>
      <c r="BH2" s="66">
        <f ca="1">IF(BG2&lt;&gt;"",COUNTIF(OFFSET(BG$2,,,COUNTIF($AG$2:$AG$50,"?*")),BG2),IF($AG2&lt;&gt;"",0,""))</f>
        <v>0</v>
      </c>
      <c r="BI2" s="3" t="str">
        <f ca="1">IF(AND($AG2&lt;&gt;"",BH2&gt;1),CONCATENATE($BD2," ",LEFT($AG2,MIN(2,SEARCH(" ",$AG2)-1)),IF(SEARCH(" ",$AG2)-1&gt;2,".",""),""),"")</f>
        <v/>
      </c>
      <c r="BJ2" s="66">
        <f ca="1">IF(BI2&lt;&gt;"",COUNTIF(OFFSET(BI$2,,,COUNTIF($AG$2:$AG$50,"?*")),BI2),IF($AG2&lt;&gt;"",0,""))</f>
        <v>0</v>
      </c>
      <c r="BK2" s="3" t="str">
        <f ca="1">IF(AND($AG2&lt;&gt;"",BJ2&gt;1),CONCATENATE($BD2," ",LEFT($AG2,MIN(3,SEARCH(" ",$AG2)-1)),IF(SEARCH(" ",$AG2)-1&gt;3,".",""),""),"")</f>
        <v/>
      </c>
      <c r="BL2" s="66">
        <f ca="1">IF(BK2&lt;&gt;"",COUNTIF(OFFSET(BK$2,,,COUNTIF($AG$2:$AG$50,"?*")),BK2),IF($AG2&lt;&gt;"",0,""))</f>
        <v>0</v>
      </c>
      <c r="BM2" s="3" t="str">
        <f ca="1">IF(AND($AG2&lt;&gt;"",BL2&gt;1),CONCATENATE($BD2," ",LEFT($AG2,MIN(4,SEARCH(" ",$AG2)-1)),IF(SEARCH(" ",$AG2)-1&gt;4,".",""),""),"")</f>
        <v/>
      </c>
      <c r="BN2" s="332" t="s">
        <v>20</v>
      </c>
      <c r="BO2" s="329">
        <v>30490</v>
      </c>
      <c r="BP2" s="338" t="s">
        <v>210</v>
      </c>
      <c r="BQ2" s="339" t="s">
        <v>214</v>
      </c>
      <c r="BR2" s="66">
        <f ca="1">IF(BN2&lt;&gt;"",IF(BO2&lt;&gt;"",INT((TODAY()-BO2)/365),"?"),"")</f>
        <v>38</v>
      </c>
      <c r="BS2" s="325" t="s">
        <v>36</v>
      </c>
      <c r="BT2" s="332" t="s">
        <v>218</v>
      </c>
      <c r="BU2" s="331">
        <v>1</v>
      </c>
      <c r="BV2" s="3" t="str">
        <f>IFERROR(RIGHT(BT2,LEN(BT2)-SEARCH(" ",BT2)),"")</f>
        <v>Viktor Kopecký</v>
      </c>
      <c r="BW2" s="108">
        <f>IF(BT2&lt;&gt;0,_xlfn.NUMBERVALUE(BU2,","),"")</f>
        <v>1</v>
      </c>
      <c r="BX2" s="324" t="s">
        <v>250</v>
      </c>
      <c r="BY2" s="331" t="s">
        <v>240</v>
      </c>
      <c r="BZ2" s="331" t="s">
        <v>99</v>
      </c>
      <c r="CA2" s="356" t="s">
        <v>252</v>
      </c>
    </row>
    <row r="3" spans="1:79" ht="15" customHeight="1" thickTop="1" thickBot="1" x14ac:dyDescent="0.25">
      <c r="A3" s="290" t="str">
        <f ca="1">IFERROR(VLOOKUP(A1,OFFSET($AG$2,,,COUNTIF($AG$2:$AG$50,"?*"),23),18,FALSE),"")</f>
        <v/>
      </c>
      <c r="B3" s="291"/>
      <c r="C3" s="291"/>
      <c r="D3" s="292" t="str">
        <f ca="1">IFERROR(VLOOKUP(A1,OFFSET($AG$2,,,COUNTIF($AG$2:$AG$50,"?*"),23),19,FALSE),"")</f>
        <v/>
      </c>
      <c r="E3" s="292"/>
      <c r="F3" s="293"/>
      <c r="G3" s="294"/>
      <c r="H3" s="295"/>
      <c r="I3" s="295"/>
      <c r="J3" s="295"/>
      <c r="K3" s="1" t="str">
        <f ca="1">IFERROR(IF(VLOOKUP(G3,OFFSET($AG$2,,,COUNTIF($AG$2:$AG$50,"?*"),23),9,FALSE)&lt;&gt;0,VLOOKUP(G3,OFFSET($AG$2,,,COUNTIF($AG$2:$AG$50,"?*"),23),9,FALSE),""),"")</f>
        <v/>
      </c>
      <c r="L3" s="2" t="str">
        <f ca="1">IFERROR(IF(VLOOKUP(G3,OFFSET($AG$2,,,COUNTIF($AG$2:$AG$50,"?*"),23),8,FALSE)&lt;&gt;0,VLOOKUP(G3,OFFSET($AG$2,,,COUNTIF($AG$2:$AG$50,"?*"),23),8,FALSE),"?"),"")</f>
        <v/>
      </c>
      <c r="M3" s="290" t="str">
        <f ca="1">IFERROR(VLOOKUP(M1,OFFSET($AG$2,,,COUNTIF($AG$2:$AG$50,"?*"),23),18,FALSE),"")</f>
        <v/>
      </c>
      <c r="N3" s="291"/>
      <c r="O3" s="291"/>
      <c r="P3" s="292" t="str">
        <f ca="1">IFERROR(VLOOKUP(M1,OFFSET($AG$2,,,COUNTIF($AG$2:$AG$50,"?*"),23),19,FALSE),"")</f>
        <v/>
      </c>
      <c r="Q3" s="292"/>
      <c r="R3" s="293"/>
      <c r="S3" s="353" t="s">
        <v>0</v>
      </c>
      <c r="T3" s="330"/>
      <c r="U3" s="330">
        <v>1</v>
      </c>
      <c r="V3" s="330">
        <v>1</v>
      </c>
      <c r="W3" s="330">
        <v>0</v>
      </c>
      <c r="X3" s="330">
        <v>0</v>
      </c>
      <c r="Y3" s="330">
        <v>0</v>
      </c>
      <c r="Z3" s="330">
        <v>1</v>
      </c>
      <c r="AA3" s="330">
        <v>2</v>
      </c>
      <c r="AB3" s="330">
        <v>0</v>
      </c>
      <c r="AG3" s="333" t="s">
        <v>3</v>
      </c>
      <c r="AH3" s="334">
        <v>36257</v>
      </c>
      <c r="AI3" s="335">
        <v>119</v>
      </c>
      <c r="AJ3" s="335">
        <v>38</v>
      </c>
      <c r="AK3" s="335">
        <v>31</v>
      </c>
      <c r="AL3" s="335">
        <v>69</v>
      </c>
      <c r="AM3" s="335">
        <v>6</v>
      </c>
      <c r="AN3" s="335">
        <v>77</v>
      </c>
      <c r="AO3" s="336"/>
      <c r="AP3" s="336" t="s">
        <v>164</v>
      </c>
      <c r="AQ3" s="335">
        <v>184</v>
      </c>
      <c r="AR3" s="335">
        <v>81</v>
      </c>
      <c r="AS3" s="337" t="s">
        <v>166</v>
      </c>
      <c r="AT3" s="335">
        <v>2008</v>
      </c>
      <c r="AU3" s="130">
        <f ca="1">IF(AG3&lt;&gt;"",IF(AH3&lt;&gt;"",INT((TODAY()-AH3)/365),"?"),"")</f>
        <v>22</v>
      </c>
      <c r="AV3" s="130" t="str">
        <f>IF(AG3&lt;&gt;"",CONCATENATE(IF(AQ3&lt;&gt;"",AQ3,"? "),"/",IF(AR3&lt;&gt;"",AR3," ?")),"")</f>
        <v>184/81</v>
      </c>
      <c r="AW3" s="131" t="str">
        <f ca="1">IF(AG3&lt;&gt;"",IF(BE3=1,BD3,IF(BH3,BG3,IF(BJ3=1,BI3,IF(BL3=1,BK3,BM3)))),"")</f>
        <v>Cabejšek</v>
      </c>
      <c r="AX3" s="132" t="str">
        <f ca="1">IFERROR(IF(MATCH(AG3,OFFSET($S$45,,,COUNTIF($S$45:$S$50,"?*")),0)&gt;0,CONCATENATE(VLOOKUP(AG3,OFFSET($S$45,,,COUNTIF($S$45:$S$50,"?*"),14),4,FALSE)," V, ",VLOOKUP(AG3,OFFSET($S$45,,,COUNTIF($S$45:$S$50,"?*"),14),9,FALSE)," P"),""),IFERROR(CONCATENATE(VLOOKUP(AG3,OFFSET($S$2,,,COUNTIF($S$2:$S$42,"?*"),10),3,FALSE)+AZ3," OZ, ",VLOOKUP(AG3,OFFSET($S$2,,,COUNTIF($S$2:$S$42,"?*"),10),8,FALSE)+BA3+BB3," (",VLOOKUP(AG3,OFFSET($S$2,,,COUNTIF($S$2:$S$42,"?*"),10),4,FALSE)+BA3,"+",VLOOKUP(AG3,OFFSET($S$2,,,COUNTIF($S$2:$S$42,"?*"),10),7,FALSE)+BB3,"), ",IF(VLOOKUP(AG3,OFFSET($S$2,,,COUNTIF($S$2:$S$42,"?*"),10),10,FALSE)+BC3&gt;0,"+",""),VLOOKUP(AG3,OFFSET($S$2,,,COUNTIF($S$2:$S$42,"?*"),10),10,FALSE)+BC3," ±"),IF(AG3&lt;&gt;"","0 OZ, 0 (0+0)","")))</f>
        <v>1 OZ, 1 (0+1), 0 ±</v>
      </c>
      <c r="AY3" s="132" t="str">
        <f ca="1">IFERROR(CONCATENATE(AI3+VLOOKUP(AG3,OFFSET($S$45,,,COUNTIF($S$45:$S$50,"?*"),14),2,FALSE)," OZ, ",AK3+VLOOKUP(AG3,OFFSET($S$45,,,COUNTIF($S$45:$S$50,"?*"),14),11,FALSE)," A"),IFERROR(CONCATENATE(VLOOKUP(AG3,OFFSET($S$2,,,COUNTIF($S$2:$S$42,"?*"),10),3,FALSE)+AZ3+AI3," OZ, ",VLOOKUP(AG3,OFFSET($S$2,,,COUNTIF($S$2:$S$42,"?*"),10),8,FALSE)+BA3+BB3+AL3," (",VLOOKUP(AG3,OFFSET($S$2,,,COUNTIF($S$2:$S$42,"?*"),10),4,FALSE)+BA3+AJ3,"+",VLOOKUP(AG3,OFFSET($S$2,,,COUNTIF($S$2:$S$42,"?*"),10),7,FALSE)+BB3+AK3,")"),IF(AG3&lt;&gt;"",CONCATENATE(AI3," OZ, ",AL3," (",AJ3,"+",AK3,")"),"")))</f>
        <v>120 OZ, 70 (38+32)</v>
      </c>
      <c r="AZ3" s="132"/>
      <c r="BA3" s="132"/>
      <c r="BB3" s="132"/>
      <c r="BC3" s="132"/>
      <c r="BD3" s="129" t="str">
        <f>IF(AG3&lt;&gt;"",RIGHT(AG3,LEN(AG3)-SEARCH(" ",AG3)),"")</f>
        <v>Cabejšek</v>
      </c>
      <c r="BE3" s="132">
        <f ca="1">IF(AG3&lt;&gt;"",COUNTIF(OFFSET($BD$2,,,COUNTIF($AG$2:$AG$50,"?*")),BD3),"")</f>
        <v>1</v>
      </c>
      <c r="BF3" s="130" t="str">
        <f>IF(AG3&lt;&gt;"",LEFT(AG3,1),"")</f>
        <v>D</v>
      </c>
      <c r="BG3" s="129" t="str">
        <f ca="1">IF(AND($AG3&lt;&gt;"",BE3&gt;1),CONCATENATE($BD3," ",LEFT($AG3,MIN(1,SEARCH(" ",$AG3)-1)),IF(SEARCH(" ",$AG3)-1&gt;1,".",""),""),"")</f>
        <v/>
      </c>
      <c r="BH3" s="130">
        <f ca="1">IF(BG3&lt;&gt;"",COUNTIF(OFFSET(BG$2,,,COUNTIF($AG$2:$AG$50,"?*")),BG3),IF($AG3&lt;&gt;"",0,""))</f>
        <v>0</v>
      </c>
      <c r="BI3" s="129" t="str">
        <f ca="1">IF(AND($AG3&lt;&gt;"",BH3&gt;1),CONCATENATE($BD3," ",LEFT($AG3,MIN(2,SEARCH(" ",$AG3)-1)),IF(SEARCH(" ",$AG3)-1&gt;2,".",""),""),"")</f>
        <v/>
      </c>
      <c r="BJ3" s="130">
        <f ca="1">IF(BI3&lt;&gt;"",COUNTIF(OFFSET(BI$2,,,COUNTIF($AG$2:$AG$50,"?*")),BI3),IF($AG3&lt;&gt;"",0,""))</f>
        <v>0</v>
      </c>
      <c r="BK3" s="129" t="str">
        <f ca="1">IF(AND($AG3&lt;&gt;"",BJ3&gt;1),CONCATENATE($BD3," ",LEFT($AG3,MIN(3,SEARCH(" ",$AG3)-1)),IF(SEARCH(" ",$AG3)-1&gt;3,".",""),""),"")</f>
        <v/>
      </c>
      <c r="BL3" s="130">
        <f ca="1">IF(BK3&lt;&gt;"",COUNTIF(OFFSET(BK$2,,,COUNTIF($AG$2:$AG$50,"?*")),BK3),IF($AG3&lt;&gt;"",0,""))</f>
        <v>0</v>
      </c>
      <c r="BM3" s="129" t="str">
        <f ca="1">IF(AND($AG3&lt;&gt;"",BL3&gt;1),CONCATENATE($BD3," ",LEFT($AG3,MIN(4,SEARCH(" ",$AG3)-1)),IF(SEARCH(" ",$AG3)-1&gt;4,".",""),""),"")</f>
        <v/>
      </c>
      <c r="BN3" s="337" t="s">
        <v>21</v>
      </c>
      <c r="BO3" s="334">
        <v>31402</v>
      </c>
      <c r="BP3" s="340" t="s">
        <v>210</v>
      </c>
      <c r="BQ3" s="341" t="s">
        <v>215</v>
      </c>
      <c r="BR3" s="130">
        <f t="shared" ref="BR3:BR11" ca="1" si="3">IF(BN3&lt;&gt;"",IF(BO3&lt;&gt;"",INT((TODAY()-BO3)/365),"?"),"")</f>
        <v>35</v>
      </c>
      <c r="BS3" s="325"/>
      <c r="BT3" s="332" t="s">
        <v>219</v>
      </c>
      <c r="BU3" s="331">
        <v>1</v>
      </c>
      <c r="BV3" s="3" t="str">
        <f t="shared" ref="BV3:BV31" si="4">IFERROR(RIGHT(BT3,LEN(BT3)-SEARCH(" ",BT3)),"")</f>
        <v>Vojtěch Klápa</v>
      </c>
      <c r="BW3" s="108">
        <f t="shared" ref="BW3:BW31" si="5">IF(BT3&lt;&gt;0,_xlfn.NUMBERVALUE(BU3,","),"")</f>
        <v>1</v>
      </c>
      <c r="BX3" s="324"/>
      <c r="BY3" s="331"/>
      <c r="BZ3" s="331"/>
      <c r="CA3" s="356"/>
    </row>
    <row r="4" spans="1:79" ht="15" customHeight="1" thickBot="1" x14ac:dyDescent="0.25">
      <c r="A4" s="297" t="str">
        <f ca="1">IFERROR(IF(VLOOKUP(A1,OFFSET($AG$2,,,COUNTIF($AG$2:$AG$50,"?*"),23),13,FALSE)&lt;&gt;0,VLOOKUP(A1,OFFSET($AG$2,,,COUNTIF($AG$2:$AG$50,"?*"),23),13,FALSE),"?"),"")</f>
        <v/>
      </c>
      <c r="B4" s="298"/>
      <c r="C4" s="299"/>
      <c r="D4" s="288" t="str">
        <f ca="1">IFERROR(IF(VLOOKUP(A1,OFFSET($AG$2,,,COUNTIF($AG$2:$AG$50,"?*"),23),14,FALSE)&lt;&gt;0,VLOOKUP(A1,OFFSET($AG$2,,,COUNTIF($AG$2:$AG$50,"?*"),23),14,FALSE),"?"),"")</f>
        <v/>
      </c>
      <c r="E4" s="287"/>
      <c r="F4" s="7" t="str">
        <f ca="1">IFERROR(IF(VLOOKUP(A1,OFFSET($AG$2,,,COUNTIF($AG$2:$AG$50,"?*"),23),7,FALSE)&lt;&gt;0,VLOOKUP(A1,OFFSET($AG$2,,,COUNTIF($AG$2:$AG$50,"?*"),23),7,FALSE),"?"),"")</f>
        <v/>
      </c>
      <c r="G4" s="4" t="str">
        <f ca="1">IFERROR(IF(VLOOKUP(G3,OFFSET($AG$2,,,COUNTIF($AG$2:$AG$50,"?*"),23),10,FALSE)&lt;&gt;0,VLOOKUP(G3,OFFSET($AG$2,,,COUNTIF($AG$2:$AG$50,"?*"),23),10,FALSE),"?"),"")</f>
        <v/>
      </c>
      <c r="H4" s="252" t="str">
        <f ca="1">IFERROR(IF(VLOOKUP(G3,OFFSET($AG$2,,,COUNTIF($AG$2:$AG$50,"?*"),23),2,FALSE)&lt;&gt;0,YEAR(VLOOKUP(G3,OFFSET($AG$2,,,COUNTIF($AG$2:$AG$50,"?*"),23),2,FALSE)),"?"),"")</f>
        <v/>
      </c>
      <c r="I4" s="261"/>
      <c r="J4" s="5" t="str">
        <f ca="1">IFERROR(VLOOKUP(G3,OFFSET($AG$2,,,COUNTIF($AG$2:$AG$50,"?*"),23),15,FALSE),"")</f>
        <v/>
      </c>
      <c r="K4" s="251" t="str">
        <f ca="1">IFERROR(VLOOKUP(G3,OFFSET($AG$2,,,COUNTIF($AG$2:$AG$50,"?*"),23),16,FALSE),"")</f>
        <v/>
      </c>
      <c r="L4" s="253"/>
      <c r="M4" s="297" t="str">
        <f ca="1">IFERROR(IF(VLOOKUP(M1,OFFSET($AG$2,,,COUNTIF($AG$2:$AG$50,"?*"),23),13,FALSE)&lt;&gt;0,VLOOKUP(M1,OFFSET($AG$2,,,COUNTIF($AG$2:$AG$50,"?*"),23),13,FALSE),"?"),"")</f>
        <v/>
      </c>
      <c r="N4" s="298"/>
      <c r="O4" s="299"/>
      <c r="P4" s="288" t="str">
        <f ca="1">IFERROR(IF(VLOOKUP(M1,OFFSET($AG$2,,,COUNTIF($AG$2:$AG$50,"?*"),23),14,FALSE)&lt;&gt;0,VLOOKUP(M1,OFFSET($AG$2,,,COUNTIF($AG$2:$AG$50,"?*"),23),14,FALSE),"?"),"")</f>
        <v/>
      </c>
      <c r="Q4" s="287"/>
      <c r="R4" s="7" t="str">
        <f ca="1">IFERROR(IF(VLOOKUP(M1,OFFSET($AG$2,,,COUNTIF($AG$2:$AG$50,"?*"),23),7,FALSE)&lt;&gt;0,VLOOKUP(M1,OFFSET($AG$2,,,COUNTIF($AG$2:$AG$50,"?*"),23),7,FALSE),"?"),"")</f>
        <v/>
      </c>
      <c r="S4" s="353" t="s">
        <v>3</v>
      </c>
      <c r="T4" s="330" t="s">
        <v>69</v>
      </c>
      <c r="U4" s="330">
        <v>1</v>
      </c>
      <c r="V4" s="330">
        <v>0</v>
      </c>
      <c r="W4" s="330">
        <v>0</v>
      </c>
      <c r="X4" s="330">
        <v>0</v>
      </c>
      <c r="Y4" s="330">
        <v>1</v>
      </c>
      <c r="Z4" s="330">
        <v>1</v>
      </c>
      <c r="AA4" s="330">
        <v>0</v>
      </c>
      <c r="AB4" s="330">
        <v>0</v>
      </c>
      <c r="AG4" s="328" t="s">
        <v>4</v>
      </c>
      <c r="AH4" s="329">
        <v>36364</v>
      </c>
      <c r="AI4" s="330">
        <v>24</v>
      </c>
      <c r="AJ4" s="330">
        <v>0</v>
      </c>
      <c r="AK4" s="330">
        <v>1</v>
      </c>
      <c r="AL4" s="330">
        <v>1</v>
      </c>
      <c r="AM4" s="330">
        <v>2</v>
      </c>
      <c r="AN4" s="330">
        <v>47</v>
      </c>
      <c r="AO4" s="331"/>
      <c r="AP4" s="331" t="s">
        <v>164</v>
      </c>
      <c r="AQ4" s="330">
        <v>181</v>
      </c>
      <c r="AR4" s="330">
        <v>82</v>
      </c>
      <c r="AS4" s="332" t="s">
        <v>100</v>
      </c>
      <c r="AT4" s="330">
        <v>2009</v>
      </c>
      <c r="AU4" s="66">
        <f ca="1">IF(AG4&lt;&gt;"",IF(AH4&lt;&gt;"",INT((TODAY()-AH4)/365),"?"),"")</f>
        <v>22</v>
      </c>
      <c r="AV4" s="66" t="str">
        <f>IF(AG4&lt;&gt;"",CONCATENATE(IF(AQ4&lt;&gt;"",AQ4,"? "),"/",IF(AR4&lt;&gt;"",AR4," ?")),"")</f>
        <v>181/82</v>
      </c>
      <c r="AW4" s="128" t="str">
        <f ca="1">IF(AG4&lt;&gt;"",IF(BE4=1,BD4,IF(BH4,BG4,IF(BJ4=1,BI4,IF(BL4=1,BK4,BM4)))),"")</f>
        <v>Čuda</v>
      </c>
      <c r="AX4" s="123" t="str">
        <f ca="1">IFERROR(IF(MATCH(AG4,OFFSET($S$45,,,COUNTIF($S$45:$S$50,"?*")),0)&gt;0,CONCATENATE(VLOOKUP(AG4,OFFSET($S$45,,,COUNTIF($S$45:$S$50,"?*"),14),4,FALSE)," V, ",VLOOKUP(AG4,OFFSET($S$45,,,COUNTIF($S$45:$S$50,"?*"),14),9,FALSE)," P"),""),IFERROR(CONCATENATE(VLOOKUP(AG4,OFFSET($S$2,,,COUNTIF($S$2:$S$42,"?*"),10),3,FALSE)+AZ4," OZ, ",VLOOKUP(AG4,OFFSET($S$2,,,COUNTIF($S$2:$S$42,"?*"),10),8,FALSE)+BA4+BB4," (",VLOOKUP(AG4,OFFSET($S$2,,,COUNTIF($S$2:$S$42,"?*"),10),4,FALSE)+BA4,"+",VLOOKUP(AG4,OFFSET($S$2,,,COUNTIF($S$2:$S$42,"?*"),10),7,FALSE)+BB4,"), ",IF(VLOOKUP(AG4,OFFSET($S$2,,,COUNTIF($S$2:$S$42,"?*"),10),10,FALSE)+BC4&gt;0,"+",""),VLOOKUP(AG4,OFFSET($S$2,,,COUNTIF($S$2:$S$42,"?*"),10),10,FALSE)+BC4," ±"),IF(AG4&lt;&gt;"","0 OZ, 0 (0+0)","")))</f>
        <v>1 OZ, 1 (0+1), 0 ±</v>
      </c>
      <c r="AY4" s="123" t="str">
        <f ca="1">IFERROR(CONCATENATE(AI4+VLOOKUP(AG4,OFFSET($S$45,,,COUNTIF($S$45:$S$50,"?*"),14),2,FALSE)," OZ, ",AK4+VLOOKUP(AG4,OFFSET($S$45,,,COUNTIF($S$45:$S$50,"?*"),14),11,FALSE)," A"),IFERROR(CONCATENATE(VLOOKUP(AG4,OFFSET($S$2,,,COUNTIF($S$2:$S$42,"?*"),10),3,FALSE)+AZ4+AI4," OZ, ",VLOOKUP(AG4,OFFSET($S$2,,,COUNTIF($S$2:$S$42,"?*"),10),8,FALSE)+BA4+BB4+AL4," (",VLOOKUP(AG4,OFFSET($S$2,,,COUNTIF($S$2:$S$42,"?*"),10),4,FALSE)+BA4+AJ4,"+",VLOOKUP(AG4,OFFSET($S$2,,,COUNTIF($S$2:$S$42,"?*"),10),7,FALSE)+BB4+AK4,")"),IF(AG4&lt;&gt;"",CONCATENATE(AI4," OZ, ",AL4," (",AJ4,"+",AK4,")"),"")))</f>
        <v>25 OZ, 2 (0+2)</v>
      </c>
      <c r="BD4" s="3" t="str">
        <f>IF(AG4&lt;&gt;"",RIGHT(AG4,LEN(AG4)-SEARCH(" ",AG4)),"")</f>
        <v>Čuda</v>
      </c>
      <c r="BE4" s="123">
        <f ca="1">IF(AG4&lt;&gt;"",COUNTIF(OFFSET($BD$2,,,COUNTIF($AG$2:$AG$50,"?*")),BD4),"")</f>
        <v>1</v>
      </c>
      <c r="BF4" s="66" t="str">
        <f>IF(AG4&lt;&gt;"",LEFT(AG4,1),"")</f>
        <v>Š</v>
      </c>
      <c r="BG4" s="3" t="str">
        <f ca="1">IF(AND($AG4&lt;&gt;"",BE4&gt;1),CONCATENATE($BD4," ",LEFT($AG4,MIN(1,SEARCH(" ",$AG4)-1)),IF(SEARCH(" ",$AG4)-1&gt;1,".",""),""),"")</f>
        <v/>
      </c>
      <c r="BH4" s="66">
        <f ca="1">IF(BG4&lt;&gt;"",COUNTIF(OFFSET(BG$2,,,COUNTIF($AG$2:$AG$50,"?*")),BG4),IF($AG4&lt;&gt;"",0,""))</f>
        <v>0</v>
      </c>
      <c r="BI4" s="3" t="str">
        <f ca="1">IF(AND($AG4&lt;&gt;"",BH4&gt;1),CONCATENATE($BD4," ",LEFT($AG4,MIN(2,SEARCH(" ",$AG4)-1)),IF(SEARCH(" ",$AG4)-1&gt;2,".",""),""),"")</f>
        <v/>
      </c>
      <c r="BJ4" s="66">
        <f ca="1">IF(BI4&lt;&gt;"",COUNTIF(OFFSET(BI$2,,,COUNTIF($AG$2:$AG$50,"?*")),BI4),IF($AG4&lt;&gt;"",0,""))</f>
        <v>0</v>
      </c>
      <c r="BK4" s="3" t="str">
        <f ca="1">IF(AND($AG4&lt;&gt;"",BJ4&gt;1),CONCATENATE($BD4," ",LEFT($AG4,MIN(3,SEARCH(" ",$AG4)-1)),IF(SEARCH(" ",$AG4)-1&gt;3,".",""),""),"")</f>
        <v/>
      </c>
      <c r="BL4" s="66">
        <f ca="1">IF(BK4&lt;&gt;"",COUNTIF(OFFSET(BK$2,,,COUNTIF($AG$2:$AG$50,"?*")),BK4),IF($AG4&lt;&gt;"",0,""))</f>
        <v>0</v>
      </c>
      <c r="BM4" s="3" t="str">
        <f ca="1">IF(AND($AG4&lt;&gt;"",BL4&gt;1),CONCATENATE($BD4," ",LEFT($AG4,MIN(4,SEARCH(" ",$AG4)-1)),IF(SEARCH(" ",$AG4)-1&gt;4,".",""),""),"")</f>
        <v/>
      </c>
      <c r="BN4" s="332" t="s">
        <v>208</v>
      </c>
      <c r="BO4" s="329">
        <v>34755</v>
      </c>
      <c r="BP4" s="338" t="s">
        <v>211</v>
      </c>
      <c r="BQ4" s="339"/>
      <c r="BR4" s="66">
        <f t="shared" ca="1" si="3"/>
        <v>26</v>
      </c>
      <c r="BS4" s="325"/>
      <c r="BT4" s="332" t="s">
        <v>220</v>
      </c>
      <c r="BU4" s="331">
        <v>1</v>
      </c>
      <c r="BV4" s="3" t="str">
        <f t="shared" si="4"/>
        <v>Daniel Cabejšek</v>
      </c>
      <c r="BW4" s="108">
        <f t="shared" si="5"/>
        <v>1</v>
      </c>
      <c r="BX4" s="324"/>
      <c r="BY4" s="331"/>
      <c r="BZ4" s="331"/>
      <c r="CA4" s="356"/>
    </row>
    <row r="5" spans="1:79" ht="15" customHeight="1" thickTop="1" thickBot="1" x14ac:dyDescent="0.25">
      <c r="A5" s="8"/>
      <c r="B5" s="8"/>
      <c r="C5" s="8"/>
      <c r="D5" s="8"/>
      <c r="G5" s="290" t="str">
        <f ca="1">IFERROR(VLOOKUP(G3,OFFSET($AG$2,,,COUNTIF($AG$2:$AG$50,"?*"),23),18,FALSE),"")</f>
        <v/>
      </c>
      <c r="H5" s="291"/>
      <c r="I5" s="291"/>
      <c r="J5" s="292" t="str">
        <f ca="1">IFERROR(VLOOKUP(G3,OFFSET($AG$2,,,COUNTIF($AG$2:$AG$50,"?*"),23),19,FALSE),"")</f>
        <v/>
      </c>
      <c r="K5" s="292"/>
      <c r="L5" s="293"/>
      <c r="S5" s="353" t="s">
        <v>4</v>
      </c>
      <c r="T5" s="330" t="s">
        <v>69</v>
      </c>
      <c r="U5" s="330">
        <v>1</v>
      </c>
      <c r="V5" s="330">
        <v>0</v>
      </c>
      <c r="W5" s="330">
        <v>0</v>
      </c>
      <c r="X5" s="330">
        <v>0</v>
      </c>
      <c r="Y5" s="330">
        <v>1</v>
      </c>
      <c r="Z5" s="330">
        <v>1</v>
      </c>
      <c r="AA5" s="330">
        <v>0</v>
      </c>
      <c r="AB5" s="330">
        <v>0</v>
      </c>
      <c r="AG5" s="333" t="s">
        <v>6</v>
      </c>
      <c r="AH5" s="334">
        <v>34880</v>
      </c>
      <c r="AI5" s="335">
        <v>103</v>
      </c>
      <c r="AJ5" s="335">
        <v>26</v>
      </c>
      <c r="AK5" s="335">
        <v>14</v>
      </c>
      <c r="AL5" s="335">
        <v>40</v>
      </c>
      <c r="AM5" s="335">
        <v>6</v>
      </c>
      <c r="AN5" s="335">
        <v>28</v>
      </c>
      <c r="AO5" s="336"/>
      <c r="AP5" s="336" t="s">
        <v>27</v>
      </c>
      <c r="AQ5" s="335">
        <v>183</v>
      </c>
      <c r="AR5" s="335">
        <v>76</v>
      </c>
      <c r="AS5" s="337" t="s">
        <v>167</v>
      </c>
      <c r="AT5" s="335">
        <v>2006</v>
      </c>
      <c r="AU5" s="130">
        <f ca="1">IF(AG5&lt;&gt;"",IF(AH5&lt;&gt;"",INT((TODAY()-AH5)/365),"?"),"")</f>
        <v>26</v>
      </c>
      <c r="AV5" s="130" t="str">
        <f>IF(AG5&lt;&gt;"",CONCATENATE(IF(AQ5&lt;&gt;"",AQ5,"? "),"/",IF(AR5&lt;&gt;"",AR5," ?")),"")</f>
        <v>183/76</v>
      </c>
      <c r="AW5" s="131" t="str">
        <f ca="1">IF(AG5&lt;&gt;"",IF(BE5=1,BD5,IF(BH5,BG5,IF(BJ5=1,BI5,IF(BL5=1,BK5,BM5)))),"")</f>
        <v>Fiala</v>
      </c>
      <c r="AX5" s="132" t="str">
        <f ca="1">IFERROR(IF(MATCH(AG5,OFFSET($S$45,,,COUNTIF($S$45:$S$50,"?*")),0)&gt;0,CONCATENATE(VLOOKUP(AG5,OFFSET($S$45,,,COUNTIF($S$45:$S$50,"?*"),14),4,FALSE)," V, ",VLOOKUP(AG5,OFFSET($S$45,,,COUNTIF($S$45:$S$50,"?*"),14),9,FALSE)," P"),""),IFERROR(CONCATENATE(VLOOKUP(AG5,OFFSET($S$2,,,COUNTIF($S$2:$S$42,"?*"),10),3,FALSE)+AZ5," OZ, ",VLOOKUP(AG5,OFFSET($S$2,,,COUNTIF($S$2:$S$42,"?*"),10),8,FALSE)+BA5+BB5," (",VLOOKUP(AG5,OFFSET($S$2,,,COUNTIF($S$2:$S$42,"?*"),10),4,FALSE)+BA5,"+",VLOOKUP(AG5,OFFSET($S$2,,,COUNTIF($S$2:$S$42,"?*"),10),7,FALSE)+BB5,"), ",IF(VLOOKUP(AG5,OFFSET($S$2,,,COUNTIF($S$2:$S$42,"?*"),10),10,FALSE)+BC5&gt;0,"+",""),VLOOKUP(AG5,OFFSET($S$2,,,COUNTIF($S$2:$S$42,"?*"),10),10,FALSE)+BC5," ±"),IF(AG5&lt;&gt;"","0 OZ, 0 (0+0)","")))</f>
        <v>1 OZ, 0 (0+0), 0 ±</v>
      </c>
      <c r="AY5" s="132" t="str">
        <f ca="1">IFERROR(CONCATENATE(AI5+VLOOKUP(AG5,OFFSET($S$45,,,COUNTIF($S$45:$S$50,"?*"),14),2,FALSE)," OZ, ",AK5+VLOOKUP(AG5,OFFSET($S$45,,,COUNTIF($S$45:$S$50,"?*"),14),11,FALSE)," A"),IFERROR(CONCATENATE(VLOOKUP(AG5,OFFSET($S$2,,,COUNTIF($S$2:$S$42,"?*"),10),3,FALSE)+AZ5+AI5," OZ, ",VLOOKUP(AG5,OFFSET($S$2,,,COUNTIF($S$2:$S$42,"?*"),10),8,FALSE)+BA5+BB5+AL5," (",VLOOKUP(AG5,OFFSET($S$2,,,COUNTIF($S$2:$S$42,"?*"),10),4,FALSE)+BA5+AJ5,"+",VLOOKUP(AG5,OFFSET($S$2,,,COUNTIF($S$2:$S$42,"?*"),10),7,FALSE)+BB5+AK5,")"),IF(AG5&lt;&gt;"",CONCATENATE(AI5," OZ, ",AL5," (",AJ5,"+",AK5,")"),"")))</f>
        <v>104 OZ, 40 (26+14)</v>
      </c>
      <c r="AZ5" s="132"/>
      <c r="BA5" s="132"/>
      <c r="BB5" s="132"/>
      <c r="BC5" s="132"/>
      <c r="BD5" s="129" t="str">
        <f>IF(AG5&lt;&gt;"",RIGHT(AG5,LEN(AG5)-SEARCH(" ",AG5)),"")</f>
        <v>Fiala</v>
      </c>
      <c r="BE5" s="132">
        <f ca="1">IF(AG5&lt;&gt;"",COUNTIF(OFFSET($BD$2,,,COUNTIF($AG$2:$AG$50,"?*")),BD5),"")</f>
        <v>1</v>
      </c>
      <c r="BF5" s="130" t="str">
        <f>IF(AG5&lt;&gt;"",LEFT(AG5,1),"")</f>
        <v>J</v>
      </c>
      <c r="BG5" s="129" t="str">
        <f ca="1">IF(AND($AG5&lt;&gt;"",BE5&gt;1),CONCATENATE($BD5," ",LEFT($AG5,MIN(1,SEARCH(" ",$AG5)-1)),IF(SEARCH(" ",$AG5)-1&gt;1,".",""),""),"")</f>
        <v/>
      </c>
      <c r="BH5" s="130">
        <f ca="1">IF(BG5&lt;&gt;"",COUNTIF(OFFSET(BG$2,,,COUNTIF($AG$2:$AG$50,"?*")),BG5),IF($AG5&lt;&gt;"",0,""))</f>
        <v>0</v>
      </c>
      <c r="BI5" s="129" t="str">
        <f ca="1">IF(AND($AG5&lt;&gt;"",BH5&gt;1),CONCATENATE($BD5," ",LEFT($AG5,MIN(2,SEARCH(" ",$AG5)-1)),IF(SEARCH(" ",$AG5)-1&gt;2,".",""),""),"")</f>
        <v/>
      </c>
      <c r="BJ5" s="130">
        <f ca="1">IF(BI5&lt;&gt;"",COUNTIF(OFFSET(BI$2,,,COUNTIF($AG$2:$AG$50,"?*")),BI5),IF($AG5&lt;&gt;"",0,""))</f>
        <v>0</v>
      </c>
      <c r="BK5" s="129" t="str">
        <f ca="1">IF(AND($AG5&lt;&gt;"",BJ5&gt;1),CONCATENATE($BD5," ",LEFT($AG5,MIN(3,SEARCH(" ",$AG5)-1)),IF(SEARCH(" ",$AG5)-1&gt;3,".",""),""),"")</f>
        <v/>
      </c>
      <c r="BL5" s="130">
        <f ca="1">IF(BK5&lt;&gt;"",COUNTIF(OFFSET(BK$2,,,COUNTIF($AG$2:$AG$50,"?*")),BK5),IF($AG5&lt;&gt;"",0,""))</f>
        <v>0</v>
      </c>
      <c r="BM5" s="129" t="str">
        <f ca="1">IF(AND($AG5&lt;&gt;"",BL5&gt;1),CONCATENATE($BD5," ",LEFT($AG5,MIN(4,SEARCH(" ",$AG5)-1)),IF(SEARCH(" ",$AG5)-1&gt;4,".",""),""),"")</f>
        <v/>
      </c>
      <c r="BN5" s="337" t="s">
        <v>209</v>
      </c>
      <c r="BO5" s="334">
        <v>35465</v>
      </c>
      <c r="BP5" s="340" t="s">
        <v>212</v>
      </c>
      <c r="BQ5" s="341" t="s">
        <v>216</v>
      </c>
      <c r="BR5" s="130">
        <f t="shared" ca="1" si="3"/>
        <v>24</v>
      </c>
      <c r="BS5" s="325"/>
      <c r="BT5" s="332" t="s">
        <v>221</v>
      </c>
      <c r="BU5" s="331">
        <v>1</v>
      </c>
      <c r="BV5" s="3" t="str">
        <f t="shared" si="4"/>
        <v>Štěpán Čuda</v>
      </c>
      <c r="BW5" s="108">
        <f t="shared" si="5"/>
        <v>1</v>
      </c>
      <c r="BX5" s="324"/>
      <c r="BY5" s="331"/>
      <c r="BZ5" s="331"/>
      <c r="CA5" s="356"/>
    </row>
    <row r="6" spans="1:79" ht="15" customHeight="1" thickTop="1" thickBot="1" x14ac:dyDescent="0.25">
      <c r="A6" s="294"/>
      <c r="B6" s="295"/>
      <c r="C6" s="295"/>
      <c r="D6" s="295"/>
      <c r="E6" s="1" t="str">
        <f ca="1">IFERROR(IF(VLOOKUP(A6,OFFSET($AG$2,,,COUNTIF($AG$2:$AG$50,"?*"),23),9,FALSE)&lt;&gt;0,VLOOKUP(A6,OFFSET($AG$2,,,COUNTIF($AG$2:$AG$50,"?*"),23),9,FALSE),""),"")</f>
        <v/>
      </c>
      <c r="F6" s="2" t="str">
        <f ca="1">IFERROR(IF(VLOOKUP(A6,OFFSET($AG$2,,,COUNTIF($AG$2:$AG$50,"?*"),23),8,FALSE)&lt;&gt;0,VLOOKUP(A6,OFFSET($AG$2,,,COUNTIF($AG$2:$AG$50,"?*"),23),8,FALSE),"?"),"")</f>
        <v/>
      </c>
      <c r="G6" s="297" t="str">
        <f ca="1">IFERROR(IF(VLOOKUP(G3,OFFSET($AG$2,,,COUNTIF($AG$2:$AG$50,"?*"),23),13,FALSE)&lt;&gt;0,VLOOKUP(G3,OFFSET($AG$2,,,COUNTIF($AG$2:$AG$50,"?*"),23),13,FALSE),"?"),"")</f>
        <v/>
      </c>
      <c r="H6" s="298"/>
      <c r="I6" s="299"/>
      <c r="J6" s="288" t="str">
        <f ca="1">IFERROR(IF(VLOOKUP(G3,OFFSET($AG$2,,,COUNTIF($AG$2:$AG$50,"?*"),23),14,FALSE)&lt;&gt;0,VLOOKUP(G3,OFFSET($AG$2,,,COUNTIF($AG$2:$AG$50,"?*"),23),14,FALSE),"?"),"")</f>
        <v/>
      </c>
      <c r="K6" s="287"/>
      <c r="L6" s="7" t="str">
        <f ca="1">IFERROR(IF(VLOOKUP(G3,OFFSET($AG$2,,,COUNTIF($AG$2:$AG$50,"?*"),23),7,FALSE)&lt;&gt;0,VLOOKUP(G3,OFFSET($AG$2,,,COUNTIF($AG$2:$AG$50,"?*"),23),7,FALSE),"?"),"")</f>
        <v/>
      </c>
      <c r="M6" s="294"/>
      <c r="N6" s="295"/>
      <c r="O6" s="295"/>
      <c r="P6" s="295"/>
      <c r="Q6" s="1" t="str">
        <f ca="1">IFERROR(IF(VLOOKUP(M6,OFFSET($AG$2,,,COUNTIF($AG$2:$AG$50,"?*"),23),9,FALSE)&lt;&gt;0,VLOOKUP(M6,OFFSET($AG$2,,,COUNTIF($AG$2:$AG$50,"?*"),23),9,FALSE),""),"")</f>
        <v/>
      </c>
      <c r="R6" s="2" t="str">
        <f ca="1">IFERROR(IF(VLOOKUP(M6,OFFSET($AG$2,,,COUNTIF($AG$2:$AG$50,"?*"),23),8,FALSE)&lt;&gt;0,VLOOKUP(M6,OFFSET($AG$2,,,COUNTIF($AG$2:$AG$50,"?*"),23),8,FALSE),"?"),"")</f>
        <v/>
      </c>
      <c r="S6" s="353" t="s">
        <v>19</v>
      </c>
      <c r="T6" s="330"/>
      <c r="U6" s="330">
        <v>1</v>
      </c>
      <c r="V6" s="330">
        <v>0</v>
      </c>
      <c r="W6" s="330">
        <v>0</v>
      </c>
      <c r="X6" s="330">
        <v>0</v>
      </c>
      <c r="Y6" s="330">
        <v>0</v>
      </c>
      <c r="Z6" s="330">
        <v>0</v>
      </c>
      <c r="AA6" s="330">
        <v>0</v>
      </c>
      <c r="AB6" s="330">
        <v>0</v>
      </c>
      <c r="AG6" s="328" t="s">
        <v>11</v>
      </c>
      <c r="AH6" s="329">
        <v>37000</v>
      </c>
      <c r="AI6" s="330">
        <v>58</v>
      </c>
      <c r="AJ6" s="330">
        <v>9</v>
      </c>
      <c r="AK6" s="330">
        <v>7</v>
      </c>
      <c r="AL6" s="330">
        <v>16</v>
      </c>
      <c r="AM6" s="330">
        <v>4</v>
      </c>
      <c r="AN6" s="330">
        <v>11</v>
      </c>
      <c r="AO6" s="331"/>
      <c r="AP6" s="331" t="s">
        <v>164</v>
      </c>
      <c r="AQ6" s="330">
        <v>181</v>
      </c>
      <c r="AR6" s="330">
        <v>80</v>
      </c>
      <c r="AS6" s="332" t="s">
        <v>168</v>
      </c>
      <c r="AT6" s="330">
        <v>2013</v>
      </c>
      <c r="AU6" s="66">
        <f ca="1">IF(AG6&lt;&gt;"",IF(AH6&lt;&gt;"",INT((TODAY()-AH6)/365),"?"),"")</f>
        <v>20</v>
      </c>
      <c r="AV6" s="66" t="str">
        <f>IF(AG6&lt;&gt;"",CONCATENATE(IF(AQ6&lt;&gt;"",AQ6,"? "),"/",IF(AR6&lt;&gt;"",AR6," ?")),"")</f>
        <v>181/80</v>
      </c>
      <c r="AW6" s="128" t="str">
        <f ca="1">IF(AG6&lt;&gt;"",IF(BE6=1,BD6,IF(BH6,BG6,IF(BJ6=1,BI6,IF(BL6=1,BK6,BM6)))),"")</f>
        <v>Gold</v>
      </c>
      <c r="AX6" s="123" t="str">
        <f ca="1">IFERROR(IF(MATCH(AG6,OFFSET($S$45,,,COUNTIF($S$45:$S$50,"?*")),0)&gt;0,CONCATENATE(VLOOKUP(AG6,OFFSET($S$45,,,COUNTIF($S$45:$S$50,"?*"),14),4,FALSE)," V, ",VLOOKUP(AG6,OFFSET($S$45,,,COUNTIF($S$45:$S$50,"?*"),14),9,FALSE)," P"),""),IFERROR(CONCATENATE(VLOOKUP(AG6,OFFSET($S$2,,,COUNTIF($S$2:$S$42,"?*"),10),3,FALSE)+AZ6," OZ, ",VLOOKUP(AG6,OFFSET($S$2,,,COUNTIF($S$2:$S$42,"?*"),10),8,FALSE)+BA6+BB6," (",VLOOKUP(AG6,OFFSET($S$2,,,COUNTIF($S$2:$S$42,"?*"),10),4,FALSE)+BA6,"+",VLOOKUP(AG6,OFFSET($S$2,,,COUNTIF($S$2:$S$42,"?*"),10),7,FALSE)+BB6,"), ",IF(VLOOKUP(AG6,OFFSET($S$2,,,COUNTIF($S$2:$S$42,"?*"),10),10,FALSE)+BC6&gt;0,"+",""),VLOOKUP(AG6,OFFSET($S$2,,,COUNTIF($S$2:$S$42,"?*"),10),10,FALSE)+BC6," ±"),IF(AG6&lt;&gt;"","0 OZ, 0 (0+0)","")))</f>
        <v>1 OZ, 0 (0+0), 0 ±</v>
      </c>
      <c r="AY6" s="123" t="str">
        <f ca="1">IFERROR(CONCATENATE(AI6+VLOOKUP(AG6,OFFSET($S$45,,,COUNTIF($S$45:$S$50,"?*"),14),2,FALSE)," OZ, ",AK6+VLOOKUP(AG6,OFFSET($S$45,,,COUNTIF($S$45:$S$50,"?*"),14),11,FALSE)," A"),IFERROR(CONCATENATE(VLOOKUP(AG6,OFFSET($S$2,,,COUNTIF($S$2:$S$42,"?*"),10),3,FALSE)+AZ6+AI6," OZ, ",VLOOKUP(AG6,OFFSET($S$2,,,COUNTIF($S$2:$S$42,"?*"),10),8,FALSE)+BA6+BB6+AL6," (",VLOOKUP(AG6,OFFSET($S$2,,,COUNTIF($S$2:$S$42,"?*"),10),4,FALSE)+BA6+AJ6,"+",VLOOKUP(AG6,OFFSET($S$2,,,COUNTIF($S$2:$S$42,"?*"),10),7,FALSE)+BB6+AK6,")"),IF(AG6&lt;&gt;"",CONCATENATE(AI6," OZ, ",AL6," (",AJ6,"+",AK6,")"),"")))</f>
        <v>59 OZ, 16 (9+7)</v>
      </c>
      <c r="BD6" s="3" t="str">
        <f>IF(AG6&lt;&gt;"",RIGHT(AG6,LEN(AG6)-SEARCH(" ",AG6)),"")</f>
        <v>Gold</v>
      </c>
      <c r="BE6" s="123">
        <f ca="1">IF(AG6&lt;&gt;"",COUNTIF(OFFSET($BD$2,,,COUNTIF($AG$2:$AG$50,"?*")),BD6),"")</f>
        <v>1</v>
      </c>
      <c r="BF6" s="66" t="str">
        <f>IF(AG6&lt;&gt;"",LEFT(AG6,1),"")</f>
        <v>O</v>
      </c>
      <c r="BG6" s="3" t="str">
        <f ca="1">IF(AND($AG6&lt;&gt;"",BE6&gt;1),CONCATENATE($BD6," ",LEFT($AG6,MIN(1,SEARCH(" ",$AG6)-1)),IF(SEARCH(" ",$AG6)-1&gt;1,".",""),""),"")</f>
        <v/>
      </c>
      <c r="BH6" s="66">
        <f ca="1">IF(BG6&lt;&gt;"",COUNTIF(OFFSET(BG$2,,,COUNTIF($AG$2:$AG$50,"?*")),BG6),IF($AG6&lt;&gt;"",0,""))</f>
        <v>0</v>
      </c>
      <c r="BI6" s="3" t="str">
        <f ca="1">IF(AND($AG6&lt;&gt;"",BH6&gt;1),CONCATENATE($BD6," ",LEFT($AG6,MIN(2,SEARCH(" ",$AG6)-1)),IF(SEARCH(" ",$AG6)-1&gt;2,".",""),""),"")</f>
        <v/>
      </c>
      <c r="BJ6" s="66">
        <f ca="1">IF(BI6&lt;&gt;"",COUNTIF(OFFSET(BI$2,,,COUNTIF($AG$2:$AG$50,"?*")),BI6),IF($AG6&lt;&gt;"",0,""))</f>
        <v>0</v>
      </c>
      <c r="BK6" s="3" t="str">
        <f ca="1">IF(AND($AG6&lt;&gt;"",BJ6&gt;1),CONCATENATE($BD6," ",LEFT($AG6,MIN(3,SEARCH(" ",$AG6)-1)),IF(SEARCH(" ",$AG6)-1&gt;3,".",""),""),"")</f>
        <v/>
      </c>
      <c r="BL6" s="66">
        <f ca="1">IF(BK6&lt;&gt;"",COUNTIF(OFFSET(BK$2,,,COUNTIF($AG$2:$AG$50,"?*")),BK6),IF($AG6&lt;&gt;"",0,""))</f>
        <v>0</v>
      </c>
      <c r="BM6" s="3" t="str">
        <f ca="1">IF(AND($AG6&lt;&gt;"",BL6&gt;1),CONCATENATE($BD6," ",LEFT($AG6,MIN(4,SEARCH(" ",$AG6)-1)),IF(SEARCH(" ",$AG6)-1&gt;4,".",""),""),"")</f>
        <v/>
      </c>
      <c r="BN6" s="332" t="s">
        <v>22</v>
      </c>
      <c r="BO6" s="329">
        <v>33139</v>
      </c>
      <c r="BP6" s="338" t="s">
        <v>213</v>
      </c>
      <c r="BQ6" s="339" t="s">
        <v>217</v>
      </c>
      <c r="BR6" s="66">
        <f t="shared" ca="1" si="3"/>
        <v>30</v>
      </c>
      <c r="BS6" s="325"/>
      <c r="BT6" s="332" t="s">
        <v>222</v>
      </c>
      <c r="BU6" s="331">
        <v>0</v>
      </c>
      <c r="BV6" s="3" t="str">
        <f t="shared" si="4"/>
        <v>David Ježek</v>
      </c>
      <c r="BW6" s="108">
        <f t="shared" si="5"/>
        <v>0</v>
      </c>
      <c r="BX6" s="324"/>
      <c r="BY6" s="331"/>
      <c r="BZ6" s="331"/>
      <c r="CA6" s="356"/>
    </row>
    <row r="7" spans="1:79" ht="15" customHeight="1" thickBot="1" x14ac:dyDescent="0.25">
      <c r="A7" s="4" t="str">
        <f ca="1">IFERROR(IF(VLOOKUP(A6,OFFSET($AG$2,,,COUNTIF($AG$2:$AG$50,"?*"),23),10,FALSE)&lt;&gt;0,VLOOKUP(A6,OFFSET($AG$2,,,COUNTIF($AG$2:$AG$50,"?*"),23),10,FALSE),"?"),"")</f>
        <v/>
      </c>
      <c r="B7" s="252" t="str">
        <f ca="1">IFERROR(IF(VLOOKUP(A6,OFFSET($AG$2,,,COUNTIF($AG$2:$AG$50,"?*"),23),2,FALSE)&lt;&gt;0,YEAR(VLOOKUP(A6,OFFSET($AG$2,,,COUNTIF($AG$2:$AG$50,"?*"),23),2,FALSE)),"?"),"")</f>
        <v/>
      </c>
      <c r="C7" s="261"/>
      <c r="D7" s="5" t="str">
        <f ca="1">IFERROR(VLOOKUP(A6,OFFSET($AG$2,,,COUNTIF($AG$2:$AG$50,"?*"),23),15,FALSE),"")</f>
        <v/>
      </c>
      <c r="E7" s="251" t="str">
        <f ca="1">IFERROR(VLOOKUP(A6,OFFSET($AG$2,,,COUNTIF($AG$2:$AG$50,"?*"),23),16,FALSE),"")</f>
        <v/>
      </c>
      <c r="F7" s="253"/>
      <c r="M7" s="4" t="str">
        <f ca="1">IFERROR(IF(VLOOKUP(M6,OFFSET($AG$2,,,COUNTIF($AG$2:$AG$50,"?*"),23),10,FALSE)&lt;&gt;0,VLOOKUP(M6,OFFSET($AG$2,,,COUNTIF($AG$2:$AG$50,"?*"),23),10,FALSE),"?"),"")</f>
        <v/>
      </c>
      <c r="N7" s="252" t="str">
        <f ca="1">IFERROR(IF(VLOOKUP(M6,OFFSET($AG$2,,,COUNTIF($AG$2:$AG$50,"?*"),23),2,FALSE)&lt;&gt;0,YEAR(VLOOKUP(M6,OFFSET($AG$2,,,COUNTIF($AG$2:$AG$50,"?*"),23),2,FALSE)),"?"),"")</f>
        <v/>
      </c>
      <c r="O7" s="261"/>
      <c r="P7" s="6" t="str">
        <f ca="1">IFERROR(VLOOKUP(M6,OFFSET($AG$2,,,COUNTIF($AG$2:$AG$50,"?*"),23),15,FALSE),"")</f>
        <v/>
      </c>
      <c r="Q7" s="251" t="str">
        <f ca="1">IFERROR(VLOOKUP(M6,OFFSET($AG$2,,,COUNTIF($AG$2:$AG$50,"?*"),23),16,FALSE),"")</f>
        <v/>
      </c>
      <c r="R7" s="253"/>
      <c r="S7" s="353" t="s">
        <v>6</v>
      </c>
      <c r="T7" s="330" t="s">
        <v>69</v>
      </c>
      <c r="U7" s="330">
        <v>1</v>
      </c>
      <c r="V7" s="330">
        <v>0</v>
      </c>
      <c r="W7" s="330">
        <v>0</v>
      </c>
      <c r="X7" s="330">
        <v>0</v>
      </c>
      <c r="Y7" s="330">
        <v>0</v>
      </c>
      <c r="Z7" s="330">
        <v>0</v>
      </c>
      <c r="AA7" s="330">
        <v>0</v>
      </c>
      <c r="AB7" s="330">
        <v>0</v>
      </c>
      <c r="AG7" s="333" t="s">
        <v>8</v>
      </c>
      <c r="AH7" s="334">
        <v>34105</v>
      </c>
      <c r="AI7" s="335">
        <v>161</v>
      </c>
      <c r="AJ7" s="335">
        <v>92</v>
      </c>
      <c r="AK7" s="335">
        <v>47</v>
      </c>
      <c r="AL7" s="335">
        <v>139</v>
      </c>
      <c r="AM7" s="335">
        <v>8</v>
      </c>
      <c r="AN7" s="335">
        <v>27</v>
      </c>
      <c r="AO7" s="336"/>
      <c r="AP7" s="336" t="s">
        <v>164</v>
      </c>
      <c r="AQ7" s="335">
        <v>180</v>
      </c>
      <c r="AR7" s="335">
        <v>78</v>
      </c>
      <c r="AS7" s="337" t="s">
        <v>169</v>
      </c>
      <c r="AT7" s="335">
        <v>2007</v>
      </c>
      <c r="AU7" s="130">
        <f ca="1">IF(AG7&lt;&gt;"",IF(AH7&lt;&gt;"",INT((TODAY()-AH7)/365),"?"),"")</f>
        <v>28</v>
      </c>
      <c r="AV7" s="130" t="str">
        <f>IF(AG7&lt;&gt;"",CONCATENATE(IF(AQ7&lt;&gt;"",AQ7,"? "),"/",IF(AR7&lt;&gt;"",AR7," ?")),"")</f>
        <v>180/78</v>
      </c>
      <c r="AW7" s="131" t="str">
        <f ca="1">IF(AG7&lt;&gt;"",IF(BE7=1,BD7,IF(BH7,BG7,IF(BJ7=1,BI7,IF(BL7=1,BK7,BM7)))),"")</f>
        <v>Gregor</v>
      </c>
      <c r="AX7" s="132" t="str">
        <f ca="1">IFERROR(IF(MATCH(AG7,OFFSET($S$45,,,COUNTIF($S$45:$S$50,"?*")),0)&gt;0,CONCATENATE(VLOOKUP(AG7,OFFSET($S$45,,,COUNTIF($S$45:$S$50,"?*"),14),4,FALSE)," V, ",VLOOKUP(AG7,OFFSET($S$45,,,COUNTIF($S$45:$S$50,"?*"),14),9,FALSE)," P"),""),IFERROR(CONCATENATE(VLOOKUP(AG7,OFFSET($S$2,,,COUNTIF($S$2:$S$42,"?*"),10),3,FALSE)+AZ7," OZ, ",VLOOKUP(AG7,OFFSET($S$2,,,COUNTIF($S$2:$S$42,"?*"),10),8,FALSE)+BA7+BB7," (",VLOOKUP(AG7,OFFSET($S$2,,,COUNTIF($S$2:$S$42,"?*"),10),4,FALSE)+BA7,"+",VLOOKUP(AG7,OFFSET($S$2,,,COUNTIF($S$2:$S$42,"?*"),10),7,FALSE)+BB7,"), ",IF(VLOOKUP(AG7,OFFSET($S$2,,,COUNTIF($S$2:$S$42,"?*"),10),10,FALSE)+BC7&gt;0,"+",""),VLOOKUP(AG7,OFFSET($S$2,,,COUNTIF($S$2:$S$42,"?*"),10),10,FALSE)+BC7," ±"),IF(AG7&lt;&gt;"","0 OZ, 0 (0+0)","")))</f>
        <v>0 OZ, 0 (0+0)</v>
      </c>
      <c r="AY7" s="132" t="str">
        <f ca="1">IFERROR(CONCATENATE(AI7+VLOOKUP(AG7,OFFSET($S$45,,,COUNTIF($S$45:$S$50,"?*"),14),2,FALSE)," OZ, ",AK7+VLOOKUP(AG7,OFFSET($S$45,,,COUNTIF($S$45:$S$50,"?*"),14),11,FALSE)," A"),IFERROR(CONCATENATE(VLOOKUP(AG7,OFFSET($S$2,,,COUNTIF($S$2:$S$42,"?*"),10),3,FALSE)+AZ7+AI7," OZ, ",VLOOKUP(AG7,OFFSET($S$2,,,COUNTIF($S$2:$S$42,"?*"),10),8,FALSE)+BA7+BB7+AL7," (",VLOOKUP(AG7,OFFSET($S$2,,,COUNTIF($S$2:$S$42,"?*"),10),4,FALSE)+BA7+AJ7,"+",VLOOKUP(AG7,OFFSET($S$2,,,COUNTIF($S$2:$S$42,"?*"),10),7,FALSE)+BB7+AK7,")"),IF(AG7&lt;&gt;"",CONCATENATE(AI7," OZ, ",AL7," (",AJ7,"+",AK7,")"),"")))</f>
        <v>161 OZ, 139 (92+47)</v>
      </c>
      <c r="AZ7" s="132"/>
      <c r="BA7" s="132"/>
      <c r="BB7" s="132"/>
      <c r="BC7" s="132"/>
      <c r="BD7" s="129" t="str">
        <f>IF(AG7&lt;&gt;"",RIGHT(AG7,LEN(AG7)-SEARCH(" ",AG7)),"")</f>
        <v>Gregor</v>
      </c>
      <c r="BE7" s="132">
        <f ca="1">IF(AG7&lt;&gt;"",COUNTIF(OFFSET($BD$2,,,COUNTIF($AG$2:$AG$50,"?*")),BD7),"")</f>
        <v>1</v>
      </c>
      <c r="BF7" s="130" t="str">
        <f>IF(AG7&lt;&gt;"",LEFT(AG7,1),"")</f>
        <v>L</v>
      </c>
      <c r="BG7" s="129" t="str">
        <f ca="1">IF(AND($AG7&lt;&gt;"",BE7&gt;1),CONCATENATE($BD7," ",LEFT($AG7,MIN(1,SEARCH(" ",$AG7)-1)),IF(SEARCH(" ",$AG7)-1&gt;1,".",""),""),"")</f>
        <v/>
      </c>
      <c r="BH7" s="130">
        <f ca="1">IF(BG7&lt;&gt;"",COUNTIF(OFFSET(BG$2,,,COUNTIF($AG$2:$AG$50,"?*")),BG7),IF($AG7&lt;&gt;"",0,""))</f>
        <v>0</v>
      </c>
      <c r="BI7" s="129" t="str">
        <f ca="1">IF(AND($AG7&lt;&gt;"",BH7&gt;1),CONCATENATE($BD7," ",LEFT($AG7,MIN(2,SEARCH(" ",$AG7)-1)),IF(SEARCH(" ",$AG7)-1&gt;2,".",""),""),"")</f>
        <v/>
      </c>
      <c r="BJ7" s="130">
        <f ca="1">IF(BI7&lt;&gt;"",COUNTIF(OFFSET(BI$2,,,COUNTIF($AG$2:$AG$50,"?*")),BI7),IF($AG7&lt;&gt;"",0,""))</f>
        <v>0</v>
      </c>
      <c r="BK7" s="129" t="str">
        <f ca="1">IF(AND($AG7&lt;&gt;"",BJ7&gt;1),CONCATENATE($BD7," ",LEFT($AG7,MIN(3,SEARCH(" ",$AG7)-1)),IF(SEARCH(" ",$AG7)-1&gt;3,".",""),""),"")</f>
        <v/>
      </c>
      <c r="BL7" s="130">
        <f ca="1">IF(BK7&lt;&gt;"",COUNTIF(OFFSET(BK$2,,,COUNTIF($AG$2:$AG$50,"?*")),BK7),IF($AG7&lt;&gt;"",0,""))</f>
        <v>0</v>
      </c>
      <c r="BM7" s="129" t="str">
        <f ca="1">IF(AND($AG7&lt;&gt;"",BL7&gt;1),CONCATENATE($BD7," ",LEFT($AG7,MIN(4,SEARCH(" ",$AG7)-1)),IF(SEARCH(" ",$AG7)-1&gt;4,".",""),""),"")</f>
        <v/>
      </c>
      <c r="BN7" s="337"/>
      <c r="BO7" s="334"/>
      <c r="BP7" s="340"/>
      <c r="BQ7" s="341"/>
      <c r="BR7" s="130" t="str">
        <f t="shared" ca="1" si="3"/>
        <v/>
      </c>
      <c r="BS7" s="325" t="s">
        <v>40</v>
      </c>
      <c r="BT7" s="332" t="s">
        <v>223</v>
      </c>
      <c r="BU7" s="331" t="s">
        <v>224</v>
      </c>
      <c r="BV7" s="3" t="str">
        <f t="shared" si="4"/>
        <v>Petr Musil</v>
      </c>
      <c r="BW7" s="106">
        <f t="shared" si="5"/>
        <v>11</v>
      </c>
      <c r="BX7" s="324" t="s">
        <v>251</v>
      </c>
      <c r="BY7" s="331" t="s">
        <v>241</v>
      </c>
      <c r="BZ7" s="331" t="s">
        <v>104</v>
      </c>
      <c r="CA7" s="356" t="s">
        <v>242</v>
      </c>
    </row>
    <row r="8" spans="1:79" ht="15" customHeight="1" x14ac:dyDescent="0.2">
      <c r="A8" s="290" t="str">
        <f ca="1">IFERROR(VLOOKUP(A6,OFFSET($AG$2,,,COUNTIF($AG$2:$AG$50,"?*"),23),18,FALSE),"")</f>
        <v/>
      </c>
      <c r="B8" s="291"/>
      <c r="C8" s="291"/>
      <c r="D8" s="292" t="str">
        <f ca="1">IFERROR(VLOOKUP(A6,OFFSET($AG$2,,,COUNTIF($AG$2:$AG$50,"?*"),23),19,FALSE),"")</f>
        <v/>
      </c>
      <c r="E8" s="292"/>
      <c r="F8" s="293"/>
      <c r="H8" s="300" t="s">
        <v>5</v>
      </c>
      <c r="I8" s="300"/>
      <c r="J8" s="300"/>
      <c r="K8" s="300"/>
      <c r="M8" s="290" t="str">
        <f ca="1">IFERROR(VLOOKUP(M6,OFFSET($AG$2,,,COUNTIF($AG$2:$AG$50,"?*"),23),18,FALSE),"")</f>
        <v/>
      </c>
      <c r="N8" s="291"/>
      <c r="O8" s="291"/>
      <c r="P8" s="292" t="str">
        <f ca="1">IFERROR(VLOOKUP(M6,OFFSET($AG$2,,,COUNTIF($AG$2:$AG$50,"?*"),23),19,FALSE),"")</f>
        <v/>
      </c>
      <c r="Q8" s="292"/>
      <c r="R8" s="293"/>
      <c r="S8" s="353" t="s">
        <v>15</v>
      </c>
      <c r="T8" s="330" t="s">
        <v>132</v>
      </c>
      <c r="U8" s="330">
        <v>0</v>
      </c>
      <c r="V8" s="330">
        <v>0</v>
      </c>
      <c r="W8" s="330">
        <v>0</v>
      </c>
      <c r="X8" s="330">
        <v>0</v>
      </c>
      <c r="Y8" s="330">
        <v>0</v>
      </c>
      <c r="Z8" s="330">
        <v>0</v>
      </c>
      <c r="AA8" s="330">
        <v>0</v>
      </c>
      <c r="AB8" s="330">
        <v>0</v>
      </c>
      <c r="AG8" s="328" t="s">
        <v>170</v>
      </c>
      <c r="AH8" s="329">
        <v>36825</v>
      </c>
      <c r="AI8" s="330">
        <v>54</v>
      </c>
      <c r="AJ8" s="330">
        <v>2</v>
      </c>
      <c r="AK8" s="330">
        <v>14</v>
      </c>
      <c r="AL8" s="330">
        <v>16</v>
      </c>
      <c r="AM8" s="330">
        <v>4</v>
      </c>
      <c r="AN8" s="330">
        <v>32</v>
      </c>
      <c r="AO8" s="331"/>
      <c r="AP8" s="331" t="s">
        <v>164</v>
      </c>
      <c r="AQ8" s="330">
        <v>175</v>
      </c>
      <c r="AR8" s="330">
        <v>70</v>
      </c>
      <c r="AS8" s="332" t="s">
        <v>5</v>
      </c>
      <c r="AT8" s="330">
        <v>2015</v>
      </c>
      <c r="AU8" s="66">
        <f ca="1">IF(AG8&lt;&gt;"",IF(AH8&lt;&gt;"",INT((TODAY()-AH8)/365),"?"),"")</f>
        <v>20</v>
      </c>
      <c r="AV8" s="66" t="str">
        <f>IF(AG8&lt;&gt;"",CONCATENATE(IF(AQ8&lt;&gt;"",AQ8,"? "),"/",IF(AR8&lt;&gt;"",AR8," ?")),"")</f>
        <v>175/70</v>
      </c>
      <c r="AW8" s="128" t="str">
        <f ca="1">IF(AG8&lt;&gt;"",IF(BE8=1,BD8,IF(BH8,BG8,IF(BJ8=1,BI8,IF(BL8=1,BK8,BM8)))),"")</f>
        <v>Hájek</v>
      </c>
      <c r="AX8" s="123" t="str">
        <f ca="1">IFERROR(IF(MATCH(AG8,OFFSET($S$45,,,COUNTIF($S$45:$S$50,"?*")),0)&gt;0,CONCATENATE(VLOOKUP(AG8,OFFSET($S$45,,,COUNTIF($S$45:$S$50,"?*"),14),4,FALSE)," V, ",VLOOKUP(AG8,OFFSET($S$45,,,COUNTIF($S$45:$S$50,"?*"),14),9,FALSE)," P"),""),IFERROR(CONCATENATE(VLOOKUP(AG8,OFFSET($S$2,,,COUNTIF($S$2:$S$42,"?*"),10),3,FALSE)+AZ8," OZ, ",VLOOKUP(AG8,OFFSET($S$2,,,COUNTIF($S$2:$S$42,"?*"),10),8,FALSE)+BA8+BB8," (",VLOOKUP(AG8,OFFSET($S$2,,,COUNTIF($S$2:$S$42,"?*"),10),4,FALSE)+BA8,"+",VLOOKUP(AG8,OFFSET($S$2,,,COUNTIF($S$2:$S$42,"?*"),10),7,FALSE)+BB8,"), ",IF(VLOOKUP(AG8,OFFSET($S$2,,,COUNTIF($S$2:$S$42,"?*"),10),10,FALSE)+BC8&gt;0,"+",""),VLOOKUP(AG8,OFFSET($S$2,,,COUNTIF($S$2:$S$42,"?*"),10),10,FALSE)+BC8," ±"),IF(AG8&lt;&gt;"","0 OZ, 0 (0+0)","")))</f>
        <v>0 OZ, 0 (0+0)</v>
      </c>
      <c r="AY8" s="123" t="str">
        <f ca="1">IFERROR(CONCATENATE(AI8+VLOOKUP(AG8,OFFSET($S$45,,,COUNTIF($S$45:$S$50,"?*"),14),2,FALSE)," OZ, ",AK8+VLOOKUP(AG8,OFFSET($S$45,,,COUNTIF($S$45:$S$50,"?*"),14),11,FALSE)," A"),IFERROR(CONCATENATE(VLOOKUP(AG8,OFFSET($S$2,,,COUNTIF($S$2:$S$42,"?*"),10),3,FALSE)+AZ8+AI8," OZ, ",VLOOKUP(AG8,OFFSET($S$2,,,COUNTIF($S$2:$S$42,"?*"),10),8,FALSE)+BA8+BB8+AL8," (",VLOOKUP(AG8,OFFSET($S$2,,,COUNTIF($S$2:$S$42,"?*"),10),4,FALSE)+BA8+AJ8,"+",VLOOKUP(AG8,OFFSET($S$2,,,COUNTIF($S$2:$S$42,"?*"),10),7,FALSE)+BB8+AK8,")"),IF(AG8&lt;&gt;"",CONCATENATE(AI8," OZ, ",AL8," (",AJ8,"+",AK8,")"),"")))</f>
        <v>54 OZ, 16 (2+14)</v>
      </c>
      <c r="BD8" s="3" t="str">
        <f>IF(AG8&lt;&gt;"",RIGHT(AG8,LEN(AG8)-SEARCH(" ",AG8)),"")</f>
        <v>Hájek</v>
      </c>
      <c r="BE8" s="123">
        <f ca="1">IF(AG8&lt;&gt;"",COUNTIF(OFFSET($BD$2,,,COUNTIF($AG$2:$AG$50,"?*")),BD8),"")</f>
        <v>1</v>
      </c>
      <c r="BF8" s="66" t="str">
        <f>IF(AG8&lt;&gt;"",LEFT(AG8,1),"")</f>
        <v>P</v>
      </c>
      <c r="BG8" s="3" t="str">
        <f ca="1">IF(AND($AG8&lt;&gt;"",BE8&gt;1),CONCATENATE($BD8," ",LEFT($AG8,MIN(1,SEARCH(" ",$AG8)-1)),IF(SEARCH(" ",$AG8)-1&gt;1,".",""),""),"")</f>
        <v/>
      </c>
      <c r="BH8" s="66">
        <f ca="1">IF(BG8&lt;&gt;"",COUNTIF(OFFSET(BG$2,,,COUNTIF($AG$2:$AG$50,"?*")),BG8),IF($AG8&lt;&gt;"",0,""))</f>
        <v>0</v>
      </c>
      <c r="BI8" s="3" t="str">
        <f ca="1">IF(AND($AG8&lt;&gt;"",BH8&gt;1),CONCATENATE($BD8," ",LEFT($AG8,MIN(2,SEARCH(" ",$AG8)-1)),IF(SEARCH(" ",$AG8)-1&gt;2,".",""),""),"")</f>
        <v/>
      </c>
      <c r="BJ8" s="66">
        <f ca="1">IF(BI8&lt;&gt;"",COUNTIF(OFFSET(BI$2,,,COUNTIF($AG$2:$AG$50,"?*")),BI8),IF($AG8&lt;&gt;"",0,""))</f>
        <v>0</v>
      </c>
      <c r="BK8" s="3" t="str">
        <f ca="1">IF(AND($AG8&lt;&gt;"",BJ8&gt;1),CONCATENATE($BD8," ",LEFT($AG8,MIN(3,SEARCH(" ",$AG8)-1)),IF(SEARCH(" ",$AG8)-1&gt;3,".",""),""),"")</f>
        <v/>
      </c>
      <c r="BL8" s="66">
        <f ca="1">IF(BK8&lt;&gt;"",COUNTIF(OFFSET(BK$2,,,COUNTIF($AG$2:$AG$50,"?*")),BK8),IF($AG8&lt;&gt;"",0,""))</f>
        <v>0</v>
      </c>
      <c r="BM8" s="3" t="str">
        <f ca="1">IF(AND($AG8&lt;&gt;"",BL8&gt;1),CONCATENATE($BD8," ",LEFT($AG8,MIN(4,SEARCH(" ",$AG8)-1)),IF(SEARCH(" ",$AG8)-1&gt;4,".",""),""),"")</f>
        <v/>
      </c>
      <c r="BN8" s="332"/>
      <c r="BO8" s="329"/>
      <c r="BP8" s="338"/>
      <c r="BQ8" s="339"/>
      <c r="BR8" s="66" t="str">
        <f t="shared" ca="1" si="3"/>
        <v/>
      </c>
      <c r="BS8" s="325"/>
      <c r="BT8" s="332" t="s">
        <v>225</v>
      </c>
      <c r="BU8" s="331" t="s">
        <v>226</v>
      </c>
      <c r="BV8" s="3" t="str">
        <f t="shared" si="4"/>
        <v>Karel Šantora</v>
      </c>
      <c r="BW8" s="106">
        <f t="shared" si="5"/>
        <v>0</v>
      </c>
      <c r="BX8" s="324"/>
      <c r="BY8" s="331" t="s">
        <v>243</v>
      </c>
      <c r="BZ8" s="331" t="s">
        <v>110</v>
      </c>
      <c r="CA8" s="356" t="s">
        <v>242</v>
      </c>
    </row>
    <row r="9" spans="1:79" ht="15" customHeight="1" thickBot="1" x14ac:dyDescent="0.25">
      <c r="A9" s="297" t="str">
        <f ca="1">IFERROR(IF(VLOOKUP(A6,OFFSET($AG$2,,,COUNTIF($AG$2:$AG$50,"?*"),23),13,FALSE)&lt;&gt;0,VLOOKUP(A6,OFFSET($AG$2,,,COUNTIF($AG$2:$AG$50,"?*"),23),13,FALSE),"?"),"")</f>
        <v/>
      </c>
      <c r="B9" s="298"/>
      <c r="C9" s="299"/>
      <c r="D9" s="288" t="str">
        <f ca="1">IFERROR(IF(VLOOKUP(A6,OFFSET($AG$2,,,COUNTIF($AG$2:$AG$50,"?*"),23),14,FALSE)&lt;&gt;0,VLOOKUP(A6,OFFSET($AG$2,,,COUNTIF($AG$2:$AG$50,"?*"),23),14,FALSE),"?"),"")</f>
        <v/>
      </c>
      <c r="E9" s="287"/>
      <c r="F9" s="7" t="str">
        <f ca="1">IFERROR(IF(VLOOKUP(A6,OFFSET($AG$2,,,COUNTIF($AG$2:$AG$50,"?*"),23),7,FALSE)&lt;&gt;0,VLOOKUP(A6,OFFSET($AG$2,,,COUNTIF($AG$2:$AG$50,"?*"),23),7,FALSE),"?"),"")</f>
        <v/>
      </c>
      <c r="H9" s="300"/>
      <c r="I9" s="300"/>
      <c r="J9" s="300"/>
      <c r="K9" s="300"/>
      <c r="M9" s="297" t="str">
        <f ca="1">IFERROR(IF(VLOOKUP(M6,OFFSET($AG$2,,,COUNTIF($AG$2:$AG$50,"?*"),23),13,FALSE)&lt;&gt;0,VLOOKUP(M6,OFFSET($AG$2,,,COUNTIF($AG$2:$AG$50,"?*"),23),13,FALSE),"?"),"")</f>
        <v/>
      </c>
      <c r="N9" s="298"/>
      <c r="O9" s="299"/>
      <c r="P9" s="288" t="str">
        <f ca="1">IFERROR(IF(VLOOKUP(M6,OFFSET($AG$2,,,COUNTIF($AG$2:$AG$50,"?*"),23),14,FALSE)&lt;&gt;0,VLOOKUP(M6,OFFSET($AG$2,,,COUNTIF($AG$2:$AG$50,"?*"),23),14,FALSE),"?"),"")</f>
        <v/>
      </c>
      <c r="Q9" s="287"/>
      <c r="R9" s="7" t="str">
        <f ca="1">IFERROR(IF(VLOOKUP(M6,OFFSET($AG$2,,,COUNTIF($AG$2:$AG$50,"?*"),23),7,FALSE)&lt;&gt;0,VLOOKUP(M6,OFFSET($AG$2,,,COUNTIF($AG$2:$AG$50,"?*"),23),7,FALSE),"?"),"")</f>
        <v/>
      </c>
      <c r="S9" s="353" t="s">
        <v>17</v>
      </c>
      <c r="T9" s="330"/>
      <c r="U9" s="330">
        <v>1</v>
      </c>
      <c r="V9" s="330">
        <v>0</v>
      </c>
      <c r="W9" s="330">
        <v>0</v>
      </c>
      <c r="X9" s="330">
        <v>0</v>
      </c>
      <c r="Y9" s="330">
        <v>0</v>
      </c>
      <c r="Z9" s="330">
        <v>0</v>
      </c>
      <c r="AA9" s="330">
        <v>0</v>
      </c>
      <c r="AB9" s="330">
        <v>0</v>
      </c>
      <c r="AG9" s="333" t="s">
        <v>14</v>
      </c>
      <c r="AH9" s="334">
        <v>33357</v>
      </c>
      <c r="AI9" s="335">
        <v>82</v>
      </c>
      <c r="AJ9" s="335">
        <v>45</v>
      </c>
      <c r="AK9" s="335">
        <v>22</v>
      </c>
      <c r="AL9" s="335">
        <v>67</v>
      </c>
      <c r="AM9" s="335">
        <v>5</v>
      </c>
      <c r="AN9" s="335">
        <v>24</v>
      </c>
      <c r="AO9" s="336"/>
      <c r="AP9" s="336" t="s">
        <v>164</v>
      </c>
      <c r="AQ9" s="335">
        <v>180</v>
      </c>
      <c r="AR9" s="335">
        <v>78</v>
      </c>
      <c r="AS9" s="337" t="s">
        <v>171</v>
      </c>
      <c r="AT9" s="335">
        <v>2008</v>
      </c>
      <c r="AU9" s="130">
        <f ca="1">IF(AG9&lt;&gt;"",IF(AH9&lt;&gt;"",INT((TODAY()-AH9)/365),"?"),"")</f>
        <v>30</v>
      </c>
      <c r="AV9" s="130" t="str">
        <f>IF(AG9&lt;&gt;"",CONCATENATE(IF(AQ9&lt;&gt;"",AQ9,"? "),"/",IF(AR9&lt;&gt;"",AR9," ?")),"")</f>
        <v>180/78</v>
      </c>
      <c r="AW9" s="131" t="str">
        <f ca="1">IF(AG9&lt;&gt;"",IF(BE9=1,BD9,IF(BH9,BG9,IF(BJ9=1,BI9,IF(BL9=1,BK9,BM9)))),"")</f>
        <v>Hartman</v>
      </c>
      <c r="AX9" s="132" t="str">
        <f ca="1">IFERROR(IF(MATCH(AG9,OFFSET($S$45,,,COUNTIF($S$45:$S$50,"?*")),0)&gt;0,CONCATENATE(VLOOKUP(AG9,OFFSET($S$45,,,COUNTIF($S$45:$S$50,"?*"),14),4,FALSE)," V, ",VLOOKUP(AG9,OFFSET($S$45,,,COUNTIF($S$45:$S$50,"?*"),14),9,FALSE)," P"),""),IFERROR(CONCATENATE(VLOOKUP(AG9,OFFSET($S$2,,,COUNTIF($S$2:$S$42,"?*"),10),3,FALSE)+AZ9," OZ, ",VLOOKUP(AG9,OFFSET($S$2,,,COUNTIF($S$2:$S$42,"?*"),10),8,FALSE)+BA9+BB9," (",VLOOKUP(AG9,OFFSET($S$2,,,COUNTIF($S$2:$S$42,"?*"),10),4,FALSE)+BA9,"+",VLOOKUP(AG9,OFFSET($S$2,,,COUNTIF($S$2:$S$42,"?*"),10),7,FALSE)+BB9,"), ",IF(VLOOKUP(AG9,OFFSET($S$2,,,COUNTIF($S$2:$S$42,"?*"),10),10,FALSE)+BC9&gt;0,"+",""),VLOOKUP(AG9,OFFSET($S$2,,,COUNTIF($S$2:$S$42,"?*"),10),10,FALSE)+BC9," ±"),IF(AG9&lt;&gt;"","0 OZ, 0 (0+0)","")))</f>
        <v>1 OZ, 0 (0+0), 0 ±</v>
      </c>
      <c r="AY9" s="132" t="str">
        <f ca="1">IFERROR(CONCATENATE(AI9+VLOOKUP(AG9,OFFSET($S$45,,,COUNTIF($S$45:$S$50,"?*"),14),2,FALSE)," OZ, ",AK9+VLOOKUP(AG9,OFFSET($S$45,,,COUNTIF($S$45:$S$50,"?*"),14),11,FALSE)," A"),IFERROR(CONCATENATE(VLOOKUP(AG9,OFFSET($S$2,,,COUNTIF($S$2:$S$42,"?*"),10),3,FALSE)+AZ9+AI9," OZ, ",VLOOKUP(AG9,OFFSET($S$2,,,COUNTIF($S$2:$S$42,"?*"),10),8,FALSE)+BA9+BB9+AL9," (",VLOOKUP(AG9,OFFSET($S$2,,,COUNTIF($S$2:$S$42,"?*"),10),4,FALSE)+BA9+AJ9,"+",VLOOKUP(AG9,OFFSET($S$2,,,COUNTIF($S$2:$S$42,"?*"),10),7,FALSE)+BB9+AK9,")"),IF(AG9&lt;&gt;"",CONCATENATE(AI9," OZ, ",AL9," (",AJ9,"+",AK9,")"),"")))</f>
        <v>83 OZ, 67 (45+22)</v>
      </c>
      <c r="AZ9" s="132"/>
      <c r="BA9" s="132"/>
      <c r="BB9" s="132"/>
      <c r="BC9" s="132"/>
      <c r="BD9" s="129" t="str">
        <f>IF(AG9&lt;&gt;"",RIGHT(AG9,LEN(AG9)-SEARCH(" ",AG9)),"")</f>
        <v>Hartman</v>
      </c>
      <c r="BE9" s="132">
        <f ca="1">IF(AG9&lt;&gt;"",COUNTIF(OFFSET($BD$2,,,COUNTIF($AG$2:$AG$50,"?*")),BD9),"")</f>
        <v>1</v>
      </c>
      <c r="BF9" s="130" t="str">
        <f>IF(AG9&lt;&gt;"",LEFT(AG9,1),"")</f>
        <v>P</v>
      </c>
      <c r="BG9" s="129" t="str">
        <f ca="1">IF(AND($AG9&lt;&gt;"",BE9&gt;1),CONCATENATE($BD9," ",LEFT($AG9,MIN(1,SEARCH(" ",$AG9)-1)),IF(SEARCH(" ",$AG9)-1&gt;1,".",""),""),"")</f>
        <v/>
      </c>
      <c r="BH9" s="130">
        <f ca="1">IF(BG9&lt;&gt;"",COUNTIF(OFFSET(BG$2,,,COUNTIF($AG$2:$AG$50,"?*")),BG9),IF($AG9&lt;&gt;"",0,""))</f>
        <v>0</v>
      </c>
      <c r="BI9" s="129" t="str">
        <f ca="1">IF(AND($AG9&lt;&gt;"",BH9&gt;1),CONCATENATE($BD9," ",LEFT($AG9,MIN(2,SEARCH(" ",$AG9)-1)),IF(SEARCH(" ",$AG9)-1&gt;2,".",""),""),"")</f>
        <v/>
      </c>
      <c r="BJ9" s="130">
        <f ca="1">IF(BI9&lt;&gt;"",COUNTIF(OFFSET(BI$2,,,COUNTIF($AG$2:$AG$50,"?*")),BI9),IF($AG9&lt;&gt;"",0,""))</f>
        <v>0</v>
      </c>
      <c r="BK9" s="129" t="str">
        <f ca="1">IF(AND($AG9&lt;&gt;"",BJ9&gt;1),CONCATENATE($BD9," ",LEFT($AG9,MIN(3,SEARCH(" ",$AG9)-1)),IF(SEARCH(" ",$AG9)-1&gt;3,".",""),""),"")</f>
        <v/>
      </c>
      <c r="BL9" s="130">
        <f ca="1">IF(BK9&lt;&gt;"",COUNTIF(OFFSET(BK$2,,,COUNTIF($AG$2:$AG$50,"?*")),BK9),IF($AG9&lt;&gt;"",0,""))</f>
        <v>0</v>
      </c>
      <c r="BM9" s="129" t="str">
        <f ca="1">IF(AND($AG9&lt;&gt;"",BL9&gt;1),CONCATENATE($BD9," ",LEFT($AG9,MIN(4,SEARCH(" ",$AG9)-1)),IF(SEARCH(" ",$AG9)-1&gt;4,".",""),""),"")</f>
        <v/>
      </c>
      <c r="BN9" s="337"/>
      <c r="BO9" s="334"/>
      <c r="BP9" s="340"/>
      <c r="BQ9" s="341"/>
      <c r="BR9" s="130" t="str">
        <f t="shared" ca="1" si="3"/>
        <v/>
      </c>
      <c r="BS9" s="325"/>
      <c r="BT9" s="332"/>
      <c r="BU9" s="331"/>
      <c r="BV9" s="3" t="str">
        <f t="shared" si="4"/>
        <v/>
      </c>
      <c r="BW9" s="106" t="str">
        <f t="shared" si="5"/>
        <v/>
      </c>
      <c r="BX9" s="324"/>
      <c r="BY9" s="331" t="s">
        <v>244</v>
      </c>
      <c r="BZ9" s="331" t="s">
        <v>24</v>
      </c>
      <c r="CA9" s="356" t="s">
        <v>242</v>
      </c>
    </row>
    <row r="10" spans="1:79" ht="15" customHeight="1" thickTop="1" thickBot="1" x14ac:dyDescent="0.25">
      <c r="A10" s="9"/>
      <c r="B10" s="9"/>
      <c r="C10" s="9"/>
      <c r="D10" s="9"/>
      <c r="E10" s="10"/>
      <c r="F10" s="10"/>
      <c r="G10" s="11"/>
      <c r="H10" s="11"/>
      <c r="I10" s="11"/>
      <c r="J10" s="11"/>
      <c r="K10" s="11"/>
      <c r="L10" s="11"/>
      <c r="M10" s="9"/>
      <c r="N10" s="9"/>
      <c r="O10" s="9"/>
      <c r="P10" s="9"/>
      <c r="Q10" s="10"/>
      <c r="R10" s="141"/>
      <c r="S10" s="353" t="s">
        <v>133</v>
      </c>
      <c r="T10" s="330" t="s">
        <v>134</v>
      </c>
      <c r="U10" s="330">
        <v>1</v>
      </c>
      <c r="V10" s="330">
        <v>0</v>
      </c>
      <c r="W10" s="330">
        <v>0</v>
      </c>
      <c r="X10" s="330">
        <v>0</v>
      </c>
      <c r="Y10" s="330">
        <v>0</v>
      </c>
      <c r="Z10" s="330">
        <v>0</v>
      </c>
      <c r="AA10" s="330">
        <v>0</v>
      </c>
      <c r="AB10" s="330">
        <v>0</v>
      </c>
      <c r="AG10" s="328" t="s">
        <v>172</v>
      </c>
      <c r="AH10" s="329"/>
      <c r="AI10" s="330">
        <v>2</v>
      </c>
      <c r="AJ10" s="330">
        <v>1</v>
      </c>
      <c r="AK10" s="330">
        <v>0</v>
      </c>
      <c r="AL10" s="330">
        <v>1</v>
      </c>
      <c r="AM10" s="330">
        <v>2</v>
      </c>
      <c r="AN10" s="330"/>
      <c r="AO10" s="331"/>
      <c r="AP10" s="331"/>
      <c r="AQ10" s="330"/>
      <c r="AR10" s="330"/>
      <c r="AS10" s="332"/>
      <c r="AT10" s="330"/>
      <c r="AU10" s="66" t="str">
        <f ca="1">IF(AG10&lt;&gt;"",IF(AH10&lt;&gt;"",INT((TODAY()-AH10)/365),"?"),"")</f>
        <v>?</v>
      </c>
      <c r="AV10" s="66" t="str">
        <f>IF(AG10&lt;&gt;"",CONCATENATE(IF(AQ10&lt;&gt;"",AQ10,"? "),"/",IF(AR10&lt;&gt;"",AR10," ?")),"")</f>
        <v>? / ?</v>
      </c>
      <c r="AW10" s="128" t="str">
        <f ca="1">IF(AG10&lt;&gt;"",IF(BE10=1,BD10,IF(BH10,BG10,IF(BJ10=1,BI10,IF(BL10=1,BK10,BM10)))),"")</f>
        <v>Chládek</v>
      </c>
      <c r="AX10" s="123" t="str">
        <f ca="1">IFERROR(IF(MATCH(AG10,OFFSET($S$45,,,COUNTIF($S$45:$S$50,"?*")),0)&gt;0,CONCATENATE(VLOOKUP(AG10,OFFSET($S$45,,,COUNTIF($S$45:$S$50,"?*"),14),4,FALSE)," V, ",VLOOKUP(AG10,OFFSET($S$45,,,COUNTIF($S$45:$S$50,"?*"),14),9,FALSE)," P"),""),IFERROR(CONCATENATE(VLOOKUP(AG10,OFFSET($S$2,,,COUNTIF($S$2:$S$42,"?*"),10),3,FALSE)+AZ10," OZ, ",VLOOKUP(AG10,OFFSET($S$2,,,COUNTIF($S$2:$S$42,"?*"),10),8,FALSE)+BA10+BB10," (",VLOOKUP(AG10,OFFSET($S$2,,,COUNTIF($S$2:$S$42,"?*"),10),4,FALSE)+BA10,"+",VLOOKUP(AG10,OFFSET($S$2,,,COUNTIF($S$2:$S$42,"?*"),10),7,FALSE)+BB10,"), ",IF(VLOOKUP(AG10,OFFSET($S$2,,,COUNTIF($S$2:$S$42,"?*"),10),10,FALSE)+BC10&gt;0,"+",""),VLOOKUP(AG10,OFFSET($S$2,,,COUNTIF($S$2:$S$42,"?*"),10),10,FALSE)+BC10," ±"),IF(AG10&lt;&gt;"","0 OZ, 0 (0+0)","")))</f>
        <v>0 OZ, 0 (0+0)</v>
      </c>
      <c r="AY10" s="123" t="str">
        <f ca="1">IFERROR(CONCATENATE(AI10+VLOOKUP(AG10,OFFSET($S$45,,,COUNTIF($S$45:$S$50,"?*"),14),2,FALSE)," OZ, ",AK10+VLOOKUP(AG10,OFFSET($S$45,,,COUNTIF($S$45:$S$50,"?*"),14),11,FALSE)," A"),IFERROR(CONCATENATE(VLOOKUP(AG10,OFFSET($S$2,,,COUNTIF($S$2:$S$42,"?*"),10),3,FALSE)+AZ10+AI10," OZ, ",VLOOKUP(AG10,OFFSET($S$2,,,COUNTIF($S$2:$S$42,"?*"),10),8,FALSE)+BA10+BB10+AL10," (",VLOOKUP(AG10,OFFSET($S$2,,,COUNTIF($S$2:$S$42,"?*"),10),4,FALSE)+BA10+AJ10,"+",VLOOKUP(AG10,OFFSET($S$2,,,COUNTIF($S$2:$S$42,"?*"),10),7,FALSE)+BB10+AK10,")"),IF(AG10&lt;&gt;"",CONCATENATE(AI10," OZ, ",AL10," (",AJ10,"+",AK10,")"),"")))</f>
        <v>2 OZ, 1 (1+0)</v>
      </c>
      <c r="BD10" s="3" t="str">
        <f>IF(AG10&lt;&gt;"",RIGHT(AG10,LEN(AG10)-SEARCH(" ",AG10)),"")</f>
        <v>Chládek</v>
      </c>
      <c r="BE10" s="123">
        <f ca="1">IF(AG10&lt;&gt;"",COUNTIF(OFFSET($BD$2,,,COUNTIF($AG$2:$AG$50,"?*")),BD10),"")</f>
        <v>1</v>
      </c>
      <c r="BF10" s="66" t="str">
        <f>IF(AG10&lt;&gt;"",LEFT(AG10,1),"")</f>
        <v>P</v>
      </c>
      <c r="BG10" s="3" t="str">
        <f ca="1">IF(AND($AG10&lt;&gt;"",BE10&gt;1),CONCATENATE($BD10," ",LEFT($AG10,MIN(1,SEARCH(" ",$AG10)-1)),IF(SEARCH(" ",$AG10)-1&gt;1,".",""),""),"")</f>
        <v/>
      </c>
      <c r="BH10" s="66">
        <f ca="1">IF(BG10&lt;&gt;"",COUNTIF(OFFSET(BG$2,,,COUNTIF($AG$2:$AG$50,"?*")),BG10),IF($AG10&lt;&gt;"",0,""))</f>
        <v>0</v>
      </c>
      <c r="BI10" s="3" t="str">
        <f ca="1">IF(AND($AG10&lt;&gt;"",BH10&gt;1),CONCATENATE($BD10," ",LEFT($AG10,MIN(2,SEARCH(" ",$AG10)-1)),IF(SEARCH(" ",$AG10)-1&gt;2,".",""),""),"")</f>
        <v/>
      </c>
      <c r="BJ10" s="66">
        <f ca="1">IF(BI10&lt;&gt;"",COUNTIF(OFFSET(BI$2,,,COUNTIF($AG$2:$AG$50,"?*")),BI10),IF($AG10&lt;&gt;"",0,""))</f>
        <v>0</v>
      </c>
      <c r="BK10" s="3" t="str">
        <f ca="1">IF(AND($AG10&lt;&gt;"",BJ10&gt;1),CONCATENATE($BD10," ",LEFT($AG10,MIN(3,SEARCH(" ",$AG10)-1)),IF(SEARCH(" ",$AG10)-1&gt;3,".",""),""),"")</f>
        <v/>
      </c>
      <c r="BL10" s="66">
        <f ca="1">IF(BK10&lt;&gt;"",COUNTIF(OFFSET(BK$2,,,COUNTIF($AG$2:$AG$50,"?*")),BK10),IF($AG10&lt;&gt;"",0,""))</f>
        <v>0</v>
      </c>
      <c r="BM10" s="3" t="str">
        <f ca="1">IF(AND($AG10&lt;&gt;"",BL10&gt;1),CONCATENATE($BD10," ",LEFT($AG10,MIN(4,SEARCH(" ",$AG10)-1)),IF(SEARCH(" ",$AG10)-1&gt;4,".",""),""),"")</f>
        <v/>
      </c>
      <c r="BN10" s="332"/>
      <c r="BO10" s="329"/>
      <c r="BP10" s="338"/>
      <c r="BQ10" s="339"/>
      <c r="BR10" s="66" t="str">
        <f t="shared" ca="1" si="3"/>
        <v/>
      </c>
      <c r="BS10" s="325"/>
      <c r="BT10" s="332"/>
      <c r="BU10" s="331"/>
      <c r="BV10" s="3" t="str">
        <f t="shared" si="4"/>
        <v/>
      </c>
      <c r="BW10" s="106" t="str">
        <f t="shared" si="5"/>
        <v/>
      </c>
      <c r="BX10" s="324"/>
      <c r="BY10" s="331" t="s">
        <v>245</v>
      </c>
      <c r="BZ10" s="331" t="s">
        <v>102</v>
      </c>
      <c r="CA10" s="356" t="s">
        <v>242</v>
      </c>
    </row>
    <row r="11" spans="1:79" ht="15" customHeight="1" thickTop="1" thickBot="1" x14ac:dyDescent="0.25">
      <c r="R11" s="13"/>
      <c r="S11" s="353" t="s">
        <v>135</v>
      </c>
      <c r="T11" s="330" t="s">
        <v>134</v>
      </c>
      <c r="U11" s="330">
        <v>1</v>
      </c>
      <c r="V11" s="330">
        <v>0</v>
      </c>
      <c r="W11" s="330">
        <v>0</v>
      </c>
      <c r="X11" s="330">
        <v>0</v>
      </c>
      <c r="Y11" s="330">
        <v>0</v>
      </c>
      <c r="Z11" s="330">
        <v>0</v>
      </c>
      <c r="AA11" s="330">
        <v>0</v>
      </c>
      <c r="AB11" s="330">
        <v>0</v>
      </c>
      <c r="AG11" s="333" t="s">
        <v>0</v>
      </c>
      <c r="AH11" s="334">
        <v>37777</v>
      </c>
      <c r="AI11" s="335">
        <v>12</v>
      </c>
      <c r="AJ11" s="335">
        <v>4</v>
      </c>
      <c r="AK11" s="335">
        <v>3</v>
      </c>
      <c r="AL11" s="335">
        <v>7</v>
      </c>
      <c r="AM11" s="335">
        <v>2</v>
      </c>
      <c r="AN11" s="335">
        <v>89</v>
      </c>
      <c r="AO11" s="336"/>
      <c r="AP11" s="336" t="s">
        <v>164</v>
      </c>
      <c r="AQ11" s="335">
        <v>185</v>
      </c>
      <c r="AR11" s="335">
        <v>71</v>
      </c>
      <c r="AS11" s="337" t="s">
        <v>173</v>
      </c>
      <c r="AT11" s="335">
        <v>2009</v>
      </c>
      <c r="AU11" s="130">
        <f ca="1">IF(AG11&lt;&gt;"",IF(AH11&lt;&gt;"",INT((TODAY()-AH11)/365),"?"),"")</f>
        <v>18</v>
      </c>
      <c r="AV11" s="130" t="str">
        <f>IF(AG11&lt;&gt;"",CONCATENATE(IF(AQ11&lt;&gt;"",AQ11,"? "),"/",IF(AR11&lt;&gt;"",AR11," ?")),"")</f>
        <v>185/71</v>
      </c>
      <c r="AW11" s="131" t="str">
        <f ca="1">IF(AG11&lt;&gt;"",IF(BE11=1,BD11,IF(BH11,BG11,IF(BJ11=1,BI11,IF(BL11=1,BK11,BM11)))),"")</f>
        <v>Klápa</v>
      </c>
      <c r="AX11" s="132" t="str">
        <f ca="1">IFERROR(IF(MATCH(AG11,OFFSET($S$45,,,COUNTIF($S$45:$S$50,"?*")),0)&gt;0,CONCATENATE(VLOOKUP(AG11,OFFSET($S$45,,,COUNTIF($S$45:$S$50,"?*"),14),4,FALSE)," V, ",VLOOKUP(AG11,OFFSET($S$45,,,COUNTIF($S$45:$S$50,"?*"),14),9,FALSE)," P"),""),IFERROR(CONCATENATE(VLOOKUP(AG11,OFFSET($S$2,,,COUNTIF($S$2:$S$42,"?*"),10),3,FALSE)+AZ11," OZ, ",VLOOKUP(AG11,OFFSET($S$2,,,COUNTIF($S$2:$S$42,"?*"),10),8,FALSE)+BA11+BB11," (",VLOOKUP(AG11,OFFSET($S$2,,,COUNTIF($S$2:$S$42,"?*"),10),4,FALSE)+BA11,"+",VLOOKUP(AG11,OFFSET($S$2,,,COUNTIF($S$2:$S$42,"?*"),10),7,FALSE)+BB11,"), ",IF(VLOOKUP(AG11,OFFSET($S$2,,,COUNTIF($S$2:$S$42,"?*"),10),10,FALSE)+BC11&gt;0,"+",""),VLOOKUP(AG11,OFFSET($S$2,,,COUNTIF($S$2:$S$42,"?*"),10),10,FALSE)+BC11," ±"),IF(AG11&lt;&gt;"","0 OZ, 0 (0+0)","")))</f>
        <v>1 OZ, 1 (1+0), 0 ±</v>
      </c>
      <c r="AY11" s="132" t="str">
        <f ca="1">IFERROR(CONCATENATE(AI11+VLOOKUP(AG11,OFFSET($S$45,,,COUNTIF($S$45:$S$50,"?*"),14),2,FALSE)," OZ, ",AK11+VLOOKUP(AG11,OFFSET($S$45,,,COUNTIF($S$45:$S$50,"?*"),14),11,FALSE)," A"),IFERROR(CONCATENATE(VLOOKUP(AG11,OFFSET($S$2,,,COUNTIF($S$2:$S$42,"?*"),10),3,FALSE)+AZ11+AI11," OZ, ",VLOOKUP(AG11,OFFSET($S$2,,,COUNTIF($S$2:$S$42,"?*"),10),8,FALSE)+BA11+BB11+AL11," (",VLOOKUP(AG11,OFFSET($S$2,,,COUNTIF($S$2:$S$42,"?*"),10),4,FALSE)+BA11+AJ11,"+",VLOOKUP(AG11,OFFSET($S$2,,,COUNTIF($S$2:$S$42,"?*"),10),7,FALSE)+BB11+AK11,")"),IF(AG11&lt;&gt;"",CONCATENATE(AI11," OZ, ",AL11," (",AJ11,"+",AK11,")"),"")))</f>
        <v>13 OZ, 8 (5+3)</v>
      </c>
      <c r="AZ11" s="132"/>
      <c r="BA11" s="132"/>
      <c r="BB11" s="132"/>
      <c r="BC11" s="132"/>
      <c r="BD11" s="129" t="str">
        <f>IF(AG11&lt;&gt;"",RIGHT(AG11,LEN(AG11)-SEARCH(" ",AG11)),"")</f>
        <v>Klápa</v>
      </c>
      <c r="BE11" s="132">
        <f ca="1">IF(AG11&lt;&gt;"",COUNTIF(OFFSET($BD$2,,,COUNTIF($AG$2:$AG$50,"?*")),BD11),"")</f>
        <v>1</v>
      </c>
      <c r="BF11" s="130" t="str">
        <f>IF(AG11&lt;&gt;"",LEFT(AG11,1),"")</f>
        <v>V</v>
      </c>
      <c r="BG11" s="129" t="str">
        <f ca="1">IF(AND($AG11&lt;&gt;"",BE11&gt;1),CONCATENATE($BD11," ",LEFT($AG11,MIN(1,SEARCH(" ",$AG11)-1)),IF(SEARCH(" ",$AG11)-1&gt;1,".",""),""),"")</f>
        <v/>
      </c>
      <c r="BH11" s="130">
        <f ca="1">IF(BG11&lt;&gt;"",COUNTIF(OFFSET(BG$2,,,COUNTIF($AG$2:$AG$50,"?*")),BG11),IF($AG11&lt;&gt;"",0,""))</f>
        <v>0</v>
      </c>
      <c r="BI11" s="129" t="str">
        <f ca="1">IF(AND($AG11&lt;&gt;"",BH11&gt;1),CONCATENATE($BD11," ",LEFT($AG11,MIN(2,SEARCH(" ",$AG11)-1)),IF(SEARCH(" ",$AG11)-1&gt;2,".",""),""),"")</f>
        <v/>
      </c>
      <c r="BJ11" s="130">
        <f ca="1">IF(BI11&lt;&gt;"",COUNTIF(OFFSET(BI$2,,,COUNTIF($AG$2:$AG$50,"?*")),BI11),IF($AG11&lt;&gt;"",0,""))</f>
        <v>0</v>
      </c>
      <c r="BK11" s="129" t="str">
        <f ca="1">IF(AND($AG11&lt;&gt;"",BJ11&gt;1),CONCATENATE($BD11," ",LEFT($AG11,MIN(3,SEARCH(" ",$AG11)-1)),IF(SEARCH(" ",$AG11)-1&gt;3,".",""),""),"")</f>
        <v/>
      </c>
      <c r="BL11" s="130">
        <f ca="1">IF(BK11&lt;&gt;"",COUNTIF(OFFSET(BK$2,,,COUNTIF($AG$2:$AG$50,"?*")),BK11),IF($AG11&lt;&gt;"",0,""))</f>
        <v>0</v>
      </c>
      <c r="BM11" s="129" t="str">
        <f ca="1">IF(AND($AG11&lt;&gt;"",BL11&gt;1),CONCATENATE($BD11," ",LEFT($AG11,MIN(4,SEARCH(" ",$AG11)-1)),IF(SEARCH(" ",$AG11)-1&gt;4,".",""),""),"")</f>
        <v/>
      </c>
      <c r="BN11" s="337"/>
      <c r="BO11" s="334"/>
      <c r="BP11" s="340"/>
      <c r="BQ11" s="341"/>
      <c r="BR11" s="130" t="str">
        <f t="shared" ca="1" si="3"/>
        <v/>
      </c>
      <c r="BS11" s="325"/>
      <c r="BT11" s="332"/>
      <c r="BU11" s="331"/>
      <c r="BV11" s="3" t="str">
        <f t="shared" si="4"/>
        <v/>
      </c>
      <c r="BW11" s="106" t="str">
        <f t="shared" si="5"/>
        <v/>
      </c>
      <c r="BX11" s="324"/>
      <c r="BY11" s="331" t="s">
        <v>246</v>
      </c>
      <c r="BZ11" s="331" t="s">
        <v>107</v>
      </c>
      <c r="CA11" s="356" t="s">
        <v>242</v>
      </c>
    </row>
    <row r="12" spans="1:79" ht="15" customHeight="1" thickTop="1" thickBot="1" x14ac:dyDescent="0.25">
      <c r="A12" s="294"/>
      <c r="B12" s="295"/>
      <c r="C12" s="295"/>
      <c r="D12" s="295"/>
      <c r="E12" s="1" t="str">
        <f ca="1">IFERROR(IF(VLOOKUP(A12,OFFSET($AG$2,,,COUNTIF($AG$2:$AG$50,"?*"),23),9,FALSE)&lt;&gt;0,VLOOKUP(A12,OFFSET($AG$2,,,COUNTIF($AG$2:$AG$50,"?*"),23),9,FALSE),""),"")</f>
        <v/>
      </c>
      <c r="F12" s="2" t="str">
        <f ca="1">IFERROR(IF(VLOOKUP(A12,OFFSET($AG$2,,,COUNTIF($AG$2:$AG$50,"?*"),23),8,FALSE)&lt;&gt;0,VLOOKUP(A12,OFFSET($AG$2,,,COUNTIF($AG$2:$AG$50,"?*"),23),8,FALSE),"?"),"")</f>
        <v/>
      </c>
      <c r="H12" s="296" t="s">
        <v>7</v>
      </c>
      <c r="I12" s="296"/>
      <c r="J12" s="296"/>
      <c r="K12" s="296"/>
      <c r="M12" s="294"/>
      <c r="N12" s="295"/>
      <c r="O12" s="295"/>
      <c r="P12" s="295"/>
      <c r="Q12" s="1" t="str">
        <f ca="1">IFERROR(IF(VLOOKUP(M12,OFFSET($AG$2,,,COUNTIF($AG$2:$AG$50,"?*"),23),9,FALSE)&lt;&gt;0,VLOOKUP(M12,OFFSET($AG$2,,,COUNTIF($AG$2:$AG$50,"?*"),23),9,FALSE),""),"")</f>
        <v/>
      </c>
      <c r="R12" s="2" t="str">
        <f ca="1">IFERROR(IF(VLOOKUP(M12,OFFSET($AG$2,,,COUNTIF($AG$2:$AG$50,"?*"),23),8,FALSE)&lt;&gt;0,VLOOKUP(M12,OFFSET($AG$2,,,COUNTIF($AG$2:$AG$50,"?*"),23),8,FALSE),"?"),"")</f>
        <v/>
      </c>
      <c r="S12" s="353" t="s">
        <v>14</v>
      </c>
      <c r="T12" s="330" t="s">
        <v>134</v>
      </c>
      <c r="U12" s="330">
        <v>1</v>
      </c>
      <c r="V12" s="330">
        <v>0</v>
      </c>
      <c r="W12" s="330">
        <v>0</v>
      </c>
      <c r="X12" s="330">
        <v>0</v>
      </c>
      <c r="Y12" s="330">
        <v>0</v>
      </c>
      <c r="Z12" s="330">
        <v>0</v>
      </c>
      <c r="AA12" s="330">
        <v>0</v>
      </c>
      <c r="AB12" s="330">
        <v>0</v>
      </c>
      <c r="AG12" s="328" t="s">
        <v>174</v>
      </c>
      <c r="AH12" s="329">
        <v>32114</v>
      </c>
      <c r="AI12" s="330">
        <v>38</v>
      </c>
      <c r="AJ12" s="330">
        <v>7</v>
      </c>
      <c r="AK12" s="330">
        <v>4</v>
      </c>
      <c r="AL12" s="330">
        <v>11</v>
      </c>
      <c r="AM12" s="330">
        <v>4</v>
      </c>
      <c r="AN12" s="330">
        <v>94</v>
      </c>
      <c r="AO12" s="331"/>
      <c r="AP12" s="331" t="s">
        <v>164</v>
      </c>
      <c r="AQ12" s="330">
        <v>173</v>
      </c>
      <c r="AR12" s="330">
        <v>70</v>
      </c>
      <c r="AS12" s="332" t="s">
        <v>175</v>
      </c>
      <c r="AT12" s="330">
        <v>1994</v>
      </c>
      <c r="AU12" s="66">
        <f ca="1">IF(AG12&lt;&gt;"",IF(AH12&lt;&gt;"",INT((TODAY()-AH12)/365),"?"),"")</f>
        <v>33</v>
      </c>
      <c r="AV12" s="66" t="str">
        <f>IF(AG12&lt;&gt;"",CONCATENATE(IF(AQ12&lt;&gt;"",AQ12,"? "),"/",IF(AR12&lt;&gt;"",AR12," ?")),"")</f>
        <v>173/70</v>
      </c>
      <c r="AW12" s="128" t="str">
        <f ca="1">IF(AG12&lt;&gt;"",IF(BE12=1,BD12,IF(BH12,BG12,IF(BJ12=1,BI12,IF(BL12=1,BK12,BM12)))),"")</f>
        <v>Králík</v>
      </c>
      <c r="AX12" s="123" t="str">
        <f ca="1">IFERROR(IF(MATCH(AG12,OFFSET($S$45,,,COUNTIF($S$45:$S$50,"?*")),0)&gt;0,CONCATENATE(VLOOKUP(AG12,OFFSET($S$45,,,COUNTIF($S$45:$S$50,"?*"),14),4,FALSE)," V, ",VLOOKUP(AG12,OFFSET($S$45,,,COUNTIF($S$45:$S$50,"?*"),14),9,FALSE)," P"),""),IFERROR(CONCATENATE(VLOOKUP(AG12,OFFSET($S$2,,,COUNTIF($S$2:$S$42,"?*"),10),3,FALSE)+AZ12," OZ, ",VLOOKUP(AG12,OFFSET($S$2,,,COUNTIF($S$2:$S$42,"?*"),10),8,FALSE)+BA12+BB12," (",VLOOKUP(AG12,OFFSET($S$2,,,COUNTIF($S$2:$S$42,"?*"),10),4,FALSE)+BA12,"+",VLOOKUP(AG12,OFFSET($S$2,,,COUNTIF($S$2:$S$42,"?*"),10),7,FALSE)+BB12,"), ",IF(VLOOKUP(AG12,OFFSET($S$2,,,COUNTIF($S$2:$S$42,"?*"),10),10,FALSE)+BC12&gt;0,"+",""),VLOOKUP(AG12,OFFSET($S$2,,,COUNTIF($S$2:$S$42,"?*"),10),10,FALSE)+BC12," ±"),IF(AG12&lt;&gt;"","0 OZ, 0 (0+0)","")))</f>
        <v>0 OZ, 0 (0+0)</v>
      </c>
      <c r="AY12" s="123" t="str">
        <f ca="1">IFERROR(CONCATENATE(AI12+VLOOKUP(AG12,OFFSET($S$45,,,COUNTIF($S$45:$S$50,"?*"),14),2,FALSE)," OZ, ",AK12+VLOOKUP(AG12,OFFSET($S$45,,,COUNTIF($S$45:$S$50,"?*"),14),11,FALSE)," A"),IFERROR(CONCATENATE(VLOOKUP(AG12,OFFSET($S$2,,,COUNTIF($S$2:$S$42,"?*"),10),3,FALSE)+AZ12+AI12," OZ, ",VLOOKUP(AG12,OFFSET($S$2,,,COUNTIF($S$2:$S$42,"?*"),10),8,FALSE)+BA12+BB12+AL12," (",VLOOKUP(AG12,OFFSET($S$2,,,COUNTIF($S$2:$S$42,"?*"),10),4,FALSE)+BA12+AJ12,"+",VLOOKUP(AG12,OFFSET($S$2,,,COUNTIF($S$2:$S$42,"?*"),10),7,FALSE)+BB12+AK12,")"),IF(AG12&lt;&gt;"",CONCATENATE(AI12," OZ, ",AL12," (",AJ12,"+",AK12,")"),"")))</f>
        <v>38 OZ, 11 (7+4)</v>
      </c>
      <c r="BD12" s="3" t="str">
        <f>IF(AG12&lt;&gt;"",RIGHT(AG12,LEN(AG12)-SEARCH(" ",AG12)),"")</f>
        <v>Králík</v>
      </c>
      <c r="BE12" s="123">
        <f ca="1">IF(AG12&lt;&gt;"",COUNTIF(OFFSET($BD$2,,,COUNTIF($AG$2:$AG$50,"?*")),BD12),"")</f>
        <v>1</v>
      </c>
      <c r="BF12" s="66" t="str">
        <f>IF(AG12&lt;&gt;"",LEFT(AG12,1),"")</f>
        <v>J</v>
      </c>
      <c r="BG12" s="3" t="str">
        <f ca="1">IF(AND($AG12&lt;&gt;"",BE12&gt;1),CONCATENATE($BD12," ",LEFT($AG12,MIN(1,SEARCH(" ",$AG12)-1)),IF(SEARCH(" ",$AG12)-1&gt;1,".",""),""),"")</f>
        <v/>
      </c>
      <c r="BH12" s="66">
        <f ca="1">IF(BG12&lt;&gt;"",COUNTIF(OFFSET(BG$2,,,COUNTIF($AG$2:$AG$50,"?*")),BG12),IF($AG12&lt;&gt;"",0,""))</f>
        <v>0</v>
      </c>
      <c r="BI12" s="3" t="str">
        <f ca="1">IF(AND($AG12&lt;&gt;"",BH12&gt;1),CONCATENATE($BD12," ",LEFT($AG12,MIN(2,SEARCH(" ",$AG12)-1)),IF(SEARCH(" ",$AG12)-1&gt;2,".",""),""),"")</f>
        <v/>
      </c>
      <c r="BJ12" s="66">
        <f ca="1">IF(BI12&lt;&gt;"",COUNTIF(OFFSET(BI$2,,,COUNTIF($AG$2:$AG$50,"?*")),BI12),IF($AG12&lt;&gt;"",0,""))</f>
        <v>0</v>
      </c>
      <c r="BK12" s="3" t="str">
        <f ca="1">IF(AND($AG12&lt;&gt;"",BJ12&gt;1),CONCATENATE($BD12," ",LEFT($AG12,MIN(3,SEARCH(" ",$AG12)-1)),IF(SEARCH(" ",$AG12)-1&gt;3,".",""),""),"")</f>
        <v/>
      </c>
      <c r="BL12" s="66">
        <f ca="1">IF(BK12&lt;&gt;"",COUNTIF(OFFSET(BK$2,,,COUNTIF($AG$2:$AG$50,"?*")),BK12),IF($AG12&lt;&gt;"",0,""))</f>
        <v>0</v>
      </c>
      <c r="BM12" s="3" t="str">
        <f ca="1">IF(AND($AG12&lt;&gt;"",BL12&gt;1),CONCATENATE($BD12," ",LEFT($AG12,MIN(4,SEARCH(" ",$AG12)-1)),IF(SEARCH(" ",$AG12)-1&gt;4,".",""),""),"")</f>
        <v/>
      </c>
      <c r="BS12" s="325" t="s">
        <v>37</v>
      </c>
      <c r="BT12" s="332" t="s">
        <v>218</v>
      </c>
      <c r="BU12" s="331">
        <v>1</v>
      </c>
      <c r="BV12" s="3" t="str">
        <f t="shared" si="4"/>
        <v>Viktor Kopecký</v>
      </c>
      <c r="BW12" s="108">
        <f t="shared" si="5"/>
        <v>1</v>
      </c>
      <c r="BX12" s="134" t="s">
        <v>249</v>
      </c>
      <c r="BY12" s="328" t="s">
        <v>27</v>
      </c>
      <c r="BZ12" s="328"/>
      <c r="CA12" s="328"/>
    </row>
    <row r="13" spans="1:79" ht="15" customHeight="1" thickBot="1" x14ac:dyDescent="0.25">
      <c r="A13" s="4" t="str">
        <f ca="1">IFERROR(IF(VLOOKUP(A12,OFFSET($AG$2,,,COUNTIF($AG$2:$AG$50,"?*"),23),10,FALSE)&lt;&gt;0,VLOOKUP(A12,OFFSET($AG$2,,,COUNTIF($AG$2:$AG$50,"?*"),23),10,FALSE),"?"),"")</f>
        <v/>
      </c>
      <c r="B13" s="252" t="str">
        <f ca="1">IFERROR(IF(VLOOKUP(A12,OFFSET($AG$2,,,COUNTIF($AG$2:$AG$50,"?*"),23),2,FALSE)&lt;&gt;0,YEAR(VLOOKUP(A12,OFFSET($AG$2,,,COUNTIF($AG$2:$AG$50,"?*"),23),2,FALSE)),"?"),"")</f>
        <v/>
      </c>
      <c r="C13" s="261"/>
      <c r="D13" s="5" t="str">
        <f ca="1">IFERROR(VLOOKUP(A12,OFFSET($AG$2,,,COUNTIF($AG$2:$AG$50,"?*"),23),15,FALSE),"")</f>
        <v/>
      </c>
      <c r="E13" s="251" t="str">
        <f ca="1">IFERROR(VLOOKUP(A12,OFFSET($AG$2,,,COUNTIF($AG$2:$AG$50,"?*"),23),16,FALSE),"")</f>
        <v/>
      </c>
      <c r="F13" s="253"/>
      <c r="M13" s="4" t="str">
        <f ca="1">IFERROR(IF(VLOOKUP(M12,OFFSET($AG$2,,,COUNTIF($AG$2:$AG$50,"?*"),23),10,FALSE)&lt;&gt;0,VLOOKUP(M12,OFFSET($AG$2,,,COUNTIF($AG$2:$AG$50,"?*"),23),10,FALSE),"?"),"")</f>
        <v/>
      </c>
      <c r="N13" s="252" t="str">
        <f ca="1">IFERROR(IF(VLOOKUP(M12,OFFSET($AG$2,,,COUNTIF($AG$2:$AG$50,"?*"),23),2,FALSE)&lt;&gt;0,YEAR(VLOOKUP(M12,OFFSET($AG$2,,,COUNTIF($AG$2:$AG$50,"?*"),23),2,FALSE)),"?"),"")</f>
        <v/>
      </c>
      <c r="O13" s="261"/>
      <c r="P13" s="6" t="str">
        <f ca="1">IFERROR(VLOOKUP(M12,OFFSET($AG$2,,,COUNTIF($AG$2:$AG$50,"?*"),23),15,FALSE),"")</f>
        <v/>
      </c>
      <c r="Q13" s="251" t="str">
        <f ca="1">IFERROR(VLOOKUP(M12,OFFSET($AG$2,,,COUNTIF($AG$2:$AG$50,"?*"),23),16,FALSE),"")</f>
        <v/>
      </c>
      <c r="R13" s="253"/>
      <c r="S13" s="353" t="s">
        <v>136</v>
      </c>
      <c r="T13" s="330"/>
      <c r="U13" s="330">
        <v>1</v>
      </c>
      <c r="V13" s="330">
        <v>0</v>
      </c>
      <c r="W13" s="330">
        <v>0</v>
      </c>
      <c r="X13" s="330">
        <v>0</v>
      </c>
      <c r="Y13" s="330">
        <v>0</v>
      </c>
      <c r="Z13" s="330">
        <v>0</v>
      </c>
      <c r="AA13" s="330">
        <v>0</v>
      </c>
      <c r="AB13" s="330">
        <v>0</v>
      </c>
      <c r="AG13" s="333" t="s">
        <v>176</v>
      </c>
      <c r="AH13" s="334">
        <v>32379</v>
      </c>
      <c r="AI13" s="335">
        <v>96</v>
      </c>
      <c r="AJ13" s="335">
        <v>10</v>
      </c>
      <c r="AK13" s="335">
        <v>8</v>
      </c>
      <c r="AL13" s="335">
        <v>18</v>
      </c>
      <c r="AM13" s="335">
        <v>7</v>
      </c>
      <c r="AN13" s="335">
        <v>19</v>
      </c>
      <c r="AO13" s="336" t="s">
        <v>184</v>
      </c>
      <c r="AP13" s="336" t="s">
        <v>27</v>
      </c>
      <c r="AQ13" s="335">
        <v>187</v>
      </c>
      <c r="AR13" s="335">
        <v>92</v>
      </c>
      <c r="AS13" s="337" t="s">
        <v>177</v>
      </c>
      <c r="AT13" s="335">
        <v>2000</v>
      </c>
      <c r="AU13" s="130">
        <f ca="1">IF(AG13&lt;&gt;"",IF(AH13&lt;&gt;"",INT((TODAY()-AH13)/365),"?"),"")</f>
        <v>33</v>
      </c>
      <c r="AV13" s="130" t="str">
        <f>IF(AG13&lt;&gt;"",CONCATENATE(IF(AQ13&lt;&gt;"",AQ13,"? "),"/",IF(AR13&lt;&gt;"",AR13," ?")),"")</f>
        <v>187/92</v>
      </c>
      <c r="AW13" s="131" t="str">
        <f ca="1">IF(AG13&lt;&gt;"",IF(BE13=1,BD13,IF(BH13,BG13,IF(BJ13=1,BI13,IF(BL13=1,BK13,BM13)))),"")</f>
        <v>Lanc</v>
      </c>
      <c r="AX13" s="132" t="str">
        <f ca="1">IFERROR(IF(MATCH(AG13,OFFSET($S$45,,,COUNTIF($S$45:$S$50,"?*")),0)&gt;0,CONCATENATE(VLOOKUP(AG13,OFFSET($S$45,,,COUNTIF($S$45:$S$50,"?*"),14),4,FALSE)," V, ",VLOOKUP(AG13,OFFSET($S$45,,,COUNTIF($S$45:$S$50,"?*"),14),9,FALSE)," P"),""),IFERROR(CONCATENATE(VLOOKUP(AG13,OFFSET($S$2,,,COUNTIF($S$2:$S$42,"?*"),10),3,FALSE)+AZ13," OZ, ",VLOOKUP(AG13,OFFSET($S$2,,,COUNTIF($S$2:$S$42,"?*"),10),8,FALSE)+BA13+BB13," (",VLOOKUP(AG13,OFFSET($S$2,,,COUNTIF($S$2:$S$42,"?*"),10),4,FALSE)+BA13,"+",VLOOKUP(AG13,OFFSET($S$2,,,COUNTIF($S$2:$S$42,"?*"),10),7,FALSE)+BB13,"), ",IF(VLOOKUP(AG13,OFFSET($S$2,,,COUNTIF($S$2:$S$42,"?*"),10),10,FALSE)+BC13&gt;0,"+",""),VLOOKUP(AG13,OFFSET($S$2,,,COUNTIF($S$2:$S$42,"?*"),10),10,FALSE)+BC13," ±"),IF(AG13&lt;&gt;"","0 OZ, 0 (0+0)","")))</f>
        <v>0 OZ, 0 (0+0)</v>
      </c>
      <c r="AY13" s="132" t="str">
        <f ca="1">IFERROR(CONCATENATE(AI13+VLOOKUP(AG13,OFFSET($S$45,,,COUNTIF($S$45:$S$50,"?*"),14),2,FALSE)," OZ, ",AK13+VLOOKUP(AG13,OFFSET($S$45,,,COUNTIF($S$45:$S$50,"?*"),14),11,FALSE)," A"),IFERROR(CONCATENATE(VLOOKUP(AG13,OFFSET($S$2,,,COUNTIF($S$2:$S$42,"?*"),10),3,FALSE)+AZ13+AI13," OZ, ",VLOOKUP(AG13,OFFSET($S$2,,,COUNTIF($S$2:$S$42,"?*"),10),8,FALSE)+BA13+BB13+AL13," (",VLOOKUP(AG13,OFFSET($S$2,,,COUNTIF($S$2:$S$42,"?*"),10),4,FALSE)+BA13+AJ13,"+",VLOOKUP(AG13,OFFSET($S$2,,,COUNTIF($S$2:$S$42,"?*"),10),7,FALSE)+BB13+AK13,")"),IF(AG13&lt;&gt;"",CONCATENATE(AI13," OZ, ",AL13," (",AJ13,"+",AK13,")"),"")))</f>
        <v>96 OZ, 18 (10+8)</v>
      </c>
      <c r="AZ13" s="132"/>
      <c r="BA13" s="132"/>
      <c r="BB13" s="132"/>
      <c r="BC13" s="132"/>
      <c r="BD13" s="129" t="str">
        <f>IF(AG13&lt;&gt;"",RIGHT(AG13,LEN(AG13)-SEARCH(" ",AG13)),"")</f>
        <v>Lanc</v>
      </c>
      <c r="BE13" s="132">
        <f ca="1">IF(AG13&lt;&gt;"",COUNTIF(OFFSET($BD$2,,,COUNTIF($AG$2:$AG$50,"?*")),BD13),"")</f>
        <v>1</v>
      </c>
      <c r="BF13" s="130" t="str">
        <f>IF(AG13&lt;&gt;"",LEFT(AG13,1),"")</f>
        <v>L</v>
      </c>
      <c r="BG13" s="129" t="str">
        <f ca="1">IF(AND($AG13&lt;&gt;"",BE13&gt;1),CONCATENATE($BD13," ",LEFT($AG13,MIN(1,SEARCH(" ",$AG13)-1)),IF(SEARCH(" ",$AG13)-1&gt;1,".",""),""),"")</f>
        <v/>
      </c>
      <c r="BH13" s="130">
        <f ca="1">IF(BG13&lt;&gt;"",COUNTIF(OFFSET(BG$2,,,COUNTIF($AG$2:$AG$50,"?*")),BG13),IF($AG13&lt;&gt;"",0,""))</f>
        <v>0</v>
      </c>
      <c r="BI13" s="129" t="str">
        <f ca="1">IF(AND($AG13&lt;&gt;"",BH13&gt;1),CONCATENATE($BD13," ",LEFT($AG13,MIN(2,SEARCH(" ",$AG13)-1)),IF(SEARCH(" ",$AG13)-1&gt;2,".",""),""),"")</f>
        <v/>
      </c>
      <c r="BJ13" s="130">
        <f ca="1">IF(BI13&lt;&gt;"",COUNTIF(OFFSET(BI$2,,,COUNTIF($AG$2:$AG$50,"?*")),BI13),IF($AG13&lt;&gt;"",0,""))</f>
        <v>0</v>
      </c>
      <c r="BK13" s="129" t="str">
        <f ca="1">IF(AND($AG13&lt;&gt;"",BJ13&gt;1),CONCATENATE($BD13," ",LEFT($AG13,MIN(3,SEARCH(" ",$AG13)-1)),IF(SEARCH(" ",$AG13)-1&gt;3,".",""),""),"")</f>
        <v/>
      </c>
      <c r="BL13" s="130">
        <f ca="1">IF(BK13&lt;&gt;"",COUNTIF(OFFSET(BK$2,,,COUNTIF($AG$2:$AG$50,"?*")),BK13),IF($AG13&lt;&gt;"",0,""))</f>
        <v>0</v>
      </c>
      <c r="BM13" s="129" t="str">
        <f ca="1">IF(AND($AG13&lt;&gt;"",BL13&gt;1),CONCATENATE($BD13," ",LEFT($AG13,MIN(4,SEARCH(" ",$AG13)-1)),IF(SEARCH(" ",$AG13)-1&gt;4,".",""),""),"")</f>
        <v/>
      </c>
      <c r="BS13" s="325"/>
      <c r="BT13" s="332" t="s">
        <v>219</v>
      </c>
      <c r="BU13" s="331">
        <v>1</v>
      </c>
      <c r="BV13" s="3" t="str">
        <f t="shared" si="4"/>
        <v>Vojtěch Klápa</v>
      </c>
      <c r="BW13" s="108">
        <f t="shared" si="5"/>
        <v>1</v>
      </c>
    </row>
    <row r="14" spans="1:79" ht="15" customHeight="1" thickTop="1" thickBot="1" x14ac:dyDescent="0.25">
      <c r="A14" s="290" t="str">
        <f ca="1">IFERROR(VLOOKUP(A12,OFFSET($AG$2,,,COUNTIF($AG$2:$AG$50,"?*"),23),18,FALSE),"")</f>
        <v/>
      </c>
      <c r="B14" s="291"/>
      <c r="C14" s="291"/>
      <c r="D14" s="292" t="str">
        <f ca="1">IFERROR(VLOOKUP(A12,OFFSET($AG$2,,,COUNTIF($AG$2:$AG$50,"?*"),23),19,FALSE),"")</f>
        <v/>
      </c>
      <c r="E14" s="292"/>
      <c r="F14" s="293"/>
      <c r="G14" s="294"/>
      <c r="H14" s="295"/>
      <c r="I14" s="295"/>
      <c r="J14" s="295"/>
      <c r="K14" s="1" t="str">
        <f ca="1">IFERROR(IF(VLOOKUP(G14,OFFSET($AG$2,,,COUNTIF($AG$2:$AG$50,"?*"),23),9,FALSE)&lt;&gt;0,VLOOKUP(G14,OFFSET($AG$2,,,COUNTIF($AG$2:$AG$50,"?*"),23),9,FALSE),""),"")</f>
        <v/>
      </c>
      <c r="L14" s="2" t="str">
        <f ca="1">IFERROR(IF(VLOOKUP(G14,OFFSET($AG$2,,,COUNTIF($AG$2:$AG$50,"?*"),23),8,FALSE)&lt;&gt;0,VLOOKUP(G14,OFFSET($AG$2,,,COUNTIF($AG$2:$AG$50,"?*"),23),8,FALSE),"?"),"")</f>
        <v/>
      </c>
      <c r="M14" s="290" t="str">
        <f ca="1">IFERROR(VLOOKUP(M12,OFFSET($AG$2,,,COUNTIF($AG$2:$AG$50,"?*"),23),18,FALSE),"")</f>
        <v/>
      </c>
      <c r="N14" s="291"/>
      <c r="O14" s="291"/>
      <c r="P14" s="292" t="str">
        <f ca="1">IFERROR(VLOOKUP(M12,OFFSET($AG$2,,,COUNTIF($AG$2:$AG$50,"?*"),23),19,FALSE),"")</f>
        <v/>
      </c>
      <c r="Q14" s="292"/>
      <c r="R14" s="293"/>
      <c r="S14" s="353" t="s">
        <v>11</v>
      </c>
      <c r="T14" s="330" t="s">
        <v>69</v>
      </c>
      <c r="U14" s="330">
        <v>1</v>
      </c>
      <c r="V14" s="330">
        <v>0</v>
      </c>
      <c r="W14" s="330">
        <v>0</v>
      </c>
      <c r="X14" s="330">
        <v>0</v>
      </c>
      <c r="Y14" s="330">
        <v>0</v>
      </c>
      <c r="Z14" s="330">
        <v>0</v>
      </c>
      <c r="AA14" s="330">
        <v>0</v>
      </c>
      <c r="AB14" s="330">
        <v>0</v>
      </c>
      <c r="AG14" s="328" t="s">
        <v>12</v>
      </c>
      <c r="AH14" s="329">
        <v>36770</v>
      </c>
      <c r="AI14" s="330">
        <v>9</v>
      </c>
      <c r="AJ14" s="330">
        <v>3</v>
      </c>
      <c r="AK14" s="330">
        <v>0</v>
      </c>
      <c r="AL14" s="330">
        <v>3</v>
      </c>
      <c r="AM14" s="330">
        <v>4</v>
      </c>
      <c r="AN14" s="330">
        <v>8</v>
      </c>
      <c r="AO14" s="331"/>
      <c r="AP14" s="331" t="s">
        <v>164</v>
      </c>
      <c r="AQ14" s="330"/>
      <c r="AR14" s="330"/>
      <c r="AS14" s="332"/>
      <c r="AT14" s="330"/>
      <c r="AU14" s="66">
        <f ca="1">IF(AG14&lt;&gt;"",IF(AH14&lt;&gt;"",INT((TODAY()-AH14)/365),"?"),"")</f>
        <v>21</v>
      </c>
      <c r="AV14" s="66" t="str">
        <f>IF(AG14&lt;&gt;"",CONCATENATE(IF(AQ14&lt;&gt;"",AQ14,"? "),"/",IF(AR14&lt;&gt;"",AR14," ?")),"")</f>
        <v>? / ?</v>
      </c>
      <c r="AW14" s="128" t="str">
        <f ca="1">IF(AG14&lt;&gt;"",IF(BE14=1,BD14,IF(BH14,BG14,IF(BJ14=1,BI14,IF(BL14=1,BK14,BM14)))),"")</f>
        <v>Lebeda</v>
      </c>
      <c r="AX14" s="123" t="str">
        <f ca="1">IFERROR(IF(MATCH(AG14,OFFSET($S$45,,,COUNTIF($S$45:$S$50,"?*")),0)&gt;0,CONCATENATE(VLOOKUP(AG14,OFFSET($S$45,,,COUNTIF($S$45:$S$50,"?*"),14),4,FALSE)," V, ",VLOOKUP(AG14,OFFSET($S$45,,,COUNTIF($S$45:$S$50,"?*"),14),9,FALSE)," P"),""),IFERROR(CONCATENATE(VLOOKUP(AG14,OFFSET($S$2,,,COUNTIF($S$2:$S$42,"?*"),10),3,FALSE)+AZ14," OZ, ",VLOOKUP(AG14,OFFSET($S$2,,,COUNTIF($S$2:$S$42,"?*"),10),8,FALSE)+BA14+BB14," (",VLOOKUP(AG14,OFFSET($S$2,,,COUNTIF($S$2:$S$42,"?*"),10),4,FALSE)+BA14,"+",VLOOKUP(AG14,OFFSET($S$2,,,COUNTIF($S$2:$S$42,"?*"),10),7,FALSE)+BB14,"), ",IF(VLOOKUP(AG14,OFFSET($S$2,,,COUNTIF($S$2:$S$42,"?*"),10),10,FALSE)+BC14&gt;0,"+",""),VLOOKUP(AG14,OFFSET($S$2,,,COUNTIF($S$2:$S$42,"?*"),10),10,FALSE)+BC14," ±"),IF(AG14&lt;&gt;"","0 OZ, 0 (0+0)","")))</f>
        <v>0 OZ, 0 (0+0)</v>
      </c>
      <c r="AY14" s="123" t="str">
        <f ca="1">IFERROR(CONCATENATE(AI14+VLOOKUP(AG14,OFFSET($S$45,,,COUNTIF($S$45:$S$50,"?*"),14),2,FALSE)," OZ, ",AK14+VLOOKUP(AG14,OFFSET($S$45,,,COUNTIF($S$45:$S$50,"?*"),14),11,FALSE)," A"),IFERROR(CONCATENATE(VLOOKUP(AG14,OFFSET($S$2,,,COUNTIF($S$2:$S$42,"?*"),10),3,FALSE)+AZ14+AI14," OZ, ",VLOOKUP(AG14,OFFSET($S$2,,,COUNTIF($S$2:$S$42,"?*"),10),8,FALSE)+BA14+BB14+AL14," (",VLOOKUP(AG14,OFFSET($S$2,,,COUNTIF($S$2:$S$42,"?*"),10),4,FALSE)+BA14+AJ14,"+",VLOOKUP(AG14,OFFSET($S$2,,,COUNTIF($S$2:$S$42,"?*"),10),7,FALSE)+BB14+AK14,")"),IF(AG14&lt;&gt;"",CONCATENATE(AI14," OZ, ",AL14," (",AJ14,"+",AK14,")"),"")))</f>
        <v>9 OZ, 3 (3+0)</v>
      </c>
      <c r="BD14" s="3" t="str">
        <f>IF(AG14&lt;&gt;"",RIGHT(AG14,LEN(AG14)-SEARCH(" ",AG14)),"")</f>
        <v>Lebeda</v>
      </c>
      <c r="BE14" s="123">
        <f ca="1">IF(AG14&lt;&gt;"",COUNTIF(OFFSET($BD$2,,,COUNTIF($AG$2:$AG$50,"?*")),BD14),"")</f>
        <v>1</v>
      </c>
      <c r="BF14" s="66" t="str">
        <f>IF(AG14&lt;&gt;"",LEFT(AG14,1),"")</f>
        <v>J</v>
      </c>
      <c r="BG14" s="3" t="str">
        <f ca="1">IF(AND($AG14&lt;&gt;"",BE14&gt;1),CONCATENATE($BD14," ",LEFT($AG14,MIN(1,SEARCH(" ",$AG14)-1)),IF(SEARCH(" ",$AG14)-1&gt;1,".",""),""),"")</f>
        <v/>
      </c>
      <c r="BH14" s="66">
        <f ca="1">IF(BG14&lt;&gt;"",COUNTIF(OFFSET(BG$2,,,COUNTIF($AG$2:$AG$50,"?*")),BG14),IF($AG14&lt;&gt;"",0,""))</f>
        <v>0</v>
      </c>
      <c r="BI14" s="3" t="str">
        <f ca="1">IF(AND($AG14&lt;&gt;"",BH14&gt;1),CONCATENATE($BD14," ",LEFT($AG14,MIN(2,SEARCH(" ",$AG14)-1)),IF(SEARCH(" ",$AG14)-1&gt;2,".",""),""),"")</f>
        <v/>
      </c>
      <c r="BJ14" s="66">
        <f ca="1">IF(BI14&lt;&gt;"",COUNTIF(OFFSET(BI$2,,,COUNTIF($AG$2:$AG$50,"?*")),BI14),IF($AG14&lt;&gt;"",0,""))</f>
        <v>0</v>
      </c>
      <c r="BK14" s="3" t="str">
        <f ca="1">IF(AND($AG14&lt;&gt;"",BJ14&gt;1),CONCATENATE($BD14," ",LEFT($AG14,MIN(3,SEARCH(" ",$AG14)-1)),IF(SEARCH(" ",$AG14)-1&gt;3,".",""),""),"")</f>
        <v/>
      </c>
      <c r="BL14" s="66">
        <f ca="1">IF(BK14&lt;&gt;"",COUNTIF(OFFSET(BK$2,,,COUNTIF($AG$2:$AG$50,"?*")),BK14),IF($AG14&lt;&gt;"",0,""))</f>
        <v>0</v>
      </c>
      <c r="BM14" s="3" t="str">
        <f ca="1">IF(AND($AG14&lt;&gt;"",BL14&gt;1),CONCATENATE($BD14," ",LEFT($AG14,MIN(4,SEARCH(" ",$AG14)-1)),IF(SEARCH(" ",$AG14)-1&gt;4,".",""),""),"")</f>
        <v/>
      </c>
      <c r="BS14" s="325"/>
      <c r="BT14" s="332" t="s">
        <v>220</v>
      </c>
      <c r="BU14" s="331">
        <v>0</v>
      </c>
      <c r="BV14" s="3" t="str">
        <f t="shared" si="4"/>
        <v>Daniel Cabejšek</v>
      </c>
      <c r="BW14" s="108">
        <f t="shared" si="5"/>
        <v>0</v>
      </c>
    </row>
    <row r="15" spans="1:79" ht="15" customHeight="1" thickBot="1" x14ac:dyDescent="0.25">
      <c r="A15" s="297" t="str">
        <f ca="1">IFERROR(IF(VLOOKUP(A12,OFFSET($AG$2,,,COUNTIF($AG$2:$AG$50,"?*"),23),13,FALSE)&lt;&gt;0,VLOOKUP(A12,OFFSET($AG$2,,,COUNTIF($AG$2:$AG$50,"?*"),23),13,FALSE),"?"),"")</f>
        <v/>
      </c>
      <c r="B15" s="298"/>
      <c r="C15" s="299"/>
      <c r="D15" s="288" t="str">
        <f ca="1">IFERROR(IF(VLOOKUP(A12,OFFSET($AG$2,,,COUNTIF($AG$2:$AG$50,"?*"),23),14,FALSE)&lt;&gt;0,VLOOKUP(A12,OFFSET($AG$2,,,COUNTIF($AG$2:$AG$50,"?*"),23),14,FALSE),"?"),"")</f>
        <v/>
      </c>
      <c r="E15" s="287"/>
      <c r="F15" s="7" t="str">
        <f ca="1">IFERROR(IF(VLOOKUP(A12,OFFSET($AG$2,,,COUNTIF($AG$2:$AG$50,"?*"),23),7,FALSE)&lt;&gt;0,VLOOKUP(A12,OFFSET($AG$2,,,COUNTIF($AG$2:$AG$50,"?*"),23),7,FALSE),"?"),"")</f>
        <v/>
      </c>
      <c r="G15" s="4" t="str">
        <f ca="1">IFERROR(IF(VLOOKUP(G14,OFFSET($AG$2,,,COUNTIF($AG$2:$AG$50,"?*"),23),10,FALSE)&lt;&gt;0,VLOOKUP(G14,OFFSET($AG$2,,,COUNTIF($AG$2:$AG$50,"?*"),23),10,FALSE),"?"),"")</f>
        <v/>
      </c>
      <c r="H15" s="252" t="str">
        <f ca="1">IFERROR(IF(VLOOKUP(G14,OFFSET($AG$2,,,COUNTIF($AG$2:$AG$50,"?*"),23),2,FALSE)&lt;&gt;0,YEAR(VLOOKUP(G14,OFFSET($AG$2,,,COUNTIF($AG$2:$AG$50,"?*"),23),2,FALSE)),"?"),"")</f>
        <v/>
      </c>
      <c r="I15" s="261"/>
      <c r="J15" s="5" t="str">
        <f ca="1">IFERROR(VLOOKUP(G14,OFFSET($AG$2,,,COUNTIF($AG$2:$AG$50,"?*"),23),15,FALSE),"")</f>
        <v/>
      </c>
      <c r="K15" s="251" t="str">
        <f ca="1">IFERROR(VLOOKUP(G14,OFFSET($AG$2,,,COUNTIF($AG$2:$AG$50,"?*"),23),16,FALSE),"")</f>
        <v/>
      </c>
      <c r="L15" s="253"/>
      <c r="M15" s="297" t="str">
        <f ca="1">IFERROR(IF(VLOOKUP(M12,OFFSET($AG$2,,,COUNTIF($AG$2:$AG$50,"?*"),23),13,FALSE)&lt;&gt;0,VLOOKUP(M12,OFFSET($AG$2,,,COUNTIF($AG$2:$AG$50,"?*"),23),13,FALSE),"?"),"")</f>
        <v/>
      </c>
      <c r="N15" s="298"/>
      <c r="O15" s="299"/>
      <c r="P15" s="288" t="str">
        <f ca="1">IFERROR(IF(VLOOKUP(M12,OFFSET($AG$2,,,COUNTIF($AG$2:$AG$50,"?*"),23),14,FALSE)&lt;&gt;0,VLOOKUP(M12,OFFSET($AG$2,,,COUNTIF($AG$2:$AG$50,"?*"),23),14,FALSE),"?"),"")</f>
        <v/>
      </c>
      <c r="Q15" s="287"/>
      <c r="R15" s="7" t="str">
        <f ca="1">IFERROR(IF(VLOOKUP(M12,OFFSET($AG$2,,,COUNTIF($AG$2:$AG$50,"?*"),23),7,FALSE)&lt;&gt;0,VLOOKUP(M12,OFFSET($AG$2,,,COUNTIF($AG$2:$AG$50,"?*"),23),7,FALSE),"?"),"")</f>
        <v/>
      </c>
      <c r="S15" s="353" t="s">
        <v>137</v>
      </c>
      <c r="T15" s="330" t="s">
        <v>132</v>
      </c>
      <c r="U15" s="330">
        <v>0</v>
      </c>
      <c r="V15" s="330">
        <v>0</v>
      </c>
      <c r="W15" s="330">
        <v>0</v>
      </c>
      <c r="X15" s="330">
        <v>0</v>
      </c>
      <c r="Y15" s="330">
        <v>0</v>
      </c>
      <c r="Z15" s="330">
        <v>0</v>
      </c>
      <c r="AA15" s="330">
        <v>0</v>
      </c>
      <c r="AB15" s="330">
        <v>0</v>
      </c>
      <c r="AG15" s="333" t="s">
        <v>178</v>
      </c>
      <c r="AH15" s="334">
        <v>31929</v>
      </c>
      <c r="AI15" s="335">
        <v>67</v>
      </c>
      <c r="AJ15" s="335">
        <v>19</v>
      </c>
      <c r="AK15" s="335">
        <v>20</v>
      </c>
      <c r="AL15" s="335">
        <v>39</v>
      </c>
      <c r="AM15" s="335">
        <v>6</v>
      </c>
      <c r="AN15" s="335">
        <v>10</v>
      </c>
      <c r="AO15" s="336"/>
      <c r="AP15" s="336" t="s">
        <v>27</v>
      </c>
      <c r="AQ15" s="335">
        <v>179</v>
      </c>
      <c r="AR15" s="335">
        <v>82</v>
      </c>
      <c r="AS15" s="337" t="s">
        <v>179</v>
      </c>
      <c r="AT15" s="335">
        <v>1997</v>
      </c>
      <c r="AU15" s="130">
        <f ca="1">IF(AG15&lt;&gt;"",IF(AH15&lt;&gt;"",INT((TODAY()-AH15)/365),"?"),"")</f>
        <v>34</v>
      </c>
      <c r="AV15" s="130" t="str">
        <f>IF(AG15&lt;&gt;"",CONCATENATE(IF(AQ15&lt;&gt;"",AQ15,"? "),"/",IF(AR15&lt;&gt;"",AR15," ?")),"")</f>
        <v>179/82</v>
      </c>
      <c r="AW15" s="131" t="str">
        <f ca="1">IF(AG15&lt;&gt;"",IF(BE15=1,BD15,IF(BH15,BG15,IF(BJ15=1,BI15,IF(BL15=1,BK15,BM15)))),"")</f>
        <v>Linhart</v>
      </c>
      <c r="AX15" s="132" t="str">
        <f ca="1">IFERROR(IF(MATCH(AG15,OFFSET($S$45,,,COUNTIF($S$45:$S$50,"?*")),0)&gt;0,CONCATENATE(VLOOKUP(AG15,OFFSET($S$45,,,COUNTIF($S$45:$S$50,"?*"),14),4,FALSE)," V, ",VLOOKUP(AG15,OFFSET($S$45,,,COUNTIF($S$45:$S$50,"?*"),14),9,FALSE)," P"),""),IFERROR(CONCATENATE(VLOOKUP(AG15,OFFSET($S$2,,,COUNTIF($S$2:$S$42,"?*"),10),3,FALSE)+AZ15," OZ, ",VLOOKUP(AG15,OFFSET($S$2,,,COUNTIF($S$2:$S$42,"?*"),10),8,FALSE)+BA15+BB15," (",VLOOKUP(AG15,OFFSET($S$2,,,COUNTIF($S$2:$S$42,"?*"),10),4,FALSE)+BA15,"+",VLOOKUP(AG15,OFFSET($S$2,,,COUNTIF($S$2:$S$42,"?*"),10),7,FALSE)+BB15,"), ",IF(VLOOKUP(AG15,OFFSET($S$2,,,COUNTIF($S$2:$S$42,"?*"),10),10,FALSE)+BC15&gt;0,"+",""),VLOOKUP(AG15,OFFSET($S$2,,,COUNTIF($S$2:$S$42,"?*"),10),10,FALSE)+BC15," ±"),IF(AG15&lt;&gt;"","0 OZ, 0 (0+0)","")))</f>
        <v>0 OZ, 0 (0+0)</v>
      </c>
      <c r="AY15" s="132" t="str">
        <f ca="1">IFERROR(CONCATENATE(AI15+VLOOKUP(AG15,OFFSET($S$45,,,COUNTIF($S$45:$S$50,"?*"),14),2,FALSE)," OZ, ",AK15+VLOOKUP(AG15,OFFSET($S$45,,,COUNTIF($S$45:$S$50,"?*"),14),11,FALSE)," A"),IFERROR(CONCATENATE(VLOOKUP(AG15,OFFSET($S$2,,,COUNTIF($S$2:$S$42,"?*"),10),3,FALSE)+AZ15+AI15," OZ, ",VLOOKUP(AG15,OFFSET($S$2,,,COUNTIF($S$2:$S$42,"?*"),10),8,FALSE)+BA15+BB15+AL15," (",VLOOKUP(AG15,OFFSET($S$2,,,COUNTIF($S$2:$S$42,"?*"),10),4,FALSE)+BA15+AJ15,"+",VLOOKUP(AG15,OFFSET($S$2,,,COUNTIF($S$2:$S$42,"?*"),10),7,FALSE)+BB15+AK15,")"),IF(AG15&lt;&gt;"",CONCATENATE(AI15," OZ, ",AL15," (",AJ15,"+",AK15,")"),"")))</f>
        <v>67 OZ, 39 (19+20)</v>
      </c>
      <c r="AZ15" s="132"/>
      <c r="BA15" s="132"/>
      <c r="BB15" s="132"/>
      <c r="BC15" s="132"/>
      <c r="BD15" s="129" t="str">
        <f>IF(AG15&lt;&gt;"",RIGHT(AG15,LEN(AG15)-SEARCH(" ",AG15)),"")</f>
        <v>Linhart</v>
      </c>
      <c r="BE15" s="132">
        <f ca="1">IF(AG15&lt;&gt;"",COUNTIF(OFFSET($BD$2,,,COUNTIF($AG$2:$AG$50,"?*")),BD15),"")</f>
        <v>1</v>
      </c>
      <c r="BF15" s="130" t="str">
        <f>IF(AG15&lt;&gt;"",LEFT(AG15,1),"")</f>
        <v>J</v>
      </c>
      <c r="BG15" s="129" t="str">
        <f ca="1">IF(AND($AG15&lt;&gt;"",BE15&gt;1),CONCATENATE($BD15," ",LEFT($AG15,MIN(1,SEARCH(" ",$AG15)-1)),IF(SEARCH(" ",$AG15)-1&gt;1,".",""),""),"")</f>
        <v/>
      </c>
      <c r="BH15" s="130">
        <f ca="1">IF(BG15&lt;&gt;"",COUNTIF(OFFSET(BG$2,,,COUNTIF($AG$2:$AG$50,"?*")),BG15),IF($AG15&lt;&gt;"",0,""))</f>
        <v>0</v>
      </c>
      <c r="BI15" s="129" t="str">
        <f ca="1">IF(AND($AG15&lt;&gt;"",BH15&gt;1),CONCATENATE($BD15," ",LEFT($AG15,MIN(2,SEARCH(" ",$AG15)-1)),IF(SEARCH(" ",$AG15)-1&gt;2,".",""),""),"")</f>
        <v/>
      </c>
      <c r="BJ15" s="130">
        <f ca="1">IF(BI15&lt;&gt;"",COUNTIF(OFFSET(BI$2,,,COUNTIF($AG$2:$AG$50,"?*")),BI15),IF($AG15&lt;&gt;"",0,""))</f>
        <v>0</v>
      </c>
      <c r="BK15" s="129" t="str">
        <f ca="1">IF(AND($AG15&lt;&gt;"",BJ15&gt;1),CONCATENATE($BD15," ",LEFT($AG15,MIN(3,SEARCH(" ",$AG15)-1)),IF(SEARCH(" ",$AG15)-1&gt;3,".",""),""),"")</f>
        <v/>
      </c>
      <c r="BL15" s="130">
        <f ca="1">IF(BK15&lt;&gt;"",COUNTIF(OFFSET(BK$2,,,COUNTIF($AG$2:$AG$50,"?*")),BK15),IF($AG15&lt;&gt;"",0,""))</f>
        <v>0</v>
      </c>
      <c r="BM15" s="129" t="str">
        <f ca="1">IF(AND($AG15&lt;&gt;"",BL15&gt;1),CONCATENATE($BD15," ",LEFT($AG15,MIN(4,SEARCH(" ",$AG15)-1)),IF(SEARCH(" ",$AG15)-1&gt;4,".",""),""),"")</f>
        <v/>
      </c>
      <c r="BS15" s="325"/>
      <c r="BT15" s="332" t="s">
        <v>227</v>
      </c>
      <c r="BU15" s="331">
        <v>0</v>
      </c>
      <c r="BV15" s="3" t="str">
        <f t="shared" si="4"/>
        <v>David Ježek</v>
      </c>
      <c r="BW15" s="108">
        <f t="shared" si="5"/>
        <v>0</v>
      </c>
    </row>
    <row r="16" spans="1:79" ht="15" customHeight="1" thickTop="1" thickBot="1" x14ac:dyDescent="0.25">
      <c r="A16" s="8"/>
      <c r="B16" s="8"/>
      <c r="C16" s="8"/>
      <c r="D16" s="8"/>
      <c r="G16" s="290" t="str">
        <f ca="1">IFERROR(VLOOKUP(G14,OFFSET($AG$2,,,COUNTIF($AG$2:$AG$50,"?*"),23),18,FALSE),"")</f>
        <v/>
      </c>
      <c r="H16" s="291"/>
      <c r="I16" s="291"/>
      <c r="J16" s="292" t="str">
        <f ca="1">IFERROR(VLOOKUP(G14,OFFSET($AG$2,,,COUNTIF($AG$2:$AG$50,"?*"),23),19,FALSE),"")</f>
        <v/>
      </c>
      <c r="K16" s="292"/>
      <c r="L16" s="293"/>
      <c r="S16" s="353" t="s">
        <v>9</v>
      </c>
      <c r="T16" s="330"/>
      <c r="U16" s="330">
        <v>1</v>
      </c>
      <c r="V16" s="330">
        <v>0</v>
      </c>
      <c r="W16" s="330">
        <v>0</v>
      </c>
      <c r="X16" s="330">
        <v>0</v>
      </c>
      <c r="Y16" s="330">
        <v>0</v>
      </c>
      <c r="Z16" s="330">
        <v>0</v>
      </c>
      <c r="AA16" s="330">
        <v>0</v>
      </c>
      <c r="AB16" s="330">
        <v>0</v>
      </c>
      <c r="AG16" s="328" t="s">
        <v>18</v>
      </c>
      <c r="AH16" s="329">
        <v>37561</v>
      </c>
      <c r="AI16" s="330">
        <v>1</v>
      </c>
      <c r="AJ16" s="330">
        <v>0</v>
      </c>
      <c r="AK16" s="330">
        <v>0</v>
      </c>
      <c r="AL16" s="330">
        <v>0</v>
      </c>
      <c r="AM16" s="330">
        <v>2</v>
      </c>
      <c r="AN16" s="330">
        <v>88</v>
      </c>
      <c r="AO16" s="331"/>
      <c r="AP16" s="331"/>
      <c r="AQ16" s="330">
        <v>180</v>
      </c>
      <c r="AR16" s="330">
        <v>83</v>
      </c>
      <c r="AS16" s="332"/>
      <c r="AT16" s="330"/>
      <c r="AU16" s="66">
        <f ca="1">IF(AG16&lt;&gt;"",IF(AH16&lt;&gt;"",INT((TODAY()-AH16)/365),"?"),"")</f>
        <v>18</v>
      </c>
      <c r="AV16" s="66" t="str">
        <f>IF(AG16&lt;&gt;"",CONCATENATE(IF(AQ16&lt;&gt;"",AQ16,"? "),"/",IF(AR16&lt;&gt;"",AR16," ?")),"")</f>
        <v>180/83</v>
      </c>
      <c r="AW16" s="128" t="str">
        <f ca="1">IF(AG16&lt;&gt;"",IF(BE16=1,BD16,IF(BH16,BG16,IF(BJ16=1,BI16,IF(BL16=1,BK16,BM16)))),"")</f>
        <v>Lorenc</v>
      </c>
      <c r="AX16" s="123" t="str">
        <f ca="1">IFERROR(IF(MATCH(AG16,OFFSET($S$45,,,COUNTIF($S$45:$S$50,"?*")),0)&gt;0,CONCATENATE(VLOOKUP(AG16,OFFSET($S$45,,,COUNTIF($S$45:$S$50,"?*"),14),4,FALSE)," V, ",VLOOKUP(AG16,OFFSET($S$45,,,COUNTIF($S$45:$S$50,"?*"),14),9,FALSE)," P"),""),IFERROR(CONCATENATE(VLOOKUP(AG16,OFFSET($S$2,,,COUNTIF($S$2:$S$42,"?*"),10),3,FALSE)+AZ16," OZ, ",VLOOKUP(AG16,OFFSET($S$2,,,COUNTIF($S$2:$S$42,"?*"),10),8,FALSE)+BA16+BB16," (",VLOOKUP(AG16,OFFSET($S$2,,,COUNTIF($S$2:$S$42,"?*"),10),4,FALSE)+BA16,"+",VLOOKUP(AG16,OFFSET($S$2,,,COUNTIF($S$2:$S$42,"?*"),10),7,FALSE)+BB16,"), ",IF(VLOOKUP(AG16,OFFSET($S$2,,,COUNTIF($S$2:$S$42,"?*"),10),10,FALSE)+BC16&gt;0,"+",""),VLOOKUP(AG16,OFFSET($S$2,,,COUNTIF($S$2:$S$42,"?*"),10),10,FALSE)+BC16," ±"),IF(AG16&lt;&gt;"","0 OZ, 0 (0+0)","")))</f>
        <v>0 OZ, 0 (0+0)</v>
      </c>
      <c r="AY16" s="123" t="str">
        <f ca="1">IFERROR(CONCATENATE(AI16+VLOOKUP(AG16,OFFSET($S$45,,,COUNTIF($S$45:$S$50,"?*"),14),2,FALSE)," OZ, ",AK16+VLOOKUP(AG16,OFFSET($S$45,,,COUNTIF($S$45:$S$50,"?*"),14),11,FALSE)," A"),IFERROR(CONCATENATE(VLOOKUP(AG16,OFFSET($S$2,,,COUNTIF($S$2:$S$42,"?*"),10),3,FALSE)+AZ16+AI16," OZ, ",VLOOKUP(AG16,OFFSET($S$2,,,COUNTIF($S$2:$S$42,"?*"),10),8,FALSE)+BA16+BB16+AL16," (",VLOOKUP(AG16,OFFSET($S$2,,,COUNTIF($S$2:$S$42,"?*"),10),4,FALSE)+BA16+AJ16,"+",VLOOKUP(AG16,OFFSET($S$2,,,COUNTIF($S$2:$S$42,"?*"),10),7,FALSE)+BB16+AK16,")"),IF(AG16&lt;&gt;"",CONCATENATE(AI16," OZ, ",AL16," (",AJ16,"+",AK16,")"),"")))</f>
        <v>1 OZ, 0 (0+0)</v>
      </c>
      <c r="BD16" s="3" t="str">
        <f>IF(AG16&lt;&gt;"",RIGHT(AG16,LEN(AG16)-SEARCH(" ",AG16)),"")</f>
        <v>Lorenc</v>
      </c>
      <c r="BE16" s="123">
        <f ca="1">IF(AG16&lt;&gt;"",COUNTIF(OFFSET($BD$2,,,COUNTIF($AG$2:$AG$50,"?*")),BD16),"")</f>
        <v>1</v>
      </c>
      <c r="BF16" s="66" t="str">
        <f>IF(AG16&lt;&gt;"",LEFT(AG16,1),"")</f>
        <v>M</v>
      </c>
      <c r="BG16" s="3" t="str">
        <f ca="1">IF(AND($AG16&lt;&gt;"",BE16&gt;1),CONCATENATE($BD16," ",LEFT($AG16,MIN(1,SEARCH(" ",$AG16)-1)),IF(SEARCH(" ",$AG16)-1&gt;1,".",""),""),"")</f>
        <v/>
      </c>
      <c r="BH16" s="66">
        <f ca="1">IF(BG16&lt;&gt;"",COUNTIF(OFFSET(BG$2,,,COUNTIF($AG$2:$AG$50,"?*")),BG16),IF($AG16&lt;&gt;"",0,""))</f>
        <v>0</v>
      </c>
      <c r="BI16" s="3" t="str">
        <f ca="1">IF(AND($AG16&lt;&gt;"",BH16&gt;1),CONCATENATE($BD16," ",LEFT($AG16,MIN(2,SEARCH(" ",$AG16)-1)),IF(SEARCH(" ",$AG16)-1&gt;2,".",""),""),"")</f>
        <v/>
      </c>
      <c r="BJ16" s="66">
        <f ca="1">IF(BI16&lt;&gt;"",COUNTIF(OFFSET(BI$2,,,COUNTIF($AG$2:$AG$50,"?*")),BI16),IF($AG16&lt;&gt;"",0,""))</f>
        <v>0</v>
      </c>
      <c r="BK16" s="3" t="str">
        <f ca="1">IF(AND($AG16&lt;&gt;"",BJ16&gt;1),CONCATENATE($BD16," ",LEFT($AG16,MIN(3,SEARCH(" ",$AG16)-1)),IF(SEARCH(" ",$AG16)-1&gt;3,".",""),""),"")</f>
        <v/>
      </c>
      <c r="BL16" s="66">
        <f ca="1">IF(BK16&lt;&gt;"",COUNTIF(OFFSET(BK$2,,,COUNTIF($AG$2:$AG$50,"?*")),BK16),IF($AG16&lt;&gt;"",0,""))</f>
        <v>0</v>
      </c>
      <c r="BM16" s="3" t="str">
        <f ca="1">IF(AND($AG16&lt;&gt;"",BL16&gt;1),CONCATENATE($BD16," ",LEFT($AG16,MIN(4,SEARCH(" ",$AG16)-1)),IF(SEARCH(" ",$AG16)-1&gt;4,".",""),""),"")</f>
        <v/>
      </c>
      <c r="BS16" s="325"/>
      <c r="BT16" s="332" t="s">
        <v>228</v>
      </c>
      <c r="BU16" s="331">
        <v>0</v>
      </c>
      <c r="BV16" s="3" t="str">
        <f t="shared" si="4"/>
        <v>Ivan Pergler</v>
      </c>
      <c r="BW16" s="108">
        <f t="shared" si="5"/>
        <v>0</v>
      </c>
    </row>
    <row r="17" spans="1:75" ht="15" customHeight="1" thickTop="1" thickBot="1" x14ac:dyDescent="0.25">
      <c r="A17" s="294"/>
      <c r="B17" s="295"/>
      <c r="C17" s="295"/>
      <c r="D17" s="295"/>
      <c r="E17" s="1" t="str">
        <f ca="1">IFERROR(IF(VLOOKUP(A17,OFFSET($AG$2,,,COUNTIF($AG$2:$AG$50,"?*"),23),9,FALSE)&lt;&gt;0,VLOOKUP(A17,OFFSET($AG$2,,,COUNTIF($AG$2:$AG$50,"?*"),23),9,FALSE),""),"")</f>
        <v/>
      </c>
      <c r="F17" s="2" t="str">
        <f ca="1">IFERROR(IF(VLOOKUP(A17,OFFSET($AG$2,,,COUNTIF($AG$2:$AG$50,"?*"),23),8,FALSE)&lt;&gt;0,VLOOKUP(A17,OFFSET($AG$2,,,COUNTIF($AG$2:$AG$50,"?*"),23),8,FALSE),"?"),"")</f>
        <v/>
      </c>
      <c r="G17" s="297" t="str">
        <f ca="1">IFERROR(IF(VLOOKUP(G14,OFFSET($AG$2,,,COUNTIF($AG$2:$AG$50,"?*"),23),13,FALSE)&lt;&gt;0,VLOOKUP(G14,OFFSET($AG$2,,,COUNTIF($AG$2:$AG$50,"?*"),23),13,FALSE),"?"),"")</f>
        <v/>
      </c>
      <c r="H17" s="298"/>
      <c r="I17" s="299"/>
      <c r="J17" s="288" t="str">
        <f ca="1">IFERROR(IF(VLOOKUP(G14,OFFSET($AG$2,,,COUNTIF($AG$2:$AG$50,"?*"),23),14,FALSE)&lt;&gt;0,VLOOKUP(G14,OFFSET($AG$2,,,COUNTIF($AG$2:$AG$50,"?*"),23),14,FALSE),"?"),"")</f>
        <v/>
      </c>
      <c r="K17" s="287"/>
      <c r="L17" s="7" t="str">
        <f ca="1">IFERROR(IF(VLOOKUP(G14,OFFSET($AG$2,,,COUNTIF($AG$2:$AG$50,"?*"),23),7,FALSE)&lt;&gt;0,VLOOKUP(G14,OFFSET($AG$2,,,COUNTIF($AG$2:$AG$50,"?*"),23),7,FALSE),"?"),"")</f>
        <v/>
      </c>
      <c r="M17" s="294"/>
      <c r="N17" s="295"/>
      <c r="O17" s="295"/>
      <c r="P17" s="295"/>
      <c r="Q17" s="1" t="str">
        <f ca="1">IFERROR(IF(VLOOKUP(M17,OFFSET($AG$2,,,COUNTIF($AG$2:$AG$50,"?*"),23),9,FALSE)&lt;&gt;0,VLOOKUP(M17,OFFSET($AG$2,,,COUNTIF($AG$2:$AG$50,"?*"),23),9,FALSE),""),"")</f>
        <v/>
      </c>
      <c r="R17" s="2" t="str">
        <f ca="1">IFERROR(IF(VLOOKUP(M17,OFFSET($AG$2,,,COUNTIF($AG$2:$AG$50,"?*"),23),8,FALSE)&lt;&gt;0,VLOOKUP(M17,OFFSET($AG$2,,,COUNTIF($AG$2:$AG$50,"?*"),23),8,FALSE),"?"),"")</f>
        <v/>
      </c>
      <c r="S17" s="353" t="s">
        <v>138</v>
      </c>
      <c r="T17" s="330" t="s">
        <v>69</v>
      </c>
      <c r="U17" s="330">
        <v>1</v>
      </c>
      <c r="V17" s="330">
        <v>0</v>
      </c>
      <c r="W17" s="330">
        <v>0</v>
      </c>
      <c r="X17" s="330">
        <v>0</v>
      </c>
      <c r="Y17" s="330">
        <v>0</v>
      </c>
      <c r="Z17" s="330">
        <v>0</v>
      </c>
      <c r="AA17" s="330">
        <v>0</v>
      </c>
      <c r="AB17" s="330">
        <v>0</v>
      </c>
      <c r="AG17" s="333" t="s">
        <v>180</v>
      </c>
      <c r="AH17" s="334">
        <v>34726</v>
      </c>
      <c r="AI17" s="335">
        <v>1</v>
      </c>
      <c r="AJ17" s="335">
        <v>0</v>
      </c>
      <c r="AK17" s="335">
        <v>0</v>
      </c>
      <c r="AL17" s="335">
        <v>0</v>
      </c>
      <c r="AM17" s="335">
        <v>4</v>
      </c>
      <c r="AN17" s="335">
        <v>37</v>
      </c>
      <c r="AO17" s="336"/>
      <c r="AP17" s="336"/>
      <c r="AQ17" s="335">
        <v>190</v>
      </c>
      <c r="AR17" s="335">
        <v>80</v>
      </c>
      <c r="AS17" s="337" t="s">
        <v>181</v>
      </c>
      <c r="AT17" s="335">
        <v>2007</v>
      </c>
      <c r="AU17" s="130">
        <f ca="1">IF(AG17&lt;&gt;"",IF(AH17&lt;&gt;"",INT((TODAY()-AH17)/365),"?"),"")</f>
        <v>26</v>
      </c>
      <c r="AV17" s="130" t="str">
        <f>IF(AG17&lt;&gt;"",CONCATENATE(IF(AQ17&lt;&gt;"",AQ17,"? "),"/",IF(AR17&lt;&gt;"",AR17," ?")),"")</f>
        <v>190/80</v>
      </c>
      <c r="AW17" s="131" t="str">
        <f ca="1">IF(AG17&lt;&gt;"",IF(BE17=1,BD17,IF(BH17,BG17,IF(BJ17=1,BI17,IF(BL17=1,BK17,BM17)))),"")</f>
        <v>Mazák</v>
      </c>
      <c r="AX17" s="132" t="str">
        <f ca="1">IFERROR(IF(MATCH(AG17,OFFSET($S$45,,,COUNTIF($S$45:$S$50,"?*")),0)&gt;0,CONCATENATE(VLOOKUP(AG17,OFFSET($S$45,,,COUNTIF($S$45:$S$50,"?*"),14),4,FALSE)," V, ",VLOOKUP(AG17,OFFSET($S$45,,,COUNTIF($S$45:$S$50,"?*"),14),9,FALSE)," P"),""),IFERROR(CONCATENATE(VLOOKUP(AG17,OFFSET($S$2,,,COUNTIF($S$2:$S$42,"?*"),10),3,FALSE)+AZ17," OZ, ",VLOOKUP(AG17,OFFSET($S$2,,,COUNTIF($S$2:$S$42,"?*"),10),8,FALSE)+BA17+BB17," (",VLOOKUP(AG17,OFFSET($S$2,,,COUNTIF($S$2:$S$42,"?*"),10),4,FALSE)+BA17,"+",VLOOKUP(AG17,OFFSET($S$2,,,COUNTIF($S$2:$S$42,"?*"),10),7,FALSE)+BB17,"), ",IF(VLOOKUP(AG17,OFFSET($S$2,,,COUNTIF($S$2:$S$42,"?*"),10),10,FALSE)+BC17&gt;0,"+",""),VLOOKUP(AG17,OFFSET($S$2,,,COUNTIF($S$2:$S$42,"?*"),10),10,FALSE)+BC17," ±"),IF(AG17&lt;&gt;"","0 OZ, 0 (0+0)","")))</f>
        <v>0 OZ, 0 (0+0)</v>
      </c>
      <c r="AY17" s="132" t="str">
        <f ca="1">IFERROR(CONCATENATE(AI17+VLOOKUP(AG17,OFFSET($S$45,,,COUNTIF($S$45:$S$50,"?*"),14),2,FALSE)," OZ, ",AK17+VLOOKUP(AG17,OFFSET($S$45,,,COUNTIF($S$45:$S$50,"?*"),14),11,FALSE)," A"),IFERROR(CONCATENATE(VLOOKUP(AG17,OFFSET($S$2,,,COUNTIF($S$2:$S$42,"?*"),10),3,FALSE)+AZ17+AI17," OZ, ",VLOOKUP(AG17,OFFSET($S$2,,,COUNTIF($S$2:$S$42,"?*"),10),8,FALSE)+BA17+BB17+AL17," (",VLOOKUP(AG17,OFFSET($S$2,,,COUNTIF($S$2:$S$42,"?*"),10),4,FALSE)+BA17+AJ17,"+",VLOOKUP(AG17,OFFSET($S$2,,,COUNTIF($S$2:$S$42,"?*"),10),7,FALSE)+BB17+AK17,")"),IF(AG17&lt;&gt;"",CONCATENATE(AI17," OZ, ",AL17," (",AJ17,"+",AK17,")"),"")))</f>
        <v>1 OZ, 0 (0+0)</v>
      </c>
      <c r="AZ17" s="132"/>
      <c r="BA17" s="132"/>
      <c r="BB17" s="132"/>
      <c r="BC17" s="132"/>
      <c r="BD17" s="129" t="str">
        <f>IF(AG17&lt;&gt;"",RIGHT(AG17,LEN(AG17)-SEARCH(" ",AG17)),"")</f>
        <v>Mazák</v>
      </c>
      <c r="BE17" s="132">
        <f ca="1">IF(AG17&lt;&gt;"",COUNTIF(OFFSET($BD$2,,,COUNTIF($AG$2:$AG$50,"?*")),BD17),"")</f>
        <v>1</v>
      </c>
      <c r="BF17" s="130" t="str">
        <f>IF(AG17&lt;&gt;"",LEFT(AG17,1),"")</f>
        <v>R</v>
      </c>
      <c r="BG17" s="129" t="str">
        <f ca="1">IF(AND($AG17&lt;&gt;"",BE17&gt;1),CONCATENATE($BD17," ",LEFT($AG17,MIN(1,SEARCH(" ",$AG17)-1)),IF(SEARCH(" ",$AG17)-1&gt;1,".",""),""),"")</f>
        <v/>
      </c>
      <c r="BH17" s="130">
        <f ca="1">IF(BG17&lt;&gt;"",COUNTIF(OFFSET(BG$2,,,COUNTIF($AG$2:$AG$50,"?*")),BG17),IF($AG17&lt;&gt;"",0,""))</f>
        <v>0</v>
      </c>
      <c r="BI17" s="129" t="str">
        <f ca="1">IF(AND($AG17&lt;&gt;"",BH17&gt;1),CONCATENATE($BD17," ",LEFT($AG17,MIN(2,SEARCH(" ",$AG17)-1)),IF(SEARCH(" ",$AG17)-1&gt;2,".",""),""),"")</f>
        <v/>
      </c>
      <c r="BJ17" s="130">
        <f ca="1">IF(BI17&lt;&gt;"",COUNTIF(OFFSET(BI$2,,,COUNTIF($AG$2:$AG$50,"?*")),BI17),IF($AG17&lt;&gt;"",0,""))</f>
        <v>0</v>
      </c>
      <c r="BK17" s="129" t="str">
        <f ca="1">IF(AND($AG17&lt;&gt;"",BJ17&gt;1),CONCATENATE($BD17," ",LEFT($AG17,MIN(3,SEARCH(" ",$AG17)-1)),IF(SEARCH(" ",$AG17)-1&gt;3,".",""),""),"")</f>
        <v/>
      </c>
      <c r="BL17" s="130">
        <f ca="1">IF(BK17&lt;&gt;"",COUNTIF(OFFSET(BK$2,,,COUNTIF($AG$2:$AG$50,"?*")),BK17),IF($AG17&lt;&gt;"",0,""))</f>
        <v>0</v>
      </c>
      <c r="BM17" s="129" t="str">
        <f ca="1">IF(AND($AG17&lt;&gt;"",BL17&gt;1),CONCATENATE($BD17," ",LEFT($AG17,MIN(4,SEARCH(" ",$AG17)-1)),IF(SEARCH(" ",$AG17)-1&gt;4,".",""),""),"")</f>
        <v/>
      </c>
      <c r="BS17" s="325" t="s">
        <v>41</v>
      </c>
      <c r="BT17" s="332" t="s">
        <v>223</v>
      </c>
      <c r="BU17" s="331">
        <v>0</v>
      </c>
      <c r="BV17" s="3" t="str">
        <f t="shared" si="4"/>
        <v>Petr Musil</v>
      </c>
      <c r="BW17" s="108">
        <f t="shared" si="5"/>
        <v>0</v>
      </c>
    </row>
    <row r="18" spans="1:75" ht="15" customHeight="1" thickBot="1" x14ac:dyDescent="0.25">
      <c r="A18" s="4"/>
      <c r="B18" s="252"/>
      <c r="C18" s="261"/>
      <c r="D18" s="5"/>
      <c r="E18" s="251"/>
      <c r="F18" s="253"/>
      <c r="M18" s="4" t="str">
        <f ca="1">IFERROR(IF(VLOOKUP(M17,OFFSET($AG$2,,,COUNTIF($AG$2:$AG$50,"?*"),23),10,FALSE)&lt;&gt;0,VLOOKUP(M17,OFFSET($AG$2,,,COUNTIF($AG$2:$AG$50,"?*"),23),10,FALSE),"?"),"")</f>
        <v/>
      </c>
      <c r="N18" s="252" t="str">
        <f ca="1">IFERROR(IF(VLOOKUP(M17,OFFSET($AG$2,,,COUNTIF($AG$2:$AG$50,"?*"),23),2,FALSE)&lt;&gt;0,YEAR(VLOOKUP(M17,OFFSET($AG$2,,,COUNTIF($AG$2:$AG$50,"?*"),23),2,FALSE)),"?"),"")</f>
        <v/>
      </c>
      <c r="O18" s="261"/>
      <c r="P18" s="6" t="str">
        <f ca="1">IFERROR(VLOOKUP(M17,OFFSET($AG$2,,,COUNTIF($AG$2:$AG$50,"?*"),23),15,FALSE),"")</f>
        <v/>
      </c>
      <c r="Q18" s="251" t="str">
        <f ca="1">IFERROR(VLOOKUP(M17,OFFSET($AG$2,,,COUNTIF($AG$2:$AG$50,"?*"),23),16,FALSE),"")</f>
        <v/>
      </c>
      <c r="R18" s="253"/>
      <c r="S18" s="353" t="s">
        <v>139</v>
      </c>
      <c r="T18" s="330"/>
      <c r="U18" s="330">
        <v>1</v>
      </c>
      <c r="V18" s="330">
        <v>0</v>
      </c>
      <c r="W18" s="330">
        <v>0</v>
      </c>
      <c r="X18" s="330">
        <v>0</v>
      </c>
      <c r="Y18" s="330">
        <v>0</v>
      </c>
      <c r="Z18" s="330">
        <v>0</v>
      </c>
      <c r="AA18" s="330">
        <v>0</v>
      </c>
      <c r="AB18" s="330">
        <v>0</v>
      </c>
      <c r="AG18" s="328" t="s">
        <v>19</v>
      </c>
      <c r="AH18" s="329">
        <v>37455</v>
      </c>
      <c r="AI18" s="330">
        <v>18</v>
      </c>
      <c r="AJ18" s="330">
        <v>2</v>
      </c>
      <c r="AK18" s="330">
        <v>1</v>
      </c>
      <c r="AL18" s="330">
        <v>3</v>
      </c>
      <c r="AM18" s="330">
        <v>2</v>
      </c>
      <c r="AN18" s="330">
        <v>81</v>
      </c>
      <c r="AO18" s="331"/>
      <c r="AP18" s="331" t="s">
        <v>164</v>
      </c>
      <c r="AQ18" s="330">
        <v>187</v>
      </c>
      <c r="AR18" s="330">
        <v>61</v>
      </c>
      <c r="AS18" s="332" t="s">
        <v>5</v>
      </c>
      <c r="AT18" s="330">
        <v>2013</v>
      </c>
      <c r="AU18" s="66">
        <f ca="1">IF(AG18&lt;&gt;"",IF(AH18&lt;&gt;"",INT((TODAY()-AH18)/365),"?"),"")</f>
        <v>19</v>
      </c>
      <c r="AV18" s="66" t="str">
        <f>IF(AG18&lt;&gt;"",CONCATENATE(IF(AQ18&lt;&gt;"",AQ18,"? "),"/",IF(AR18&lt;&gt;"",AR18," ?")),"")</f>
        <v>187/61</v>
      </c>
      <c r="AW18" s="128" t="str">
        <f ca="1">IF(AG18&lt;&gt;"",IF(BE18=1,BD18,IF(BH18,BG18,IF(BJ18=1,BI18,IF(BL18=1,BK18,BM18)))),"")</f>
        <v>Paštika</v>
      </c>
      <c r="AX18" s="123" t="str">
        <f ca="1">IFERROR(IF(MATCH(AG18,OFFSET($S$45,,,COUNTIF($S$45:$S$50,"?*")),0)&gt;0,CONCATENATE(VLOOKUP(AG18,OFFSET($S$45,,,COUNTIF($S$45:$S$50,"?*"),14),4,FALSE)," V, ",VLOOKUP(AG18,OFFSET($S$45,,,COUNTIF($S$45:$S$50,"?*"),14),9,FALSE)," P"),""),IFERROR(CONCATENATE(VLOOKUP(AG18,OFFSET($S$2,,,COUNTIF($S$2:$S$42,"?*"),10),3,FALSE)+AZ18," OZ, ",VLOOKUP(AG18,OFFSET($S$2,,,COUNTIF($S$2:$S$42,"?*"),10),8,FALSE)+BA18+BB18," (",VLOOKUP(AG18,OFFSET($S$2,,,COUNTIF($S$2:$S$42,"?*"),10),4,FALSE)+BA18,"+",VLOOKUP(AG18,OFFSET($S$2,,,COUNTIF($S$2:$S$42,"?*"),10),7,FALSE)+BB18,"), ",IF(VLOOKUP(AG18,OFFSET($S$2,,,COUNTIF($S$2:$S$42,"?*"),10),10,FALSE)+BC18&gt;0,"+",""),VLOOKUP(AG18,OFFSET($S$2,,,COUNTIF($S$2:$S$42,"?*"),10),10,FALSE)+BC18," ±"),IF(AG18&lt;&gt;"","0 OZ, 0 (0+0)","")))</f>
        <v>1 OZ, 0 (0+0), 0 ±</v>
      </c>
      <c r="AY18" s="123" t="str">
        <f ca="1">IFERROR(CONCATENATE(AI18+VLOOKUP(AG18,OFFSET($S$45,,,COUNTIF($S$45:$S$50,"?*"),14),2,FALSE)," OZ, ",AK18+VLOOKUP(AG18,OFFSET($S$45,,,COUNTIF($S$45:$S$50,"?*"),14),11,FALSE)," A"),IFERROR(CONCATENATE(VLOOKUP(AG18,OFFSET($S$2,,,COUNTIF($S$2:$S$42,"?*"),10),3,FALSE)+AZ18+AI18," OZ, ",VLOOKUP(AG18,OFFSET($S$2,,,COUNTIF($S$2:$S$42,"?*"),10),8,FALSE)+BA18+BB18+AL18," (",VLOOKUP(AG18,OFFSET($S$2,,,COUNTIF($S$2:$S$42,"?*"),10),4,FALSE)+BA18+AJ18,"+",VLOOKUP(AG18,OFFSET($S$2,,,COUNTIF($S$2:$S$42,"?*"),10),7,FALSE)+BB18+AK18,")"),IF(AG18&lt;&gt;"",CONCATENATE(AI18," OZ, ",AL18," (",AJ18,"+",AK18,")"),"")))</f>
        <v>19 OZ, 3 (2+1)</v>
      </c>
      <c r="BD18" s="3" t="str">
        <f>IF(AG18&lt;&gt;"",RIGHT(AG18,LEN(AG18)-SEARCH(" ",AG18)),"")</f>
        <v>Paštika</v>
      </c>
      <c r="BE18" s="123">
        <f ca="1">IF(AG18&lt;&gt;"",COUNTIF(OFFSET($BD$2,,,COUNTIF($AG$2:$AG$50,"?*")),BD18),"")</f>
        <v>1</v>
      </c>
      <c r="BF18" s="66" t="str">
        <f>IF(AG18&lt;&gt;"",LEFT(AG18,1),"")</f>
        <v>M</v>
      </c>
      <c r="BG18" s="3" t="str">
        <f ca="1">IF(AND($AG18&lt;&gt;"",BE18&gt;1),CONCATENATE($BD18," ",LEFT($AG18,MIN(1,SEARCH(" ",$AG18)-1)),IF(SEARCH(" ",$AG18)-1&gt;1,".",""),""),"")</f>
        <v/>
      </c>
      <c r="BH18" s="66">
        <f ca="1">IF(BG18&lt;&gt;"",COUNTIF(OFFSET(BG$2,,,COUNTIF($AG$2:$AG$50,"?*")),BG18),IF($AG18&lt;&gt;"",0,""))</f>
        <v>0</v>
      </c>
      <c r="BI18" s="3" t="str">
        <f ca="1">IF(AND($AG18&lt;&gt;"",BH18&gt;1),CONCATENATE($BD18," ",LEFT($AG18,MIN(2,SEARCH(" ",$AG18)-1)),IF(SEARCH(" ",$AG18)-1&gt;2,".",""),""),"")</f>
        <v/>
      </c>
      <c r="BJ18" s="66">
        <f ca="1">IF(BI18&lt;&gt;"",COUNTIF(OFFSET(BI$2,,,COUNTIF($AG$2:$AG$50,"?*")),BI18),IF($AG18&lt;&gt;"",0,""))</f>
        <v>0</v>
      </c>
      <c r="BK18" s="3" t="str">
        <f ca="1">IF(AND($AG18&lt;&gt;"",BJ18&gt;1),CONCATENATE($BD18," ",LEFT($AG18,MIN(3,SEARCH(" ",$AG18)-1)),IF(SEARCH(" ",$AG18)-1&gt;3,".",""),""),"")</f>
        <v/>
      </c>
      <c r="BL18" s="66">
        <f ca="1">IF(BK18&lt;&gt;"",COUNTIF(OFFSET(BK$2,,,COUNTIF($AG$2:$AG$50,"?*")),BK18),IF($AG18&lt;&gt;"",0,""))</f>
        <v>0</v>
      </c>
      <c r="BM18" s="3" t="str">
        <f ca="1">IF(AND($AG18&lt;&gt;"",BL18&gt;1),CONCATENATE($BD18," ",LEFT($AG18,MIN(4,SEARCH(" ",$AG18)-1)),IF(SEARCH(" ",$AG18)-1&gt;4,".",""),""),"")</f>
        <v/>
      </c>
      <c r="BS18" s="325"/>
      <c r="BT18" s="332" t="s">
        <v>225</v>
      </c>
      <c r="BU18" s="331">
        <v>0</v>
      </c>
      <c r="BV18" s="3" t="str">
        <f t="shared" si="4"/>
        <v>Karel Šantora</v>
      </c>
      <c r="BW18" s="108">
        <f t="shared" si="5"/>
        <v>0</v>
      </c>
    </row>
    <row r="19" spans="1:75" ht="15" customHeight="1" x14ac:dyDescent="0.2">
      <c r="A19" s="290"/>
      <c r="B19" s="291"/>
      <c r="C19" s="291"/>
      <c r="D19" s="292"/>
      <c r="E19" s="292"/>
      <c r="F19" s="293"/>
      <c r="H19" s="300" t="str">
        <f>H$8</f>
        <v>SKV</v>
      </c>
      <c r="I19" s="300"/>
      <c r="J19" s="300"/>
      <c r="K19" s="300"/>
      <c r="M19" s="290" t="str">
        <f ca="1">IFERROR(VLOOKUP(M17,OFFSET($AG$2,,,COUNTIF($AG$2:$AG$50,"?*"),23),18,FALSE),"")</f>
        <v/>
      </c>
      <c r="N19" s="291"/>
      <c r="O19" s="291"/>
      <c r="P19" s="292" t="str">
        <f ca="1">IFERROR(VLOOKUP(M17,OFFSET($AG$2,,,COUNTIF($AG$2:$AG$50,"?*"),23),19,FALSE),"")</f>
        <v/>
      </c>
      <c r="Q19" s="292"/>
      <c r="R19" s="293"/>
      <c r="S19" s="353" t="s">
        <v>140</v>
      </c>
      <c r="T19" s="330" t="s">
        <v>134</v>
      </c>
      <c r="U19" s="330">
        <v>1</v>
      </c>
      <c r="V19" s="330">
        <v>0</v>
      </c>
      <c r="W19" s="330">
        <v>0</v>
      </c>
      <c r="X19" s="330">
        <v>0</v>
      </c>
      <c r="Y19" s="330">
        <v>0</v>
      </c>
      <c r="Z19" s="330">
        <v>0</v>
      </c>
      <c r="AA19" s="330">
        <v>0</v>
      </c>
      <c r="AB19" s="330">
        <v>0</v>
      </c>
      <c r="AG19" s="333" t="s">
        <v>17</v>
      </c>
      <c r="AH19" s="334">
        <v>37402</v>
      </c>
      <c r="AI19" s="335">
        <v>23</v>
      </c>
      <c r="AJ19" s="335">
        <v>0</v>
      </c>
      <c r="AK19" s="335">
        <v>0</v>
      </c>
      <c r="AL19" s="335">
        <v>0</v>
      </c>
      <c r="AM19" s="335">
        <v>2</v>
      </c>
      <c r="AN19" s="335">
        <v>26</v>
      </c>
      <c r="AO19" s="336"/>
      <c r="AP19" s="336" t="s">
        <v>164</v>
      </c>
      <c r="AQ19" s="335">
        <v>181</v>
      </c>
      <c r="AR19" s="335">
        <v>66</v>
      </c>
      <c r="AS19" s="337" t="s">
        <v>5</v>
      </c>
      <c r="AT19" s="335"/>
      <c r="AU19" s="130">
        <f ca="1">IF(AG19&lt;&gt;"",IF(AH19&lt;&gt;"",INT((TODAY()-AH19)/365),"?"),"")</f>
        <v>19</v>
      </c>
      <c r="AV19" s="130" t="str">
        <f>IF(AG19&lt;&gt;"",CONCATENATE(IF(AQ19&lt;&gt;"",AQ19,"? "),"/",IF(AR19&lt;&gt;"",AR19," ?")),"")</f>
        <v>181/66</v>
      </c>
      <c r="AW19" s="131" t="str">
        <f ca="1">IF(AG19&lt;&gt;"",IF(BE19=1,BD19,IF(BH19,BG19,IF(BJ19=1,BI19,IF(BL19=1,BK19,BM19)))),"")</f>
        <v>Pinkas</v>
      </c>
      <c r="AX19" s="132" t="str">
        <f ca="1">IFERROR(IF(MATCH(AG19,OFFSET($S$45,,,COUNTIF($S$45:$S$50,"?*")),0)&gt;0,CONCATENATE(VLOOKUP(AG19,OFFSET($S$45,,,COUNTIF($S$45:$S$50,"?*"),14),4,FALSE)," V, ",VLOOKUP(AG19,OFFSET($S$45,,,COUNTIF($S$45:$S$50,"?*"),14),9,FALSE)," P"),""),IFERROR(CONCATENATE(VLOOKUP(AG19,OFFSET($S$2,,,COUNTIF($S$2:$S$42,"?*"),10),3,FALSE)+AZ19," OZ, ",VLOOKUP(AG19,OFFSET($S$2,,,COUNTIF($S$2:$S$42,"?*"),10),8,FALSE)+BA19+BB19," (",VLOOKUP(AG19,OFFSET($S$2,,,COUNTIF($S$2:$S$42,"?*"),10),4,FALSE)+BA19,"+",VLOOKUP(AG19,OFFSET($S$2,,,COUNTIF($S$2:$S$42,"?*"),10),7,FALSE)+BB19,"), ",IF(VLOOKUP(AG19,OFFSET($S$2,,,COUNTIF($S$2:$S$42,"?*"),10),10,FALSE)+BC19&gt;0,"+",""),VLOOKUP(AG19,OFFSET($S$2,,,COUNTIF($S$2:$S$42,"?*"),10),10,FALSE)+BC19," ±"),IF(AG19&lt;&gt;"","0 OZ, 0 (0+0)","")))</f>
        <v>1 OZ, 0 (0+0), 0 ±</v>
      </c>
      <c r="AY19" s="132" t="str">
        <f ca="1">IFERROR(CONCATENATE(AI19+VLOOKUP(AG19,OFFSET($S$45,,,COUNTIF($S$45:$S$50,"?*"),14),2,FALSE)," OZ, ",AK19+VLOOKUP(AG19,OFFSET($S$45,,,COUNTIF($S$45:$S$50,"?*"),14),11,FALSE)," A"),IFERROR(CONCATENATE(VLOOKUP(AG19,OFFSET($S$2,,,COUNTIF($S$2:$S$42,"?*"),10),3,FALSE)+AZ19+AI19," OZ, ",VLOOKUP(AG19,OFFSET($S$2,,,COUNTIF($S$2:$S$42,"?*"),10),8,FALSE)+BA19+BB19+AL19," (",VLOOKUP(AG19,OFFSET($S$2,,,COUNTIF($S$2:$S$42,"?*"),10),4,FALSE)+BA19+AJ19,"+",VLOOKUP(AG19,OFFSET($S$2,,,COUNTIF($S$2:$S$42,"?*"),10),7,FALSE)+BB19+AK19,")"),IF(AG19&lt;&gt;"",CONCATENATE(AI19," OZ, ",AL19," (",AJ19,"+",AK19,")"),"")))</f>
        <v>24 OZ, 0 (0+0)</v>
      </c>
      <c r="AZ19" s="132"/>
      <c r="BA19" s="132"/>
      <c r="BB19" s="132"/>
      <c r="BC19" s="132"/>
      <c r="BD19" s="129" t="str">
        <f>IF(AG19&lt;&gt;"",RIGHT(AG19,LEN(AG19)-SEARCH(" ",AG19)),"")</f>
        <v>Pinkas</v>
      </c>
      <c r="BE19" s="132">
        <f ca="1">IF(AG19&lt;&gt;"",COUNTIF(OFFSET($BD$2,,,COUNTIF($AG$2:$AG$50,"?*")),BD19),"")</f>
        <v>1</v>
      </c>
      <c r="BF19" s="130" t="str">
        <f>IF(AG19&lt;&gt;"",LEFT(AG19,1),"")</f>
        <v>J</v>
      </c>
      <c r="BG19" s="129" t="str">
        <f ca="1">IF(AND($AG19&lt;&gt;"",BE19&gt;1),CONCATENATE($BD19," ",LEFT($AG19,MIN(1,SEARCH(" ",$AG19)-1)),IF(SEARCH(" ",$AG19)-1&gt;1,".",""),""),"")</f>
        <v/>
      </c>
      <c r="BH19" s="130">
        <f ca="1">IF(BG19&lt;&gt;"",COUNTIF(OFFSET(BG$2,,,COUNTIF($AG$2:$AG$50,"?*")),BG19),IF($AG19&lt;&gt;"",0,""))</f>
        <v>0</v>
      </c>
      <c r="BI19" s="129" t="str">
        <f ca="1">IF(AND($AG19&lt;&gt;"",BH19&gt;1),CONCATENATE($BD19," ",LEFT($AG19,MIN(2,SEARCH(" ",$AG19)-1)),IF(SEARCH(" ",$AG19)-1&gt;2,".",""),""),"")</f>
        <v/>
      </c>
      <c r="BJ19" s="130">
        <f ca="1">IF(BI19&lt;&gt;"",COUNTIF(OFFSET(BI$2,,,COUNTIF($AG$2:$AG$50,"?*")),BI19),IF($AG19&lt;&gt;"",0,""))</f>
        <v>0</v>
      </c>
      <c r="BK19" s="129" t="str">
        <f ca="1">IF(AND($AG19&lt;&gt;"",BJ19&gt;1),CONCATENATE($BD19," ",LEFT($AG19,MIN(3,SEARCH(" ",$AG19)-1)),IF(SEARCH(" ",$AG19)-1&gt;3,".",""),""),"")</f>
        <v/>
      </c>
      <c r="BL19" s="130">
        <f ca="1">IF(BK19&lt;&gt;"",COUNTIF(OFFSET(BK$2,,,COUNTIF($AG$2:$AG$50,"?*")),BK19),IF($AG19&lt;&gt;"",0,""))</f>
        <v>0</v>
      </c>
      <c r="BM19" s="129" t="str">
        <f ca="1">IF(AND($AG19&lt;&gt;"",BL19&gt;1),CONCATENATE($BD19," ",LEFT($AG19,MIN(4,SEARCH(" ",$AG19)-1)),IF(SEARCH(" ",$AG19)-1&gt;4,".",""),""),"")</f>
        <v/>
      </c>
      <c r="BS19" s="325"/>
      <c r="BT19" s="332"/>
      <c r="BU19" s="331"/>
      <c r="BV19" s="3" t="str">
        <f t="shared" si="4"/>
        <v/>
      </c>
      <c r="BW19" s="108" t="str">
        <f t="shared" si="5"/>
        <v/>
      </c>
    </row>
    <row r="20" spans="1:75" ht="15" customHeight="1" thickBot="1" x14ac:dyDescent="0.25">
      <c r="A20" s="297"/>
      <c r="B20" s="298"/>
      <c r="C20" s="299"/>
      <c r="D20" s="288"/>
      <c r="E20" s="287"/>
      <c r="F20" s="7"/>
      <c r="H20" s="300"/>
      <c r="I20" s="300"/>
      <c r="J20" s="300"/>
      <c r="K20" s="300"/>
      <c r="M20" s="297" t="str">
        <f ca="1">IFERROR(IF(VLOOKUP(M17,OFFSET($AG$2,,,COUNTIF($AG$2:$AG$50,"?*"),23),13,FALSE)&lt;&gt;0,VLOOKUP(M17,OFFSET($AG$2,,,COUNTIF($AG$2:$AG$50,"?*"),23),13,FALSE),"?"),"")</f>
        <v/>
      </c>
      <c r="N20" s="298"/>
      <c r="O20" s="299"/>
      <c r="P20" s="288" t="str">
        <f ca="1">IFERROR(IF(VLOOKUP(M17,OFFSET($AG$2,,,COUNTIF($AG$2:$AG$50,"?*"),23),14,FALSE)&lt;&gt;0,VLOOKUP(M17,OFFSET($AG$2,,,COUNTIF($AG$2:$AG$50,"?*"),23),14,FALSE),"?"),"")</f>
        <v/>
      </c>
      <c r="Q20" s="287"/>
      <c r="R20" s="7" t="str">
        <f ca="1">IFERROR(IF(VLOOKUP(M17,OFFSET($AG$2,,,COUNTIF($AG$2:$AG$50,"?*"),23),7,FALSE)&lt;&gt;0,VLOOKUP(M17,OFFSET($AG$2,,,COUNTIF($AG$2:$AG$50,"?*"),23),7,FALSE),"?"),"")</f>
        <v/>
      </c>
      <c r="S20" s="353" t="s">
        <v>141</v>
      </c>
      <c r="T20" s="330"/>
      <c r="U20" s="330">
        <v>1</v>
      </c>
      <c r="V20" s="330">
        <v>0</v>
      </c>
      <c r="W20" s="330">
        <v>0</v>
      </c>
      <c r="X20" s="330">
        <v>0</v>
      </c>
      <c r="Y20" s="330">
        <v>0</v>
      </c>
      <c r="Z20" s="330">
        <v>0</v>
      </c>
      <c r="AA20" s="330">
        <v>0</v>
      </c>
      <c r="AB20" s="330">
        <v>0</v>
      </c>
      <c r="AG20" s="328" t="s">
        <v>140</v>
      </c>
      <c r="AH20" s="329">
        <v>36658</v>
      </c>
      <c r="AI20" s="330">
        <v>21</v>
      </c>
      <c r="AJ20" s="330">
        <v>4</v>
      </c>
      <c r="AK20" s="330">
        <v>9</v>
      </c>
      <c r="AL20" s="330">
        <v>13</v>
      </c>
      <c r="AM20" s="330">
        <v>2</v>
      </c>
      <c r="AN20" s="330">
        <v>99</v>
      </c>
      <c r="AO20" s="331"/>
      <c r="AP20" s="331" t="s">
        <v>164</v>
      </c>
      <c r="AQ20" s="330">
        <v>186</v>
      </c>
      <c r="AR20" s="330">
        <v>80</v>
      </c>
      <c r="AS20" s="332" t="s">
        <v>182</v>
      </c>
      <c r="AT20" s="330">
        <v>2014</v>
      </c>
      <c r="AU20" s="66">
        <f ca="1">IF(AG20&lt;&gt;"",IF(AH20&lt;&gt;"",INT((TODAY()-AH20)/365),"?"),"")</f>
        <v>21</v>
      </c>
      <c r="AV20" s="66" t="str">
        <f>IF(AG20&lt;&gt;"",CONCATENATE(IF(AQ20&lt;&gt;"",AQ20,"? "),"/",IF(AR20&lt;&gt;"",AR20," ?")),"")</f>
        <v>186/80</v>
      </c>
      <c r="AW20" s="128" t="str">
        <f ca="1">IF(AG20&lt;&gt;"",IF(BE20=1,BD20,IF(BH20,BG20,IF(BJ20=1,BI20,IF(BL20=1,BK20,BM20)))),"")</f>
        <v>Procházka</v>
      </c>
      <c r="AX20" s="123" t="str">
        <f ca="1">IFERROR(IF(MATCH(AG20,OFFSET($S$45,,,COUNTIF($S$45:$S$50,"?*")),0)&gt;0,CONCATENATE(VLOOKUP(AG20,OFFSET($S$45,,,COUNTIF($S$45:$S$50,"?*"),14),4,FALSE)," V, ",VLOOKUP(AG20,OFFSET($S$45,,,COUNTIF($S$45:$S$50,"?*"),14),9,FALSE)," P"),""),IFERROR(CONCATENATE(VLOOKUP(AG20,OFFSET($S$2,,,COUNTIF($S$2:$S$42,"?*"),10),3,FALSE)+AZ20," OZ, ",VLOOKUP(AG20,OFFSET($S$2,,,COUNTIF($S$2:$S$42,"?*"),10),8,FALSE)+BA20+BB20," (",VLOOKUP(AG20,OFFSET($S$2,,,COUNTIF($S$2:$S$42,"?*"),10),4,FALSE)+BA20,"+",VLOOKUP(AG20,OFFSET($S$2,,,COUNTIF($S$2:$S$42,"?*"),10),7,FALSE)+BB20,"), ",IF(VLOOKUP(AG20,OFFSET($S$2,,,COUNTIF($S$2:$S$42,"?*"),10),10,FALSE)+BC20&gt;0,"+",""),VLOOKUP(AG20,OFFSET($S$2,,,COUNTIF($S$2:$S$42,"?*"),10),10,FALSE)+BC20," ±"),IF(AG20&lt;&gt;"","0 OZ, 0 (0+0)","")))</f>
        <v>1 OZ, 0 (0+0), 0 ±</v>
      </c>
      <c r="AY20" s="123" t="str">
        <f ca="1">IFERROR(CONCATENATE(AI20+VLOOKUP(AG20,OFFSET($S$45,,,COUNTIF($S$45:$S$50,"?*"),14),2,FALSE)," OZ, ",AK20+VLOOKUP(AG20,OFFSET($S$45,,,COUNTIF($S$45:$S$50,"?*"),14),11,FALSE)," A"),IFERROR(CONCATENATE(VLOOKUP(AG20,OFFSET($S$2,,,COUNTIF($S$2:$S$42,"?*"),10),3,FALSE)+AZ20+AI20," OZ, ",VLOOKUP(AG20,OFFSET($S$2,,,COUNTIF($S$2:$S$42,"?*"),10),8,FALSE)+BA20+BB20+AL20," (",VLOOKUP(AG20,OFFSET($S$2,,,COUNTIF($S$2:$S$42,"?*"),10),4,FALSE)+BA20+AJ20,"+",VLOOKUP(AG20,OFFSET($S$2,,,COUNTIF($S$2:$S$42,"?*"),10),7,FALSE)+BB20+AK20,")"),IF(AG20&lt;&gt;"",CONCATENATE(AI20," OZ, ",AL20," (",AJ20,"+",AK20,")"),"")))</f>
        <v>22 OZ, 13 (4+9)</v>
      </c>
      <c r="BD20" s="3" t="str">
        <f>IF(AG20&lt;&gt;"",RIGHT(AG20,LEN(AG20)-SEARCH(" ",AG20)),"")</f>
        <v>Procházka</v>
      </c>
      <c r="BE20" s="123">
        <f ca="1">IF(AG20&lt;&gt;"",COUNTIF(OFFSET($BD$2,,,COUNTIF($AG$2:$AG$50,"?*")),BD20),"")</f>
        <v>1</v>
      </c>
      <c r="BF20" s="66" t="str">
        <f>IF(AG20&lt;&gt;"",LEFT(AG20,1),"")</f>
        <v>J</v>
      </c>
      <c r="BG20" s="3" t="str">
        <f ca="1">IF(AND($AG20&lt;&gt;"",BE20&gt;1),CONCATENATE($BD20," ",LEFT($AG20,MIN(1,SEARCH(" ",$AG20)-1)),IF(SEARCH(" ",$AG20)-1&gt;1,".",""),""),"")</f>
        <v/>
      </c>
      <c r="BH20" s="66">
        <f ca="1">IF(BG20&lt;&gt;"",COUNTIF(OFFSET(BG$2,,,COUNTIF($AG$2:$AG$50,"?*")),BG20),IF($AG20&lt;&gt;"",0,""))</f>
        <v>0</v>
      </c>
      <c r="BI20" s="3" t="str">
        <f ca="1">IF(AND($AG20&lt;&gt;"",BH20&gt;1),CONCATENATE($BD20," ",LEFT($AG20,MIN(2,SEARCH(" ",$AG20)-1)),IF(SEARCH(" ",$AG20)-1&gt;2,".",""),""),"")</f>
        <v/>
      </c>
      <c r="BJ20" s="66">
        <f ca="1">IF(BI20&lt;&gt;"",COUNTIF(OFFSET(BI$2,,,COUNTIF($AG$2:$AG$50,"?*")),BI20),IF($AG20&lt;&gt;"",0,""))</f>
        <v>0</v>
      </c>
      <c r="BK20" s="3" t="str">
        <f ca="1">IF(AND($AG20&lt;&gt;"",BJ20&gt;1),CONCATENATE($BD20," ",LEFT($AG20,MIN(3,SEARCH(" ",$AG20)-1)),IF(SEARCH(" ",$AG20)-1&gt;3,".",""),""),"")</f>
        <v/>
      </c>
      <c r="BL20" s="66">
        <f ca="1">IF(BK20&lt;&gt;"",COUNTIF(OFFSET(BK$2,,,COUNTIF($AG$2:$AG$50,"?*")),BK20),IF($AG20&lt;&gt;"",0,""))</f>
        <v>0</v>
      </c>
      <c r="BM20" s="3" t="str">
        <f ca="1">IF(AND($AG20&lt;&gt;"",BL20&gt;1),CONCATENATE($BD20," ",LEFT($AG20,MIN(4,SEARCH(" ",$AG20)-1)),IF(SEARCH(" ",$AG20)-1&gt;4,".",""),""),"")</f>
        <v/>
      </c>
      <c r="BS20" s="325"/>
      <c r="BT20" s="332"/>
      <c r="BU20" s="331"/>
      <c r="BV20" s="3" t="str">
        <f t="shared" si="4"/>
        <v/>
      </c>
      <c r="BW20" s="108" t="str">
        <f t="shared" si="5"/>
        <v/>
      </c>
    </row>
    <row r="21" spans="1:75" ht="15" customHeight="1" thickTop="1" thickBot="1" x14ac:dyDescent="0.25">
      <c r="A21" s="9"/>
      <c r="B21" s="9"/>
      <c r="C21" s="9"/>
      <c r="D21" s="9"/>
      <c r="E21" s="10"/>
      <c r="F21" s="10"/>
      <c r="G21" s="11"/>
      <c r="H21" s="11"/>
      <c r="I21" s="11"/>
      <c r="J21" s="11"/>
      <c r="K21" s="11"/>
      <c r="L21" s="11"/>
      <c r="M21" s="9"/>
      <c r="N21" s="9"/>
      <c r="O21" s="9"/>
      <c r="P21" s="9"/>
      <c r="Q21" s="10"/>
      <c r="R21" s="10"/>
      <c r="S21" s="354"/>
      <c r="T21" s="330"/>
      <c r="U21" s="330"/>
      <c r="V21" s="330"/>
      <c r="W21" s="330"/>
      <c r="X21" s="330"/>
      <c r="Y21" s="330"/>
      <c r="Z21" s="330"/>
      <c r="AA21" s="330"/>
      <c r="AB21" s="330"/>
      <c r="AG21" s="333" t="s">
        <v>10</v>
      </c>
      <c r="AH21" s="334">
        <v>34200</v>
      </c>
      <c r="AI21" s="335">
        <v>109</v>
      </c>
      <c r="AJ21" s="335">
        <v>32</v>
      </c>
      <c r="AK21" s="335">
        <v>24</v>
      </c>
      <c r="AL21" s="335">
        <v>56</v>
      </c>
      <c r="AM21" s="335">
        <v>7</v>
      </c>
      <c r="AN21" s="335">
        <v>65</v>
      </c>
      <c r="AO21" s="336"/>
      <c r="AP21" s="336" t="s">
        <v>27</v>
      </c>
      <c r="AQ21" s="335">
        <v>169</v>
      </c>
      <c r="AR21" s="335">
        <v>65</v>
      </c>
      <c r="AS21" s="337" t="s">
        <v>185</v>
      </c>
      <c r="AT21" s="335">
        <v>2004</v>
      </c>
      <c r="AU21" s="130">
        <f ca="1">IF(AG21&lt;&gt;"",IF(AH21&lt;&gt;"",INT((TODAY()-AH21)/365),"?"),"")</f>
        <v>28</v>
      </c>
      <c r="AV21" s="130" t="str">
        <f>IF(AG21&lt;&gt;"",CONCATENATE(IF(AQ21&lt;&gt;"",AQ21,"? "),"/",IF(AR21&lt;&gt;"",AR21," ?")),"")</f>
        <v>169/65</v>
      </c>
      <c r="AW21" s="131" t="str">
        <f ca="1">IF(AG21&lt;&gt;"",IF(BE21=1,BD21,IF(BH21,BG21,IF(BJ21=1,BI21,IF(BL21=1,BK21,BM21)))),"")</f>
        <v>Stuchlík O.</v>
      </c>
      <c r="AX21" s="132" t="str">
        <f ca="1">IFERROR(IF(MATCH(AG21,OFFSET($S$45,,,COUNTIF($S$45:$S$50,"?*")),0)&gt;0,CONCATENATE(VLOOKUP(AG21,OFFSET($S$45,,,COUNTIF($S$45:$S$50,"?*"),14),4,FALSE)," V, ",VLOOKUP(AG21,OFFSET($S$45,,,COUNTIF($S$45:$S$50,"?*"),14),9,FALSE)," P"),""),IFERROR(CONCATENATE(VLOOKUP(AG21,OFFSET($S$2,,,COUNTIF($S$2:$S$42,"?*"),10),3,FALSE)+AZ21," OZ, ",VLOOKUP(AG21,OFFSET($S$2,,,COUNTIF($S$2:$S$42,"?*"),10),8,FALSE)+BA21+BB21," (",VLOOKUP(AG21,OFFSET($S$2,,,COUNTIF($S$2:$S$42,"?*"),10),4,FALSE)+BA21,"+",VLOOKUP(AG21,OFFSET($S$2,,,COUNTIF($S$2:$S$42,"?*"),10),7,FALSE)+BB21,"), ",IF(VLOOKUP(AG21,OFFSET($S$2,,,COUNTIF($S$2:$S$42,"?*"),10),10,FALSE)+BC21&gt;0,"+",""),VLOOKUP(AG21,OFFSET($S$2,,,COUNTIF($S$2:$S$42,"?*"),10),10,FALSE)+BC21," ±"),IF(AG21&lt;&gt;"","0 OZ, 0 (0+0)","")))</f>
        <v>0 OZ, 0 (0+0)</v>
      </c>
      <c r="AY21" s="132" t="str">
        <f ca="1">IFERROR(CONCATENATE(AI21+VLOOKUP(AG21,OFFSET($S$45,,,COUNTIF($S$45:$S$50,"?*"),14),2,FALSE)," OZ, ",AK21+VLOOKUP(AG21,OFFSET($S$45,,,COUNTIF($S$45:$S$50,"?*"),14),11,FALSE)," A"),IFERROR(CONCATENATE(VLOOKUP(AG21,OFFSET($S$2,,,COUNTIF($S$2:$S$42,"?*"),10),3,FALSE)+AZ21+AI21," OZ, ",VLOOKUP(AG21,OFFSET($S$2,,,COUNTIF($S$2:$S$42,"?*"),10),8,FALSE)+BA21+BB21+AL21," (",VLOOKUP(AG21,OFFSET($S$2,,,COUNTIF($S$2:$S$42,"?*"),10),4,FALSE)+BA21+AJ21,"+",VLOOKUP(AG21,OFFSET($S$2,,,COUNTIF($S$2:$S$42,"?*"),10),7,FALSE)+BB21+AK21,")"),IF(AG21&lt;&gt;"",CONCATENATE(AI21," OZ, ",AL21," (",AJ21,"+",AK21,")"),"")))</f>
        <v>109 OZ, 56 (32+24)</v>
      </c>
      <c r="AZ21" s="132"/>
      <c r="BA21" s="132"/>
      <c r="BB21" s="132"/>
      <c r="BC21" s="132"/>
      <c r="BD21" s="129" t="str">
        <f>IF(AG21&lt;&gt;"",RIGHT(AG21,LEN(AG21)-SEARCH(" ",AG21)),"")</f>
        <v>Stuchlík</v>
      </c>
      <c r="BE21" s="132">
        <f ca="1">IF(AG21&lt;&gt;"",COUNTIF(OFFSET($BD$2,,,COUNTIF($AG$2:$AG$50,"?*")),BD21),"")</f>
        <v>2</v>
      </c>
      <c r="BF21" s="130" t="str">
        <f>IF(AG21&lt;&gt;"",LEFT(AG21,1),"")</f>
        <v>O</v>
      </c>
      <c r="BG21" s="129" t="str">
        <f ca="1">IF(AND($AG21&lt;&gt;"",BE21&gt;1),CONCATENATE($BD21," ",LEFT($AG21,MIN(1,SEARCH(" ",$AG21)-1)),IF(SEARCH(" ",$AG21)-1&gt;1,".",""),""),"")</f>
        <v>Stuchlík O.</v>
      </c>
      <c r="BH21" s="130">
        <f ca="1">IF(BG21&lt;&gt;"",COUNTIF(OFFSET(BG$2,,,COUNTIF($AG$2:$AG$50,"?*")),BG21),IF($AG21&lt;&gt;"",0,""))</f>
        <v>1</v>
      </c>
      <c r="BI21" s="129" t="str">
        <f ca="1">IF(AND($AG21&lt;&gt;"",BH21&gt;1),CONCATENATE($BD21," ",LEFT($AG21,MIN(2,SEARCH(" ",$AG21)-1)),IF(SEARCH(" ",$AG21)-1&gt;2,".",""),""),"")</f>
        <v/>
      </c>
      <c r="BJ21" s="130">
        <f ca="1">IF(BI21&lt;&gt;"",COUNTIF(OFFSET(BI$2,,,COUNTIF($AG$2:$AG$50,"?*")),BI21),IF($AG21&lt;&gt;"",0,""))</f>
        <v>0</v>
      </c>
      <c r="BK21" s="129" t="str">
        <f ca="1">IF(AND($AG21&lt;&gt;"",BJ21&gt;1),CONCATENATE($BD21," ",LEFT($AG21,MIN(3,SEARCH(" ",$AG21)-1)),IF(SEARCH(" ",$AG21)-1&gt;3,".",""),""),"")</f>
        <v/>
      </c>
      <c r="BL21" s="130">
        <f ca="1">IF(BK21&lt;&gt;"",COUNTIF(OFFSET(BK$2,,,COUNTIF($AG$2:$AG$50,"?*")),BK21),IF($AG21&lt;&gt;"",0,""))</f>
        <v>0</v>
      </c>
      <c r="BM21" s="129" t="str">
        <f ca="1">IF(AND($AG21&lt;&gt;"",BL21&gt;1),CONCATENATE($BD21," ",LEFT($AG21,MIN(4,SEARCH(" ",$AG21)-1)),IF(SEARCH(" ",$AG21)-1&gt;4,".",""),""),"")</f>
        <v/>
      </c>
      <c r="BS21" s="325"/>
      <c r="BT21" s="332"/>
      <c r="BU21" s="331"/>
      <c r="BV21" s="3" t="str">
        <f t="shared" si="4"/>
        <v/>
      </c>
      <c r="BW21" s="108" t="str">
        <f t="shared" si="5"/>
        <v/>
      </c>
    </row>
    <row r="22" spans="1:75" ht="15" customHeight="1" thickTop="1" thickBot="1" x14ac:dyDescent="0.25">
      <c r="S22" s="354"/>
      <c r="T22" s="330"/>
      <c r="U22" s="330"/>
      <c r="V22" s="330"/>
      <c r="W22" s="330"/>
      <c r="X22" s="330"/>
      <c r="Y22" s="330"/>
      <c r="Z22" s="330"/>
      <c r="AA22" s="330"/>
      <c r="AB22" s="330"/>
      <c r="AG22" s="328" t="s">
        <v>9</v>
      </c>
      <c r="AH22" s="329">
        <v>34200</v>
      </c>
      <c r="AI22" s="330">
        <v>97</v>
      </c>
      <c r="AJ22" s="330">
        <v>26</v>
      </c>
      <c r="AK22" s="330">
        <v>60</v>
      </c>
      <c r="AL22" s="330">
        <v>86</v>
      </c>
      <c r="AM22" s="330">
        <v>6</v>
      </c>
      <c r="AN22" s="330">
        <v>64</v>
      </c>
      <c r="AO22" s="331"/>
      <c r="AP22" s="331" t="s">
        <v>164</v>
      </c>
      <c r="AQ22" s="330">
        <v>173</v>
      </c>
      <c r="AR22" s="330">
        <v>68</v>
      </c>
      <c r="AS22" s="332" t="s">
        <v>183</v>
      </c>
      <c r="AT22" s="330">
        <v>2003</v>
      </c>
      <c r="AU22" s="66">
        <f ca="1">IF(AG22&lt;&gt;"",IF(AH22&lt;&gt;"",INT((TODAY()-AH22)/365),"?"),"")</f>
        <v>28</v>
      </c>
      <c r="AV22" s="66" t="str">
        <f>IF(AG22&lt;&gt;"",CONCATENATE(IF(AQ22&lt;&gt;"",AQ22,"? "),"/",IF(AR22&lt;&gt;"",AR22," ?")),"")</f>
        <v>173/68</v>
      </c>
      <c r="AW22" s="128" t="str">
        <f ca="1">IF(AG22&lt;&gt;"",IF(BE22=1,BD22,IF(BH22,BG22,IF(BJ22=1,BI22,IF(BL22=1,BK22,BM22)))),"")</f>
        <v>Stuchlík Z.</v>
      </c>
      <c r="AX22" s="123" t="str">
        <f ca="1">IFERROR(IF(MATCH(AG22,OFFSET($S$45,,,COUNTIF($S$45:$S$50,"?*")),0)&gt;0,CONCATENATE(VLOOKUP(AG22,OFFSET($S$45,,,COUNTIF($S$45:$S$50,"?*"),14),4,FALSE)," V, ",VLOOKUP(AG22,OFFSET($S$45,,,COUNTIF($S$45:$S$50,"?*"),14),9,FALSE)," P"),""),IFERROR(CONCATENATE(VLOOKUP(AG22,OFFSET($S$2,,,COUNTIF($S$2:$S$42,"?*"),10),3,FALSE)+AZ22," OZ, ",VLOOKUP(AG22,OFFSET($S$2,,,COUNTIF($S$2:$S$42,"?*"),10),8,FALSE)+BA22+BB22," (",VLOOKUP(AG22,OFFSET($S$2,,,COUNTIF($S$2:$S$42,"?*"),10),4,FALSE)+BA22,"+",VLOOKUP(AG22,OFFSET($S$2,,,COUNTIF($S$2:$S$42,"?*"),10),7,FALSE)+BB22,"), ",IF(VLOOKUP(AG22,OFFSET($S$2,,,COUNTIF($S$2:$S$42,"?*"),10),10,FALSE)+BC22&gt;0,"+",""),VLOOKUP(AG22,OFFSET($S$2,,,COUNTIF($S$2:$S$42,"?*"),10),10,FALSE)+BC22," ±"),IF(AG22&lt;&gt;"","0 OZ, 0 (0+0)","")))</f>
        <v>1 OZ, 0 (0+0), 0 ±</v>
      </c>
      <c r="AY22" s="123" t="str">
        <f ca="1">IFERROR(CONCATENATE(AI22+VLOOKUP(AG22,OFFSET($S$45,,,COUNTIF($S$45:$S$50,"?*"),14),2,FALSE)," OZ, ",AK22+VLOOKUP(AG22,OFFSET($S$45,,,COUNTIF($S$45:$S$50,"?*"),14),11,FALSE)," A"),IFERROR(CONCATENATE(VLOOKUP(AG22,OFFSET($S$2,,,COUNTIF($S$2:$S$42,"?*"),10),3,FALSE)+AZ22+AI22," OZ, ",VLOOKUP(AG22,OFFSET($S$2,,,COUNTIF($S$2:$S$42,"?*"),10),8,FALSE)+BA22+BB22+AL22," (",VLOOKUP(AG22,OFFSET($S$2,,,COUNTIF($S$2:$S$42,"?*"),10),4,FALSE)+BA22+AJ22,"+",VLOOKUP(AG22,OFFSET($S$2,,,COUNTIF($S$2:$S$42,"?*"),10),7,FALSE)+BB22+AK22,")"),IF(AG22&lt;&gt;"",CONCATENATE(AI22," OZ, ",AL22," (",AJ22,"+",AK22,")"),"")))</f>
        <v>98 OZ, 86 (26+60)</v>
      </c>
      <c r="BD22" s="3" t="str">
        <f>IF(AG22&lt;&gt;"",RIGHT(AG22,LEN(AG22)-SEARCH(" ",AG22)),"")</f>
        <v>Stuchlík</v>
      </c>
      <c r="BE22" s="123">
        <f ca="1">IF(AG22&lt;&gt;"",COUNTIF(OFFSET($BD$2,,,COUNTIF($AG$2:$AG$50,"?*")),BD22),"")</f>
        <v>2</v>
      </c>
      <c r="BF22" s="66" t="str">
        <f>IF(AG22&lt;&gt;"",LEFT(AG22,1),"")</f>
        <v>Z</v>
      </c>
      <c r="BG22" s="3" t="str">
        <f ca="1">IF(AND($AG22&lt;&gt;"",BE22&gt;1),CONCATENATE($BD22," ",LEFT($AG22,MIN(1,SEARCH(" ",$AG22)-1)),IF(SEARCH(" ",$AG22)-1&gt;1,".",""),""),"")</f>
        <v>Stuchlík Z.</v>
      </c>
      <c r="BH22" s="66">
        <f ca="1">IF(BG22&lt;&gt;"",COUNTIF(OFFSET(BG$2,,,COUNTIF($AG$2:$AG$50,"?*")),BG22),IF($AG22&lt;&gt;"",0,""))</f>
        <v>1</v>
      </c>
      <c r="BI22" s="3" t="str">
        <f ca="1">IF(AND($AG22&lt;&gt;"",BH22&gt;1),CONCATENATE($BD22," ",LEFT($AG22,MIN(2,SEARCH(" ",$AG22)-1)),IF(SEARCH(" ",$AG22)-1&gt;2,".",""),""),"")</f>
        <v/>
      </c>
      <c r="BJ22" s="66">
        <f ca="1">IF(BI22&lt;&gt;"",COUNTIF(OFFSET(BI$2,,,COUNTIF($AG$2:$AG$50,"?*")),BI22),IF($AG22&lt;&gt;"",0,""))</f>
        <v>0</v>
      </c>
      <c r="BK22" s="3" t="str">
        <f ca="1">IF(AND($AG22&lt;&gt;"",BJ22&gt;1),CONCATENATE($BD22," ",LEFT($AG22,MIN(3,SEARCH(" ",$AG22)-1)),IF(SEARCH(" ",$AG22)-1&gt;3,".",""),""),"")</f>
        <v/>
      </c>
      <c r="BL22" s="66">
        <f ca="1">IF(BK22&lt;&gt;"",COUNTIF(OFFSET(BK$2,,,COUNTIF($AG$2:$AG$50,"?*")),BK22),IF($AG22&lt;&gt;"",0,""))</f>
        <v>0</v>
      </c>
      <c r="BM22" s="3" t="str">
        <f ca="1">IF(AND($AG22&lt;&gt;"",BL22&gt;1),CONCATENATE($BD22," ",LEFT($AG22,MIN(4,SEARCH(" ",$AG22)-1)),IF(SEARCH(" ",$AG22)-1&gt;4,".",""),""),"")</f>
        <v/>
      </c>
      <c r="BS22" s="325" t="s">
        <v>38</v>
      </c>
      <c r="BT22" s="332" t="s">
        <v>229</v>
      </c>
      <c r="BU22" s="331">
        <v>1</v>
      </c>
      <c r="BV22" s="3" t="str">
        <f t="shared" si="4"/>
        <v>Daniel Cabejšek</v>
      </c>
      <c r="BW22" s="108">
        <f t="shared" si="5"/>
        <v>1</v>
      </c>
    </row>
    <row r="23" spans="1:75" ht="15" customHeight="1" thickTop="1" thickBot="1" x14ac:dyDescent="0.25">
      <c r="A23" s="294"/>
      <c r="B23" s="295"/>
      <c r="C23" s="295"/>
      <c r="D23" s="295"/>
      <c r="E23" s="1" t="str">
        <f ca="1">IFERROR(IF(VLOOKUP(A23,OFFSET($AG$2,,,COUNTIF($AG$2:$AG$50,"?*"),23),9,FALSE)&lt;&gt;0,VLOOKUP(A23,OFFSET($AG$2,,,COUNTIF($AG$2:$AG$50,"?*"),23),9,FALSE),""),"")</f>
        <v/>
      </c>
      <c r="F23" s="2" t="str">
        <f ca="1">IFERROR(IF(VLOOKUP(A23,OFFSET($AG$2,,,COUNTIF($AG$2:$AG$50,"?*"),23),8,FALSE)&lt;&gt;0,VLOOKUP(A23,OFFSET($AG$2,,,COUNTIF($AG$2:$AG$50,"?*"),23),8,FALSE),"?"),"")</f>
        <v/>
      </c>
      <c r="H23" s="296" t="s">
        <v>13</v>
      </c>
      <c r="I23" s="296"/>
      <c r="J23" s="296"/>
      <c r="K23" s="296"/>
      <c r="M23" s="294"/>
      <c r="N23" s="295"/>
      <c r="O23" s="295"/>
      <c r="P23" s="295"/>
      <c r="Q23" s="1" t="str">
        <f ca="1">IFERROR(IF(VLOOKUP(M23,OFFSET($AG$2,,,COUNTIF($AG$2:$AG$50,"?*"),23),9,FALSE)&lt;&gt;0,VLOOKUP(M23,OFFSET($AG$2,,,COUNTIF($AG$2:$AG$50,"?*"),23),9,FALSE),""),"")</f>
        <v/>
      </c>
      <c r="R23" s="2" t="str">
        <f ca="1">IFERROR(IF(VLOOKUP(M23,OFFSET($AG$2,,,COUNTIF($AG$2:$AG$50,"?*"),23),8,FALSE)&lt;&gt;0,VLOOKUP(M23,OFFSET($AG$2,,,COUNTIF($AG$2:$AG$50,"?*"),23),8,FALSE),"?"),"")</f>
        <v/>
      </c>
      <c r="S23" s="354"/>
      <c r="T23" s="330"/>
      <c r="U23" s="330"/>
      <c r="V23" s="330"/>
      <c r="W23" s="330"/>
      <c r="X23" s="330"/>
      <c r="Y23" s="330"/>
      <c r="Z23" s="330"/>
      <c r="AA23" s="330"/>
      <c r="AB23" s="330"/>
      <c r="AG23" s="333" t="s">
        <v>15</v>
      </c>
      <c r="AH23" s="334">
        <v>35171</v>
      </c>
      <c r="AI23" s="335">
        <v>40</v>
      </c>
      <c r="AJ23" s="335">
        <v>0</v>
      </c>
      <c r="AK23" s="335">
        <v>2</v>
      </c>
      <c r="AL23" s="335">
        <v>2</v>
      </c>
      <c r="AM23" s="335">
        <v>7</v>
      </c>
      <c r="AN23" s="335">
        <v>42</v>
      </c>
      <c r="AO23" s="336"/>
      <c r="AP23" s="336"/>
      <c r="AQ23" s="335">
        <v>187</v>
      </c>
      <c r="AR23" s="335">
        <v>88</v>
      </c>
      <c r="AS23" s="337" t="s">
        <v>167</v>
      </c>
      <c r="AT23" s="335">
        <v>2008</v>
      </c>
      <c r="AU23" s="130">
        <f ca="1">IF(AG23&lt;&gt;"",IF(AH23&lt;&gt;"",INT((TODAY()-AH23)/365),"?"),"")</f>
        <v>25</v>
      </c>
      <c r="AV23" s="130" t="str">
        <f>IF(AG23&lt;&gt;"",CONCATENATE(IF(AQ23&lt;&gt;"",AQ23,"? "),"/",IF(AR23&lt;&gt;"",AR23," ?")),"")</f>
        <v>187/88</v>
      </c>
      <c r="AW23" s="131" t="str">
        <f ca="1">IF(AG23&lt;&gt;"",IF(BE23=1,BD23,IF(BH23,BG23,IF(BJ23=1,BI23,IF(BL23=1,BK23,BM23)))),"")</f>
        <v>Šantora</v>
      </c>
      <c r="AX23" s="132" t="str">
        <f ca="1">IFERROR(IF(MATCH(AG23,OFFSET($S$45,,,COUNTIF($S$45:$S$50,"?*")),0)&gt;0,CONCATENATE(VLOOKUP(AG23,OFFSET($S$45,,,COUNTIF($S$45:$S$50,"?*"),14),4,FALSE)," V, ",VLOOKUP(AG23,OFFSET($S$45,,,COUNTIF($S$45:$S$50,"?*"),14),9,FALSE)," P"),""),IFERROR(CONCATENATE(VLOOKUP(AG23,OFFSET($S$2,,,COUNTIF($S$2:$S$42,"?*"),10),3,FALSE)+AZ23," OZ, ",VLOOKUP(AG23,OFFSET($S$2,,,COUNTIF($S$2:$S$42,"?*"),10),8,FALSE)+BA23+BB23," (",VLOOKUP(AG23,OFFSET($S$2,,,COUNTIF($S$2:$S$42,"?*"),10),4,FALSE)+BA23,"+",VLOOKUP(AG23,OFFSET($S$2,,,COUNTIF($S$2:$S$42,"?*"),10),7,FALSE)+BB23,"), ",IF(VLOOKUP(AG23,OFFSET($S$2,,,COUNTIF($S$2:$S$42,"?*"),10),10,FALSE)+BC23&gt;0,"+",""),VLOOKUP(AG23,OFFSET($S$2,,,COUNTIF($S$2:$S$42,"?*"),10),10,FALSE)+BC23," ±"),IF(AG23&lt;&gt;"","0 OZ, 0 (0+0)","")))</f>
        <v>0 V, 0 P</v>
      </c>
      <c r="AY23" s="132" t="str">
        <f ca="1">IFERROR(CONCATENATE(AI23+VLOOKUP(AG23,OFFSET($S$45,,,COUNTIF($S$45:$S$50,"?*"),14),2,FALSE)," OZ, ",AK23+VLOOKUP(AG23,OFFSET($S$45,,,COUNTIF($S$45:$S$50,"?*"),14),11,FALSE)," A"),IFERROR(CONCATENATE(VLOOKUP(AG23,OFFSET($S$2,,,COUNTIF($S$2:$S$42,"?*"),10),3,FALSE)+AZ23+AI23," OZ, ",VLOOKUP(AG23,OFFSET($S$2,,,COUNTIF($S$2:$S$42,"?*"),10),8,FALSE)+BA23+BB23+AL23," (",VLOOKUP(AG23,OFFSET($S$2,,,COUNTIF($S$2:$S$42,"?*"),10),4,FALSE)+BA23+AJ23,"+",VLOOKUP(AG23,OFFSET($S$2,,,COUNTIF($S$2:$S$42,"?*"),10),7,FALSE)+BB23+AK23,")"),IF(AG23&lt;&gt;"",CONCATENATE(AI23," OZ, ",AL23," (",AJ23,"+",AK23,")"),"")))</f>
        <v>40 OZ, 2 A</v>
      </c>
      <c r="AZ23" s="132"/>
      <c r="BA23" s="132"/>
      <c r="BB23" s="132"/>
      <c r="BC23" s="132"/>
      <c r="BD23" s="129" t="str">
        <f>IF(AG23&lt;&gt;"",RIGHT(AG23,LEN(AG23)-SEARCH(" ",AG23)),"")</f>
        <v>Šantora</v>
      </c>
      <c r="BE23" s="132">
        <f ca="1">IF(AG23&lt;&gt;"",COUNTIF(OFFSET($BD$2,,,COUNTIF($AG$2:$AG$50,"?*")),BD23),"")</f>
        <v>1</v>
      </c>
      <c r="BF23" s="130" t="str">
        <f>IF(AG23&lt;&gt;"",LEFT(AG23,1),"")</f>
        <v>K</v>
      </c>
      <c r="BG23" s="129" t="str">
        <f ca="1">IF(AND($AG23&lt;&gt;"",BE23&gt;1),CONCATENATE($BD23," ",LEFT($AG23,MIN(1,SEARCH(" ",$AG23)-1)),IF(SEARCH(" ",$AG23)-1&gt;1,".",""),""),"")</f>
        <v/>
      </c>
      <c r="BH23" s="130">
        <f ca="1">IF(BG23&lt;&gt;"",COUNTIF(OFFSET(BG$2,,,COUNTIF($AG$2:$AG$50,"?*")),BG23),IF($AG23&lt;&gt;"",0,""))</f>
        <v>0</v>
      </c>
      <c r="BI23" s="129" t="str">
        <f ca="1">IF(AND($AG23&lt;&gt;"",BH23&gt;1),CONCATENATE($BD23," ",LEFT($AG23,MIN(2,SEARCH(" ",$AG23)-1)),IF(SEARCH(" ",$AG23)-1&gt;2,".",""),""),"")</f>
        <v/>
      </c>
      <c r="BJ23" s="130">
        <f ca="1">IF(BI23&lt;&gt;"",COUNTIF(OFFSET(BI$2,,,COUNTIF($AG$2:$AG$50,"?*")),BI23),IF($AG23&lt;&gt;"",0,""))</f>
        <v>0</v>
      </c>
      <c r="BK23" s="129" t="str">
        <f ca="1">IF(AND($AG23&lt;&gt;"",BJ23&gt;1),CONCATENATE($BD23," ",LEFT($AG23,MIN(3,SEARCH(" ",$AG23)-1)),IF(SEARCH(" ",$AG23)-1&gt;3,".",""),""),"")</f>
        <v/>
      </c>
      <c r="BL23" s="130">
        <f ca="1">IF(BK23&lt;&gt;"",COUNTIF(OFFSET(BK$2,,,COUNTIF($AG$2:$AG$50,"?*")),BK23),IF($AG23&lt;&gt;"",0,""))</f>
        <v>0</v>
      </c>
      <c r="BM23" s="129" t="str">
        <f ca="1">IF(AND($AG23&lt;&gt;"",BL23&gt;1),CONCATENATE($BD23," ",LEFT($AG23,MIN(4,SEARCH(" ",$AG23)-1)),IF(SEARCH(" ",$AG23)-1&gt;4,".",""),""),"")</f>
        <v/>
      </c>
      <c r="BS23" s="325"/>
      <c r="BT23" s="332" t="s">
        <v>230</v>
      </c>
      <c r="BU23" s="331">
        <v>1</v>
      </c>
      <c r="BV23" s="3" t="str">
        <f t="shared" si="4"/>
        <v>Štěpán Čuda</v>
      </c>
      <c r="BW23" s="108">
        <f t="shared" si="5"/>
        <v>1</v>
      </c>
    </row>
    <row r="24" spans="1:75" ht="15" customHeight="1" thickBot="1" x14ac:dyDescent="0.25">
      <c r="A24" s="4" t="str">
        <f ca="1">IFERROR(IF(VLOOKUP(A23,OFFSET($AG$2,,,COUNTIF($AG$2:$AG$50,"?*"),23),10,FALSE)&lt;&gt;0,VLOOKUP(A23,OFFSET($AG$2,,,COUNTIF($AG$2:$AG$50,"?*"),23),10,FALSE),"?"),"")</f>
        <v/>
      </c>
      <c r="B24" s="252" t="str">
        <f ca="1">IFERROR(IF(VLOOKUP(A23,OFFSET($AG$2,,,COUNTIF($AG$2:$AG$50,"?*"),23),2,FALSE)&lt;&gt;0,YEAR(VLOOKUP(A23,OFFSET($AG$2,,,COUNTIF($AG$2:$AG$50,"?*"),23),2,FALSE)),"?"),"")</f>
        <v/>
      </c>
      <c r="C24" s="261"/>
      <c r="D24" s="5" t="str">
        <f ca="1">IFERROR(VLOOKUP(A23,OFFSET($AG$2,,,COUNTIF($AG$2:$AG$50,"?*"),23),15,FALSE),"")</f>
        <v/>
      </c>
      <c r="E24" s="251" t="str">
        <f ca="1">IFERROR(VLOOKUP(A23,OFFSET($AG$2,,,COUNTIF($AG$2:$AG$50,"?*"),23),16,FALSE),"")</f>
        <v/>
      </c>
      <c r="F24" s="253"/>
      <c r="M24" s="4" t="str">
        <f ca="1">IFERROR(IF(VLOOKUP(M23,OFFSET($AG$2,,,COUNTIF($AG$2:$AG$50,"?*"),23),10,FALSE)&lt;&gt;0,VLOOKUP(M23,OFFSET($AG$2,,,COUNTIF($AG$2:$AG$50,"?*"),23),10,FALSE),"?"),"")</f>
        <v/>
      </c>
      <c r="N24" s="252" t="str">
        <f ca="1">IFERROR(IF(VLOOKUP(M23,OFFSET($AG$2,,,COUNTIF($AG$2:$AG$50,"?*"),23),2,FALSE)&lt;&gt;0,YEAR(VLOOKUP(M23,OFFSET($AG$2,,,COUNTIF($AG$2:$AG$50,"?*"),23),2,FALSE)),"?"),"")</f>
        <v/>
      </c>
      <c r="O24" s="261"/>
      <c r="P24" s="6" t="str">
        <f ca="1">IFERROR(VLOOKUP(M23,OFFSET($AG$2,,,COUNTIF($AG$2:$AG$50,"?*"),23),15,FALSE),"")</f>
        <v/>
      </c>
      <c r="Q24" s="251" t="str">
        <f ca="1">IFERROR(VLOOKUP(M23,OFFSET($AG$2,,,COUNTIF($AG$2:$AG$50,"?*"),23),16,FALSE),"")</f>
        <v/>
      </c>
      <c r="R24" s="253"/>
      <c r="S24" s="354"/>
      <c r="T24" s="330"/>
      <c r="U24" s="330"/>
      <c r="V24" s="330"/>
      <c r="W24" s="330"/>
      <c r="X24" s="330"/>
      <c r="Y24" s="330"/>
      <c r="Z24" s="330"/>
      <c r="AA24" s="330"/>
      <c r="AB24" s="330"/>
      <c r="AG24" s="328" t="s">
        <v>186</v>
      </c>
      <c r="AH24" s="329">
        <v>37453</v>
      </c>
      <c r="AI24" s="330">
        <v>15</v>
      </c>
      <c r="AJ24" s="330">
        <v>1</v>
      </c>
      <c r="AK24" s="330">
        <v>0</v>
      </c>
      <c r="AL24" s="330">
        <v>1</v>
      </c>
      <c r="AM24" s="330">
        <v>3</v>
      </c>
      <c r="AN24" s="330">
        <v>87</v>
      </c>
      <c r="AO24" s="331"/>
      <c r="AP24" s="331" t="s">
        <v>27</v>
      </c>
      <c r="AQ24" s="330">
        <v>181</v>
      </c>
      <c r="AR24" s="330">
        <v>75</v>
      </c>
      <c r="AS24" s="332" t="s">
        <v>5</v>
      </c>
      <c r="AT24" s="330">
        <v>2013</v>
      </c>
      <c r="AU24" s="66">
        <f ca="1">IF(AG24&lt;&gt;"",IF(AH24&lt;&gt;"",INT((TODAY()-AH24)/365),"?"),"")</f>
        <v>19</v>
      </c>
      <c r="AV24" s="66" t="str">
        <f>IF(AG24&lt;&gt;"",CONCATENATE(IF(AQ24&lt;&gt;"",AQ24,"? "),"/",IF(AR24&lt;&gt;"",AR24," ?")),"")</f>
        <v>181/75</v>
      </c>
      <c r="AW24" s="128" t="str">
        <f ca="1">IF(AG24&lt;&gt;"",IF(BE24=1,BD24,IF(BH24,BG24,IF(BJ24=1,BI24,IF(BL24=1,BK24,BM24)))),"")</f>
        <v>Šaroch</v>
      </c>
      <c r="AX24" s="123" t="str">
        <f ca="1">IFERROR(IF(MATCH(AG24,OFFSET($S$45,,,COUNTIF($S$45:$S$50,"?*")),0)&gt;0,CONCATENATE(VLOOKUP(AG24,OFFSET($S$45,,,COUNTIF($S$45:$S$50,"?*"),14),4,FALSE)," V, ",VLOOKUP(AG24,OFFSET($S$45,,,COUNTIF($S$45:$S$50,"?*"),14),9,FALSE)," P"),""),IFERROR(CONCATENATE(VLOOKUP(AG24,OFFSET($S$2,,,COUNTIF($S$2:$S$42,"?*"),10),3,FALSE)+AZ24," OZ, ",VLOOKUP(AG24,OFFSET($S$2,,,COUNTIF($S$2:$S$42,"?*"),10),8,FALSE)+BA24+BB24," (",VLOOKUP(AG24,OFFSET($S$2,,,COUNTIF($S$2:$S$42,"?*"),10),4,FALSE)+BA24,"+",VLOOKUP(AG24,OFFSET($S$2,,,COUNTIF($S$2:$S$42,"?*"),10),7,FALSE)+BB24,"), ",IF(VLOOKUP(AG24,OFFSET($S$2,,,COUNTIF($S$2:$S$42,"?*"),10),10,FALSE)+BC24&gt;0,"+",""),VLOOKUP(AG24,OFFSET($S$2,,,COUNTIF($S$2:$S$42,"?*"),10),10,FALSE)+BC24," ±"),IF(AG24&lt;&gt;"","0 OZ, 0 (0+0)","")))</f>
        <v>0 OZ, 0 (0+0)</v>
      </c>
      <c r="AY24" s="123" t="str">
        <f ca="1">IFERROR(CONCATENATE(AI24+VLOOKUP(AG24,OFFSET($S$45,,,COUNTIF($S$45:$S$50,"?*"),14),2,FALSE)," OZ, ",AK24+VLOOKUP(AG24,OFFSET($S$45,,,COUNTIF($S$45:$S$50,"?*"),14),11,FALSE)," A"),IFERROR(CONCATENATE(VLOOKUP(AG24,OFFSET($S$2,,,COUNTIF($S$2:$S$42,"?*"),10),3,FALSE)+AZ24+AI24," OZ, ",VLOOKUP(AG24,OFFSET($S$2,,,COUNTIF($S$2:$S$42,"?*"),10),8,FALSE)+BA24+BB24+AL24," (",VLOOKUP(AG24,OFFSET($S$2,,,COUNTIF($S$2:$S$42,"?*"),10),4,FALSE)+BA24+AJ24,"+",VLOOKUP(AG24,OFFSET($S$2,,,COUNTIF($S$2:$S$42,"?*"),10),7,FALSE)+BB24+AK24,")"),IF(AG24&lt;&gt;"",CONCATENATE(AI24," OZ, ",AL24," (",AJ24,"+",AK24,")"),"")))</f>
        <v>15 OZ, 1 (1+0)</v>
      </c>
      <c r="BD24" s="3" t="str">
        <f>IF(AG24&lt;&gt;"",RIGHT(AG24,LEN(AG24)-SEARCH(" ",AG24)),"")</f>
        <v>Šaroch</v>
      </c>
      <c r="BE24" s="123">
        <f ca="1">IF(AG24&lt;&gt;"",COUNTIF(OFFSET($BD$2,,,COUNTIF($AG$2:$AG$50,"?*")),BD24),"")</f>
        <v>1</v>
      </c>
      <c r="BF24" s="66" t="str">
        <f>IF(AG24&lt;&gt;"",LEFT(AG24,1),"")</f>
        <v>M</v>
      </c>
      <c r="BG24" s="3" t="str">
        <f ca="1">IF(AND($AG24&lt;&gt;"",BE24&gt;1),CONCATENATE($BD24," ",LEFT($AG24,MIN(1,SEARCH(" ",$AG24)-1)),IF(SEARCH(" ",$AG24)-1&gt;1,".",""),""),"")</f>
        <v/>
      </c>
      <c r="BH24" s="66">
        <f ca="1">IF(BG24&lt;&gt;"",COUNTIF(OFFSET(BG$2,,,COUNTIF($AG$2:$AG$50,"?*")),BG24),IF($AG24&lt;&gt;"",0,""))</f>
        <v>0</v>
      </c>
      <c r="BI24" s="3" t="str">
        <f ca="1">IF(AND($AG24&lt;&gt;"",BH24&gt;1),CONCATENATE($BD24," ",LEFT($AG24,MIN(2,SEARCH(" ",$AG24)-1)),IF(SEARCH(" ",$AG24)-1&gt;2,".",""),""),"")</f>
        <v/>
      </c>
      <c r="BJ24" s="66">
        <f ca="1">IF(BI24&lt;&gt;"",COUNTIF(OFFSET(BI$2,,,COUNTIF($AG$2:$AG$50,"?*")),BI24),IF($AG24&lt;&gt;"",0,""))</f>
        <v>0</v>
      </c>
      <c r="BK24" s="3" t="str">
        <f ca="1">IF(AND($AG24&lt;&gt;"",BJ24&gt;1),CONCATENATE($BD24," ",LEFT($AG24,MIN(3,SEARCH(" ",$AG24)-1)),IF(SEARCH(" ",$AG24)-1&gt;3,".",""),""),"")</f>
        <v/>
      </c>
      <c r="BL24" s="66">
        <f ca="1">IF(BK24&lt;&gt;"",COUNTIF(OFFSET(BK$2,,,COUNTIF($AG$2:$AG$50,"?*")),BK24),IF($AG24&lt;&gt;"",0,""))</f>
        <v>0</v>
      </c>
      <c r="BM24" s="3" t="str">
        <f ca="1">IF(AND($AG24&lt;&gt;"",BL24&gt;1),CONCATENATE($BD24," ",LEFT($AG24,MIN(4,SEARCH(" ",$AG24)-1)),IF(SEARCH(" ",$AG24)-1&gt;4,".",""),""),"")</f>
        <v/>
      </c>
      <c r="BS24" s="325"/>
      <c r="BT24" s="332" t="s">
        <v>231</v>
      </c>
      <c r="BU24" s="331">
        <v>0</v>
      </c>
      <c r="BV24" s="3" t="str">
        <f t="shared" si="4"/>
        <v>David Ježek</v>
      </c>
      <c r="BW24" s="108">
        <f t="shared" si="5"/>
        <v>0</v>
      </c>
    </row>
    <row r="25" spans="1:75" ht="15" customHeight="1" thickTop="1" thickBot="1" x14ac:dyDescent="0.25">
      <c r="A25" s="290" t="str">
        <f ca="1">IFERROR(VLOOKUP(A23,OFFSET($AG$2,,,COUNTIF($AG$2:$AG$50,"?*"),23),18,FALSE),"")</f>
        <v/>
      </c>
      <c r="B25" s="291"/>
      <c r="C25" s="291"/>
      <c r="D25" s="292" t="str">
        <f ca="1">IFERROR(VLOOKUP(A23,OFFSET($AG$2,,,COUNTIF($AG$2:$AG$50,"?*"),23),19,FALSE),"")</f>
        <v/>
      </c>
      <c r="E25" s="292"/>
      <c r="F25" s="293"/>
      <c r="G25" s="294"/>
      <c r="H25" s="295"/>
      <c r="I25" s="295"/>
      <c r="J25" s="295"/>
      <c r="K25" s="1" t="str">
        <f ca="1">IFERROR(IF(VLOOKUP(G25,OFFSET($AG$2,,,COUNTIF($AG$2:$AG$50,"?*"),23),9,FALSE)&lt;&gt;0,VLOOKUP(G25,OFFSET($AG$2,,,COUNTIF($AG$2:$AG$50,"?*"),23),9,FALSE),""),"")</f>
        <v/>
      </c>
      <c r="L25" s="2" t="str">
        <f ca="1">IFERROR(IF(VLOOKUP(G25,OFFSET($AG$2,,,COUNTIF($AG$2:$AG$50,"?*"),23),8,FALSE)&lt;&gt;0,VLOOKUP(G25,OFFSET($AG$2,,,COUNTIF($AG$2:$AG$50,"?*"),23),8,FALSE),"?"),"")</f>
        <v/>
      </c>
      <c r="M25" s="290" t="str">
        <f ca="1">IFERROR(VLOOKUP(M23,OFFSET($AG$2,,,COUNTIF($AG$2:$AG$50,"?*"),23),18,FALSE),"")</f>
        <v/>
      </c>
      <c r="N25" s="291"/>
      <c r="O25" s="291"/>
      <c r="P25" s="292" t="str">
        <f ca="1">IFERROR(VLOOKUP(M23,OFFSET($AG$2,,,COUNTIF($AG$2:$AG$50,"?*"),23),19,FALSE),"")</f>
        <v/>
      </c>
      <c r="Q25" s="292"/>
      <c r="R25" s="293"/>
      <c r="S25" s="354"/>
      <c r="T25" s="330"/>
      <c r="U25" s="330"/>
      <c r="V25" s="330"/>
      <c r="W25" s="330"/>
      <c r="X25" s="330"/>
      <c r="Y25" s="330"/>
      <c r="Z25" s="330"/>
      <c r="AA25" s="330"/>
      <c r="AB25" s="330"/>
      <c r="AG25" s="333" t="s">
        <v>187</v>
      </c>
      <c r="AH25" s="334"/>
      <c r="AI25" s="335">
        <v>2</v>
      </c>
      <c r="AJ25" s="335">
        <v>0</v>
      </c>
      <c r="AK25" s="335">
        <v>0</v>
      </c>
      <c r="AL25" s="335">
        <v>0</v>
      </c>
      <c r="AM25" s="335">
        <v>2</v>
      </c>
      <c r="AN25" s="335">
        <v>12</v>
      </c>
      <c r="AO25" s="336"/>
      <c r="AP25" s="336"/>
      <c r="AQ25" s="335"/>
      <c r="AR25" s="335"/>
      <c r="AS25" s="337"/>
      <c r="AT25" s="335"/>
      <c r="AU25" s="130" t="str">
        <f ca="1">IF(AG25&lt;&gt;"",IF(AH25&lt;&gt;"",INT((TODAY()-AH25)/365),"?"),"")</f>
        <v>?</v>
      </c>
      <c r="AV25" s="130" t="str">
        <f>IF(AG25&lt;&gt;"",CONCATENATE(IF(AQ25&lt;&gt;"",AQ25,"? "),"/",IF(AR25&lt;&gt;"",AR25," ?")),"")</f>
        <v>? / ?</v>
      </c>
      <c r="AW25" s="131" t="str">
        <f ca="1">IF(AG25&lt;&gt;"",IF(BE25=1,BD25,IF(BH25,BG25,IF(BJ25=1,BI25,IF(BL25=1,BK25,BM25)))),"")</f>
        <v>Šolaja</v>
      </c>
      <c r="AX25" s="132" t="str">
        <f ca="1">IFERROR(IF(MATCH(AG25,OFFSET($S$45,,,COUNTIF($S$45:$S$50,"?*")),0)&gt;0,CONCATENATE(VLOOKUP(AG25,OFFSET($S$45,,,COUNTIF($S$45:$S$50,"?*"),14),4,FALSE)," V, ",VLOOKUP(AG25,OFFSET($S$45,,,COUNTIF($S$45:$S$50,"?*"),14),9,FALSE)," P"),""),IFERROR(CONCATENATE(VLOOKUP(AG25,OFFSET($S$2,,,COUNTIF($S$2:$S$42,"?*"),10),3,FALSE)+AZ25," OZ, ",VLOOKUP(AG25,OFFSET($S$2,,,COUNTIF($S$2:$S$42,"?*"),10),8,FALSE)+BA25+BB25," (",VLOOKUP(AG25,OFFSET($S$2,,,COUNTIF($S$2:$S$42,"?*"),10),4,FALSE)+BA25,"+",VLOOKUP(AG25,OFFSET($S$2,,,COUNTIF($S$2:$S$42,"?*"),10),7,FALSE)+BB25,"), ",IF(VLOOKUP(AG25,OFFSET($S$2,,,COUNTIF($S$2:$S$42,"?*"),10),10,FALSE)+BC25&gt;0,"+",""),VLOOKUP(AG25,OFFSET($S$2,,,COUNTIF($S$2:$S$42,"?*"),10),10,FALSE)+BC25," ±"),IF(AG25&lt;&gt;"","0 OZ, 0 (0+0)","")))</f>
        <v>0 OZ, 0 (0+0)</v>
      </c>
      <c r="AY25" s="132" t="str">
        <f ca="1">IFERROR(CONCATENATE(AI25+VLOOKUP(AG25,OFFSET($S$45,,,COUNTIF($S$45:$S$50,"?*"),14),2,FALSE)," OZ, ",AK25+VLOOKUP(AG25,OFFSET($S$45,,,COUNTIF($S$45:$S$50,"?*"),14),11,FALSE)," A"),IFERROR(CONCATENATE(VLOOKUP(AG25,OFFSET($S$2,,,COUNTIF($S$2:$S$42,"?*"),10),3,FALSE)+AZ25+AI25," OZ, ",VLOOKUP(AG25,OFFSET($S$2,,,COUNTIF($S$2:$S$42,"?*"),10),8,FALSE)+BA25+BB25+AL25," (",VLOOKUP(AG25,OFFSET($S$2,,,COUNTIF($S$2:$S$42,"?*"),10),4,FALSE)+BA25+AJ25,"+",VLOOKUP(AG25,OFFSET($S$2,,,COUNTIF($S$2:$S$42,"?*"),10),7,FALSE)+BB25+AK25,")"),IF(AG25&lt;&gt;"",CONCATENATE(AI25," OZ, ",AL25," (",AJ25,"+",AK25,")"),"")))</f>
        <v>2 OZ, 0 (0+0)</v>
      </c>
      <c r="AZ25" s="132"/>
      <c r="BA25" s="132"/>
      <c r="BB25" s="132"/>
      <c r="BC25" s="132"/>
      <c r="BD25" s="129" t="str">
        <f>IF(AG25&lt;&gt;"",RIGHT(AG25,LEN(AG25)-SEARCH(" ",AG25)),"")</f>
        <v>Šolaja</v>
      </c>
      <c r="BE25" s="132">
        <f ca="1">IF(AG25&lt;&gt;"",COUNTIF(OFFSET($BD$2,,,COUNTIF($AG$2:$AG$50,"?*")),BD25),"")</f>
        <v>1</v>
      </c>
      <c r="BF25" s="130" t="str">
        <f>IF(AG25&lt;&gt;"",LEFT(AG25,1),"")</f>
        <v>M</v>
      </c>
      <c r="BG25" s="129" t="str">
        <f ca="1">IF(AND($AG25&lt;&gt;"",BE25&gt;1),CONCATENATE($BD25," ",LEFT($AG25,MIN(1,SEARCH(" ",$AG25)-1)),IF(SEARCH(" ",$AG25)-1&gt;1,".",""),""),"")</f>
        <v/>
      </c>
      <c r="BH25" s="130">
        <f ca="1">IF(BG25&lt;&gt;"",COUNTIF(OFFSET(BG$2,,,COUNTIF($AG$2:$AG$50,"?*")),BG25),IF($AG25&lt;&gt;"",0,""))</f>
        <v>0</v>
      </c>
      <c r="BI25" s="129" t="str">
        <f ca="1">IF(AND($AG25&lt;&gt;"",BH25&gt;1),CONCATENATE($BD25," ",LEFT($AG25,MIN(2,SEARCH(" ",$AG25)-1)),IF(SEARCH(" ",$AG25)-1&gt;2,".",""),""),"")</f>
        <v/>
      </c>
      <c r="BJ25" s="130">
        <f ca="1">IF(BI25&lt;&gt;"",COUNTIF(OFFSET(BI$2,,,COUNTIF($AG$2:$AG$50,"?*")),BI25),IF($AG25&lt;&gt;"",0,""))</f>
        <v>0</v>
      </c>
      <c r="BK25" s="129" t="str">
        <f ca="1">IF(AND($AG25&lt;&gt;"",BJ25&gt;1),CONCATENATE($BD25," ",LEFT($AG25,MIN(3,SEARCH(" ",$AG25)-1)),IF(SEARCH(" ",$AG25)-1&gt;3,".",""),""),"")</f>
        <v/>
      </c>
      <c r="BL25" s="130">
        <f ca="1">IF(BK25&lt;&gt;"",COUNTIF(OFFSET(BK$2,,,COUNTIF($AG$2:$AG$50,"?*")),BK25),IF($AG25&lt;&gt;"",0,""))</f>
        <v>0</v>
      </c>
      <c r="BM25" s="129" t="str">
        <f ca="1">IF(AND($AG25&lt;&gt;"",BL25&gt;1),CONCATENATE($BD25," ",LEFT($AG25,MIN(4,SEARCH(" ",$AG25)-1)),IF(SEARCH(" ",$AG25)-1&gt;4,".",""),""),"")</f>
        <v/>
      </c>
      <c r="BS25" s="325"/>
      <c r="BT25" s="332" t="s">
        <v>232</v>
      </c>
      <c r="BU25" s="331">
        <v>0</v>
      </c>
      <c r="BV25" s="3" t="str">
        <f t="shared" si="4"/>
        <v>Ivan Pergler</v>
      </c>
      <c r="BW25" s="108">
        <f t="shared" si="5"/>
        <v>0</v>
      </c>
    </row>
    <row r="26" spans="1:75" ht="15" customHeight="1" thickBot="1" x14ac:dyDescent="0.25">
      <c r="A26" s="297" t="str">
        <f ca="1">IFERROR(IF(VLOOKUP(A23,OFFSET($AG$2,,,COUNTIF($AG$2:$AG$50,"?*"),23),13,FALSE)&lt;&gt;0,VLOOKUP(A23,OFFSET($AG$2,,,COUNTIF($AG$2:$AG$50,"?*"),23),13,FALSE),"?"),"")</f>
        <v/>
      </c>
      <c r="B26" s="298"/>
      <c r="C26" s="299"/>
      <c r="D26" s="288" t="str">
        <f ca="1">IFERROR(IF(VLOOKUP(A23,OFFSET($AG$2,,,COUNTIF($AG$2:$AG$50,"?*"),23),14,FALSE)&lt;&gt;0,VLOOKUP(A23,OFFSET($AG$2,,,COUNTIF($AG$2:$AG$50,"?*"),23),14,FALSE),"?"),"")</f>
        <v/>
      </c>
      <c r="E26" s="287"/>
      <c r="F26" s="7" t="str">
        <f ca="1">IFERROR(IF(VLOOKUP(A23,OFFSET($AG$2,,,COUNTIF($AG$2:$AG$50,"?*"),23),7,FALSE)&lt;&gt;0,VLOOKUP(A23,OFFSET($AG$2,,,COUNTIF($AG$2:$AG$50,"?*"),23),7,FALSE),"?"),"")</f>
        <v/>
      </c>
      <c r="G26" s="4" t="str">
        <f ca="1">IFERROR(IF(VLOOKUP(G25,OFFSET($AG$2,,,COUNTIF($AG$2:$AG$50,"?*"),23),10,FALSE)&lt;&gt;0,VLOOKUP(G25,OFFSET($AG$2,,,COUNTIF($AG$2:$AG$50,"?*"),23),10,FALSE),"?"),"")</f>
        <v/>
      </c>
      <c r="H26" s="252" t="str">
        <f ca="1">IFERROR(IF(VLOOKUP(G25,OFFSET($AG$2,,,COUNTIF($AG$2:$AG$50,"?*"),23),2,FALSE)&lt;&gt;0,YEAR(VLOOKUP(G25,OFFSET($AG$2,,,COUNTIF($AG$2:$AG$50,"?*"),23),2,FALSE)),"?"),"")</f>
        <v/>
      </c>
      <c r="I26" s="261"/>
      <c r="J26" s="5" t="str">
        <f ca="1">IFERROR(VLOOKUP(G25,OFFSET($AG$2,,,COUNTIF($AG$2:$AG$50,"?*"),23),15,FALSE),"")</f>
        <v/>
      </c>
      <c r="K26" s="251" t="str">
        <f ca="1">IFERROR(VLOOKUP(G25,OFFSET($AG$2,,,COUNTIF($AG$2:$AG$50,"?*"),23),16,FALSE),"")</f>
        <v/>
      </c>
      <c r="L26" s="253"/>
      <c r="M26" s="297" t="str">
        <f ca="1">IFERROR(IF(VLOOKUP(M23,OFFSET($AG$2,,,COUNTIF($AG$2:$AG$50,"?*"),23),13,FALSE)&lt;&gt;0,VLOOKUP(M23,OFFSET($AG$2,,,COUNTIF($AG$2:$AG$50,"?*"),23),13,FALSE),"?"),"")</f>
        <v/>
      </c>
      <c r="N26" s="298"/>
      <c r="O26" s="299"/>
      <c r="P26" s="288" t="str">
        <f ca="1">IFERROR(IF(VLOOKUP(M23,OFFSET($AG$2,,,COUNTIF($AG$2:$AG$50,"?*"),23),14,FALSE)&lt;&gt;0,VLOOKUP(M23,OFFSET($AG$2,,,COUNTIF($AG$2:$AG$50,"?*"),23),14,FALSE),"?"),"")</f>
        <v/>
      </c>
      <c r="Q26" s="287"/>
      <c r="R26" s="7" t="str">
        <f ca="1">IFERROR(IF(VLOOKUP(M23,OFFSET($AG$2,,,COUNTIF($AG$2:$AG$50,"?*"),23),7,FALSE)&lt;&gt;0,VLOOKUP(M23,OFFSET($AG$2,,,COUNTIF($AG$2:$AG$50,"?*"),23),7,FALSE),"?"),"")</f>
        <v/>
      </c>
      <c r="S26" s="354"/>
      <c r="T26" s="330"/>
      <c r="U26" s="330"/>
      <c r="V26" s="330"/>
      <c r="W26" s="330"/>
      <c r="X26" s="330"/>
      <c r="Y26" s="330"/>
      <c r="Z26" s="330"/>
      <c r="AA26" s="330"/>
      <c r="AB26" s="330"/>
      <c r="AG26" s="328" t="s">
        <v>131</v>
      </c>
      <c r="AH26" s="329"/>
      <c r="AI26" s="330"/>
      <c r="AJ26" s="330"/>
      <c r="AK26" s="330"/>
      <c r="AL26" s="330"/>
      <c r="AM26" s="330"/>
      <c r="AN26" s="330"/>
      <c r="AO26" s="331"/>
      <c r="AP26" s="331"/>
      <c r="AQ26" s="330"/>
      <c r="AR26" s="330"/>
      <c r="AS26" s="332"/>
      <c r="AT26" s="330"/>
      <c r="AU26" s="66" t="str">
        <f ca="1">IF(AG26&lt;&gt;"",IF(AH26&lt;&gt;"",INT((TODAY()-AH26)/365),"?"),"")</f>
        <v>?</v>
      </c>
      <c r="AV26" s="66" t="str">
        <f>IF(AG26&lt;&gt;"",CONCATENATE(IF(AQ26&lt;&gt;"",AQ26,"? "),"/",IF(AR26&lt;&gt;"",AR26," ?")),"")</f>
        <v>? / ?</v>
      </c>
      <c r="AW26" s="128" t="str">
        <f ca="1">IF(AG26&lt;&gt;"",IF(BE26=1,BD26,IF(BH26,BG26,IF(BJ26=1,BI26,IF(BL26=1,BK26,BM26)))),"")</f>
        <v>Kopecký</v>
      </c>
      <c r="AX26" s="123" t="str">
        <f ca="1">IFERROR(IF(MATCH(AG26,OFFSET($S$45,,,COUNTIF($S$45:$S$50,"?*")),0)&gt;0,CONCATENATE(VLOOKUP(AG26,OFFSET($S$45,,,COUNTIF($S$45:$S$50,"?*"),14),4,FALSE)," V, ",VLOOKUP(AG26,OFFSET($S$45,,,COUNTIF($S$45:$S$50,"?*"),14),9,FALSE)," P"),""),IFERROR(CONCATENATE(VLOOKUP(AG26,OFFSET($S$2,,,COUNTIF($S$2:$S$42,"?*"),10),3,FALSE)+AZ26," OZ, ",VLOOKUP(AG26,OFFSET($S$2,,,COUNTIF($S$2:$S$42,"?*"),10),8,FALSE)+BA26+BB26," (",VLOOKUP(AG26,OFFSET($S$2,,,COUNTIF($S$2:$S$42,"?*"),10),4,FALSE)+BA26,"+",VLOOKUP(AG26,OFFSET($S$2,,,COUNTIF($S$2:$S$42,"?*"),10),7,FALSE)+BB26,"), ",IF(VLOOKUP(AG26,OFFSET($S$2,,,COUNTIF($S$2:$S$42,"?*"),10),10,FALSE)+BC26&gt;0,"+",""),VLOOKUP(AG26,OFFSET($S$2,,,COUNTIF($S$2:$S$42,"?*"),10),10,FALSE)+BC26," ±"),IF(AG26&lt;&gt;"","0 OZ, 0 (0+0)","")))</f>
        <v>1 OZ, 1 (1+0), 0 ±</v>
      </c>
      <c r="AY26" s="123" t="str">
        <f ca="1">IFERROR(CONCATENATE(AI26+VLOOKUP(AG26,OFFSET($S$45,,,COUNTIF($S$45:$S$50,"?*"),14),2,FALSE)," OZ, ",AK26+VLOOKUP(AG26,OFFSET($S$45,,,COUNTIF($S$45:$S$50,"?*"),14),11,FALSE)," A"),IFERROR(CONCATENATE(VLOOKUP(AG26,OFFSET($S$2,,,COUNTIF($S$2:$S$42,"?*"),10),3,FALSE)+AZ26+AI26," OZ, ",VLOOKUP(AG26,OFFSET($S$2,,,COUNTIF($S$2:$S$42,"?*"),10),8,FALSE)+BA26+BB26+AL26," (",VLOOKUP(AG26,OFFSET($S$2,,,COUNTIF($S$2:$S$42,"?*"),10),4,FALSE)+BA26+AJ26,"+",VLOOKUP(AG26,OFFSET($S$2,,,COUNTIF($S$2:$S$42,"?*"),10),7,FALSE)+BB26+AK26,")"),IF(AG26&lt;&gt;"",CONCATENATE(AI26," OZ, ",AL26," (",AJ26,"+",AK26,")"),"")))</f>
        <v>1 OZ, 1 (1+0)</v>
      </c>
      <c r="BD26" s="3" t="str">
        <f>IF(AG26&lt;&gt;"",RIGHT(AG26,LEN(AG26)-SEARCH(" ",AG26)),"")</f>
        <v>Kopecký</v>
      </c>
      <c r="BE26" s="123">
        <f ca="1">IF(AG26&lt;&gt;"",COUNTIF(OFFSET($BD$2,,,COUNTIF($AG$2:$AG$50,"?*")),BD26),"")</f>
        <v>1</v>
      </c>
      <c r="BF26" s="66" t="str">
        <f>IF(AG26&lt;&gt;"",LEFT(AG26,1),"")</f>
        <v>V</v>
      </c>
      <c r="BG26" s="3" t="str">
        <f ca="1">IF(AND($AG26&lt;&gt;"",BE26&gt;1),CONCATENATE($BD26," ",LEFT($AG26,MIN(1,SEARCH(" ",$AG26)-1)),IF(SEARCH(" ",$AG26)-1&gt;1,".",""),""),"")</f>
        <v/>
      </c>
      <c r="BH26" s="66">
        <f ca="1">IF(BG26&lt;&gt;"",COUNTIF(OFFSET(BG$2,,,COUNTIF($AG$2:$AG$50,"?*")),BG26),IF($AG26&lt;&gt;"",0,""))</f>
        <v>0</v>
      </c>
      <c r="BI26" s="3" t="str">
        <f ca="1">IF(AND($AG26&lt;&gt;"",BH26&gt;1),CONCATENATE($BD26," ",LEFT($AG26,MIN(2,SEARCH(" ",$AG26)-1)),IF(SEARCH(" ",$AG26)-1&gt;2,".",""),""),"")</f>
        <v/>
      </c>
      <c r="BJ26" s="66">
        <f ca="1">IF(BI26&lt;&gt;"",COUNTIF(OFFSET(BI$2,,,COUNTIF($AG$2:$AG$50,"?*")),BI26),IF($AG26&lt;&gt;"",0,""))</f>
        <v>0</v>
      </c>
      <c r="BK26" s="3" t="str">
        <f ca="1">IF(AND($AG26&lt;&gt;"",BJ26&gt;1),CONCATENATE($BD26," ",LEFT($AG26,MIN(3,SEARCH(" ",$AG26)-1)),IF(SEARCH(" ",$AG26)-1&gt;3,".",""),""),"")</f>
        <v/>
      </c>
      <c r="BL26" s="66">
        <f ca="1">IF(BK26&lt;&gt;"",COUNTIF(OFFSET(BK$2,,,COUNTIF($AG$2:$AG$50,"?*")),BK26),IF($AG26&lt;&gt;"",0,""))</f>
        <v>0</v>
      </c>
      <c r="BM26" s="3" t="str">
        <f ca="1">IF(AND($AG26&lt;&gt;"",BL26&gt;1),CONCATENATE($BD26," ",LEFT($AG26,MIN(4,SEARCH(" ",$AG26)-1)),IF(SEARCH(" ",$AG26)-1&gt;4,".",""),""),"")</f>
        <v/>
      </c>
      <c r="BS26" s="325"/>
      <c r="BT26" s="332" t="s">
        <v>233</v>
      </c>
      <c r="BU26" s="331">
        <v>0</v>
      </c>
      <c r="BV26" s="3" t="str">
        <f t="shared" si="4"/>
        <v>Jan Fiala</v>
      </c>
      <c r="BW26" s="108">
        <f t="shared" si="5"/>
        <v>0</v>
      </c>
    </row>
    <row r="27" spans="1:75" ht="15" customHeight="1" thickTop="1" thickBot="1" x14ac:dyDescent="0.25">
      <c r="A27" s="8"/>
      <c r="B27" s="8"/>
      <c r="C27" s="8"/>
      <c r="D27" s="8"/>
      <c r="G27" s="290" t="str">
        <f ca="1">IFERROR(VLOOKUP(G25,OFFSET($AG$2,,,COUNTIF($AG$2:$AG$50,"?*"),23),18,FALSE),"")</f>
        <v/>
      </c>
      <c r="H27" s="291"/>
      <c r="I27" s="291"/>
      <c r="J27" s="292" t="str">
        <f ca="1">IFERROR(VLOOKUP(G25,OFFSET($AG$2,,,COUNTIF($AG$2:$AG$50,"?*"),23),19,FALSE),"")</f>
        <v/>
      </c>
      <c r="K27" s="292"/>
      <c r="L27" s="293"/>
      <c r="S27" s="354"/>
      <c r="T27" s="330"/>
      <c r="U27" s="330"/>
      <c r="V27" s="330"/>
      <c r="W27" s="330"/>
      <c r="X27" s="330"/>
      <c r="Y27" s="330"/>
      <c r="Z27" s="330"/>
      <c r="AA27" s="330"/>
      <c r="AB27" s="330"/>
      <c r="AG27" s="333" t="s">
        <v>133</v>
      </c>
      <c r="AH27" s="334"/>
      <c r="AI27" s="335"/>
      <c r="AJ27" s="335"/>
      <c r="AK27" s="335"/>
      <c r="AL27" s="335"/>
      <c r="AM27" s="335"/>
      <c r="AN27" s="335"/>
      <c r="AO27" s="336"/>
      <c r="AP27" s="336"/>
      <c r="AQ27" s="335"/>
      <c r="AR27" s="335"/>
      <c r="AS27" s="337"/>
      <c r="AT27" s="335"/>
      <c r="AU27" s="130" t="str">
        <f ca="1">IF(AG27&lt;&gt;"",IF(AH27&lt;&gt;"",INT((TODAY()-AH27)/365),"?"),"")</f>
        <v>?</v>
      </c>
      <c r="AV27" s="130" t="str">
        <f>IF(AG27&lt;&gt;"",CONCATENATE(IF(AQ27&lt;&gt;"",AQ27,"? "),"/",IF(AR27&lt;&gt;"",AR27," ?")),"")</f>
        <v>? / ?</v>
      </c>
      <c r="AW27" s="131" t="str">
        <f ca="1">IF(AG27&lt;&gt;"",IF(BE27=1,BD27,IF(BH27,BG27,IF(BJ27=1,BI27,IF(BL27=1,BK27,BM27)))),"")</f>
        <v>Švejda</v>
      </c>
      <c r="AX27" s="132" t="str">
        <f ca="1">IFERROR(IF(MATCH(AG27,OFFSET($S$45,,,COUNTIF($S$45:$S$50,"?*")),0)&gt;0,CONCATENATE(VLOOKUP(AG27,OFFSET($S$45,,,COUNTIF($S$45:$S$50,"?*"),14),4,FALSE)," V, ",VLOOKUP(AG27,OFFSET($S$45,,,COUNTIF($S$45:$S$50,"?*"),14),9,FALSE)," P"),""),IFERROR(CONCATENATE(VLOOKUP(AG27,OFFSET($S$2,,,COUNTIF($S$2:$S$42,"?*"),10),3,FALSE)+AZ27," OZ, ",VLOOKUP(AG27,OFFSET($S$2,,,COUNTIF($S$2:$S$42,"?*"),10),8,FALSE)+BA27+BB27," (",VLOOKUP(AG27,OFFSET($S$2,,,COUNTIF($S$2:$S$42,"?*"),10),4,FALSE)+BA27,"+",VLOOKUP(AG27,OFFSET($S$2,,,COUNTIF($S$2:$S$42,"?*"),10),7,FALSE)+BB27,"), ",IF(VLOOKUP(AG27,OFFSET($S$2,,,COUNTIF($S$2:$S$42,"?*"),10),10,FALSE)+BC27&gt;0,"+",""),VLOOKUP(AG27,OFFSET($S$2,,,COUNTIF($S$2:$S$42,"?*"),10),10,FALSE)+BC27," ±"),IF(AG27&lt;&gt;"","0 OZ, 0 (0+0)","")))</f>
        <v>1 OZ, 0 (0+0), 0 ±</v>
      </c>
      <c r="AY27" s="132" t="str">
        <f ca="1">IFERROR(CONCATENATE(AI27+VLOOKUP(AG27,OFFSET($S$45,,,COUNTIF($S$45:$S$50,"?*"),14),2,FALSE)," OZ, ",AK27+VLOOKUP(AG27,OFFSET($S$45,,,COUNTIF($S$45:$S$50,"?*"),14),11,FALSE)," A"),IFERROR(CONCATENATE(VLOOKUP(AG27,OFFSET($S$2,,,COUNTIF($S$2:$S$42,"?*"),10),3,FALSE)+AZ27+AI27," OZ, ",VLOOKUP(AG27,OFFSET($S$2,,,COUNTIF($S$2:$S$42,"?*"),10),8,FALSE)+BA27+BB27+AL27," (",VLOOKUP(AG27,OFFSET($S$2,,,COUNTIF($S$2:$S$42,"?*"),10),4,FALSE)+BA27+AJ27,"+",VLOOKUP(AG27,OFFSET($S$2,,,COUNTIF($S$2:$S$42,"?*"),10),7,FALSE)+BB27+AK27,")"),IF(AG27&lt;&gt;"",CONCATENATE(AI27," OZ, ",AL27," (",AJ27,"+",AK27,")"),"")))</f>
        <v>1 OZ, 0 (0+0)</v>
      </c>
      <c r="AZ27" s="132"/>
      <c r="BA27" s="132"/>
      <c r="BB27" s="132"/>
      <c r="BC27" s="132"/>
      <c r="BD27" s="129" t="str">
        <f>IF(AG27&lt;&gt;"",RIGHT(AG27,LEN(AG27)-SEARCH(" ",AG27)),"")</f>
        <v>Švejda</v>
      </c>
      <c r="BE27" s="132">
        <f ca="1">IF(AG27&lt;&gt;"",COUNTIF(OFFSET($BD$2,,,COUNTIF($AG$2:$AG$50,"?*")),BD27),"")</f>
        <v>1</v>
      </c>
      <c r="BF27" s="130" t="str">
        <f>IF(AG27&lt;&gt;"",LEFT(AG27,1),"")</f>
        <v>Š</v>
      </c>
      <c r="BG27" s="129" t="str">
        <f ca="1">IF(AND($AG27&lt;&gt;"",BE27&gt;1),CONCATENATE($BD27," ",LEFT($AG27,MIN(1,SEARCH(" ",$AG27)-1)),IF(SEARCH(" ",$AG27)-1&gt;1,".",""),""),"")</f>
        <v/>
      </c>
      <c r="BH27" s="130">
        <f ca="1">IF(BG27&lt;&gt;"",COUNTIF(OFFSET(BG$2,,,COUNTIF($AG$2:$AG$50,"?*")),BG27),IF($AG27&lt;&gt;"",0,""))</f>
        <v>0</v>
      </c>
      <c r="BI27" s="129" t="str">
        <f ca="1">IF(AND($AG27&lt;&gt;"",BH27&gt;1),CONCATENATE($BD27," ",LEFT($AG27,MIN(2,SEARCH(" ",$AG27)-1)),IF(SEARCH(" ",$AG27)-1&gt;2,".",""),""),"")</f>
        <v/>
      </c>
      <c r="BJ27" s="130">
        <f ca="1">IF(BI27&lt;&gt;"",COUNTIF(OFFSET(BI$2,,,COUNTIF($AG$2:$AG$50,"?*")),BI27),IF($AG27&lt;&gt;"",0,""))</f>
        <v>0</v>
      </c>
      <c r="BK27" s="129" t="str">
        <f ca="1">IF(AND($AG27&lt;&gt;"",BJ27&gt;1),CONCATENATE($BD27," ",LEFT($AG27,MIN(3,SEARCH(" ",$AG27)-1)),IF(SEARCH(" ",$AG27)-1&gt;3,".",""),""),"")</f>
        <v/>
      </c>
      <c r="BL27" s="130">
        <f ca="1">IF(BK27&lt;&gt;"",COUNTIF(OFFSET(BK$2,,,COUNTIF($AG$2:$AG$50,"?*")),BK27),IF($AG27&lt;&gt;"",0,""))</f>
        <v>0</v>
      </c>
      <c r="BM27" s="129" t="str">
        <f ca="1">IF(AND($AG27&lt;&gt;"",BL27&gt;1),CONCATENATE($BD27," ",LEFT($AG27,MIN(4,SEARCH(" ",$AG27)-1)),IF(SEARCH(" ",$AG27)-1&gt;4,".",""),""),"")</f>
        <v/>
      </c>
      <c r="BS27" s="325" t="s">
        <v>39</v>
      </c>
      <c r="BT27" s="332" t="s">
        <v>234</v>
      </c>
      <c r="BU27" s="331">
        <v>2</v>
      </c>
      <c r="BV27" s="3" t="str">
        <f t="shared" si="4"/>
        <v>Vojtěch Klápa</v>
      </c>
      <c r="BW27" s="108">
        <f t="shared" si="5"/>
        <v>2</v>
      </c>
    </row>
    <row r="28" spans="1:75" ht="15" customHeight="1" thickTop="1" thickBot="1" x14ac:dyDescent="0.25">
      <c r="A28" s="294"/>
      <c r="B28" s="295"/>
      <c r="C28" s="295"/>
      <c r="D28" s="295"/>
      <c r="E28" s="1" t="str">
        <f ca="1">IFERROR(IF(VLOOKUP(A28,OFFSET($AG$2,,,COUNTIF($AG$2:$AG$50,"?*"),23),9,FALSE)&lt;&gt;0,VLOOKUP(A28,OFFSET($AG$2,,,COUNTIF($AG$2:$AG$50,"?*"),23),9,FALSE),""),"")</f>
        <v/>
      </c>
      <c r="F28" s="2" t="str">
        <f ca="1">IFERROR(IF(VLOOKUP(A28,OFFSET($AG$2,,,COUNTIF($AG$2:$AG$50,"?*"),23),8,FALSE)&lt;&gt;0,VLOOKUP(A28,OFFSET($AG$2,,,COUNTIF($AG$2:$AG$50,"?*"),23),8,FALSE),"?"),"")</f>
        <v/>
      </c>
      <c r="G28" s="297" t="str">
        <f ca="1">IFERROR(IF(VLOOKUP(G25,OFFSET($AG$2,,,COUNTIF($AG$2:$AG$50,"?*"),23),13,FALSE)&lt;&gt;0,VLOOKUP(G25,OFFSET($AG$2,,,COUNTIF($AG$2:$AG$50,"?*"),23),13,FALSE),"?"),"")</f>
        <v/>
      </c>
      <c r="H28" s="298"/>
      <c r="I28" s="299"/>
      <c r="J28" s="288" t="str">
        <f ca="1">IFERROR(IF(VLOOKUP(G25,OFFSET($AG$2,,,COUNTIF($AG$2:$AG$50,"?*"),23),14,FALSE)&lt;&gt;0,VLOOKUP(G25,OFFSET($AG$2,,,COUNTIF($AG$2:$AG$50,"?*"),23),14,FALSE),"?"),"")</f>
        <v/>
      </c>
      <c r="K28" s="287"/>
      <c r="L28" s="7" t="str">
        <f ca="1">IFERROR(IF(VLOOKUP(G25,OFFSET($AG$2,,,COUNTIF($AG$2:$AG$50,"?*"),23),7,FALSE)&lt;&gt;0,VLOOKUP(G25,OFFSET($AG$2,,,COUNTIF($AG$2:$AG$50,"?*"),23),7,FALSE),"?"),"")</f>
        <v/>
      </c>
      <c r="M28" s="294"/>
      <c r="N28" s="295"/>
      <c r="O28" s="295"/>
      <c r="P28" s="295"/>
      <c r="Q28" s="1" t="str">
        <f ca="1">IFERROR(IF(VLOOKUP(M28,OFFSET($AG$2,,,COUNTIF($AG$2:$AG$50,"?*"),23),9,FALSE)&lt;&gt;0,VLOOKUP(M28,OFFSET($AG$2,,,COUNTIF($AG$2:$AG$50,"?*"),23),9,FALSE),""),"")</f>
        <v/>
      </c>
      <c r="R28" s="2" t="str">
        <f ca="1">IFERROR(IF(VLOOKUP(M28,OFFSET($AG$2,,,COUNTIF($AG$2:$AG$50,"?*"),23),8,FALSE)&lt;&gt;0,VLOOKUP(M28,OFFSET($AG$2,,,COUNTIF($AG$2:$AG$50,"?*"),23),8,FALSE),"?"),"")</f>
        <v/>
      </c>
      <c r="S28" s="354"/>
      <c r="T28" s="330"/>
      <c r="U28" s="330"/>
      <c r="V28" s="330"/>
      <c r="W28" s="330"/>
      <c r="X28" s="330"/>
      <c r="Y28" s="330"/>
      <c r="Z28" s="330"/>
      <c r="AA28" s="330"/>
      <c r="AB28" s="330"/>
      <c r="AG28" s="328" t="s">
        <v>135</v>
      </c>
      <c r="AH28" s="329"/>
      <c r="AI28" s="330"/>
      <c r="AJ28" s="330"/>
      <c r="AK28" s="330"/>
      <c r="AL28" s="330"/>
      <c r="AM28" s="330"/>
      <c r="AN28" s="330"/>
      <c r="AO28" s="331"/>
      <c r="AP28" s="331"/>
      <c r="AQ28" s="330"/>
      <c r="AR28" s="330"/>
      <c r="AS28" s="332"/>
      <c r="AT28" s="330"/>
      <c r="AU28" s="66" t="str">
        <f ca="1">IF(AG28&lt;&gt;"",IF(AH28&lt;&gt;"",INT((TODAY()-AH28)/365),"?"),"")</f>
        <v>?</v>
      </c>
      <c r="AV28" s="66" t="str">
        <f>IF(AG28&lt;&gt;"",CONCATENATE(IF(AQ28&lt;&gt;"",AQ28,"? "),"/",IF(AR28&lt;&gt;"",AR28," ?")),"")</f>
        <v>? / ?</v>
      </c>
      <c r="AW28" s="128" t="str">
        <f ca="1">IF(AG28&lt;&gt;"",IF(BE28=1,BD28,IF(BH28,BG28,IF(BJ28=1,BI28,IF(BL28=1,BK28,BM28)))),"")</f>
        <v>Pergler</v>
      </c>
      <c r="AX28" s="123" t="str">
        <f ca="1">IFERROR(IF(MATCH(AG28,OFFSET($S$45,,,COUNTIF($S$45:$S$50,"?*")),0)&gt;0,CONCATENATE(VLOOKUP(AG28,OFFSET($S$45,,,COUNTIF($S$45:$S$50,"?*"),14),4,FALSE)," V, ",VLOOKUP(AG28,OFFSET($S$45,,,COUNTIF($S$45:$S$50,"?*"),14),9,FALSE)," P"),""),IFERROR(CONCATENATE(VLOOKUP(AG28,OFFSET($S$2,,,COUNTIF($S$2:$S$42,"?*"),10),3,FALSE)+AZ28," OZ, ",VLOOKUP(AG28,OFFSET($S$2,,,COUNTIF($S$2:$S$42,"?*"),10),8,FALSE)+BA28+BB28," (",VLOOKUP(AG28,OFFSET($S$2,,,COUNTIF($S$2:$S$42,"?*"),10),4,FALSE)+BA28,"+",VLOOKUP(AG28,OFFSET($S$2,,,COUNTIF($S$2:$S$42,"?*"),10),7,FALSE)+BB28,"), ",IF(VLOOKUP(AG28,OFFSET($S$2,,,COUNTIF($S$2:$S$42,"?*"),10),10,FALSE)+BC28&gt;0,"+",""),VLOOKUP(AG28,OFFSET($S$2,,,COUNTIF($S$2:$S$42,"?*"),10),10,FALSE)+BC28," ±"),IF(AG28&lt;&gt;"","0 OZ, 0 (0+0)","")))</f>
        <v>1 OZ, 0 (0+0), 0 ±</v>
      </c>
      <c r="AY28" s="123" t="str">
        <f ca="1">IFERROR(CONCATENATE(AI28+VLOOKUP(AG28,OFFSET($S$45,,,COUNTIF($S$45:$S$50,"?*"),14),2,FALSE)," OZ, ",AK28+VLOOKUP(AG28,OFFSET($S$45,,,COUNTIF($S$45:$S$50,"?*"),14),11,FALSE)," A"),IFERROR(CONCATENATE(VLOOKUP(AG28,OFFSET($S$2,,,COUNTIF($S$2:$S$42,"?*"),10),3,FALSE)+AZ28+AI28," OZ, ",VLOOKUP(AG28,OFFSET($S$2,,,COUNTIF($S$2:$S$42,"?*"),10),8,FALSE)+BA28+BB28+AL28," (",VLOOKUP(AG28,OFFSET($S$2,,,COUNTIF($S$2:$S$42,"?*"),10),4,FALSE)+BA28+AJ28,"+",VLOOKUP(AG28,OFFSET($S$2,,,COUNTIF($S$2:$S$42,"?*"),10),7,FALSE)+BB28+AK28,")"),IF(AG28&lt;&gt;"",CONCATENATE(AI28," OZ, ",AL28," (",AJ28,"+",AK28,")"),"")))</f>
        <v>1 OZ, 0 (0+0)</v>
      </c>
      <c r="BD28" s="3" t="str">
        <f>IF(AG28&lt;&gt;"",RIGHT(AG28,LEN(AG28)-SEARCH(" ",AG28)),"")</f>
        <v>Pergler</v>
      </c>
      <c r="BE28" s="123">
        <f ca="1">IF(AG28&lt;&gt;"",COUNTIF(OFFSET($BD$2,,,COUNTIF($AG$2:$AG$50,"?*")),BD28),"")</f>
        <v>1</v>
      </c>
      <c r="BF28" s="66" t="str">
        <f>IF(AG28&lt;&gt;"",LEFT(AG28,1),"")</f>
        <v>I</v>
      </c>
      <c r="BG28" s="3" t="str">
        <f ca="1">IF(AND($AG28&lt;&gt;"",BE28&gt;1),CONCATENATE($BD28," ",LEFT($AG28,MIN(1,SEARCH(" ",$AG28)-1)),IF(SEARCH(" ",$AG28)-1&gt;1,".",""),""),"")</f>
        <v/>
      </c>
      <c r="BH28" s="66">
        <f ca="1">IF(BG28&lt;&gt;"",COUNTIF(OFFSET(BG$2,,,COUNTIF($AG$2:$AG$50,"?*")),BG28),IF($AG28&lt;&gt;"",0,""))</f>
        <v>0</v>
      </c>
      <c r="BI28" s="3" t="str">
        <f ca="1">IF(AND($AG28&lt;&gt;"",BH28&gt;1),CONCATENATE($BD28," ",LEFT($AG28,MIN(2,SEARCH(" ",$AG28)-1)),IF(SEARCH(" ",$AG28)-1&gt;2,".",""),""),"")</f>
        <v/>
      </c>
      <c r="BJ28" s="66">
        <f ca="1">IF(BI28&lt;&gt;"",COUNTIF(OFFSET(BI$2,,,COUNTIF($AG$2:$AG$50,"?*")),BI28),IF($AG28&lt;&gt;"",0,""))</f>
        <v>0</v>
      </c>
      <c r="BK28" s="3" t="str">
        <f ca="1">IF(AND($AG28&lt;&gt;"",BJ28&gt;1),CONCATENATE($BD28," ",LEFT($AG28,MIN(3,SEARCH(" ",$AG28)-1)),IF(SEARCH(" ",$AG28)-1&gt;3,".",""),""),"")</f>
        <v/>
      </c>
      <c r="BL28" s="66">
        <f ca="1">IF(BK28&lt;&gt;"",COUNTIF(OFFSET(BK$2,,,COUNTIF($AG$2:$AG$50,"?*")),BK28),IF($AG28&lt;&gt;"",0,""))</f>
        <v>0</v>
      </c>
      <c r="BM28" s="3" t="str">
        <f ca="1">IF(AND($AG28&lt;&gt;"",BL28&gt;1),CONCATENATE($BD28," ",LEFT($AG28,MIN(4,SEARCH(" ",$AG28)-1)),IF(SEARCH(" ",$AG28)-1&gt;4,".",""),""),"")</f>
        <v/>
      </c>
      <c r="BS28" s="325"/>
      <c r="BT28" s="332" t="s">
        <v>235</v>
      </c>
      <c r="BU28" s="331">
        <v>0</v>
      </c>
      <c r="BV28" s="3" t="str">
        <f t="shared" si="4"/>
        <v>Daniel Cabejšek</v>
      </c>
      <c r="BW28" s="108">
        <f t="shared" si="5"/>
        <v>0</v>
      </c>
    </row>
    <row r="29" spans="1:75" ht="15" customHeight="1" thickBot="1" x14ac:dyDescent="0.25">
      <c r="A29" s="4" t="str">
        <f ca="1">IFERROR(IF(VLOOKUP(A28,OFFSET($AG$2,,,COUNTIF($AG$2:$AG$50,"?*"),23),10,FALSE)&lt;&gt;0,VLOOKUP(A28,OFFSET($AG$2,,,COUNTIF($AG$2:$AG$50,"?*"),23),10,FALSE),"?"),"")</f>
        <v/>
      </c>
      <c r="B29" s="252" t="str">
        <f ca="1">IFERROR(IF(VLOOKUP(A28,OFFSET($AG$2,,,COUNTIF($AG$2:$AG$50,"?*"),23),2,FALSE)&lt;&gt;0,YEAR(VLOOKUP(A28,OFFSET($AG$2,,,COUNTIF($AG$2:$AG$50,"?*"),23),2,FALSE)),"?"),"")</f>
        <v/>
      </c>
      <c r="C29" s="261"/>
      <c r="D29" s="5" t="str">
        <f ca="1">IFERROR(VLOOKUP(A28,OFFSET($AG$2,,,COUNTIF($AG$2:$AG$50,"?*"),23),15,FALSE),"")</f>
        <v/>
      </c>
      <c r="E29" s="251" t="str">
        <f ca="1">IFERROR(VLOOKUP(A28,OFFSET($AG$2,,,COUNTIF($AG$2:$AG$50,"?*"),23),16,FALSE),"")</f>
        <v/>
      </c>
      <c r="F29" s="253"/>
      <c r="M29" s="4" t="str">
        <f ca="1">IFERROR(IF(VLOOKUP(M28,OFFSET($AG$2,,,COUNTIF($AG$2:$AG$50,"?*"),23),10,FALSE)&lt;&gt;0,VLOOKUP(M28,OFFSET($AG$2,,,COUNTIF($AG$2:$AG$50,"?*"),23),10,FALSE),"?"),"")</f>
        <v/>
      </c>
      <c r="N29" s="252" t="str">
        <f ca="1">IFERROR(IF(VLOOKUP(M28,OFFSET($AG$2,,,COUNTIF($AG$2:$AG$50,"?*"),23),2,FALSE)&lt;&gt;0,YEAR(VLOOKUP(M28,OFFSET($AG$2,,,COUNTIF($AG$2:$AG$50,"?*"),23),2,FALSE)),"?"),"")</f>
        <v/>
      </c>
      <c r="O29" s="261"/>
      <c r="P29" s="6" t="str">
        <f ca="1">IFERROR(VLOOKUP(M28,OFFSET($AG$2,,,COUNTIF($AG$2:$AG$50,"?*"),23),15,FALSE),"")</f>
        <v/>
      </c>
      <c r="Q29" s="251" t="str">
        <f ca="1">IFERROR(VLOOKUP(M28,OFFSET($AG$2,,,COUNTIF($AG$2:$AG$50,"?*"),23),16,FALSE),"")</f>
        <v/>
      </c>
      <c r="R29" s="253"/>
      <c r="S29" s="354"/>
      <c r="T29" s="330"/>
      <c r="U29" s="330"/>
      <c r="V29" s="330"/>
      <c r="W29" s="330"/>
      <c r="X29" s="330"/>
      <c r="Y29" s="330"/>
      <c r="Z29" s="330"/>
      <c r="AA29" s="330"/>
      <c r="AB29" s="330"/>
      <c r="AG29" s="333" t="s">
        <v>136</v>
      </c>
      <c r="AH29" s="334"/>
      <c r="AI29" s="335"/>
      <c r="AJ29" s="335"/>
      <c r="AK29" s="335"/>
      <c r="AL29" s="335"/>
      <c r="AM29" s="335"/>
      <c r="AN29" s="335"/>
      <c r="AO29" s="336"/>
      <c r="AP29" s="336"/>
      <c r="AQ29" s="335"/>
      <c r="AR29" s="335"/>
      <c r="AS29" s="337"/>
      <c r="AT29" s="335"/>
      <c r="AU29" s="130" t="str">
        <f ca="1">IF(AG29&lt;&gt;"",IF(AH29&lt;&gt;"",INT((TODAY()-AH29)/365),"?"),"")</f>
        <v>?</v>
      </c>
      <c r="AV29" s="130" t="str">
        <f>IF(AG29&lt;&gt;"",CONCATENATE(IF(AQ29&lt;&gt;"",AQ29,"? "),"/",IF(AR29&lt;&gt;"",AR29," ?")),"")</f>
        <v>? / ?</v>
      </c>
      <c r="AW29" s="131" t="str">
        <f ca="1">IF(AG29&lt;&gt;"",IF(BE29=1,BD29,IF(BH29,BG29,IF(BJ29=1,BI29,IF(BL29=1,BK29,BM29)))),"")</f>
        <v>Máca</v>
      </c>
      <c r="AX29" s="132" t="str">
        <f ca="1">IFERROR(IF(MATCH(AG29,OFFSET($S$45,,,COUNTIF($S$45:$S$50,"?*")),0)&gt;0,CONCATENATE(VLOOKUP(AG29,OFFSET($S$45,,,COUNTIF($S$45:$S$50,"?*"),14),4,FALSE)," V, ",VLOOKUP(AG29,OFFSET($S$45,,,COUNTIF($S$45:$S$50,"?*"),14),9,FALSE)," P"),""),IFERROR(CONCATENATE(VLOOKUP(AG29,OFFSET($S$2,,,COUNTIF($S$2:$S$42,"?*"),10),3,FALSE)+AZ29," OZ, ",VLOOKUP(AG29,OFFSET($S$2,,,COUNTIF($S$2:$S$42,"?*"),10),8,FALSE)+BA29+BB29," (",VLOOKUP(AG29,OFFSET($S$2,,,COUNTIF($S$2:$S$42,"?*"),10),4,FALSE)+BA29,"+",VLOOKUP(AG29,OFFSET($S$2,,,COUNTIF($S$2:$S$42,"?*"),10),7,FALSE)+BB29,"), ",IF(VLOOKUP(AG29,OFFSET($S$2,,,COUNTIF($S$2:$S$42,"?*"),10),10,FALSE)+BC29&gt;0,"+",""),VLOOKUP(AG29,OFFSET($S$2,,,COUNTIF($S$2:$S$42,"?*"),10),10,FALSE)+BC29," ±"),IF(AG29&lt;&gt;"","0 OZ, 0 (0+0)","")))</f>
        <v>1 OZ, 0 (0+0), 0 ±</v>
      </c>
      <c r="AY29" s="132" t="str">
        <f ca="1">IFERROR(CONCATENATE(AI29+VLOOKUP(AG29,OFFSET($S$45,,,COUNTIF($S$45:$S$50,"?*"),14),2,FALSE)," OZ, ",AK29+VLOOKUP(AG29,OFFSET($S$45,,,COUNTIF($S$45:$S$50,"?*"),14),11,FALSE)," A"),IFERROR(CONCATENATE(VLOOKUP(AG29,OFFSET($S$2,,,COUNTIF($S$2:$S$42,"?*"),10),3,FALSE)+AZ29+AI29," OZ, ",VLOOKUP(AG29,OFFSET($S$2,,,COUNTIF($S$2:$S$42,"?*"),10),8,FALSE)+BA29+BB29+AL29," (",VLOOKUP(AG29,OFFSET($S$2,,,COUNTIF($S$2:$S$42,"?*"),10),4,FALSE)+BA29+AJ29,"+",VLOOKUP(AG29,OFFSET($S$2,,,COUNTIF($S$2:$S$42,"?*"),10),7,FALSE)+BB29+AK29,")"),IF(AG29&lt;&gt;"",CONCATENATE(AI29," OZ, ",AL29," (",AJ29,"+",AK29,")"),"")))</f>
        <v>1 OZ, 0 (0+0)</v>
      </c>
      <c r="AZ29" s="132"/>
      <c r="BA29" s="132"/>
      <c r="BB29" s="132"/>
      <c r="BC29" s="132"/>
      <c r="BD29" s="129" t="str">
        <f>IF(AG29&lt;&gt;"",RIGHT(AG29,LEN(AG29)-SEARCH(" ",AG29)),"")</f>
        <v>Máca</v>
      </c>
      <c r="BE29" s="132">
        <f ca="1">IF(AG29&lt;&gt;"",COUNTIF(OFFSET($BD$2,,,COUNTIF($AG$2:$AG$50,"?*")),BD29),"")</f>
        <v>1</v>
      </c>
      <c r="BF29" s="130" t="str">
        <f>IF(AG29&lt;&gt;"",LEFT(AG29,1),"")</f>
        <v>V</v>
      </c>
      <c r="BG29" s="129" t="str">
        <f ca="1">IF(AND($AG29&lt;&gt;"",BE29&gt;1),CONCATENATE($BD29," ",LEFT($AG29,MIN(1,SEARCH(" ",$AG29)-1)),IF(SEARCH(" ",$AG29)-1&gt;1,".",""),""),"")</f>
        <v/>
      </c>
      <c r="BH29" s="130">
        <f ca="1">IF(BG29&lt;&gt;"",COUNTIF(OFFSET(BG$2,,,COUNTIF($AG$2:$AG$50,"?*")),BG29),IF($AG29&lt;&gt;"",0,""))</f>
        <v>0</v>
      </c>
      <c r="BI29" s="129" t="str">
        <f ca="1">IF(AND($AG29&lt;&gt;"",BH29&gt;1),CONCATENATE($BD29," ",LEFT($AG29,MIN(2,SEARCH(" ",$AG29)-1)),IF(SEARCH(" ",$AG29)-1&gt;2,".",""),""),"")</f>
        <v/>
      </c>
      <c r="BJ29" s="130">
        <f ca="1">IF(BI29&lt;&gt;"",COUNTIF(OFFSET(BI$2,,,COUNTIF($AG$2:$AG$50,"?*")),BI29),IF($AG29&lt;&gt;"",0,""))</f>
        <v>0</v>
      </c>
      <c r="BK29" s="129" t="str">
        <f ca="1">IF(AND($AG29&lt;&gt;"",BJ29&gt;1),CONCATENATE($BD29," ",LEFT($AG29,MIN(3,SEARCH(" ",$AG29)-1)),IF(SEARCH(" ",$AG29)-1&gt;3,".",""),""),"")</f>
        <v/>
      </c>
      <c r="BL29" s="130">
        <f ca="1">IF(BK29&lt;&gt;"",COUNTIF(OFFSET(BK$2,,,COUNTIF($AG$2:$AG$50,"?*")),BK29),IF($AG29&lt;&gt;"",0,""))</f>
        <v>0</v>
      </c>
      <c r="BM29" s="129" t="str">
        <f ca="1">IF(AND($AG29&lt;&gt;"",BL29&gt;1),CONCATENATE($BD29," ",LEFT($AG29,MIN(4,SEARCH(" ",$AG29)-1)),IF(SEARCH(" ",$AG29)-1&gt;4,".",""),""),"")</f>
        <v/>
      </c>
      <c r="BS29" s="325"/>
      <c r="BT29" s="332" t="s">
        <v>231</v>
      </c>
      <c r="BU29" s="331">
        <v>0</v>
      </c>
      <c r="BV29" s="3" t="str">
        <f t="shared" si="4"/>
        <v>David Ježek</v>
      </c>
      <c r="BW29" s="108">
        <f t="shared" si="5"/>
        <v>0</v>
      </c>
    </row>
    <row r="30" spans="1:75" ht="15" customHeight="1" x14ac:dyDescent="0.2">
      <c r="A30" s="290" t="str">
        <f ca="1">IFERROR(VLOOKUP(A28,OFFSET($AG$2,,,COUNTIF($AG$2:$AG$50,"?*"),23),18,FALSE),"")</f>
        <v/>
      </c>
      <c r="B30" s="291"/>
      <c r="C30" s="291"/>
      <c r="D30" s="292" t="str">
        <f ca="1">IFERROR(VLOOKUP(A28,OFFSET($AG$2,,,COUNTIF($AG$2:$AG$50,"?*"),23),19,FALSE),"")</f>
        <v/>
      </c>
      <c r="E30" s="292"/>
      <c r="F30" s="293"/>
      <c r="H30" s="300" t="str">
        <f>H$8</f>
        <v>SKV</v>
      </c>
      <c r="I30" s="300"/>
      <c r="J30" s="300"/>
      <c r="K30" s="300"/>
      <c r="M30" s="290" t="str">
        <f ca="1">IFERROR(VLOOKUP(M28,OFFSET($AG$2,,,COUNTIF($AG$2:$AG$50,"?*"),23),18,FALSE),"")</f>
        <v/>
      </c>
      <c r="N30" s="291"/>
      <c r="O30" s="291"/>
      <c r="P30" s="292" t="str">
        <f ca="1">IFERROR(VLOOKUP(M28,OFFSET($AG$2,,,COUNTIF($AG$2:$AG$50,"?*"),23),19,FALSE),"")</f>
        <v/>
      </c>
      <c r="Q30" s="292"/>
      <c r="R30" s="293"/>
      <c r="S30" s="354"/>
      <c r="T30" s="330"/>
      <c r="U30" s="330"/>
      <c r="V30" s="330"/>
      <c r="W30" s="330"/>
      <c r="X30" s="330"/>
      <c r="Y30" s="330"/>
      <c r="Z30" s="330"/>
      <c r="AA30" s="330"/>
      <c r="AB30" s="330"/>
      <c r="AG30" s="328" t="s">
        <v>137</v>
      </c>
      <c r="AH30" s="329"/>
      <c r="AI30" s="330"/>
      <c r="AJ30" s="330"/>
      <c r="AK30" s="330"/>
      <c r="AL30" s="330"/>
      <c r="AM30" s="330"/>
      <c r="AN30" s="330"/>
      <c r="AO30" s="331"/>
      <c r="AP30" s="331"/>
      <c r="AQ30" s="330"/>
      <c r="AR30" s="330"/>
      <c r="AS30" s="332"/>
      <c r="AT30" s="330"/>
      <c r="AU30" s="66" t="str">
        <f ca="1">IF(AG30&lt;&gt;"",IF(AH30&lt;&gt;"",INT((TODAY()-AH30)/365),"?"),"")</f>
        <v>?</v>
      </c>
      <c r="AV30" s="66" t="str">
        <f>IF(AG30&lt;&gt;"",CONCATENATE(IF(AQ30&lt;&gt;"",AQ30,"? "),"/",IF(AR30&lt;&gt;"",AR30," ?")),"")</f>
        <v>? / ?</v>
      </c>
      <c r="AW30" s="128" t="str">
        <f ca="1">IF(AG30&lt;&gt;"",IF(BE30=1,BD30,IF(BH30,BG30,IF(BJ30=1,BI30,IF(BL30=1,BK30,BM30)))),"")</f>
        <v>Musil</v>
      </c>
      <c r="AX30" s="123" t="str">
        <f ca="1">IFERROR(IF(MATCH(AG30,OFFSET($S$45,,,COUNTIF($S$45:$S$50,"?*")),0)&gt;0,CONCATENATE(VLOOKUP(AG30,OFFSET($S$45,,,COUNTIF($S$45:$S$50,"?*"),14),4,FALSE)," V, ",VLOOKUP(AG30,OFFSET($S$45,,,COUNTIF($S$45:$S$50,"?*"),14),9,FALSE)," P"),""),IFERROR(CONCATENATE(VLOOKUP(AG30,OFFSET($S$2,,,COUNTIF($S$2:$S$42,"?*"),10),3,FALSE)+AZ30," OZ, ",VLOOKUP(AG30,OFFSET($S$2,,,COUNTIF($S$2:$S$42,"?*"),10),8,FALSE)+BA30+BB30," (",VLOOKUP(AG30,OFFSET($S$2,,,COUNTIF($S$2:$S$42,"?*"),10),4,FALSE)+BA30,"+",VLOOKUP(AG30,OFFSET($S$2,,,COUNTIF($S$2:$S$42,"?*"),10),7,FALSE)+BB30,"), ",IF(VLOOKUP(AG30,OFFSET($S$2,,,COUNTIF($S$2:$S$42,"?*"),10),10,FALSE)+BC30&gt;0,"+",""),VLOOKUP(AG30,OFFSET($S$2,,,COUNTIF($S$2:$S$42,"?*"),10),10,FALSE)+BC30," ±"),IF(AG30&lt;&gt;"","0 OZ, 0 (0+0)","")))</f>
        <v>0 V, 1 P</v>
      </c>
      <c r="AY30" s="123" t="str">
        <f ca="1">IFERROR(CONCATENATE(AI30+VLOOKUP(AG30,OFFSET($S$45,,,COUNTIF($S$45:$S$50,"?*"),14),2,FALSE)," OZ, ",AK30+VLOOKUP(AG30,OFFSET($S$45,,,COUNTIF($S$45:$S$50,"?*"),14),11,FALSE)," A"),IFERROR(CONCATENATE(VLOOKUP(AG30,OFFSET($S$2,,,COUNTIF($S$2:$S$42,"?*"),10),3,FALSE)+AZ30+AI30," OZ, ",VLOOKUP(AG30,OFFSET($S$2,,,COUNTIF($S$2:$S$42,"?*"),10),8,FALSE)+BA30+BB30+AL30," (",VLOOKUP(AG30,OFFSET($S$2,,,COUNTIF($S$2:$S$42,"?*"),10),4,FALSE)+BA30+AJ30,"+",VLOOKUP(AG30,OFFSET($S$2,,,COUNTIF($S$2:$S$42,"?*"),10),7,FALSE)+BB30+AK30,")"),IF(AG30&lt;&gt;"",CONCATENATE(AI30," OZ, ",AL30," (",AJ30,"+",AK30,")"),"")))</f>
        <v>1 OZ, 0 A</v>
      </c>
      <c r="BD30" s="3" t="str">
        <f>IF(AG30&lt;&gt;"",RIGHT(AG30,LEN(AG30)-SEARCH(" ",AG30)),"")</f>
        <v>Musil</v>
      </c>
      <c r="BE30" s="123">
        <f ca="1">IF(AG30&lt;&gt;"",COUNTIF(OFFSET($BD$2,,,COUNTIF($AG$2:$AG$50,"?*")),BD30),"")</f>
        <v>1</v>
      </c>
      <c r="BF30" s="66" t="str">
        <f>IF(AG30&lt;&gt;"",LEFT(AG30,1),"")</f>
        <v>P</v>
      </c>
      <c r="BG30" s="3" t="str">
        <f ca="1">IF(AND($AG30&lt;&gt;"",BE30&gt;1),CONCATENATE($BD30," ",LEFT($AG30,MIN(1,SEARCH(" ",$AG30)-1)),IF(SEARCH(" ",$AG30)-1&gt;1,".",""),""),"")</f>
        <v/>
      </c>
      <c r="BH30" s="66">
        <f ca="1">IF(BG30&lt;&gt;"",COUNTIF(OFFSET(BG$2,,,COUNTIF($AG$2:$AG$50,"?*")),BG30),IF($AG30&lt;&gt;"",0,""))</f>
        <v>0</v>
      </c>
      <c r="BI30" s="3" t="str">
        <f ca="1">IF(AND($AG30&lt;&gt;"",BH30&gt;1),CONCATENATE($BD30," ",LEFT($AG30,MIN(2,SEARCH(" ",$AG30)-1)),IF(SEARCH(" ",$AG30)-1&gt;2,".",""),""),"")</f>
        <v/>
      </c>
      <c r="BJ30" s="66">
        <f ca="1">IF(BI30&lt;&gt;"",COUNTIF(OFFSET(BI$2,,,COUNTIF($AG$2:$AG$50,"?*")),BI30),IF($AG30&lt;&gt;"",0,""))</f>
        <v>0</v>
      </c>
      <c r="BK30" s="3" t="str">
        <f ca="1">IF(AND($AG30&lt;&gt;"",BJ30&gt;1),CONCATENATE($BD30," ",LEFT($AG30,MIN(3,SEARCH(" ",$AG30)-1)),IF(SEARCH(" ",$AG30)-1&gt;3,".",""),""),"")</f>
        <v/>
      </c>
      <c r="BL30" s="66">
        <f ca="1">IF(BK30&lt;&gt;"",COUNTIF(OFFSET(BK$2,,,COUNTIF($AG$2:$AG$50,"?*")),BK30),IF($AG30&lt;&gt;"",0,""))</f>
        <v>0</v>
      </c>
      <c r="BM30" s="3" t="str">
        <f ca="1">IF(AND($AG30&lt;&gt;"",BL30&gt;1),CONCATENATE($BD30," ",LEFT($AG30,MIN(4,SEARCH(" ",$AG30)-1)),IF(SEARCH(" ",$AG30)-1&gt;4,".",""),""),"")</f>
        <v/>
      </c>
      <c r="BS30" s="325"/>
      <c r="BT30" s="332" t="s">
        <v>232</v>
      </c>
      <c r="BU30" s="331">
        <v>0</v>
      </c>
      <c r="BV30" s="3" t="str">
        <f t="shared" si="4"/>
        <v>Ivan Pergler</v>
      </c>
      <c r="BW30" s="108">
        <f t="shared" si="5"/>
        <v>0</v>
      </c>
    </row>
    <row r="31" spans="1:75" ht="15" customHeight="1" thickBot="1" x14ac:dyDescent="0.25">
      <c r="A31" s="297" t="str">
        <f ca="1">IFERROR(IF(VLOOKUP(A28,OFFSET($AG$2,,,COUNTIF($AG$2:$AG$50,"?*"),23),13,FALSE)&lt;&gt;0,VLOOKUP(A28,OFFSET($AG$2,,,COUNTIF($AG$2:$AG$50,"?*"),23),13,FALSE),"?"),"")</f>
        <v/>
      </c>
      <c r="B31" s="298"/>
      <c r="C31" s="299"/>
      <c r="D31" s="288" t="str">
        <f ca="1">IFERROR(IF(VLOOKUP(A28,OFFSET($AG$2,,,COUNTIF($AG$2:$AG$50,"?*"),23),14,FALSE)&lt;&gt;0,VLOOKUP(A28,OFFSET($AG$2,,,COUNTIF($AG$2:$AG$50,"?*"),23),14,FALSE),"?"),"")</f>
        <v/>
      </c>
      <c r="E31" s="287"/>
      <c r="F31" s="7" t="str">
        <f ca="1">IFERROR(IF(VLOOKUP(A28,OFFSET($AG$2,,,COUNTIF($AG$2:$AG$50,"?*"),23),7,FALSE)&lt;&gt;0,VLOOKUP(A28,OFFSET($AG$2,,,COUNTIF($AG$2:$AG$50,"?*"),23),7,FALSE),"?"),"")</f>
        <v/>
      </c>
      <c r="H31" s="300"/>
      <c r="I31" s="300"/>
      <c r="J31" s="300"/>
      <c r="K31" s="300"/>
      <c r="M31" s="297" t="str">
        <f ca="1">IFERROR(IF(VLOOKUP(M28,OFFSET($AG$2,,,COUNTIF($AG$2:$AG$50,"?*"),23),13,FALSE)&lt;&gt;0,VLOOKUP(M28,OFFSET($AG$2,,,COUNTIF($AG$2:$AG$50,"?*"),23),13,FALSE),"?"),"")</f>
        <v/>
      </c>
      <c r="N31" s="298"/>
      <c r="O31" s="299"/>
      <c r="P31" s="288" t="str">
        <f ca="1">IFERROR(IF(VLOOKUP(M28,OFFSET($AG$2,,,COUNTIF($AG$2:$AG$50,"?*"),23),14,FALSE)&lt;&gt;0,VLOOKUP(M28,OFFSET($AG$2,,,COUNTIF($AG$2:$AG$50,"?*"),23),14,FALSE),"?"),"")</f>
        <v/>
      </c>
      <c r="Q31" s="287"/>
      <c r="R31" s="7" t="str">
        <f ca="1">IFERROR(IF(VLOOKUP(M28,OFFSET($AG$2,,,COUNTIF($AG$2:$AG$50,"?*"),23),7,FALSE)&lt;&gt;0,VLOOKUP(M28,OFFSET($AG$2,,,COUNTIF($AG$2:$AG$50,"?*"),23),7,FALSE),"?"),"")</f>
        <v/>
      </c>
      <c r="S31" s="354"/>
      <c r="T31" s="330"/>
      <c r="U31" s="330"/>
      <c r="V31" s="330"/>
      <c r="W31" s="330"/>
      <c r="X31" s="330"/>
      <c r="Y31" s="330"/>
      <c r="Z31" s="330"/>
      <c r="AA31" s="330"/>
      <c r="AB31" s="330"/>
      <c r="AG31" s="333" t="s">
        <v>138</v>
      </c>
      <c r="AH31" s="334"/>
      <c r="AI31" s="335"/>
      <c r="AJ31" s="335"/>
      <c r="AK31" s="335"/>
      <c r="AL31" s="335"/>
      <c r="AM31" s="335"/>
      <c r="AN31" s="335"/>
      <c r="AO31" s="336"/>
      <c r="AP31" s="336"/>
      <c r="AQ31" s="335"/>
      <c r="AR31" s="335"/>
      <c r="AS31" s="337"/>
      <c r="AT31" s="335"/>
      <c r="AU31" s="130" t="str">
        <f ca="1">IF(AG31&lt;&gt;"",IF(AH31&lt;&gt;"",INT((TODAY()-AH31)/365),"?"),"")</f>
        <v>?</v>
      </c>
      <c r="AV31" s="130" t="str">
        <f>IF(AG31&lt;&gt;"",CONCATENATE(IF(AQ31&lt;&gt;"",AQ31,"? "),"/",IF(AR31&lt;&gt;"",AR31," ?")),"")</f>
        <v>? / ?</v>
      </c>
      <c r="AW31" s="131" t="str">
        <f ca="1">IF(AG31&lt;&gt;"",IF(BE31=1,BD31,IF(BH31,BG31,IF(BJ31=1,BI31,IF(BL31=1,BK31,BM31)))),"")</f>
        <v>Ježek</v>
      </c>
      <c r="AX31" s="132" t="str">
        <f ca="1">IFERROR(IF(MATCH(AG31,OFFSET($S$45,,,COUNTIF($S$45:$S$50,"?*")),0)&gt;0,CONCATENATE(VLOOKUP(AG31,OFFSET($S$45,,,COUNTIF($S$45:$S$50,"?*"),14),4,FALSE)," V, ",VLOOKUP(AG31,OFFSET($S$45,,,COUNTIF($S$45:$S$50,"?*"),14),9,FALSE)," P"),""),IFERROR(CONCATENATE(VLOOKUP(AG31,OFFSET($S$2,,,COUNTIF($S$2:$S$42,"?*"),10),3,FALSE)+AZ31," OZ, ",VLOOKUP(AG31,OFFSET($S$2,,,COUNTIF($S$2:$S$42,"?*"),10),8,FALSE)+BA31+BB31," (",VLOOKUP(AG31,OFFSET($S$2,,,COUNTIF($S$2:$S$42,"?*"),10),4,FALSE)+BA31,"+",VLOOKUP(AG31,OFFSET($S$2,,,COUNTIF($S$2:$S$42,"?*"),10),7,FALSE)+BB31,"), ",IF(VLOOKUP(AG31,OFFSET($S$2,,,COUNTIF($S$2:$S$42,"?*"),10),10,FALSE)+BC31&gt;0,"+",""),VLOOKUP(AG31,OFFSET($S$2,,,COUNTIF($S$2:$S$42,"?*"),10),10,FALSE)+BC31," ±"),IF(AG31&lt;&gt;"","0 OZ, 0 (0+0)","")))</f>
        <v>1 OZ, 0 (0+0), 0 ±</v>
      </c>
      <c r="AY31" s="132" t="str">
        <f ca="1">IFERROR(CONCATENATE(AI31+VLOOKUP(AG31,OFFSET($S$45,,,COUNTIF($S$45:$S$50,"?*"),14),2,FALSE)," OZ, ",AK31+VLOOKUP(AG31,OFFSET($S$45,,,COUNTIF($S$45:$S$50,"?*"),14),11,FALSE)," A"),IFERROR(CONCATENATE(VLOOKUP(AG31,OFFSET($S$2,,,COUNTIF($S$2:$S$42,"?*"),10),3,FALSE)+AZ31+AI31," OZ, ",VLOOKUP(AG31,OFFSET($S$2,,,COUNTIF($S$2:$S$42,"?*"),10),8,FALSE)+BA31+BB31+AL31," (",VLOOKUP(AG31,OFFSET($S$2,,,COUNTIF($S$2:$S$42,"?*"),10),4,FALSE)+BA31+AJ31,"+",VLOOKUP(AG31,OFFSET($S$2,,,COUNTIF($S$2:$S$42,"?*"),10),7,FALSE)+BB31+AK31,")"),IF(AG31&lt;&gt;"",CONCATENATE(AI31," OZ, ",AL31," (",AJ31,"+",AK31,")"),"")))</f>
        <v>1 OZ, 0 (0+0)</v>
      </c>
      <c r="AZ31" s="132"/>
      <c r="BA31" s="132"/>
      <c r="BB31" s="132"/>
      <c r="BC31" s="132"/>
      <c r="BD31" s="129" t="str">
        <f>IF(AG31&lt;&gt;"",RIGHT(AG31,LEN(AG31)-SEARCH(" ",AG31)),"")</f>
        <v>Ježek</v>
      </c>
      <c r="BE31" s="132">
        <f ca="1">IF(AG31&lt;&gt;"",COUNTIF(OFFSET($BD$2,,,COUNTIF($AG$2:$AG$50,"?*")),BD31),"")</f>
        <v>1</v>
      </c>
      <c r="BF31" s="130" t="str">
        <f>IF(AG31&lt;&gt;"",LEFT(AG31,1),"")</f>
        <v>D</v>
      </c>
      <c r="BG31" s="129" t="str">
        <f ca="1">IF(AND($AG31&lt;&gt;"",BE31&gt;1),CONCATENATE($BD31," ",LEFT($AG31,MIN(1,SEARCH(" ",$AG31)-1)),IF(SEARCH(" ",$AG31)-1&gt;1,".",""),""),"")</f>
        <v/>
      </c>
      <c r="BH31" s="130">
        <f ca="1">IF(BG31&lt;&gt;"",COUNTIF(OFFSET(BG$2,,,COUNTIF($AG$2:$AG$50,"?*")),BG31),IF($AG31&lt;&gt;"",0,""))</f>
        <v>0</v>
      </c>
      <c r="BI31" s="129" t="str">
        <f ca="1">IF(AND($AG31&lt;&gt;"",BH31&gt;1),CONCATENATE($BD31," ",LEFT($AG31,MIN(2,SEARCH(" ",$AG31)-1)),IF(SEARCH(" ",$AG31)-1&gt;2,".",""),""),"")</f>
        <v/>
      </c>
      <c r="BJ31" s="130">
        <f ca="1">IF(BI31&lt;&gt;"",COUNTIF(OFFSET(BI$2,,,COUNTIF($AG$2:$AG$50,"?*")),BI31),IF($AG31&lt;&gt;"",0,""))</f>
        <v>0</v>
      </c>
      <c r="BK31" s="129" t="str">
        <f ca="1">IF(AND($AG31&lt;&gt;"",BJ31&gt;1),CONCATENATE($BD31," ",LEFT($AG31,MIN(3,SEARCH(" ",$AG31)-1)),IF(SEARCH(" ",$AG31)-1&gt;3,".",""),""),"")</f>
        <v/>
      </c>
      <c r="BL31" s="130">
        <f ca="1">IF(BK31&lt;&gt;"",COUNTIF(OFFSET(BK$2,,,COUNTIF($AG$2:$AG$50,"?*")),BK31),IF($AG31&lt;&gt;"",0,""))</f>
        <v>0</v>
      </c>
      <c r="BM31" s="129" t="str">
        <f ca="1">IF(AND($AG31&lt;&gt;"",BL31&gt;1),CONCATENATE($BD31," ",LEFT($AG31,MIN(4,SEARCH(" ",$AG31)-1)),IF(SEARCH(" ",$AG31)-1&gt;4,".",""),""),"")</f>
        <v/>
      </c>
      <c r="BS31" s="325"/>
      <c r="BT31" s="332" t="s">
        <v>233</v>
      </c>
      <c r="BU31" s="331">
        <v>0</v>
      </c>
      <c r="BV31" s="3" t="str">
        <f t="shared" si="4"/>
        <v>Jan Fiala</v>
      </c>
      <c r="BW31" s="108">
        <f t="shared" si="5"/>
        <v>0</v>
      </c>
    </row>
    <row r="32" spans="1:75" ht="15" customHeight="1" thickTop="1" thickBot="1" x14ac:dyDescent="0.25">
      <c r="S32" s="354"/>
      <c r="T32" s="330"/>
      <c r="U32" s="330"/>
      <c r="V32" s="330"/>
      <c r="W32" s="330"/>
      <c r="X32" s="330"/>
      <c r="Y32" s="330"/>
      <c r="Z32" s="330"/>
      <c r="AA32" s="330"/>
      <c r="AB32" s="330"/>
      <c r="AG32" s="328" t="s">
        <v>139</v>
      </c>
      <c r="AH32" s="329"/>
      <c r="AI32" s="330"/>
      <c r="AJ32" s="330"/>
      <c r="AK32" s="330"/>
      <c r="AL32" s="330"/>
      <c r="AM32" s="330"/>
      <c r="AN32" s="330"/>
      <c r="AO32" s="331"/>
      <c r="AP32" s="331"/>
      <c r="AQ32" s="330"/>
      <c r="AR32" s="330"/>
      <c r="AS32" s="332"/>
      <c r="AT32" s="330"/>
      <c r="AU32" s="66" t="str">
        <f ca="1">IF(AG32&lt;&gt;"",IF(AH32&lt;&gt;"",INT((TODAY()-AH32)/365),"?"),"")</f>
        <v>?</v>
      </c>
      <c r="AV32" s="66" t="str">
        <f>IF(AG32&lt;&gt;"",CONCATENATE(IF(AQ32&lt;&gt;"",AQ32,"? "),"/",IF(AR32&lt;&gt;"",AR32," ?")),"")</f>
        <v>? / ?</v>
      </c>
      <c r="AW32" s="128" t="str">
        <f ca="1">IF(AG32&lt;&gt;"",IF(BE32=1,BD32,IF(BH32,BG32,IF(BJ32=1,BI32,IF(BL32=1,BK32,BM32)))),"")</f>
        <v>Horák</v>
      </c>
      <c r="AX32" s="123" t="str">
        <f ca="1">IFERROR(IF(MATCH(AG32,OFFSET($S$45,,,COUNTIF($S$45:$S$50,"?*")),0)&gt;0,CONCATENATE(VLOOKUP(AG32,OFFSET($S$45,,,COUNTIF($S$45:$S$50,"?*"),14),4,FALSE)," V, ",VLOOKUP(AG32,OFFSET($S$45,,,COUNTIF($S$45:$S$50,"?*"),14),9,FALSE)," P"),""),IFERROR(CONCATENATE(VLOOKUP(AG32,OFFSET($S$2,,,COUNTIF($S$2:$S$42,"?*"),10),3,FALSE)+AZ32," OZ, ",VLOOKUP(AG32,OFFSET($S$2,,,COUNTIF($S$2:$S$42,"?*"),10),8,FALSE)+BA32+BB32," (",VLOOKUP(AG32,OFFSET($S$2,,,COUNTIF($S$2:$S$42,"?*"),10),4,FALSE)+BA32,"+",VLOOKUP(AG32,OFFSET($S$2,,,COUNTIF($S$2:$S$42,"?*"),10),7,FALSE)+BB32,"), ",IF(VLOOKUP(AG32,OFFSET($S$2,,,COUNTIF($S$2:$S$42,"?*"),10),10,FALSE)+BC32&gt;0,"+",""),VLOOKUP(AG32,OFFSET($S$2,,,COUNTIF($S$2:$S$42,"?*"),10),10,FALSE)+BC32," ±"),IF(AG32&lt;&gt;"","0 OZ, 0 (0+0)","")))</f>
        <v>1 OZ, 0 (0+0), 0 ±</v>
      </c>
      <c r="AY32" s="123" t="str">
        <f ca="1">IFERROR(CONCATENATE(AI32+VLOOKUP(AG32,OFFSET($S$45,,,COUNTIF($S$45:$S$50,"?*"),14),2,FALSE)," OZ, ",AK32+VLOOKUP(AG32,OFFSET($S$45,,,COUNTIF($S$45:$S$50,"?*"),14),11,FALSE)," A"),IFERROR(CONCATENATE(VLOOKUP(AG32,OFFSET($S$2,,,COUNTIF($S$2:$S$42,"?*"),10),3,FALSE)+AZ32+AI32," OZ, ",VLOOKUP(AG32,OFFSET($S$2,,,COUNTIF($S$2:$S$42,"?*"),10),8,FALSE)+BA32+BB32+AL32," (",VLOOKUP(AG32,OFFSET($S$2,,,COUNTIF($S$2:$S$42,"?*"),10),4,FALSE)+BA32+AJ32,"+",VLOOKUP(AG32,OFFSET($S$2,,,COUNTIF($S$2:$S$42,"?*"),10),7,FALSE)+BB32+AK32,")"),IF(AG32&lt;&gt;"",CONCATENATE(AI32," OZ, ",AL32," (",AJ32,"+",AK32,")"),"")))</f>
        <v>1 OZ, 0 (0+0)</v>
      </c>
      <c r="BD32" s="3" t="str">
        <f>IF(AG32&lt;&gt;"",RIGHT(AG32,LEN(AG32)-SEARCH(" ",AG32)),"")</f>
        <v>Horák</v>
      </c>
      <c r="BE32" s="123">
        <f ca="1">IF(AG32&lt;&gt;"",COUNTIF(OFFSET($BD$2,,,COUNTIF($AG$2:$AG$50,"?*")),BD32),"")</f>
        <v>1</v>
      </c>
      <c r="BF32" s="66" t="str">
        <f>IF(AG32&lt;&gt;"",LEFT(AG32,1),"")</f>
        <v>M</v>
      </c>
      <c r="BG32" s="3" t="str">
        <f ca="1">IF(AND($AG32&lt;&gt;"",BE32&gt;1),CONCATENATE($BD32," ",LEFT($AG32,MIN(1,SEARCH(" ",$AG32)-1)),IF(SEARCH(" ",$AG32)-1&gt;1,".",""),""),"")</f>
        <v/>
      </c>
      <c r="BH32" s="66">
        <f ca="1">IF(BG32&lt;&gt;"",COUNTIF(OFFSET(BG$2,,,COUNTIF($AG$2:$AG$50,"?*")),BG32),IF($AG32&lt;&gt;"",0,""))</f>
        <v>0</v>
      </c>
      <c r="BI32" s="3" t="str">
        <f ca="1">IF(AND($AG32&lt;&gt;"",BH32&gt;1),CONCATENATE($BD32," ",LEFT($AG32,MIN(2,SEARCH(" ",$AG32)-1)),IF(SEARCH(" ",$AG32)-1&gt;2,".",""),""),"")</f>
        <v/>
      </c>
      <c r="BJ32" s="66">
        <f ca="1">IF(BI32&lt;&gt;"",COUNTIF(OFFSET(BI$2,,,COUNTIF($AG$2:$AG$50,"?*")),BI32),IF($AG32&lt;&gt;"",0,""))</f>
        <v>0</v>
      </c>
      <c r="BK32" s="3" t="str">
        <f ca="1">IF(AND($AG32&lt;&gt;"",BJ32&gt;1),CONCATENATE($BD32," ",LEFT($AG32,MIN(3,SEARCH(" ",$AG32)-1)),IF(SEARCH(" ",$AG32)-1&gt;3,".",""),""),"")</f>
        <v/>
      </c>
      <c r="BL32" s="66">
        <f ca="1">IF(BK32&lt;&gt;"",COUNTIF(OFFSET(BK$2,,,COUNTIF($AG$2:$AG$50,"?*")),BK32),IF($AG32&lt;&gt;"",0,""))</f>
        <v>0</v>
      </c>
      <c r="BM32" s="3" t="str">
        <f ca="1">IF(AND($AG32&lt;&gt;"",BL32&gt;1),CONCATENATE($BD32," ",LEFT($AG32,MIN(4,SEARCH(" ",$AG32)-1)),IF(SEARCH(" ",$AG32)-1&gt;4,".",""),""),"")</f>
        <v/>
      </c>
    </row>
    <row r="33" spans="1:65" ht="15" customHeight="1" thickTop="1" thickBot="1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3"/>
      <c r="S33" s="354"/>
      <c r="T33" s="330"/>
      <c r="U33" s="330"/>
      <c r="V33" s="330"/>
      <c r="W33" s="330"/>
      <c r="X33" s="330"/>
      <c r="Y33" s="330"/>
      <c r="Z33" s="330"/>
      <c r="AA33" s="330"/>
      <c r="AB33" s="330"/>
      <c r="AG33" s="333" t="s">
        <v>141</v>
      </c>
      <c r="AH33" s="334"/>
      <c r="AI33" s="335"/>
      <c r="AJ33" s="335"/>
      <c r="AK33" s="335"/>
      <c r="AL33" s="335"/>
      <c r="AM33" s="335"/>
      <c r="AN33" s="335"/>
      <c r="AO33" s="336"/>
      <c r="AP33" s="336"/>
      <c r="AQ33" s="335"/>
      <c r="AR33" s="335"/>
      <c r="AS33" s="337"/>
      <c r="AT33" s="335"/>
      <c r="AU33" s="130" t="str">
        <f ca="1">IF(AG33&lt;&gt;"",IF(AH33&lt;&gt;"",INT((TODAY()-AH33)/365),"?"),"")</f>
        <v>?</v>
      </c>
      <c r="AV33" s="130" t="str">
        <f>IF(AG33&lt;&gt;"",CONCATENATE(IF(AQ33&lt;&gt;"",AQ33,"? "),"/",IF(AR33&lt;&gt;"",AR33," ?")),"")</f>
        <v>? / ?</v>
      </c>
      <c r="AW33" s="131" t="str">
        <f ca="1">IF(AG33&lt;&gt;"",IF(BE33=1,BD33,IF(BH33,BG33,IF(BJ33=1,BI33,IF(BL33=1,BK33,BM33)))),"")</f>
        <v>Kellenberger</v>
      </c>
      <c r="AX33" s="132" t="str">
        <f ca="1">IFERROR(IF(MATCH(AG33,OFFSET($S$45,,,COUNTIF($S$45:$S$50,"?*")),0)&gt;0,CONCATENATE(VLOOKUP(AG33,OFFSET($S$45,,,COUNTIF($S$45:$S$50,"?*"),14),4,FALSE)," V, ",VLOOKUP(AG33,OFFSET($S$45,,,COUNTIF($S$45:$S$50,"?*"),14),9,FALSE)," P"),""),IFERROR(CONCATENATE(VLOOKUP(AG33,OFFSET($S$2,,,COUNTIF($S$2:$S$42,"?*"),10),3,FALSE)+AZ33," OZ, ",VLOOKUP(AG33,OFFSET($S$2,,,COUNTIF($S$2:$S$42,"?*"),10),8,FALSE)+BA33+BB33," (",VLOOKUP(AG33,OFFSET($S$2,,,COUNTIF($S$2:$S$42,"?*"),10),4,FALSE)+BA33,"+",VLOOKUP(AG33,OFFSET($S$2,,,COUNTIF($S$2:$S$42,"?*"),10),7,FALSE)+BB33,"), ",IF(VLOOKUP(AG33,OFFSET($S$2,,,COUNTIF($S$2:$S$42,"?*"),10),10,FALSE)+BC33&gt;0,"+",""),VLOOKUP(AG33,OFFSET($S$2,,,COUNTIF($S$2:$S$42,"?*"),10),10,FALSE)+BC33," ±"),IF(AG33&lt;&gt;"","0 OZ, 0 (0+0)","")))</f>
        <v>1 OZ, 0 (0+0), 0 ±</v>
      </c>
      <c r="AY33" s="132" t="str">
        <f ca="1">IFERROR(CONCATENATE(AI33+VLOOKUP(AG33,OFFSET($S$45,,,COUNTIF($S$45:$S$50,"?*"),14),2,FALSE)," OZ, ",AK33+VLOOKUP(AG33,OFFSET($S$45,,,COUNTIF($S$45:$S$50,"?*"),14),11,FALSE)," A"),IFERROR(CONCATENATE(VLOOKUP(AG33,OFFSET($S$2,,,COUNTIF($S$2:$S$42,"?*"),10),3,FALSE)+AZ33+AI33," OZ, ",VLOOKUP(AG33,OFFSET($S$2,,,COUNTIF($S$2:$S$42,"?*"),10),8,FALSE)+BA33+BB33+AL33," (",VLOOKUP(AG33,OFFSET($S$2,,,COUNTIF($S$2:$S$42,"?*"),10),4,FALSE)+BA33+AJ33,"+",VLOOKUP(AG33,OFFSET($S$2,,,COUNTIF($S$2:$S$42,"?*"),10),7,FALSE)+BB33+AK33,")"),IF(AG33&lt;&gt;"",CONCATENATE(AI33," OZ, ",AL33," (",AJ33,"+",AK33,")"),"")))</f>
        <v>1 OZ, 0 (0+0)</v>
      </c>
      <c r="AZ33" s="132"/>
      <c r="BA33" s="132"/>
      <c r="BB33" s="132"/>
      <c r="BC33" s="132"/>
      <c r="BD33" s="129" t="str">
        <f>IF(AG33&lt;&gt;"",RIGHT(AG33,LEN(AG33)-SEARCH(" ",AG33)),"")</f>
        <v>Kellenberger</v>
      </c>
      <c r="BE33" s="132">
        <f ca="1">IF(AG33&lt;&gt;"",COUNTIF(OFFSET($BD$2,,,COUNTIF($AG$2:$AG$50,"?*")),BD33),"")</f>
        <v>1</v>
      </c>
      <c r="BF33" s="130" t="str">
        <f>IF(AG33&lt;&gt;"",LEFT(AG33,1),"")</f>
        <v>R</v>
      </c>
      <c r="BG33" s="129" t="str">
        <f ca="1">IF(AND($AG33&lt;&gt;"",BE33&gt;1),CONCATENATE($BD33," ",LEFT($AG33,MIN(1,SEARCH(" ",$AG33)-1)),IF(SEARCH(" ",$AG33)-1&gt;1,".",""),""),"")</f>
        <v/>
      </c>
      <c r="BH33" s="130">
        <f ca="1">IF(BG33&lt;&gt;"",COUNTIF(OFFSET(BG$2,,,COUNTIF($AG$2:$AG$50,"?*")),BG33),IF($AG33&lt;&gt;"",0,""))</f>
        <v>0</v>
      </c>
      <c r="BI33" s="129" t="str">
        <f ca="1">IF(AND($AG33&lt;&gt;"",BH33&gt;1),CONCATENATE($BD33," ",LEFT($AG33,MIN(2,SEARCH(" ",$AG33)-1)),IF(SEARCH(" ",$AG33)-1&gt;2,".",""),""),"")</f>
        <v/>
      </c>
      <c r="BJ33" s="130">
        <f ca="1">IF(BI33&lt;&gt;"",COUNTIF(OFFSET(BI$2,,,COUNTIF($AG$2:$AG$50,"?*")),BI33),IF($AG33&lt;&gt;"",0,""))</f>
        <v>0</v>
      </c>
      <c r="BK33" s="129" t="str">
        <f ca="1">IF(AND($AG33&lt;&gt;"",BJ33&gt;1),CONCATENATE($BD33," ",LEFT($AG33,MIN(3,SEARCH(" ",$AG33)-1)),IF(SEARCH(" ",$AG33)-1&gt;3,".",""),""),"")</f>
        <v/>
      </c>
      <c r="BL33" s="130">
        <f ca="1">IF(BK33&lt;&gt;"",COUNTIF(OFFSET(BK$2,,,COUNTIF($AG$2:$AG$50,"?*")),BK33),IF($AG33&lt;&gt;"",0,""))</f>
        <v>0</v>
      </c>
      <c r="BM33" s="129" t="str">
        <f ca="1">IF(AND($AG33&lt;&gt;"",BL33&gt;1),CONCATENATE($BD33," ",LEFT($AG33,MIN(4,SEARCH(" ",$AG33)-1)),IF(SEARCH(" ",$AG33)-1&gt;4,".",""),""),"")</f>
        <v/>
      </c>
    </row>
    <row r="34" spans="1:65" ht="15" customHeight="1" thickTop="1" thickBot="1" x14ac:dyDescent="0.25">
      <c r="A34" s="294"/>
      <c r="B34" s="295"/>
      <c r="C34" s="295"/>
      <c r="D34" s="295"/>
      <c r="E34" s="1" t="str">
        <f ca="1">IFERROR(IF(VLOOKUP(A34,OFFSET($AG$2,,,COUNTIF($AG$2:$AG$50,"?*"),23),9,FALSE)&lt;&gt;0,VLOOKUP(A34,OFFSET($AG$2,,,COUNTIF($AG$2:$AG$50,"?*"),23),9,FALSE),""),"")</f>
        <v/>
      </c>
      <c r="F34" s="2" t="str">
        <f ca="1">IFERROR(IF(VLOOKUP(A34,OFFSET($AG$2,,,COUNTIF($AG$2:$AG$50,"?*"),23),8,FALSE)&lt;&gt;0,VLOOKUP(A34,OFFSET($AG$2,,,COUNTIF($AG$2:$AG$50,"?*"),23),8,FALSE),"?"),"")</f>
        <v/>
      </c>
      <c r="H34" s="301" t="s">
        <v>16</v>
      </c>
      <c r="J34" s="294"/>
      <c r="K34" s="295"/>
      <c r="L34" s="295"/>
      <c r="M34" s="295"/>
      <c r="N34" s="295"/>
      <c r="O34" s="295"/>
      <c r="P34" s="295"/>
      <c r="Q34" s="1" t="str">
        <f ca="1">IFERROR(IF(VLOOKUP(M34,OFFSET($AG$2,,,COUNTIF($AG$2:$AG$50,"?*"),23),9,FALSE)&lt;&gt;0,VLOOKUP(M34,OFFSET($AG$2,,,COUNTIF($AG$2:$AG$50,"?*"),23),9,FALSE),""),"")</f>
        <v/>
      </c>
      <c r="R34" s="2" t="str">
        <f ca="1">IFERROR(IF(VLOOKUP(M34,OFFSET($AG$2,,,COUNTIF($AG$2:$AG$50,"?*"),23),8,FALSE)&lt;&gt;0,VLOOKUP(M34,OFFSET($AG$2,,,COUNTIF($AG$2:$AG$50,"?*"),23),8,FALSE),"?"),"")</f>
        <v/>
      </c>
      <c r="S34" s="354"/>
      <c r="T34" s="330"/>
      <c r="U34" s="330"/>
      <c r="V34" s="330"/>
      <c r="W34" s="330"/>
      <c r="X34" s="330"/>
      <c r="Y34" s="330"/>
      <c r="Z34" s="330"/>
      <c r="AA34" s="330"/>
      <c r="AB34" s="330"/>
      <c r="AG34" s="328"/>
      <c r="AH34" s="329"/>
      <c r="AI34" s="330"/>
      <c r="AJ34" s="330"/>
      <c r="AK34" s="330"/>
      <c r="AL34" s="330"/>
      <c r="AM34" s="330"/>
      <c r="AN34" s="330"/>
      <c r="AO34" s="331"/>
      <c r="AP34" s="331"/>
      <c r="AQ34" s="330"/>
      <c r="AR34" s="330"/>
      <c r="AS34" s="332"/>
      <c r="AT34" s="330"/>
      <c r="AU34" s="66" t="str">
        <f ca="1">IF(AG34&lt;&gt;"",IF(AH34&lt;&gt;"",INT((TODAY()-AH34)/365),"?"),"")</f>
        <v/>
      </c>
      <c r="AV34" s="66" t="str">
        <f>IF(AG34&lt;&gt;"",CONCATENATE(IF(AQ34&lt;&gt;"",AQ34,"? "),"/",IF(AR34&lt;&gt;"",AR34," ?")),"")</f>
        <v/>
      </c>
      <c r="AW34" s="128" t="str">
        <f>IF(AG34&lt;&gt;"",IF(BE34=1,BD34,IF(BH34,BG34,IF(BJ34=1,BI34,IF(BL34=1,BK34,BM34)))),"")</f>
        <v/>
      </c>
      <c r="AX34" s="123" t="str">
        <f ca="1">IFERROR(IF(MATCH(AG34,OFFSET($S$45,,,COUNTIF($S$45:$S$50,"?*")),0)&gt;0,CONCATENATE(VLOOKUP(AG34,OFFSET($S$45,,,COUNTIF($S$45:$S$50,"?*"),14),4,FALSE)," V, ",VLOOKUP(AG34,OFFSET($S$45,,,COUNTIF($S$45:$S$50,"?*"),14),9,FALSE)," P"),""),IFERROR(CONCATENATE(VLOOKUP(AG34,OFFSET($S$2,,,COUNTIF($S$2:$S$42,"?*"),10),3,FALSE)+AZ34," OZ, ",VLOOKUP(AG34,OFFSET($S$2,,,COUNTIF($S$2:$S$42,"?*"),10),8,FALSE)+BA34+BB34," (",VLOOKUP(AG34,OFFSET($S$2,,,COUNTIF($S$2:$S$42,"?*"),10),4,FALSE)+BA34,"+",VLOOKUP(AG34,OFFSET($S$2,,,COUNTIF($S$2:$S$42,"?*"),10),7,FALSE)+BB34,"), ",IF(VLOOKUP(AG34,OFFSET($S$2,,,COUNTIF($S$2:$S$42,"?*"),10),10,FALSE)+BC34&gt;0,"+",""),VLOOKUP(AG34,OFFSET($S$2,,,COUNTIF($S$2:$S$42,"?*"),10),10,FALSE)+BC34," ±"),IF(AG34&lt;&gt;"","0 OZ, 0 (0+0)","")))</f>
        <v/>
      </c>
      <c r="AY34" s="123" t="str">
        <f ca="1">IFERROR(CONCATENATE(AI34+VLOOKUP(AG34,OFFSET($S$45,,,COUNTIF($S$45:$S$50,"?*"),14),2,FALSE)," OZ, ",AK34+VLOOKUP(AG34,OFFSET($S$45,,,COUNTIF($S$45:$S$50,"?*"),14),11,FALSE)," A"),IFERROR(CONCATENATE(VLOOKUP(AG34,OFFSET($S$2,,,COUNTIF($S$2:$S$42,"?*"),10),3,FALSE)+AZ34+AI34," OZ, ",VLOOKUP(AG34,OFFSET($S$2,,,COUNTIF($S$2:$S$42,"?*"),10),8,FALSE)+BA34+BB34+AL34," (",VLOOKUP(AG34,OFFSET($S$2,,,COUNTIF($S$2:$S$42,"?*"),10),4,FALSE)+BA34+AJ34,"+",VLOOKUP(AG34,OFFSET($S$2,,,COUNTIF($S$2:$S$42,"?*"),10),7,FALSE)+BB34+AK34,")"),IF(AG34&lt;&gt;"",CONCATENATE(AI34," OZ, ",AL34," (",AJ34,"+",AK34,")"),"")))</f>
        <v/>
      </c>
      <c r="BD34" s="3" t="str">
        <f>IF(AG34&lt;&gt;"",RIGHT(AG34,LEN(AG34)-SEARCH(" ",AG34)),"")</f>
        <v/>
      </c>
      <c r="BE34" s="123" t="str">
        <f ca="1">IF(AG34&lt;&gt;"",COUNTIF(OFFSET($BD$2,,,COUNTIF($AG$2:$AG$50,"?*")),BD34),"")</f>
        <v/>
      </c>
      <c r="BF34" s="66" t="str">
        <f>IF(AG34&lt;&gt;"",LEFT(AG34,1),"")</f>
        <v/>
      </c>
      <c r="BG34" s="3" t="str">
        <f ca="1">IF(AND($AG34&lt;&gt;"",BE34&gt;1),CONCATENATE($BD34," ",LEFT($AG34,MIN(1,SEARCH(" ",$AG34)-1)),IF(SEARCH(" ",$AG34)-1&gt;1,".",""),""),"")</f>
        <v/>
      </c>
      <c r="BH34" s="66" t="str">
        <f ca="1">IF(BG34&lt;&gt;"",COUNTIF(OFFSET(BG$2,,,COUNTIF($AG$2:$AG$50,"?*")),BG34),IF($AG34&lt;&gt;"",0,""))</f>
        <v/>
      </c>
      <c r="BI34" s="3" t="str">
        <f ca="1">IF(AND($AG34&lt;&gt;"",BH34&gt;1),CONCATENATE($BD34," ",LEFT($AG34,MIN(2,SEARCH(" ",$AG34)-1)),IF(SEARCH(" ",$AG34)-1&gt;2,".",""),""),"")</f>
        <v/>
      </c>
      <c r="BJ34" s="66" t="str">
        <f ca="1">IF(BI34&lt;&gt;"",COUNTIF(OFFSET(BI$2,,,COUNTIF($AG$2:$AG$50,"?*")),BI34),IF($AG34&lt;&gt;"",0,""))</f>
        <v/>
      </c>
      <c r="BK34" s="3" t="str">
        <f ca="1">IF(AND($AG34&lt;&gt;"",BJ34&gt;1),CONCATENATE($BD34," ",LEFT($AG34,MIN(3,SEARCH(" ",$AG34)-1)),IF(SEARCH(" ",$AG34)-1&gt;3,".",""),""),"")</f>
        <v/>
      </c>
      <c r="BL34" s="66" t="str">
        <f ca="1">IF(BK34&lt;&gt;"",COUNTIF(OFFSET(BK$2,,,COUNTIF($AG$2:$AG$50,"?*")),BK34),IF($AG34&lt;&gt;"",0,""))</f>
        <v/>
      </c>
      <c r="BM34" s="3" t="str">
        <f ca="1">IF(AND($AG34&lt;&gt;"",BL34&gt;1),CONCATENATE($BD34," ",LEFT($AG34,MIN(4,SEARCH(" ",$AG34)-1)),IF(SEARCH(" ",$AG34)-1&gt;4,".",""),""),"")</f>
        <v/>
      </c>
    </row>
    <row r="35" spans="1:65" ht="15" customHeight="1" thickBot="1" x14ac:dyDescent="0.25">
      <c r="A35" s="14" t="str">
        <f ca="1">IFERROR(IF(VLOOKUP(A34,OFFSET($AG$2,,,COUNTIF($AG$2:$AG$50,"?*"),23),7,FALSE)&lt;&gt;0,VLOOKUP(A34,OFFSET($AG$2,,,COUNTIF($AG$2:$AG$50,"?*"),23),7,FALSE),"?"),"")</f>
        <v/>
      </c>
      <c r="B35" s="252" t="str">
        <f ca="1">IFERROR(IF(VLOOKUP(A34,OFFSET($AG$2,,,COUNTIF($AG$2:$AG$50,"?*"),23),2,FALSE)&lt;&gt;0,YEAR(VLOOKUP(A34,OFFSET($AG$2,,,COUNTIF($AG$2:$AG$50,"?*"),23),2,FALSE)),"?"),"")</f>
        <v/>
      </c>
      <c r="C35" s="261"/>
      <c r="D35" s="5" t="str">
        <f ca="1">IFERROR(VLOOKUP(A34,OFFSET($AG$2,,,COUNTIF($AG$2:$AG$50,"?*"),23),15,FALSE),"")</f>
        <v/>
      </c>
      <c r="E35" s="251" t="str">
        <f ca="1">IFERROR(VLOOKUP(A34,OFFSET($AG$2,,,COUNTIF($AG$2:$AG$50,"?*"),23),16,FALSE),"")</f>
        <v/>
      </c>
      <c r="F35" s="253"/>
      <c r="H35" s="301"/>
      <c r="J35" s="4" t="str">
        <f ca="1">IFERROR(IF(VLOOKUP(J34,OFFSET($AG$2,,,COUNTIF($AG$2:$AG$50,"?*"),23),10,FALSE)&lt;&gt;0,VLOOKUP(J34,OFFSET($AG$2,,,COUNTIF($AG$2:$AG$50,"?*"),23),10,FALSE),"?"),"")</f>
        <v/>
      </c>
      <c r="K35" s="261" t="str">
        <f ca="1">IFERROR(IF(VLOOKUP(J34,OFFSET($AG$2,,,COUNTIF($AG$2:$AG$50,"?*"),23),2,FALSE)&lt;&gt;0,YEAR(VLOOKUP(J34,OFFSET($AG$2,,,COUNTIF($AG$2:$AG$50,"?*"),23),2,FALSE)),"?"),"")</f>
        <v/>
      </c>
      <c r="L35" s="302"/>
      <c r="M35" s="15" t="str">
        <f ca="1">IFERROR(VLOOKUP(J34,OFFSET($AG$2,,,COUNTIF($AG$2:$AG$50,"?*"),23),15,FALSE),"")</f>
        <v/>
      </c>
      <c r="N35" s="302" t="str">
        <f ca="1">IFERROR(VLOOKUP(J34,OFFSET($AG$2,,,COUNTIF($AG$2:$AG$50,"?*"),23),16,FALSE),"")</f>
        <v/>
      </c>
      <c r="O35" s="302"/>
      <c r="P35" s="302" t="str">
        <f ca="1">IFERROR(VLOOKUP(P33,OFFSET($AG$2,,,COUNTIF($AG$2:$AG$50,"?*"),23),18,FALSE),"")</f>
        <v/>
      </c>
      <c r="Q35" s="302"/>
      <c r="R35" s="307"/>
      <c r="S35" s="354"/>
      <c r="T35" s="330"/>
      <c r="U35" s="330"/>
      <c r="V35" s="330"/>
      <c r="W35" s="330"/>
      <c r="X35" s="330"/>
      <c r="Y35" s="330"/>
      <c r="Z35" s="330"/>
      <c r="AA35" s="330"/>
      <c r="AB35" s="330"/>
      <c r="AG35" s="333"/>
      <c r="AH35" s="334"/>
      <c r="AI35" s="335"/>
      <c r="AJ35" s="335"/>
      <c r="AK35" s="335"/>
      <c r="AL35" s="335"/>
      <c r="AM35" s="335"/>
      <c r="AN35" s="335"/>
      <c r="AO35" s="336"/>
      <c r="AP35" s="336"/>
      <c r="AQ35" s="335"/>
      <c r="AR35" s="335"/>
      <c r="AS35" s="337"/>
      <c r="AT35" s="335"/>
      <c r="AU35" s="130" t="str">
        <f ca="1">IF(AG35&lt;&gt;"",IF(AH35&lt;&gt;"",INT((TODAY()-AH35)/365),"?"),"")</f>
        <v/>
      </c>
      <c r="AV35" s="130" t="str">
        <f>IF(AG35&lt;&gt;"",CONCATENATE(IF(AQ35&lt;&gt;"",AQ35,"? "),"/",IF(AR35&lt;&gt;"",AR35," ?")),"")</f>
        <v/>
      </c>
      <c r="AW35" s="131" t="str">
        <f>IF(AG35&lt;&gt;"",IF(BE35=1,BD35,IF(BH35,BG35,IF(BJ35=1,BI35,IF(BL35=1,BK35,BM35)))),"")</f>
        <v/>
      </c>
      <c r="AX35" s="132" t="str">
        <f ca="1">IFERROR(IF(MATCH(AG35,OFFSET($S$45,,,COUNTIF($S$45:$S$50,"?*")),0)&gt;0,CONCATENATE(VLOOKUP(AG35,OFFSET($S$45,,,COUNTIF($S$45:$S$50,"?*"),14),4,FALSE)," V, ",VLOOKUP(AG35,OFFSET($S$45,,,COUNTIF($S$45:$S$50,"?*"),14),9,FALSE)," P"),""),IFERROR(CONCATENATE(VLOOKUP(AG35,OFFSET($S$2,,,COUNTIF($S$2:$S$42,"?*"),10),3,FALSE)+AZ35," OZ, ",VLOOKUP(AG35,OFFSET($S$2,,,COUNTIF($S$2:$S$42,"?*"),10),8,FALSE)+BA35+BB35," (",VLOOKUP(AG35,OFFSET($S$2,,,COUNTIF($S$2:$S$42,"?*"),10),4,FALSE)+BA35,"+",VLOOKUP(AG35,OFFSET($S$2,,,COUNTIF($S$2:$S$42,"?*"),10),7,FALSE)+BB35,"), ",IF(VLOOKUP(AG35,OFFSET($S$2,,,COUNTIF($S$2:$S$42,"?*"),10),10,FALSE)+BC35&gt;0,"+",""),VLOOKUP(AG35,OFFSET($S$2,,,COUNTIF($S$2:$S$42,"?*"),10),10,FALSE)+BC35," ±"),IF(AG35&lt;&gt;"","0 OZ, 0 (0+0)","")))</f>
        <v/>
      </c>
      <c r="AY35" s="132" t="str">
        <f ca="1">IFERROR(CONCATENATE(AI35+VLOOKUP(AG35,OFFSET($S$45,,,COUNTIF($S$45:$S$50,"?*"),14),2,FALSE)," OZ, ",AK35+VLOOKUP(AG35,OFFSET($S$45,,,COUNTIF($S$45:$S$50,"?*"),14),11,FALSE)," A"),IFERROR(CONCATENATE(VLOOKUP(AG35,OFFSET($S$2,,,COUNTIF($S$2:$S$42,"?*"),10),3,FALSE)+AZ35+AI35," OZ, ",VLOOKUP(AG35,OFFSET($S$2,,,COUNTIF($S$2:$S$42,"?*"),10),8,FALSE)+BA35+BB35+AL35," (",VLOOKUP(AG35,OFFSET($S$2,,,COUNTIF($S$2:$S$42,"?*"),10),4,FALSE)+BA35+AJ35,"+",VLOOKUP(AG35,OFFSET($S$2,,,COUNTIF($S$2:$S$42,"?*"),10),7,FALSE)+BB35+AK35,")"),IF(AG35&lt;&gt;"",CONCATENATE(AI35," OZ, ",AL35," (",AJ35,"+",AK35,")"),"")))</f>
        <v/>
      </c>
      <c r="AZ35" s="132"/>
      <c r="BA35" s="132"/>
      <c r="BB35" s="132"/>
      <c r="BC35" s="132"/>
      <c r="BD35" s="129" t="str">
        <f>IF(AG35&lt;&gt;"",RIGHT(AG35,LEN(AG35)-SEARCH(" ",AG35)),"")</f>
        <v/>
      </c>
      <c r="BE35" s="132" t="str">
        <f ca="1">IF(AG35&lt;&gt;"",COUNTIF(OFFSET($BD$2,,,COUNTIF($AG$2:$AG$50,"?*")),BD35),"")</f>
        <v/>
      </c>
      <c r="BF35" s="130" t="str">
        <f>IF(AG35&lt;&gt;"",LEFT(AG35,1),"")</f>
        <v/>
      </c>
      <c r="BG35" s="129" t="str">
        <f ca="1">IF(AND($AG35&lt;&gt;"",BE35&gt;1),CONCATENATE($BD35," ",LEFT($AG35,MIN(1,SEARCH(" ",$AG35)-1)),IF(SEARCH(" ",$AG35)-1&gt;1,".",""),""),"")</f>
        <v/>
      </c>
      <c r="BH35" s="130" t="str">
        <f ca="1">IF(BG35&lt;&gt;"",COUNTIF(OFFSET(BG$2,,,COUNTIF($AG$2:$AG$50,"?*")),BG35),IF($AG35&lt;&gt;"",0,""))</f>
        <v/>
      </c>
      <c r="BI35" s="129" t="str">
        <f ca="1">IF(AND($AG35&lt;&gt;"",BH35&gt;1),CONCATENATE($BD35," ",LEFT($AG35,MIN(2,SEARCH(" ",$AG35)-1)),IF(SEARCH(" ",$AG35)-1&gt;2,".",""),""),"")</f>
        <v/>
      </c>
      <c r="BJ35" s="130" t="str">
        <f ca="1">IF(BI35&lt;&gt;"",COUNTIF(OFFSET(BI$2,,,COUNTIF($AG$2:$AG$50,"?*")),BI35),IF($AG35&lt;&gt;"",0,""))</f>
        <v/>
      </c>
      <c r="BK35" s="129" t="str">
        <f ca="1">IF(AND($AG35&lt;&gt;"",BJ35&gt;1),CONCATENATE($BD35," ",LEFT($AG35,MIN(3,SEARCH(" ",$AG35)-1)),IF(SEARCH(" ",$AG35)-1&gt;3,".",""),""),"")</f>
        <v/>
      </c>
      <c r="BL35" s="130" t="str">
        <f ca="1">IF(BK35&lt;&gt;"",COUNTIF(OFFSET(BK$2,,,COUNTIF($AG$2:$AG$50,"?*")),BK35),IF($AG35&lt;&gt;"",0,""))</f>
        <v/>
      </c>
      <c r="BM35" s="129" t="str">
        <f ca="1">IF(AND($AG35&lt;&gt;"",BL35&gt;1),CONCATENATE($BD35," ",LEFT($AG35,MIN(4,SEARCH(" ",$AG35)-1)),IF(SEARCH(" ",$AG35)-1&gt;4,".",""),""),"")</f>
        <v/>
      </c>
    </row>
    <row r="36" spans="1:65" ht="15" customHeight="1" thickBot="1" x14ac:dyDescent="0.25">
      <c r="A36" s="16" t="str">
        <f ca="1">IFERROR(VLOOKUP(A34,OFFSET($S$45,,,COUNTIF($S$45:$S$50,"?*"),14),2,FALSE),"")</f>
        <v/>
      </c>
      <c r="B36" s="308" t="str">
        <f ca="1">IFERROR(VLOOKUP(A34,OFFSET($AG$2,,,COUNTIF($AG$2:$AG$50,"?*"),23),18,FALSE),"")</f>
        <v/>
      </c>
      <c r="C36" s="308"/>
      <c r="D36" s="309" t="str">
        <f ca="1">IFERROR(VLOOKUP(A34,OFFSET($S$45,,,COUNTIF($S$45:$S$50,"?*"),14),5,FALSE),"")</f>
        <v/>
      </c>
      <c r="E36" s="310"/>
      <c r="F36" s="17" t="str">
        <f ca="1">IFERROR(VLOOKUP(A34,OFFSET($S$45,,,COUNTIF($S$45:$S$50,"?*"),14),14,FALSE),"")</f>
        <v/>
      </c>
      <c r="H36" s="301"/>
      <c r="J36" s="18" t="str">
        <f ca="1">IFERROR(IF(VLOOKUP(E33,OFFSET($AG$2,,,COUNTIF($AG$2:$AG$50,"?*"),23),7,FALSE)&lt;&gt;0,VLOOKUP(E33,OFFSET($AG$2,,,COUNTIF($AG$2:$AG$50,"?*"),23),7,FALSE),"?"),"")</f>
        <v/>
      </c>
      <c r="K36" s="311" t="str">
        <f ca="1">IFERROR(VLOOKUP(H34,OFFSET($AG$2,,,COUNTIF($AG$2:$AG$50,"?*"),23),19,FALSE),"")</f>
        <v/>
      </c>
      <c r="L36" s="311"/>
      <c r="M36" s="311"/>
      <c r="N36" s="312" t="str">
        <f ca="1">IFERROR(IF(VLOOKUP(N33,OFFSET($AG$2,,,COUNTIF($AG$2:$AG$50,"?*"),23),13,FALSE)&lt;&gt;0,VLOOKUP(N33,OFFSET($AG$2,,,COUNTIF($AG$2:$AG$50,"?*"),23),13,FALSE),"?"),"")</f>
        <v/>
      </c>
      <c r="O36" s="312"/>
      <c r="P36" s="312"/>
      <c r="Q36" s="311" t="str">
        <f ca="1">IFERROR(IF(VLOOKUP(N33,OFFSET($AG$2,,,COUNTIF($AG$2:$AG$50,"?*"),23),14,FALSE)&lt;&gt;0,VLOOKUP(N33,OFFSET($AG$2,,,COUNTIF($AG$2:$AG$50,"?*"),23),14,FALSE),"?"),"")</f>
        <v/>
      </c>
      <c r="R36" s="313"/>
      <c r="S36" s="354"/>
      <c r="T36" s="330"/>
      <c r="U36" s="330"/>
      <c r="V36" s="330"/>
      <c r="W36" s="330"/>
      <c r="X36" s="330"/>
      <c r="Y36" s="330"/>
      <c r="Z36" s="330"/>
      <c r="AA36" s="330"/>
      <c r="AB36" s="330"/>
      <c r="AG36" s="328"/>
      <c r="AH36" s="329"/>
      <c r="AI36" s="330"/>
      <c r="AJ36" s="330"/>
      <c r="AK36" s="330"/>
      <c r="AL36" s="330"/>
      <c r="AM36" s="330"/>
      <c r="AN36" s="330"/>
      <c r="AO36" s="331"/>
      <c r="AP36" s="331"/>
      <c r="AQ36" s="330"/>
      <c r="AR36" s="330"/>
      <c r="AS36" s="332"/>
      <c r="AT36" s="330"/>
      <c r="AU36" s="66" t="str">
        <f ca="1">IF(AG36&lt;&gt;"",IF(AH36&lt;&gt;"",INT((TODAY()-AH36)/365),"?"),"")</f>
        <v/>
      </c>
      <c r="AV36" s="66" t="str">
        <f>IF(AG36&lt;&gt;"",CONCATENATE(IF(AQ36&lt;&gt;"",AQ36,"? "),"/",IF(AR36&lt;&gt;"",AR36," ?")),"")</f>
        <v/>
      </c>
      <c r="AW36" s="128" t="str">
        <f>IF(AG36&lt;&gt;"",IF(BE36=1,BD36,IF(BH36,BG36,IF(BJ36=1,BI36,IF(BL36=1,BK36,BM36)))),"")</f>
        <v/>
      </c>
      <c r="AX36" s="123" t="str">
        <f ca="1">IFERROR(IF(MATCH(AG36,OFFSET($S$45,,,COUNTIF($S$45:$S$50,"?*")),0)&gt;0,CONCATENATE(VLOOKUP(AG36,OFFSET($S$45,,,COUNTIF($S$45:$S$50,"?*"),14),4,FALSE)," V, ",VLOOKUP(AG36,OFFSET($S$45,,,COUNTIF($S$45:$S$50,"?*"),14),9,FALSE)," P"),""),IFERROR(CONCATENATE(VLOOKUP(AG36,OFFSET($S$2,,,COUNTIF($S$2:$S$42,"?*"),10),3,FALSE)+AZ36," OZ, ",VLOOKUP(AG36,OFFSET($S$2,,,COUNTIF($S$2:$S$42,"?*"),10),8,FALSE)+BA36+BB36," (",VLOOKUP(AG36,OFFSET($S$2,,,COUNTIF($S$2:$S$42,"?*"),10),4,FALSE)+BA36,"+",VLOOKUP(AG36,OFFSET($S$2,,,COUNTIF($S$2:$S$42,"?*"),10),7,FALSE)+BB36,"), ",IF(VLOOKUP(AG36,OFFSET($S$2,,,COUNTIF($S$2:$S$42,"?*"),10),10,FALSE)+BC36&gt;0,"+",""),VLOOKUP(AG36,OFFSET($S$2,,,COUNTIF($S$2:$S$42,"?*"),10),10,FALSE)+BC36," ±"),IF(AG36&lt;&gt;"","0 OZ, 0 (0+0)","")))</f>
        <v/>
      </c>
      <c r="AY36" s="123" t="str">
        <f ca="1">IFERROR(CONCATENATE(AI36+VLOOKUP(AG36,OFFSET($S$45,,,COUNTIF($S$45:$S$50,"?*"),14),2,FALSE)," OZ, ",AK36+VLOOKUP(AG36,OFFSET($S$45,,,COUNTIF($S$45:$S$50,"?*"),14),11,FALSE)," A"),IFERROR(CONCATENATE(VLOOKUP(AG36,OFFSET($S$2,,,COUNTIF($S$2:$S$42,"?*"),10),3,FALSE)+AZ36+AI36," OZ, ",VLOOKUP(AG36,OFFSET($S$2,,,COUNTIF($S$2:$S$42,"?*"),10),8,FALSE)+BA36+BB36+AL36," (",VLOOKUP(AG36,OFFSET($S$2,,,COUNTIF($S$2:$S$42,"?*"),10),4,FALSE)+BA36+AJ36,"+",VLOOKUP(AG36,OFFSET($S$2,,,COUNTIF($S$2:$S$42,"?*"),10),7,FALSE)+BB36+AK36,")"),IF(AG36&lt;&gt;"",CONCATENATE(AI36," OZ, ",AL36," (",AJ36,"+",AK36,")"),"")))</f>
        <v/>
      </c>
      <c r="BD36" s="3" t="str">
        <f>IF(AG36&lt;&gt;"",RIGHT(AG36,LEN(AG36)-SEARCH(" ",AG36)),"")</f>
        <v/>
      </c>
      <c r="BE36" s="123" t="str">
        <f ca="1">IF(AG36&lt;&gt;"",COUNTIF(OFFSET($BD$2,,,COUNTIF($AG$2:$AG$50,"?*")),BD36),"")</f>
        <v/>
      </c>
      <c r="BF36" s="66" t="str">
        <f>IF(AG36&lt;&gt;"",LEFT(AG36,1),"")</f>
        <v/>
      </c>
      <c r="BG36" s="3" t="str">
        <f ca="1">IF(AND($AG36&lt;&gt;"",BE36&gt;1),CONCATENATE($BD36," ",LEFT($AG36,MIN(1,SEARCH(" ",$AG36)-1)),IF(SEARCH(" ",$AG36)-1&gt;1,".",""),""),"")</f>
        <v/>
      </c>
      <c r="BH36" s="66" t="str">
        <f ca="1">IF(BG36&lt;&gt;"",COUNTIF(OFFSET(BG$2,,,COUNTIF($AG$2:$AG$50,"?*")),BG36),IF($AG36&lt;&gt;"",0,""))</f>
        <v/>
      </c>
      <c r="BI36" s="3" t="str">
        <f ca="1">IF(AND($AG36&lt;&gt;"",BH36&gt;1),CONCATENATE($BD36," ",LEFT($AG36,MIN(2,SEARCH(" ",$AG36)-1)),IF(SEARCH(" ",$AG36)-1&gt;2,".",""),""),"")</f>
        <v/>
      </c>
      <c r="BJ36" s="66" t="str">
        <f ca="1">IF(BI36&lt;&gt;"",COUNTIF(OFFSET(BI$2,,,COUNTIF($AG$2:$AG$50,"?*")),BI36),IF($AG36&lt;&gt;"",0,""))</f>
        <v/>
      </c>
      <c r="BK36" s="3" t="str">
        <f ca="1">IF(AND($AG36&lt;&gt;"",BJ36&gt;1),CONCATENATE($BD36," ",LEFT($AG36,MIN(3,SEARCH(" ",$AG36)-1)),IF(SEARCH(" ",$AG36)-1&gt;3,".",""),""),"")</f>
        <v/>
      </c>
      <c r="BL36" s="66" t="str">
        <f ca="1">IF(BK36&lt;&gt;"",COUNTIF(OFFSET(BK$2,,,COUNTIF($AG$2:$AG$50,"?*")),BK36),IF($AG36&lt;&gt;"",0,""))</f>
        <v/>
      </c>
      <c r="BM36" s="3" t="str">
        <f ca="1">IF(AND($AG36&lt;&gt;"",BL36&gt;1),CONCATENATE($BD36," ",LEFT($AG36,MIN(4,SEARCH(" ",$AG36)-1)),IF(SEARCH(" ",$AG36)-1&gt;4,".",""),""),"")</f>
        <v/>
      </c>
    </row>
    <row r="37" spans="1:65" ht="15" customHeight="1" thickTop="1" thickBot="1" x14ac:dyDescent="0.25">
      <c r="A37" s="303" t="str">
        <f ca="1">IFERROR(VLOOKUP(A34,OFFSET($S$45,,,COUNTIF($S$45:$S$50,"?*"),14),3,FALSE),"")</f>
        <v/>
      </c>
      <c r="B37" s="304"/>
      <c r="C37" s="305" t="str">
        <f ca="1">IFERROR(VLOOKUP(A34,OFFSET($S$45,,,COUNTIF($S$45:$S$50,"?*"),14),13,FALSE),"")</f>
        <v/>
      </c>
      <c r="D37" s="306"/>
      <c r="E37" s="282" t="str">
        <f ca="1">IFERROR(VLOOKUP(A34,OFFSET($AG$2,,,COUNTIF($AG$2:$AG$50,"?*"),23),19,FALSE),"")</f>
        <v/>
      </c>
      <c r="F37" s="283"/>
      <c r="H37" s="301"/>
      <c r="S37" s="354"/>
      <c r="T37" s="330"/>
      <c r="U37" s="330"/>
      <c r="V37" s="330"/>
      <c r="W37" s="330"/>
      <c r="X37" s="330"/>
      <c r="Y37" s="330"/>
      <c r="Z37" s="330"/>
      <c r="AA37" s="330"/>
      <c r="AB37" s="330"/>
      <c r="AG37" s="333"/>
      <c r="AH37" s="334"/>
      <c r="AI37" s="335"/>
      <c r="AJ37" s="335"/>
      <c r="AK37" s="335"/>
      <c r="AL37" s="335"/>
      <c r="AM37" s="335"/>
      <c r="AN37" s="335"/>
      <c r="AO37" s="336"/>
      <c r="AP37" s="336"/>
      <c r="AQ37" s="335"/>
      <c r="AR37" s="335"/>
      <c r="AS37" s="337"/>
      <c r="AT37" s="335"/>
      <c r="AU37" s="130" t="str">
        <f ca="1">IF(AG37&lt;&gt;"",IF(AH37&lt;&gt;"",INT((TODAY()-AH37)/365),"?"),"")</f>
        <v/>
      </c>
      <c r="AV37" s="130" t="str">
        <f>IF(AG37&lt;&gt;"",CONCATENATE(IF(AQ37&lt;&gt;"",AQ37,"? "),"/",IF(AR37&lt;&gt;"",AR37," ?")),"")</f>
        <v/>
      </c>
      <c r="AW37" s="131" t="str">
        <f>IF(AG37&lt;&gt;"",IF(BE37=1,BD37,IF(BH37,BG37,IF(BJ37=1,BI37,IF(BL37=1,BK37,BM37)))),"")</f>
        <v/>
      </c>
      <c r="AX37" s="132" t="str">
        <f ca="1">IFERROR(IF(MATCH(AG37,OFFSET($S$45,,,COUNTIF($S$45:$S$50,"?*")),0)&gt;0,CONCATENATE(VLOOKUP(AG37,OFFSET($S$45,,,COUNTIF($S$45:$S$50,"?*"),14),4,FALSE)," V, ",VLOOKUP(AG37,OFFSET($S$45,,,COUNTIF($S$45:$S$50,"?*"),14),9,FALSE)," P"),""),IFERROR(CONCATENATE(VLOOKUP(AG37,OFFSET($S$2,,,COUNTIF($S$2:$S$42,"?*"),10),3,FALSE)+AZ37," OZ, ",VLOOKUP(AG37,OFFSET($S$2,,,COUNTIF($S$2:$S$42,"?*"),10),8,FALSE)+BA37+BB37," (",VLOOKUP(AG37,OFFSET($S$2,,,COUNTIF($S$2:$S$42,"?*"),10),4,FALSE)+BA37,"+",VLOOKUP(AG37,OFFSET($S$2,,,COUNTIF($S$2:$S$42,"?*"),10),7,FALSE)+BB37,"), ",IF(VLOOKUP(AG37,OFFSET($S$2,,,COUNTIF($S$2:$S$42,"?*"),10),10,FALSE)+BC37&gt;0,"+",""),VLOOKUP(AG37,OFFSET($S$2,,,COUNTIF($S$2:$S$42,"?*"),10),10,FALSE)+BC37," ±"),IF(AG37&lt;&gt;"","0 OZ, 0 (0+0)","")))</f>
        <v/>
      </c>
      <c r="AY37" s="132" t="str">
        <f ca="1">IFERROR(CONCATENATE(AI37+VLOOKUP(AG37,OFFSET($S$45,,,COUNTIF($S$45:$S$50,"?*"),14),2,FALSE)," OZ, ",AK37+VLOOKUP(AG37,OFFSET($S$45,,,COUNTIF($S$45:$S$50,"?*"),14),11,FALSE)," A"),IFERROR(CONCATENATE(VLOOKUP(AG37,OFFSET($S$2,,,COUNTIF($S$2:$S$42,"?*"),10),3,FALSE)+AZ37+AI37," OZ, ",VLOOKUP(AG37,OFFSET($S$2,,,COUNTIF($S$2:$S$42,"?*"),10),8,FALSE)+BA37+BB37+AL37," (",VLOOKUP(AG37,OFFSET($S$2,,,COUNTIF($S$2:$S$42,"?*"),10),4,FALSE)+BA37+AJ37,"+",VLOOKUP(AG37,OFFSET($S$2,,,COUNTIF($S$2:$S$42,"?*"),10),7,FALSE)+BB37+AK37,")"),IF(AG37&lt;&gt;"",CONCATENATE(AI37," OZ, ",AL37," (",AJ37,"+",AK37,")"),"")))</f>
        <v/>
      </c>
      <c r="AZ37" s="132"/>
      <c r="BA37" s="132"/>
      <c r="BB37" s="132"/>
      <c r="BC37" s="132"/>
      <c r="BD37" s="129" t="str">
        <f>IF(AG37&lt;&gt;"",RIGHT(AG37,LEN(AG37)-SEARCH(" ",AG37)),"")</f>
        <v/>
      </c>
      <c r="BE37" s="132" t="str">
        <f ca="1">IF(AG37&lt;&gt;"",COUNTIF(OFFSET($BD$2,,,COUNTIF($AG$2:$AG$50,"?*")),BD37),"")</f>
        <v/>
      </c>
      <c r="BF37" s="130" t="str">
        <f>IF(AG37&lt;&gt;"",LEFT(AG37,1),"")</f>
        <v/>
      </c>
      <c r="BG37" s="129" t="str">
        <f ca="1">IF(AND($AG37&lt;&gt;"",BE37&gt;1),CONCATENATE($BD37," ",LEFT($AG37,MIN(1,SEARCH(" ",$AG37)-1)),IF(SEARCH(" ",$AG37)-1&gt;1,".",""),""),"")</f>
        <v/>
      </c>
      <c r="BH37" s="130" t="str">
        <f ca="1">IF(BG37&lt;&gt;"",COUNTIF(OFFSET(BG$2,,,COUNTIF($AG$2:$AG$50,"?*")),BG37),IF($AG37&lt;&gt;"",0,""))</f>
        <v/>
      </c>
      <c r="BI37" s="129" t="str">
        <f ca="1">IF(AND($AG37&lt;&gt;"",BH37&gt;1),CONCATENATE($BD37," ",LEFT($AG37,MIN(2,SEARCH(" ",$AG37)-1)),IF(SEARCH(" ",$AG37)-1&gt;2,".",""),""),"")</f>
        <v/>
      </c>
      <c r="BJ37" s="130" t="str">
        <f ca="1">IF(BI37&lt;&gt;"",COUNTIF(OFFSET(BI$2,,,COUNTIF($AG$2:$AG$50,"?*")),BI37),IF($AG37&lt;&gt;"",0,""))</f>
        <v/>
      </c>
      <c r="BK37" s="129" t="str">
        <f ca="1">IF(AND($AG37&lt;&gt;"",BJ37&gt;1),CONCATENATE($BD37," ",LEFT($AG37,MIN(3,SEARCH(" ",$AG37)-1)),IF(SEARCH(" ",$AG37)-1&gt;3,".",""),""),"")</f>
        <v/>
      </c>
      <c r="BL37" s="130" t="str">
        <f ca="1">IF(BK37&lt;&gt;"",COUNTIF(OFFSET(BK$2,,,COUNTIF($AG$2:$AG$50,"?*")),BK37),IF($AG37&lt;&gt;"",0,""))</f>
        <v/>
      </c>
      <c r="BM37" s="129" t="str">
        <f ca="1">IF(AND($AG37&lt;&gt;"",BL37&gt;1),CONCATENATE($BD37," ",LEFT($AG37,MIN(4,SEARCH(" ",$AG37)-1)),IF(SEARCH(" ",$AG37)-1&gt;4,".",""),""),"")</f>
        <v/>
      </c>
    </row>
    <row r="38" spans="1:65" ht="15" customHeight="1" thickTop="1" thickBot="1" x14ac:dyDescent="0.25">
      <c r="A38" s="297" t="str">
        <f ca="1">IFERROR(IF(VLOOKUP(A34,OFFSET($AG$2,,,COUNTIF($AG$2:$AG$50,"?*"),23),13,FALSE)&lt;&gt;0,VLOOKUP(A34,OFFSET($AG$2,,,COUNTIF($AG$2:$AG$50,"?*"),23),13,FALSE),"?"),"")</f>
        <v/>
      </c>
      <c r="B38" s="298"/>
      <c r="C38" s="299"/>
      <c r="D38" s="288" t="str">
        <f ca="1">IFERROR(IF(VLOOKUP(A34,OFFSET($AG$2,,,COUNTIF($AG$2:$AG$50,"?*"),23),14,FALSE)&lt;&gt;0,VLOOKUP(A34,OFFSET($AG$2,,,COUNTIF($AG$2:$AG$50,"?*"),23),14,FALSE),"?"),"")</f>
        <v/>
      </c>
      <c r="E38" s="287"/>
      <c r="F38" s="19" t="str">
        <f ca="1">IFERROR(VLOOKUP(A34,OFFSET($S$45,,,COUNTIF($S$45:$S$50,"?*"),14),6,FALSE),"")</f>
        <v/>
      </c>
      <c r="H38" s="301"/>
      <c r="J38" s="294"/>
      <c r="K38" s="295"/>
      <c r="L38" s="295"/>
      <c r="M38" s="295"/>
      <c r="N38" s="295"/>
      <c r="O38" s="295"/>
      <c r="P38" s="295"/>
      <c r="Q38" s="1" t="str">
        <f ca="1">IFERROR(IF(VLOOKUP(M38,OFFSET($AG$2,,,COUNTIF($AG$2:$AG$50,"?*"),23),9,FALSE)&lt;&gt;0,VLOOKUP(M38,OFFSET($AG$2,,,COUNTIF($AG$2:$AG$50,"?*"),23),9,FALSE),""),"")</f>
        <v/>
      </c>
      <c r="R38" s="2" t="str">
        <f ca="1">IFERROR(IF(VLOOKUP(M38,OFFSET($AG$2,,,COUNTIF($AG$2:$AG$50,"?*"),23),8,FALSE)&lt;&gt;0,VLOOKUP(M38,OFFSET($AG$2,,,COUNTIF($AG$2:$AG$50,"?*"),23),8,FALSE),"?"),"")</f>
        <v/>
      </c>
      <c r="S38" s="354"/>
      <c r="T38" s="330"/>
      <c r="U38" s="330"/>
      <c r="V38" s="330"/>
      <c r="W38" s="330"/>
      <c r="X38" s="330"/>
      <c r="Y38" s="330"/>
      <c r="Z38" s="330"/>
      <c r="AA38" s="330"/>
      <c r="AB38" s="330"/>
      <c r="AG38" s="328"/>
      <c r="AH38" s="329"/>
      <c r="AI38" s="330"/>
      <c r="AJ38" s="330"/>
      <c r="AK38" s="330"/>
      <c r="AL38" s="330"/>
      <c r="AM38" s="330"/>
      <c r="AN38" s="330"/>
      <c r="AO38" s="331"/>
      <c r="AP38" s="331"/>
      <c r="AQ38" s="330"/>
      <c r="AR38" s="330"/>
      <c r="AS38" s="332"/>
      <c r="AT38" s="330"/>
      <c r="AU38" s="66" t="str">
        <f ca="1">IF(AG38&lt;&gt;"",IF(AH38&lt;&gt;"",INT((TODAY()-AH38)/365),"?"),"")</f>
        <v/>
      </c>
      <c r="AV38" s="66" t="str">
        <f>IF(AG38&lt;&gt;"",CONCATENATE(IF(AQ38&lt;&gt;"",AQ38,"? "),"/",IF(AR38&lt;&gt;"",AR38," ?")),"")</f>
        <v/>
      </c>
      <c r="AW38" s="128" t="str">
        <f>IF(AG38&lt;&gt;"",IF(BE38=1,BD38,IF(BH38,BG38,IF(BJ38=1,BI38,IF(BL38=1,BK38,BM38)))),"")</f>
        <v/>
      </c>
      <c r="AX38" s="123" t="str">
        <f ca="1">IFERROR(IF(MATCH(AG38,OFFSET($S$45,,,COUNTIF($S$45:$S$50,"?*")),0)&gt;0,CONCATENATE(VLOOKUP(AG38,OFFSET($S$45,,,COUNTIF($S$45:$S$50,"?*"),14),4,FALSE)," V, ",VLOOKUP(AG38,OFFSET($S$45,,,COUNTIF($S$45:$S$50,"?*"),14),9,FALSE)," P"),""),IFERROR(CONCATENATE(VLOOKUP(AG38,OFFSET($S$2,,,COUNTIF($S$2:$S$42,"?*"),10),3,FALSE)+AZ38," OZ, ",VLOOKUP(AG38,OFFSET($S$2,,,COUNTIF($S$2:$S$42,"?*"),10),8,FALSE)+BA38+BB38," (",VLOOKUP(AG38,OFFSET($S$2,,,COUNTIF($S$2:$S$42,"?*"),10),4,FALSE)+BA38,"+",VLOOKUP(AG38,OFFSET($S$2,,,COUNTIF($S$2:$S$42,"?*"),10),7,FALSE)+BB38,"), ",IF(VLOOKUP(AG38,OFFSET($S$2,,,COUNTIF($S$2:$S$42,"?*"),10),10,FALSE)+BC38&gt;0,"+",""),VLOOKUP(AG38,OFFSET($S$2,,,COUNTIF($S$2:$S$42,"?*"),10),10,FALSE)+BC38," ±"),IF(AG38&lt;&gt;"","0 OZ, 0 (0+0)","")))</f>
        <v/>
      </c>
      <c r="AY38" s="123" t="str">
        <f ca="1">IFERROR(CONCATENATE(AI38+VLOOKUP(AG38,OFFSET($S$45,,,COUNTIF($S$45:$S$50,"?*"),14),2,FALSE)," OZ, ",AK38+VLOOKUP(AG38,OFFSET($S$45,,,COUNTIF($S$45:$S$50,"?*"),14),11,FALSE)," A"),IFERROR(CONCATENATE(VLOOKUP(AG38,OFFSET($S$2,,,COUNTIF($S$2:$S$42,"?*"),10),3,FALSE)+AZ38+AI38," OZ, ",VLOOKUP(AG38,OFFSET($S$2,,,COUNTIF($S$2:$S$42,"?*"),10),8,FALSE)+BA38+BB38+AL38," (",VLOOKUP(AG38,OFFSET($S$2,,,COUNTIF($S$2:$S$42,"?*"),10),4,FALSE)+BA38+AJ38,"+",VLOOKUP(AG38,OFFSET($S$2,,,COUNTIF($S$2:$S$42,"?*"),10),7,FALSE)+BB38+AK38,")"),IF(AG38&lt;&gt;"",CONCATENATE(AI38," OZ, ",AL38," (",AJ38,"+",AK38,")"),"")))</f>
        <v/>
      </c>
      <c r="BD38" s="3" t="str">
        <f>IF(AG38&lt;&gt;"",RIGHT(AG38,LEN(AG38)-SEARCH(" ",AG38)),"")</f>
        <v/>
      </c>
      <c r="BE38" s="123" t="str">
        <f ca="1">IF(AG38&lt;&gt;"",COUNTIF(OFFSET($BD$2,,,COUNTIF($AG$2:$AG$50,"?*")),BD38),"")</f>
        <v/>
      </c>
      <c r="BF38" s="66" t="str">
        <f>IF(AG38&lt;&gt;"",LEFT(AG38,1),"")</f>
        <v/>
      </c>
      <c r="BG38" s="3" t="str">
        <f ca="1">IF(AND($AG38&lt;&gt;"",BE38&gt;1),CONCATENATE($BD38," ",LEFT($AG38,MIN(1,SEARCH(" ",$AG38)-1)),IF(SEARCH(" ",$AG38)-1&gt;1,".",""),""),"")</f>
        <v/>
      </c>
      <c r="BH38" s="66" t="str">
        <f ca="1">IF(BG38&lt;&gt;"",COUNTIF(OFFSET(BG$2,,,COUNTIF($AG$2:$AG$50,"?*")),BG38),IF($AG38&lt;&gt;"",0,""))</f>
        <v/>
      </c>
      <c r="BI38" s="3" t="str">
        <f ca="1">IF(AND($AG38&lt;&gt;"",BH38&gt;1),CONCATENATE($BD38," ",LEFT($AG38,MIN(2,SEARCH(" ",$AG38)-1)),IF(SEARCH(" ",$AG38)-1&gt;2,".",""),""),"")</f>
        <v/>
      </c>
      <c r="BJ38" s="66" t="str">
        <f ca="1">IF(BI38&lt;&gt;"",COUNTIF(OFFSET(BI$2,,,COUNTIF($AG$2:$AG$50,"?*")),BI38),IF($AG38&lt;&gt;"",0,""))</f>
        <v/>
      </c>
      <c r="BK38" s="3" t="str">
        <f ca="1">IF(AND($AG38&lt;&gt;"",BJ38&gt;1),CONCATENATE($BD38," ",LEFT($AG38,MIN(3,SEARCH(" ",$AG38)-1)),IF(SEARCH(" ",$AG38)-1&gt;3,".",""),""),"")</f>
        <v/>
      </c>
      <c r="BL38" s="66" t="str">
        <f ca="1">IF(BK38&lt;&gt;"",COUNTIF(OFFSET(BK$2,,,COUNTIF($AG$2:$AG$50,"?*")),BK38),IF($AG38&lt;&gt;"",0,""))</f>
        <v/>
      </c>
      <c r="BM38" s="3" t="str">
        <f ca="1">IF(AND($AG38&lt;&gt;"",BL38&gt;1),CONCATENATE($BD38," ",LEFT($AG38,MIN(4,SEARCH(" ",$AG38)-1)),IF(SEARCH(" ",$AG38)-1&gt;4,".",""),""),"")</f>
        <v/>
      </c>
    </row>
    <row r="39" spans="1:65" ht="15" customHeight="1" thickTop="1" thickBot="1" x14ac:dyDescent="0.25">
      <c r="H39" s="301"/>
      <c r="J39" s="4" t="str">
        <f ca="1">IFERROR(IF(VLOOKUP(J38,OFFSET($AG$2,,,COUNTIF($AG$2:$AG$50,"?*"),23),10,FALSE)&lt;&gt;0,VLOOKUP(J38,OFFSET($AG$2,,,COUNTIF($AG$2:$AG$50,"?*"),23),10,FALSE),"?"),"")</f>
        <v/>
      </c>
      <c r="K39" s="261" t="str">
        <f ca="1">IFERROR(IF(VLOOKUP(J38,OFFSET($AG$2,,,COUNTIF($AG$2:$AG$50,"?*"),23),2,FALSE)&lt;&gt;0,YEAR(VLOOKUP(J38,OFFSET($AG$2,,,COUNTIF($AG$2:$AG$50,"?*"),23),2,FALSE)),"?"),"")</f>
        <v/>
      </c>
      <c r="L39" s="302"/>
      <c r="M39" s="15" t="str">
        <f ca="1">IFERROR(VLOOKUP(J38,OFFSET($AG$2,,,COUNTIF($AG$2:$AG$50,"?*"),23),15,FALSE),"")</f>
        <v/>
      </c>
      <c r="N39" s="302" t="str">
        <f ca="1">IFERROR(VLOOKUP(J38,OFFSET($AG$2,,,COUNTIF($AG$2:$AG$50,"?*"),23),16,FALSE),"")</f>
        <v/>
      </c>
      <c r="O39" s="302"/>
      <c r="P39" s="302" t="str">
        <f ca="1">IFERROR(VLOOKUP(P37,OFFSET($AG$2,,,COUNTIF($AG$2:$AG$50,"?*"),23),18,FALSE),"")</f>
        <v/>
      </c>
      <c r="Q39" s="302"/>
      <c r="R39" s="307"/>
      <c r="S39" s="354"/>
      <c r="T39" s="330"/>
      <c r="U39" s="330"/>
      <c r="V39" s="330"/>
      <c r="W39" s="330"/>
      <c r="X39" s="330"/>
      <c r="Y39" s="330"/>
      <c r="Z39" s="330"/>
      <c r="AA39" s="330"/>
      <c r="AB39" s="330"/>
      <c r="AG39" s="333"/>
      <c r="AH39" s="334"/>
      <c r="AI39" s="335"/>
      <c r="AJ39" s="335"/>
      <c r="AK39" s="335"/>
      <c r="AL39" s="335"/>
      <c r="AM39" s="335"/>
      <c r="AN39" s="335"/>
      <c r="AO39" s="336"/>
      <c r="AP39" s="336"/>
      <c r="AQ39" s="335"/>
      <c r="AR39" s="335"/>
      <c r="AS39" s="337"/>
      <c r="AT39" s="335"/>
      <c r="AU39" s="130" t="str">
        <f ca="1">IF(AG39&lt;&gt;"",IF(AH39&lt;&gt;"",INT((TODAY()-AH39)/365),"?"),"")</f>
        <v/>
      </c>
      <c r="AV39" s="130" t="str">
        <f>IF(AG39&lt;&gt;"",CONCATENATE(IF(AQ39&lt;&gt;"",AQ39,"? "),"/",IF(AR39&lt;&gt;"",AR39," ?")),"")</f>
        <v/>
      </c>
      <c r="AW39" s="131" t="str">
        <f>IF(AG39&lt;&gt;"",IF(BE39=1,BD39,IF(BH39,BG39,IF(BJ39=1,BI39,IF(BL39=1,BK39,BM39)))),"")</f>
        <v/>
      </c>
      <c r="AX39" s="132" t="str">
        <f ca="1">IFERROR(IF(MATCH(AG39,OFFSET($S$45,,,COUNTIF($S$45:$S$50,"?*")),0)&gt;0,CONCATENATE(VLOOKUP(AG39,OFFSET($S$45,,,COUNTIF($S$45:$S$50,"?*"),14),4,FALSE)," V, ",VLOOKUP(AG39,OFFSET($S$45,,,COUNTIF($S$45:$S$50,"?*"),14),9,FALSE)," P"),""),IFERROR(CONCATENATE(VLOOKUP(AG39,OFFSET($S$2,,,COUNTIF($S$2:$S$42,"?*"),10),3,FALSE)+AZ39," OZ, ",VLOOKUP(AG39,OFFSET($S$2,,,COUNTIF($S$2:$S$42,"?*"),10),8,FALSE)+BA39+BB39," (",VLOOKUP(AG39,OFFSET($S$2,,,COUNTIF($S$2:$S$42,"?*"),10),4,FALSE)+BA39,"+",VLOOKUP(AG39,OFFSET($S$2,,,COUNTIF($S$2:$S$42,"?*"),10),7,FALSE)+BB39,"), ",IF(VLOOKUP(AG39,OFFSET($S$2,,,COUNTIF($S$2:$S$42,"?*"),10),10,FALSE)+BC39&gt;0,"+",""),VLOOKUP(AG39,OFFSET($S$2,,,COUNTIF($S$2:$S$42,"?*"),10),10,FALSE)+BC39," ±"),IF(AG39&lt;&gt;"","0 OZ, 0 (0+0)","")))</f>
        <v/>
      </c>
      <c r="AY39" s="132" t="str">
        <f ca="1">IFERROR(CONCATENATE(AI39+VLOOKUP(AG39,OFFSET($S$45,,,COUNTIF($S$45:$S$50,"?*"),14),2,FALSE)," OZ, ",AK39+VLOOKUP(AG39,OFFSET($S$45,,,COUNTIF($S$45:$S$50,"?*"),14),11,FALSE)," A"),IFERROR(CONCATENATE(VLOOKUP(AG39,OFFSET($S$2,,,COUNTIF($S$2:$S$42,"?*"),10),3,FALSE)+AZ39+AI39," OZ, ",VLOOKUP(AG39,OFFSET($S$2,,,COUNTIF($S$2:$S$42,"?*"),10),8,FALSE)+BA39+BB39+AL39," (",VLOOKUP(AG39,OFFSET($S$2,,,COUNTIF($S$2:$S$42,"?*"),10),4,FALSE)+BA39+AJ39,"+",VLOOKUP(AG39,OFFSET($S$2,,,COUNTIF($S$2:$S$42,"?*"),10),7,FALSE)+BB39+AK39,")"),IF(AG39&lt;&gt;"",CONCATENATE(AI39," OZ, ",AL39," (",AJ39,"+",AK39,")"),"")))</f>
        <v/>
      </c>
      <c r="AZ39" s="132"/>
      <c r="BA39" s="132"/>
      <c r="BB39" s="132"/>
      <c r="BC39" s="132"/>
      <c r="BD39" s="129" t="str">
        <f>IF(AG39&lt;&gt;"",RIGHT(AG39,LEN(AG39)-SEARCH(" ",AG39)),"")</f>
        <v/>
      </c>
      <c r="BE39" s="132" t="str">
        <f ca="1">IF(AG39&lt;&gt;"",COUNTIF(OFFSET($BD$2,,,COUNTIF($AG$2:$AG$50,"?*")),BD39),"")</f>
        <v/>
      </c>
      <c r="BF39" s="130" t="str">
        <f>IF(AG39&lt;&gt;"",LEFT(AG39,1),"")</f>
        <v/>
      </c>
      <c r="BG39" s="129" t="str">
        <f ca="1">IF(AND($AG39&lt;&gt;"",BE39&gt;1),CONCATENATE($BD39," ",LEFT($AG39,MIN(1,SEARCH(" ",$AG39)-1)),IF(SEARCH(" ",$AG39)-1&gt;1,".",""),""),"")</f>
        <v/>
      </c>
      <c r="BH39" s="130" t="str">
        <f ca="1">IF(BG39&lt;&gt;"",COUNTIF(OFFSET(BG$2,,,COUNTIF($AG$2:$AG$50,"?*")),BG39),IF($AG39&lt;&gt;"",0,""))</f>
        <v/>
      </c>
      <c r="BI39" s="129" t="str">
        <f ca="1">IF(AND($AG39&lt;&gt;"",BH39&gt;1),CONCATENATE($BD39," ",LEFT($AG39,MIN(2,SEARCH(" ",$AG39)-1)),IF(SEARCH(" ",$AG39)-1&gt;2,".",""),""),"")</f>
        <v/>
      </c>
      <c r="BJ39" s="130" t="str">
        <f ca="1">IF(BI39&lt;&gt;"",COUNTIF(OFFSET(BI$2,,,COUNTIF($AG$2:$AG$50,"?*")),BI39),IF($AG39&lt;&gt;"",0,""))</f>
        <v/>
      </c>
      <c r="BK39" s="129" t="str">
        <f ca="1">IF(AND($AG39&lt;&gt;"",BJ39&gt;1),CONCATENATE($BD39," ",LEFT($AG39,MIN(3,SEARCH(" ",$AG39)-1)),IF(SEARCH(" ",$AG39)-1&gt;3,".",""),""),"")</f>
        <v/>
      </c>
      <c r="BL39" s="130" t="str">
        <f ca="1">IF(BK39&lt;&gt;"",COUNTIF(OFFSET(BK$2,,,COUNTIF($AG$2:$AG$50,"?*")),BK39),IF($AG39&lt;&gt;"",0,""))</f>
        <v/>
      </c>
      <c r="BM39" s="129" t="str">
        <f ca="1">IF(AND($AG39&lt;&gt;"",BL39&gt;1),CONCATENATE($BD39," ",LEFT($AG39,MIN(4,SEARCH(" ",$AG39)-1)),IF(SEARCH(" ",$AG39)-1&gt;4,".",""),""),"")</f>
        <v/>
      </c>
    </row>
    <row r="40" spans="1:65" ht="15" customHeight="1" thickTop="1" thickBot="1" x14ac:dyDescent="0.25">
      <c r="A40" s="294"/>
      <c r="B40" s="295"/>
      <c r="C40" s="295"/>
      <c r="D40" s="295"/>
      <c r="E40" s="1" t="str">
        <f ca="1">IFERROR(IF(VLOOKUP(A40,OFFSET($AG$2,,,COUNTIF($AG$2:$AG$50,"?*"),23),9,FALSE)&lt;&gt;0,VLOOKUP(A40,OFFSET($AG$2,,,COUNTIF($AG$2:$AG$50,"?*"),23),9,FALSE),""),"")</f>
        <v/>
      </c>
      <c r="F40" s="2" t="str">
        <f ca="1">IFERROR(IF(VLOOKUP(A40,OFFSET($AG$2,,,COUNTIF($AG$2:$AG$50,"?*"),23),8,FALSE)&lt;&gt;0,VLOOKUP(A40,OFFSET($AG$2,,,COUNTIF($AG$2:$AG$50,"?*"),23),8,FALSE),"?"),"")</f>
        <v/>
      </c>
      <c r="H40" s="301"/>
      <c r="J40" s="18" t="str">
        <f ca="1">IFERROR(IF(VLOOKUP(E37,OFFSET($AG$2,,,COUNTIF($AG$2:$AG$50,"?*"),23),7,FALSE)&lt;&gt;0,VLOOKUP(E37,OFFSET($AG$2,,,COUNTIF($AG$2:$AG$50,"?*"),23),7,FALSE),"?"),"")</f>
        <v/>
      </c>
      <c r="K40" s="311" t="str">
        <f ca="1">IFERROR(VLOOKUP(H38,OFFSET($AG$2,,,COUNTIF($AG$2:$AG$50,"?*"),23),19,FALSE),"")</f>
        <v/>
      </c>
      <c r="L40" s="311"/>
      <c r="M40" s="311"/>
      <c r="N40" s="312" t="str">
        <f ca="1">IFERROR(IF(VLOOKUP(N37,OFFSET($AG$2,,,COUNTIF($AG$2:$AG$50,"?*"),23),13,FALSE)&lt;&gt;0,VLOOKUP(N37,OFFSET($AG$2,,,COUNTIF($AG$2:$AG$50,"?*"),23),13,FALSE),"?"),"")</f>
        <v/>
      </c>
      <c r="O40" s="312"/>
      <c r="P40" s="312"/>
      <c r="Q40" s="311" t="str">
        <f ca="1">IFERROR(IF(VLOOKUP(N37,OFFSET($AG$2,,,COUNTIF($AG$2:$AG$50,"?*"),23),14,FALSE)&lt;&gt;0,VLOOKUP(N37,OFFSET($AG$2,,,COUNTIF($AG$2:$AG$50,"?*"),23),14,FALSE),"?"),"")</f>
        <v/>
      </c>
      <c r="R40" s="313"/>
      <c r="S40" s="354"/>
      <c r="T40" s="330"/>
      <c r="U40" s="330"/>
      <c r="V40" s="330"/>
      <c r="W40" s="330"/>
      <c r="X40" s="330"/>
      <c r="Y40" s="330"/>
      <c r="Z40" s="330"/>
      <c r="AA40" s="330"/>
      <c r="AB40" s="330"/>
      <c r="AG40" s="328"/>
      <c r="AH40" s="329"/>
      <c r="AI40" s="330"/>
      <c r="AJ40" s="330"/>
      <c r="AK40" s="330"/>
      <c r="AL40" s="330"/>
      <c r="AM40" s="330"/>
      <c r="AN40" s="330"/>
      <c r="AO40" s="331"/>
      <c r="AP40" s="331"/>
      <c r="AQ40" s="330"/>
      <c r="AR40" s="330"/>
      <c r="AS40" s="332"/>
      <c r="AT40" s="330"/>
      <c r="AU40" s="66" t="str">
        <f ca="1">IF(AG40&lt;&gt;"",IF(AH40&lt;&gt;"",INT((TODAY()-AH40)/365),"?"),"")</f>
        <v/>
      </c>
      <c r="AV40" s="66" t="str">
        <f>IF(AG40&lt;&gt;"",CONCATENATE(IF(AQ40&lt;&gt;"",AQ40,"? "),"/",IF(AR40&lt;&gt;"",AR40," ?")),"")</f>
        <v/>
      </c>
      <c r="AW40" s="128" t="str">
        <f>IF(AG40&lt;&gt;"",IF(BE40=1,BD40,IF(BH40,BG40,IF(BJ40=1,BI40,IF(BL40=1,BK40,BM40)))),"")</f>
        <v/>
      </c>
      <c r="AX40" s="123" t="str">
        <f ca="1">IFERROR(IF(MATCH(AG40,OFFSET($S$45,,,COUNTIF($S$45:$S$50,"?*")),0)&gt;0,CONCATENATE(VLOOKUP(AG40,OFFSET($S$45,,,COUNTIF($S$45:$S$50,"?*"),14),4,FALSE)," V, ",VLOOKUP(AG40,OFFSET($S$45,,,COUNTIF($S$45:$S$50,"?*"),14),9,FALSE)," P"),""),IFERROR(CONCATENATE(VLOOKUP(AG40,OFFSET($S$2,,,COUNTIF($S$2:$S$42,"?*"),10),3,FALSE)+AZ40," OZ, ",VLOOKUP(AG40,OFFSET($S$2,,,COUNTIF($S$2:$S$42,"?*"),10),8,FALSE)+BA40+BB40," (",VLOOKUP(AG40,OFFSET($S$2,,,COUNTIF($S$2:$S$42,"?*"),10),4,FALSE)+BA40,"+",VLOOKUP(AG40,OFFSET($S$2,,,COUNTIF($S$2:$S$42,"?*"),10),7,FALSE)+BB40,"), ",IF(VLOOKUP(AG40,OFFSET($S$2,,,COUNTIF($S$2:$S$42,"?*"),10),10,FALSE)+BC40&gt;0,"+",""),VLOOKUP(AG40,OFFSET($S$2,,,COUNTIF($S$2:$S$42,"?*"),10),10,FALSE)+BC40," ±"),IF(AG40&lt;&gt;"","0 OZ, 0 (0+0)","")))</f>
        <v/>
      </c>
      <c r="AY40" s="123" t="str">
        <f ca="1">IFERROR(CONCATENATE(AI40+VLOOKUP(AG40,OFFSET($S$45,,,COUNTIF($S$45:$S$50,"?*"),14),2,FALSE)," OZ, ",AK40+VLOOKUP(AG40,OFFSET($S$45,,,COUNTIF($S$45:$S$50,"?*"),14),11,FALSE)," A"),IFERROR(CONCATENATE(VLOOKUP(AG40,OFFSET($S$2,,,COUNTIF($S$2:$S$42,"?*"),10),3,FALSE)+AZ40+AI40," OZ, ",VLOOKUP(AG40,OFFSET($S$2,,,COUNTIF($S$2:$S$42,"?*"),10),8,FALSE)+BA40+BB40+AL40," (",VLOOKUP(AG40,OFFSET($S$2,,,COUNTIF($S$2:$S$42,"?*"),10),4,FALSE)+BA40+AJ40,"+",VLOOKUP(AG40,OFFSET($S$2,,,COUNTIF($S$2:$S$42,"?*"),10),7,FALSE)+BB40+AK40,")"),IF(AG40&lt;&gt;"",CONCATENATE(AI40," OZ, ",AL40," (",AJ40,"+",AK40,")"),"")))</f>
        <v/>
      </c>
      <c r="BD40" s="3" t="str">
        <f>IF(AG40&lt;&gt;"",RIGHT(AG40,LEN(AG40)-SEARCH(" ",AG40)),"")</f>
        <v/>
      </c>
      <c r="BE40" s="123" t="str">
        <f ca="1">IF(AG40&lt;&gt;"",COUNTIF(OFFSET($BD$2,,,COUNTIF($AG$2:$AG$50,"?*")),BD40),"")</f>
        <v/>
      </c>
      <c r="BF40" s="66" t="str">
        <f>IF(AG40&lt;&gt;"",LEFT(AG40,1),"")</f>
        <v/>
      </c>
      <c r="BG40" s="3" t="str">
        <f ca="1">IF(AND($AG40&lt;&gt;"",BE40&gt;1),CONCATENATE($BD40," ",LEFT($AG40,MIN(1,SEARCH(" ",$AG40)-1)),IF(SEARCH(" ",$AG40)-1&gt;1,".",""),""),"")</f>
        <v/>
      </c>
      <c r="BH40" s="66" t="str">
        <f ca="1">IF(BG40&lt;&gt;"",COUNTIF(OFFSET(BG$2,,,COUNTIF($AG$2:$AG$50,"?*")),BG40),IF($AG40&lt;&gt;"",0,""))</f>
        <v/>
      </c>
      <c r="BI40" s="3" t="str">
        <f ca="1">IF(AND($AG40&lt;&gt;"",BH40&gt;1),CONCATENATE($BD40," ",LEFT($AG40,MIN(2,SEARCH(" ",$AG40)-1)),IF(SEARCH(" ",$AG40)-1&gt;2,".",""),""),"")</f>
        <v/>
      </c>
      <c r="BJ40" s="66" t="str">
        <f ca="1">IF(BI40&lt;&gt;"",COUNTIF(OFFSET(BI$2,,,COUNTIF($AG$2:$AG$50,"?*")),BI40),IF($AG40&lt;&gt;"",0,""))</f>
        <v/>
      </c>
      <c r="BK40" s="3" t="str">
        <f ca="1">IF(AND($AG40&lt;&gt;"",BJ40&gt;1),CONCATENATE($BD40," ",LEFT($AG40,MIN(3,SEARCH(" ",$AG40)-1)),IF(SEARCH(" ",$AG40)-1&gt;3,".",""),""),"")</f>
        <v/>
      </c>
      <c r="BL40" s="66" t="str">
        <f ca="1">IF(BK40&lt;&gt;"",COUNTIF(OFFSET(BK$2,,,COUNTIF($AG$2:$AG$50,"?*")),BK40),IF($AG40&lt;&gt;"",0,""))</f>
        <v/>
      </c>
      <c r="BM40" s="3" t="str">
        <f ca="1">IF(AND($AG40&lt;&gt;"",BL40&gt;1),CONCATENATE($BD40," ",LEFT($AG40,MIN(4,SEARCH(" ",$AG40)-1)),IF(SEARCH(" ",$AG40)-1&gt;4,".",""),""),"")</f>
        <v/>
      </c>
    </row>
    <row r="41" spans="1:65" ht="15" customHeight="1" thickBot="1" x14ac:dyDescent="0.25">
      <c r="A41" s="14" t="str">
        <f ca="1">IFERROR(IF(VLOOKUP(A40,OFFSET($AG$2,,,COUNTIF($AG$2:$AG$50,"?*"),23),7,FALSE)&lt;&gt;0,VLOOKUP(A40,OFFSET($AG$2,,,COUNTIF($AG$2:$AG$50,"?*"),23),7,FALSE),"?"),"")</f>
        <v/>
      </c>
      <c r="B41" s="252" t="str">
        <f ca="1">IFERROR(IF(VLOOKUP(A40,OFFSET($AG$2,,,COUNTIF($AG$2:$AG$50,"?*"),23),2,FALSE)&lt;&gt;0,YEAR(VLOOKUP(A40,OFFSET($AG$2,,,COUNTIF($AG$2:$AG$50,"?*"),23),2,FALSE)),"?"),"")</f>
        <v/>
      </c>
      <c r="C41" s="261"/>
      <c r="D41" s="5" t="str">
        <f ca="1">IFERROR(VLOOKUP(A40,OFFSET($AG$2,,,COUNTIF($AG$2:$AG$50,"?*"),23),15,FALSE),"")</f>
        <v/>
      </c>
      <c r="E41" s="251" t="str">
        <f ca="1">IFERROR(VLOOKUP(A40,OFFSET($AG$2,,,COUNTIF($AG$2:$AG$50,"?*"),23),16,FALSE),"")</f>
        <v/>
      </c>
      <c r="F41" s="253"/>
      <c r="H41" s="301"/>
      <c r="M41" s="8"/>
      <c r="N41" s="8"/>
      <c r="O41" s="8"/>
      <c r="P41" s="8"/>
      <c r="Q41" s="8"/>
      <c r="R41" s="8"/>
      <c r="S41" s="354"/>
      <c r="T41" s="330"/>
      <c r="U41" s="330"/>
      <c r="V41" s="330"/>
      <c r="W41" s="330"/>
      <c r="X41" s="330"/>
      <c r="Y41" s="330"/>
      <c r="Z41" s="330"/>
      <c r="AA41" s="330"/>
      <c r="AB41" s="330"/>
      <c r="AG41" s="333"/>
      <c r="AH41" s="334"/>
      <c r="AI41" s="335"/>
      <c r="AJ41" s="335"/>
      <c r="AK41" s="335"/>
      <c r="AL41" s="335"/>
      <c r="AM41" s="335"/>
      <c r="AN41" s="335"/>
      <c r="AO41" s="336"/>
      <c r="AP41" s="336"/>
      <c r="AQ41" s="335"/>
      <c r="AR41" s="335"/>
      <c r="AS41" s="337"/>
      <c r="AT41" s="335"/>
      <c r="AU41" s="130" t="str">
        <f ca="1">IF(AG41&lt;&gt;"",IF(AH41&lt;&gt;"",INT((TODAY()-AH41)/365),"?"),"")</f>
        <v/>
      </c>
      <c r="AV41" s="130" t="str">
        <f>IF(AG41&lt;&gt;"",CONCATENATE(IF(AQ41&lt;&gt;"",AQ41,"? "),"/",IF(AR41&lt;&gt;"",AR41," ?")),"")</f>
        <v/>
      </c>
      <c r="AW41" s="131" t="str">
        <f>IF(AG41&lt;&gt;"",IF(BE41=1,BD41,IF(BH41,BG41,IF(BJ41=1,BI41,IF(BL41=1,BK41,BM41)))),"")</f>
        <v/>
      </c>
      <c r="AX41" s="132" t="str">
        <f ca="1">IFERROR(IF(MATCH(AG41,OFFSET($S$45,,,COUNTIF($S$45:$S$50,"?*")),0)&gt;0,CONCATENATE(VLOOKUP(AG41,OFFSET($S$45,,,COUNTIF($S$45:$S$50,"?*"),14),4,FALSE)," V, ",VLOOKUP(AG41,OFFSET($S$45,,,COUNTIF($S$45:$S$50,"?*"),14),9,FALSE)," P"),""),IFERROR(CONCATENATE(VLOOKUP(AG41,OFFSET($S$2,,,COUNTIF($S$2:$S$42,"?*"),10),3,FALSE)+AZ41," OZ, ",VLOOKUP(AG41,OFFSET($S$2,,,COUNTIF($S$2:$S$42,"?*"),10),8,FALSE)+BA41+BB41," (",VLOOKUP(AG41,OFFSET($S$2,,,COUNTIF($S$2:$S$42,"?*"),10),4,FALSE)+BA41,"+",VLOOKUP(AG41,OFFSET($S$2,,,COUNTIF($S$2:$S$42,"?*"),10),7,FALSE)+BB41,"), ",IF(VLOOKUP(AG41,OFFSET($S$2,,,COUNTIF($S$2:$S$42,"?*"),10),10,FALSE)+BC41&gt;0,"+",""),VLOOKUP(AG41,OFFSET($S$2,,,COUNTIF($S$2:$S$42,"?*"),10),10,FALSE)+BC41," ±"),IF(AG41&lt;&gt;"","0 OZ, 0 (0+0)","")))</f>
        <v/>
      </c>
      <c r="AY41" s="132" t="str">
        <f ca="1">IFERROR(CONCATENATE(AI41+VLOOKUP(AG41,OFFSET($S$45,,,COUNTIF($S$45:$S$50,"?*"),14),2,FALSE)," OZ, ",AK41+VLOOKUP(AG41,OFFSET($S$45,,,COUNTIF($S$45:$S$50,"?*"),14),11,FALSE)," A"),IFERROR(CONCATENATE(VLOOKUP(AG41,OFFSET($S$2,,,COUNTIF($S$2:$S$42,"?*"),10),3,FALSE)+AZ41+AI41," OZ, ",VLOOKUP(AG41,OFFSET($S$2,,,COUNTIF($S$2:$S$42,"?*"),10),8,FALSE)+BA41+BB41+AL41," (",VLOOKUP(AG41,OFFSET($S$2,,,COUNTIF($S$2:$S$42,"?*"),10),4,FALSE)+BA41+AJ41,"+",VLOOKUP(AG41,OFFSET($S$2,,,COUNTIF($S$2:$S$42,"?*"),10),7,FALSE)+BB41+AK41,")"),IF(AG41&lt;&gt;"",CONCATENATE(AI41," OZ, ",AL41," (",AJ41,"+",AK41,")"),"")))</f>
        <v/>
      </c>
      <c r="AZ41" s="132"/>
      <c r="BA41" s="132"/>
      <c r="BB41" s="132"/>
      <c r="BC41" s="132"/>
      <c r="BD41" s="129" t="str">
        <f>IF(AG41&lt;&gt;"",RIGHT(AG41,LEN(AG41)-SEARCH(" ",AG41)),"")</f>
        <v/>
      </c>
      <c r="BE41" s="132" t="str">
        <f ca="1">IF(AG41&lt;&gt;"",COUNTIF(OFFSET($BD$2,,,COUNTIF($AG$2:$AG$50,"?*")),BD41),"")</f>
        <v/>
      </c>
      <c r="BF41" s="130" t="str">
        <f>IF(AG41&lt;&gt;"",LEFT(AG41,1),"")</f>
        <v/>
      </c>
      <c r="BG41" s="129" t="str">
        <f ca="1">IF(AND($AG41&lt;&gt;"",BE41&gt;1),CONCATENATE($BD41," ",LEFT($AG41,MIN(1,SEARCH(" ",$AG41)-1)),IF(SEARCH(" ",$AG41)-1&gt;1,".",""),""),"")</f>
        <v/>
      </c>
      <c r="BH41" s="130" t="str">
        <f ca="1">IF(BG41&lt;&gt;"",COUNTIF(OFFSET(BG$2,,,COUNTIF($AG$2:$AG$50,"?*")),BG41),IF($AG41&lt;&gt;"",0,""))</f>
        <v/>
      </c>
      <c r="BI41" s="129" t="str">
        <f ca="1">IF(AND($AG41&lt;&gt;"",BH41&gt;1),CONCATENATE($BD41," ",LEFT($AG41,MIN(2,SEARCH(" ",$AG41)-1)),IF(SEARCH(" ",$AG41)-1&gt;2,".",""),""),"")</f>
        <v/>
      </c>
      <c r="BJ41" s="130" t="str">
        <f ca="1">IF(BI41&lt;&gt;"",COUNTIF(OFFSET(BI$2,,,COUNTIF($AG$2:$AG$50,"?*")),BI41),IF($AG41&lt;&gt;"",0,""))</f>
        <v/>
      </c>
      <c r="BK41" s="129" t="str">
        <f ca="1">IF(AND($AG41&lt;&gt;"",BJ41&gt;1),CONCATENATE($BD41," ",LEFT($AG41,MIN(3,SEARCH(" ",$AG41)-1)),IF(SEARCH(" ",$AG41)-1&gt;3,".",""),""),"")</f>
        <v/>
      </c>
      <c r="BL41" s="130" t="str">
        <f ca="1">IF(BK41&lt;&gt;"",COUNTIF(OFFSET(BK$2,,,COUNTIF($AG$2:$AG$50,"?*")),BK41),IF($AG41&lt;&gt;"",0,""))</f>
        <v/>
      </c>
      <c r="BM41" s="129" t="str">
        <f ca="1">IF(AND($AG41&lt;&gt;"",BL41&gt;1),CONCATENATE($BD41," ",LEFT($AG41,MIN(4,SEARCH(" ",$AG41)-1)),IF(SEARCH(" ",$AG41)-1&gt;4,".",""),""),"")</f>
        <v/>
      </c>
    </row>
    <row r="42" spans="1:65" ht="15" customHeight="1" thickTop="1" thickBot="1" x14ac:dyDescent="0.25">
      <c r="A42" s="16" t="str">
        <f ca="1">IFERROR(VLOOKUP(A40,OFFSET($S$45,,,COUNTIF($S$45:$S$50,"?*"),14),2,FALSE),"")</f>
        <v/>
      </c>
      <c r="B42" s="308" t="str">
        <f ca="1">IFERROR(VLOOKUP(A40,OFFSET($AG$2,,,COUNTIF($AG$2:$AG$50,"?*"),23),18,FALSE),"")</f>
        <v/>
      </c>
      <c r="C42" s="308"/>
      <c r="D42" s="309" t="str">
        <f ca="1">IFERROR(VLOOKUP(A40,OFFSET($S$45,,,COUNTIF($S$45:$S$50,"?*"),14),5,FALSE),"")</f>
        <v/>
      </c>
      <c r="E42" s="310"/>
      <c r="F42" s="17" t="str">
        <f ca="1">IFERROR(VLOOKUP(A40,OFFSET($S$45,,,COUNTIF($S$45:$S$50,"?*"),14),14,FALSE),"")</f>
        <v/>
      </c>
      <c r="H42" s="301"/>
      <c r="J42" s="294"/>
      <c r="K42" s="295"/>
      <c r="L42" s="295"/>
      <c r="M42" s="295"/>
      <c r="N42" s="295"/>
      <c r="O42" s="295"/>
      <c r="P42" s="295"/>
      <c r="Q42" s="1"/>
      <c r="R42" s="2"/>
      <c r="S42" s="354"/>
      <c r="T42" s="330"/>
      <c r="U42" s="330"/>
      <c r="V42" s="330"/>
      <c r="W42" s="330"/>
      <c r="X42" s="330"/>
      <c r="Y42" s="330"/>
      <c r="Z42" s="330"/>
      <c r="AA42" s="330"/>
      <c r="AB42" s="330"/>
      <c r="AG42" s="328"/>
      <c r="AH42" s="329"/>
      <c r="AI42" s="330"/>
      <c r="AJ42" s="330"/>
      <c r="AK42" s="330"/>
      <c r="AL42" s="330"/>
      <c r="AM42" s="330"/>
      <c r="AN42" s="330"/>
      <c r="AO42" s="331"/>
      <c r="AP42" s="331"/>
      <c r="AQ42" s="330"/>
      <c r="AR42" s="330"/>
      <c r="AS42" s="332"/>
      <c r="AT42" s="330"/>
      <c r="AU42" s="66" t="str">
        <f ca="1">IF(AG42&lt;&gt;"",IF(AH42&lt;&gt;"",INT((TODAY()-AH42)/365),"?"),"")</f>
        <v/>
      </c>
      <c r="AV42" s="66" t="str">
        <f>IF(AG42&lt;&gt;"",CONCATENATE(IF(AQ42&lt;&gt;"",AQ42,"? "),"/",IF(AR42&lt;&gt;"",AR42," ?")),"")</f>
        <v/>
      </c>
      <c r="AW42" s="128" t="str">
        <f>IF(AG42&lt;&gt;"",IF(BE42=1,BD42,IF(BH42,BG42,IF(BJ42=1,BI42,IF(BL42=1,BK42,BM42)))),"")</f>
        <v/>
      </c>
      <c r="AX42" s="123" t="str">
        <f ca="1">IFERROR(IF(MATCH(AG42,OFFSET($S$45,,,COUNTIF($S$45:$S$50,"?*")),0)&gt;0,CONCATENATE(VLOOKUP(AG42,OFFSET($S$45,,,COUNTIF($S$45:$S$50,"?*"),14),4,FALSE)," V, ",VLOOKUP(AG42,OFFSET($S$45,,,COUNTIF($S$45:$S$50,"?*"),14),9,FALSE)," P"),""),IFERROR(CONCATENATE(VLOOKUP(AG42,OFFSET($S$2,,,COUNTIF($S$2:$S$42,"?*"),10),3,FALSE)+AZ42," OZ, ",VLOOKUP(AG42,OFFSET($S$2,,,COUNTIF($S$2:$S$42,"?*"),10),8,FALSE)+BA42+BB42," (",VLOOKUP(AG42,OFFSET($S$2,,,COUNTIF($S$2:$S$42,"?*"),10),4,FALSE)+BA42,"+",VLOOKUP(AG42,OFFSET($S$2,,,COUNTIF($S$2:$S$42,"?*"),10),7,FALSE)+BB42,"), ",IF(VLOOKUP(AG42,OFFSET($S$2,,,COUNTIF($S$2:$S$42,"?*"),10),10,FALSE)+BC42&gt;0,"+",""),VLOOKUP(AG42,OFFSET($S$2,,,COUNTIF($S$2:$S$42,"?*"),10),10,FALSE)+BC42," ±"),IF(AG42&lt;&gt;"","0 OZ, 0 (0+0)","")))</f>
        <v/>
      </c>
      <c r="AY42" s="123" t="str">
        <f ca="1">IFERROR(CONCATENATE(AI42+VLOOKUP(AG42,OFFSET($S$45,,,COUNTIF($S$45:$S$50,"?*"),14),2,FALSE)," OZ, ",AK42+VLOOKUP(AG42,OFFSET($S$45,,,COUNTIF($S$45:$S$50,"?*"),14),11,FALSE)," A"),IFERROR(CONCATENATE(VLOOKUP(AG42,OFFSET($S$2,,,COUNTIF($S$2:$S$42,"?*"),10),3,FALSE)+AZ42+AI42," OZ, ",VLOOKUP(AG42,OFFSET($S$2,,,COUNTIF($S$2:$S$42,"?*"),10),8,FALSE)+BA42+BB42+AL42," (",VLOOKUP(AG42,OFFSET($S$2,,,COUNTIF($S$2:$S$42,"?*"),10),4,FALSE)+BA42+AJ42,"+",VLOOKUP(AG42,OFFSET($S$2,,,COUNTIF($S$2:$S$42,"?*"),10),7,FALSE)+BB42+AK42,")"),IF(AG42&lt;&gt;"",CONCATENATE(AI42," OZ, ",AL42," (",AJ42,"+",AK42,")"),"")))</f>
        <v/>
      </c>
      <c r="BD42" s="3" t="str">
        <f>IF(AG42&lt;&gt;"",RIGHT(AG42,LEN(AG42)-SEARCH(" ",AG42)),"")</f>
        <v/>
      </c>
      <c r="BE42" s="123" t="str">
        <f ca="1">IF(AG42&lt;&gt;"",COUNTIF(OFFSET($BD$2,,,COUNTIF($AG$2:$AG$50,"?*")),BD42),"")</f>
        <v/>
      </c>
      <c r="BF42" s="66" t="str">
        <f>IF(AG42&lt;&gt;"",LEFT(AG42,1),"")</f>
        <v/>
      </c>
      <c r="BG42" s="3" t="str">
        <f ca="1">IF(AND($AG42&lt;&gt;"",BE42&gt;1),CONCATENATE($BD42," ",LEFT($AG42,MIN(1,SEARCH(" ",$AG42)-1)),IF(SEARCH(" ",$AG42)-1&gt;1,".",""),""),"")</f>
        <v/>
      </c>
      <c r="BH42" s="66" t="str">
        <f ca="1">IF(BG42&lt;&gt;"",COUNTIF(OFFSET(BG$2,,,COUNTIF($AG$2:$AG$50,"?*")),BG42),IF($AG42&lt;&gt;"",0,""))</f>
        <v/>
      </c>
      <c r="BI42" s="3" t="str">
        <f ca="1">IF(AND($AG42&lt;&gt;"",BH42&gt;1),CONCATENATE($BD42," ",LEFT($AG42,MIN(2,SEARCH(" ",$AG42)-1)),IF(SEARCH(" ",$AG42)-1&gt;2,".",""),""),"")</f>
        <v/>
      </c>
      <c r="BJ42" s="66" t="str">
        <f ca="1">IF(BI42&lt;&gt;"",COUNTIF(OFFSET(BI$2,,,COUNTIF($AG$2:$AG$50,"?*")),BI42),IF($AG42&lt;&gt;"",0,""))</f>
        <v/>
      </c>
      <c r="BK42" s="3" t="str">
        <f ca="1">IF(AND($AG42&lt;&gt;"",BJ42&gt;1),CONCATENATE($BD42," ",LEFT($AG42,MIN(3,SEARCH(" ",$AG42)-1)),IF(SEARCH(" ",$AG42)-1&gt;3,".",""),""),"")</f>
        <v/>
      </c>
      <c r="BL42" s="66" t="str">
        <f ca="1">IF(BK42&lt;&gt;"",COUNTIF(OFFSET(BK$2,,,COUNTIF($AG$2:$AG$50,"?*")),BK42),IF($AG42&lt;&gt;"",0,""))</f>
        <v/>
      </c>
      <c r="BM42" s="3" t="str">
        <f ca="1">IF(AND($AG42&lt;&gt;"",BL42&gt;1),CONCATENATE($BD42," ",LEFT($AG42,MIN(4,SEARCH(" ",$AG42)-1)),IF(SEARCH(" ",$AG42)-1&gt;4,".",""),""),"")</f>
        <v/>
      </c>
    </row>
    <row r="43" spans="1:65" ht="15" customHeight="1" thickBot="1" x14ac:dyDescent="0.25">
      <c r="A43" s="303" t="str">
        <f ca="1">IFERROR(VLOOKUP(A40,OFFSET($S$45,,,COUNTIF($S$45:$S$50,"?*"),14),3,FALSE),"")</f>
        <v/>
      </c>
      <c r="B43" s="304"/>
      <c r="C43" s="305" t="str">
        <f ca="1">IFERROR(VLOOKUP(A40,OFFSET($S$45,,,COUNTIF($S$45:$S$50,"?*"),14),13,FALSE),"")</f>
        <v/>
      </c>
      <c r="D43" s="306"/>
      <c r="E43" s="282" t="str">
        <f ca="1">IFERROR(VLOOKUP(A40,OFFSET($AG$2,,,COUNTIF($AG$2:$AG$50,"?*"),23),19,FALSE),"")</f>
        <v/>
      </c>
      <c r="F43" s="283"/>
      <c r="H43" s="301"/>
      <c r="J43" s="4" t="str">
        <f ca="1">IFERROR(IF(VLOOKUP(J42,OFFSET($AG$2,,,COUNTIF($AG$2:$AG$50,"?*"),23),10,FALSE)&lt;&gt;0,VLOOKUP(J42,OFFSET($AG$2,,,COUNTIF($AG$2:$AG$50,"?*"),23),10,FALSE),"?"),"")</f>
        <v/>
      </c>
      <c r="K43" s="261" t="str">
        <f ca="1">IFERROR(IF(VLOOKUP(J42,OFFSET($AG$2,,,COUNTIF($AG$2:$AG$50,"?*"),23),2,FALSE)&lt;&gt;0,YEAR(VLOOKUP(J42,OFFSET($AG$2,,,COUNTIF($AG$2:$AG$50,"?*"),23),2,FALSE)),"?"),"")</f>
        <v/>
      </c>
      <c r="L43" s="302"/>
      <c r="M43" s="15" t="str">
        <f ca="1">IFERROR(VLOOKUP(J42,OFFSET($AG$2,,,COUNTIF($AG$2:$AG$50,"?*"),23),15,FALSE),"")</f>
        <v/>
      </c>
      <c r="N43" s="302" t="str">
        <f ca="1">IFERROR(VLOOKUP(J42,OFFSET($AG$2,,,COUNTIF($AG$2:$AG$50,"?*"),23),16,FALSE),"")</f>
        <v/>
      </c>
      <c r="O43" s="302"/>
      <c r="P43" s="302" t="str">
        <f ca="1">IFERROR(VLOOKUP(P41,OFFSET($AG$2,,,COUNTIF($AG$2:$AG$50,"?*"),23),18,FALSE),"")</f>
        <v/>
      </c>
      <c r="Q43" s="302"/>
      <c r="R43" s="307"/>
      <c r="AG43" s="333"/>
      <c r="AH43" s="334"/>
      <c r="AI43" s="335"/>
      <c r="AJ43" s="335"/>
      <c r="AK43" s="335"/>
      <c r="AL43" s="335"/>
      <c r="AM43" s="335"/>
      <c r="AN43" s="335"/>
      <c r="AO43" s="336"/>
      <c r="AP43" s="336"/>
      <c r="AQ43" s="335"/>
      <c r="AR43" s="335"/>
      <c r="AS43" s="337"/>
      <c r="AT43" s="335"/>
      <c r="AU43" s="130" t="str">
        <f ca="1">IF(AG43&lt;&gt;"",IF(AH43&lt;&gt;"",INT((TODAY()-AH43)/365),"?"),"")</f>
        <v/>
      </c>
      <c r="AV43" s="130" t="str">
        <f>IF(AG43&lt;&gt;"",CONCATENATE(IF(AQ43&lt;&gt;"",AQ43,"? "),"/",IF(AR43&lt;&gt;"",AR43," ?")),"")</f>
        <v/>
      </c>
      <c r="AW43" s="131" t="str">
        <f>IF(AG43&lt;&gt;"",IF(BE43=1,BD43,IF(BH43,BG43,IF(BJ43=1,BI43,IF(BL43=1,BK43,BM43)))),"")</f>
        <v/>
      </c>
      <c r="AX43" s="132" t="str">
        <f ca="1">IFERROR(IF(MATCH(AG43,OFFSET($S$45,,,COUNTIF($S$45:$S$50,"?*")),0)&gt;0,CONCATENATE(VLOOKUP(AG43,OFFSET($S$45,,,COUNTIF($S$45:$S$50,"?*"),14),4,FALSE)," V, ",VLOOKUP(AG43,OFFSET($S$45,,,COUNTIF($S$45:$S$50,"?*"),14),9,FALSE)," P"),""),IFERROR(CONCATENATE(VLOOKUP(AG43,OFFSET($S$2,,,COUNTIF($S$2:$S$42,"?*"),10),3,FALSE)+AZ43," OZ, ",VLOOKUP(AG43,OFFSET($S$2,,,COUNTIF($S$2:$S$42,"?*"),10),8,FALSE)+BA43+BB43," (",VLOOKUP(AG43,OFFSET($S$2,,,COUNTIF($S$2:$S$42,"?*"),10),4,FALSE)+BA43,"+",VLOOKUP(AG43,OFFSET($S$2,,,COUNTIF($S$2:$S$42,"?*"),10),7,FALSE)+BB43,"), ",IF(VLOOKUP(AG43,OFFSET($S$2,,,COUNTIF($S$2:$S$42,"?*"),10),10,FALSE)+BC43&gt;0,"+",""),VLOOKUP(AG43,OFFSET($S$2,,,COUNTIF($S$2:$S$42,"?*"),10),10,FALSE)+BC43," ±"),IF(AG43&lt;&gt;"","0 OZ, 0 (0+0)","")))</f>
        <v/>
      </c>
      <c r="AY43" s="132" t="str">
        <f ca="1">IFERROR(CONCATENATE(AI43+VLOOKUP(AG43,OFFSET($S$45,,,COUNTIF($S$45:$S$50,"?*"),14),2,FALSE)," OZ, ",AK43+VLOOKUP(AG43,OFFSET($S$45,,,COUNTIF($S$45:$S$50,"?*"),14),11,FALSE)," A"),IFERROR(CONCATENATE(VLOOKUP(AG43,OFFSET($S$2,,,COUNTIF($S$2:$S$42,"?*"),10),3,FALSE)+AZ43+AI43," OZ, ",VLOOKUP(AG43,OFFSET($S$2,,,COUNTIF($S$2:$S$42,"?*"),10),8,FALSE)+BA43+BB43+AL43," (",VLOOKUP(AG43,OFFSET($S$2,,,COUNTIF($S$2:$S$42,"?*"),10),4,FALSE)+BA43+AJ43,"+",VLOOKUP(AG43,OFFSET($S$2,,,COUNTIF($S$2:$S$42,"?*"),10),7,FALSE)+BB43+AK43,")"),IF(AG43&lt;&gt;"",CONCATENATE(AI43," OZ, ",AL43," (",AJ43,"+",AK43,")"),"")))</f>
        <v/>
      </c>
      <c r="AZ43" s="132"/>
      <c r="BA43" s="132"/>
      <c r="BB43" s="132"/>
      <c r="BC43" s="132"/>
      <c r="BD43" s="129" t="str">
        <f>IF(AG43&lt;&gt;"",RIGHT(AG43,LEN(AG43)-SEARCH(" ",AG43)),"")</f>
        <v/>
      </c>
      <c r="BE43" s="132" t="str">
        <f ca="1">IF(AG43&lt;&gt;"",COUNTIF(OFFSET($BD$2,,,COUNTIF($AG$2:$AG$50,"?*")),BD43),"")</f>
        <v/>
      </c>
      <c r="BF43" s="130" t="str">
        <f>IF(AG43&lt;&gt;"",LEFT(AG43,1),"")</f>
        <v/>
      </c>
      <c r="BG43" s="129" t="str">
        <f ca="1">IF(AND($AG43&lt;&gt;"",BE43&gt;1),CONCATENATE($BD43," ",LEFT($AG43,MIN(1,SEARCH(" ",$AG43)-1)),IF(SEARCH(" ",$AG43)-1&gt;1,".",""),""),"")</f>
        <v/>
      </c>
      <c r="BH43" s="130" t="str">
        <f ca="1">IF(BG43&lt;&gt;"",COUNTIF(OFFSET(BG$2,,,COUNTIF($AG$2:$AG$50,"?*")),BG43),IF($AG43&lt;&gt;"",0,""))</f>
        <v/>
      </c>
      <c r="BI43" s="129" t="str">
        <f ca="1">IF(AND($AG43&lt;&gt;"",BH43&gt;1),CONCATENATE($BD43," ",LEFT($AG43,MIN(2,SEARCH(" ",$AG43)-1)),IF(SEARCH(" ",$AG43)-1&gt;2,".",""),""),"")</f>
        <v/>
      </c>
      <c r="BJ43" s="130" t="str">
        <f ca="1">IF(BI43&lt;&gt;"",COUNTIF(OFFSET(BI$2,,,COUNTIF($AG$2:$AG$50,"?*")),BI43),IF($AG43&lt;&gt;"",0,""))</f>
        <v/>
      </c>
      <c r="BK43" s="129" t="str">
        <f ca="1">IF(AND($AG43&lt;&gt;"",BJ43&gt;1),CONCATENATE($BD43," ",LEFT($AG43,MIN(3,SEARCH(" ",$AG43)-1)),IF(SEARCH(" ",$AG43)-1&gt;3,".",""),""),"")</f>
        <v/>
      </c>
      <c r="BL43" s="130" t="str">
        <f ca="1">IF(BK43&lt;&gt;"",COUNTIF(OFFSET(BK$2,,,COUNTIF($AG$2:$AG$50,"?*")),BK43),IF($AG43&lt;&gt;"",0,""))</f>
        <v/>
      </c>
      <c r="BM43" s="129" t="str">
        <f ca="1">IF(AND($AG43&lt;&gt;"",BL43&gt;1),CONCATENATE($BD43," ",LEFT($AG43,MIN(4,SEARCH(" ",$AG43)-1)),IF(SEARCH(" ",$AG43)-1&gt;4,".",""),""),"")</f>
        <v/>
      </c>
    </row>
    <row r="44" spans="1:65" ht="15" customHeight="1" thickBot="1" x14ac:dyDescent="0.25">
      <c r="A44" s="297" t="str">
        <f ca="1">IFERROR(IF(VLOOKUP(A40,OFFSET($AG$2,,,COUNTIF($AG$2:$AG$50,"?*"),23),13,FALSE)&lt;&gt;0,VLOOKUP(A40,OFFSET($AG$2,,,COUNTIF($AG$2:$AG$50,"?*"),23),13,FALSE),"?"),"")</f>
        <v/>
      </c>
      <c r="B44" s="298"/>
      <c r="C44" s="299"/>
      <c r="D44" s="288" t="str">
        <f ca="1">IFERROR(IF(VLOOKUP(A40,OFFSET($AG$2,,,COUNTIF($AG$2:$AG$50,"?*"),23),14,FALSE)&lt;&gt;0,VLOOKUP(A40,OFFSET($AG$2,,,COUNTIF($AG$2:$AG$50,"?*"),23),14,FALSE),"?"),"")</f>
        <v/>
      </c>
      <c r="E44" s="287"/>
      <c r="F44" s="19" t="str">
        <f ca="1">IFERROR(VLOOKUP(A40,OFFSET($S$45,,,COUNTIF($S$45:$S$50,"?*"),14),6,FALSE),"")</f>
        <v/>
      </c>
      <c r="H44" s="301"/>
      <c r="J44" s="18" t="str">
        <f ca="1">IFERROR(IF(VLOOKUP(E41,OFFSET($AG$2,,,COUNTIF($AG$2:$AG$50,"?*"),23),7,FALSE)&lt;&gt;0,VLOOKUP(E41,OFFSET($AG$2,,,COUNTIF($AG$2:$AG$50,"?*"),23),7,FALSE),"?"),"")</f>
        <v/>
      </c>
      <c r="K44" s="311" t="str">
        <f ca="1">IFERROR(VLOOKUP(H42,OFFSET($AG$2,,,COUNTIF($AG$2:$AG$50,"?*"),23),19,FALSE),"")</f>
        <v/>
      </c>
      <c r="L44" s="311"/>
      <c r="M44" s="311"/>
      <c r="N44" s="312" t="str">
        <f ca="1">IFERROR(IF(VLOOKUP(N41,OFFSET($AG$2,,,COUNTIF($AG$2:$AG$50,"?*"),23),13,FALSE)&lt;&gt;0,VLOOKUP(N41,OFFSET($AG$2,,,COUNTIF($AG$2:$AG$50,"?*"),23),13,FALSE),"?"),"")</f>
        <v/>
      </c>
      <c r="O44" s="312"/>
      <c r="P44" s="312"/>
      <c r="Q44" s="311" t="str">
        <f ca="1">IFERROR(IF(VLOOKUP(N41,OFFSET($AG$2,,,COUNTIF($AG$2:$AG$50,"?*"),23),14,FALSE)&lt;&gt;0,VLOOKUP(N41,OFFSET($AG$2,,,COUNTIF($AG$2:$AG$50,"?*"),23),14,FALSE),"?"),"")</f>
        <v/>
      </c>
      <c r="R44" s="313"/>
      <c r="S44" s="68" t="s">
        <v>142</v>
      </c>
      <c r="T44" s="124" t="s">
        <v>89</v>
      </c>
      <c r="U44" s="124" t="s">
        <v>146</v>
      </c>
      <c r="V44" s="124" t="s">
        <v>26</v>
      </c>
      <c r="W44" s="124" t="s">
        <v>148</v>
      </c>
      <c r="X44" s="124" t="s">
        <v>147</v>
      </c>
      <c r="Y44" s="124" t="s">
        <v>73</v>
      </c>
      <c r="Z44" s="124" t="s">
        <v>149</v>
      </c>
      <c r="AA44" s="124" t="s">
        <v>27</v>
      </c>
      <c r="AB44" s="124" t="s">
        <v>60</v>
      </c>
      <c r="AC44" s="124" t="s">
        <v>144</v>
      </c>
      <c r="AD44" s="124" t="s">
        <v>31</v>
      </c>
      <c r="AE44" s="67" t="s">
        <v>40</v>
      </c>
      <c r="AF44" s="67" t="s">
        <v>150</v>
      </c>
      <c r="AG44" s="328"/>
      <c r="AH44" s="329"/>
      <c r="AI44" s="330"/>
      <c r="AJ44" s="330"/>
      <c r="AK44" s="330"/>
      <c r="AL44" s="330"/>
      <c r="AM44" s="330"/>
      <c r="AN44" s="330"/>
      <c r="AO44" s="331"/>
      <c r="AP44" s="331"/>
      <c r="AQ44" s="330"/>
      <c r="AR44" s="330"/>
      <c r="AS44" s="332"/>
      <c r="AT44" s="330"/>
      <c r="AU44" s="66" t="str">
        <f ca="1">IF(AG44&lt;&gt;"",IF(AH44&lt;&gt;"",INT((TODAY()-AH44)/365),"?"),"")</f>
        <v/>
      </c>
      <c r="AV44" s="66" t="str">
        <f>IF(AG44&lt;&gt;"",CONCATENATE(IF(AQ44&lt;&gt;"",AQ44,"? "),"/",IF(AR44&lt;&gt;"",AR44," ?")),"")</f>
        <v/>
      </c>
      <c r="AW44" s="128" t="str">
        <f>IF(AG44&lt;&gt;"",IF(BE44=1,BD44,IF(BH44,BG44,IF(BJ44=1,BI44,IF(BL44=1,BK44,BM44)))),"")</f>
        <v/>
      </c>
      <c r="AX44" s="123" t="str">
        <f ca="1">IFERROR(IF(MATCH(AG44,OFFSET($S$45,,,COUNTIF($S$45:$S$50,"?*")),0)&gt;0,CONCATENATE(VLOOKUP(AG44,OFFSET($S$45,,,COUNTIF($S$45:$S$50,"?*"),14),4,FALSE)," V, ",VLOOKUP(AG44,OFFSET($S$45,,,COUNTIF($S$45:$S$50,"?*"),14),9,FALSE)," P"),""),IFERROR(CONCATENATE(VLOOKUP(AG44,OFFSET($S$2,,,COUNTIF($S$2:$S$42,"?*"),10),3,FALSE)+AZ44," OZ, ",VLOOKUP(AG44,OFFSET($S$2,,,COUNTIF($S$2:$S$42,"?*"),10),8,FALSE)+BA44+BB44," (",VLOOKUP(AG44,OFFSET($S$2,,,COUNTIF($S$2:$S$42,"?*"),10),4,FALSE)+BA44,"+",VLOOKUP(AG44,OFFSET($S$2,,,COUNTIF($S$2:$S$42,"?*"),10),7,FALSE)+BB44,"), ",IF(VLOOKUP(AG44,OFFSET($S$2,,,COUNTIF($S$2:$S$42,"?*"),10),10,FALSE)+BC44&gt;0,"+",""),VLOOKUP(AG44,OFFSET($S$2,,,COUNTIF($S$2:$S$42,"?*"),10),10,FALSE)+BC44," ±"),IF(AG44&lt;&gt;"","0 OZ, 0 (0+0)","")))</f>
        <v/>
      </c>
      <c r="AY44" s="123" t="str">
        <f ca="1">IFERROR(CONCATENATE(AI44+VLOOKUP(AG44,OFFSET($S$45,,,COUNTIF($S$45:$S$50,"?*"),14),2,FALSE)," OZ, ",AK44+VLOOKUP(AG44,OFFSET($S$45,,,COUNTIF($S$45:$S$50,"?*"),14),11,FALSE)," A"),IFERROR(CONCATENATE(VLOOKUP(AG44,OFFSET($S$2,,,COUNTIF($S$2:$S$42,"?*"),10),3,FALSE)+AZ44+AI44," OZ, ",VLOOKUP(AG44,OFFSET($S$2,,,COUNTIF($S$2:$S$42,"?*"),10),8,FALSE)+BA44+BB44+AL44," (",VLOOKUP(AG44,OFFSET($S$2,,,COUNTIF($S$2:$S$42,"?*"),10),4,FALSE)+BA44+AJ44,"+",VLOOKUP(AG44,OFFSET($S$2,,,COUNTIF($S$2:$S$42,"?*"),10),7,FALSE)+BB44+AK44,")"),IF(AG44&lt;&gt;"",CONCATENATE(AI44," OZ, ",AL44," (",AJ44,"+",AK44,")"),"")))</f>
        <v/>
      </c>
      <c r="BD44" s="3" t="str">
        <f>IF(AG44&lt;&gt;"",RIGHT(AG44,LEN(AG44)-SEARCH(" ",AG44)),"")</f>
        <v/>
      </c>
      <c r="BE44" s="123" t="str">
        <f ca="1">IF(AG44&lt;&gt;"",COUNTIF(OFFSET($BD$2,,,COUNTIF($AG$2:$AG$50,"?*")),BD44),"")</f>
        <v/>
      </c>
      <c r="BF44" s="66" t="str">
        <f>IF(AG44&lt;&gt;"",LEFT(AG44,1),"")</f>
        <v/>
      </c>
      <c r="BG44" s="3" t="str">
        <f ca="1">IF(AND($AG44&lt;&gt;"",BE44&gt;1),CONCATENATE($BD44," ",LEFT($AG44,MIN(1,SEARCH(" ",$AG44)-1)),IF(SEARCH(" ",$AG44)-1&gt;1,".",""),""),"")</f>
        <v/>
      </c>
      <c r="BH44" s="66" t="str">
        <f ca="1">IF(BG44&lt;&gt;"",COUNTIF(OFFSET(BG$2,,,COUNTIF($AG$2:$AG$50,"?*")),BG44),IF($AG44&lt;&gt;"",0,""))</f>
        <v/>
      </c>
      <c r="BI44" s="3" t="str">
        <f ca="1">IF(AND($AG44&lt;&gt;"",BH44&gt;1),CONCATENATE($BD44," ",LEFT($AG44,MIN(2,SEARCH(" ",$AG44)-1)),IF(SEARCH(" ",$AG44)-1&gt;2,".",""),""),"")</f>
        <v/>
      </c>
      <c r="BJ44" s="66" t="str">
        <f ca="1">IF(BI44&lt;&gt;"",COUNTIF(OFFSET(BI$2,,,COUNTIF($AG$2:$AG$50,"?*")),BI44),IF($AG44&lt;&gt;"",0,""))</f>
        <v/>
      </c>
      <c r="BK44" s="3" t="str">
        <f ca="1">IF(AND($AG44&lt;&gt;"",BJ44&gt;1),CONCATENATE($BD44," ",LEFT($AG44,MIN(3,SEARCH(" ",$AG44)-1)),IF(SEARCH(" ",$AG44)-1&gt;3,".",""),""),"")</f>
        <v/>
      </c>
      <c r="BL44" s="66" t="str">
        <f ca="1">IF(BK44&lt;&gt;"",COUNTIF(OFFSET(BK$2,,,COUNTIF($AG$2:$AG$50,"?*")),BK44),IF($AG44&lt;&gt;"",0,""))</f>
        <v/>
      </c>
      <c r="BM44" s="3" t="str">
        <f ca="1">IF(AND($AG44&lt;&gt;"",BL44&gt;1),CONCATENATE($BD44," ",LEFT($AG44,MIN(4,SEARCH(" ",$AG44)-1)),IF(SEARCH(" ",$AG44)-1&gt;4,".",""),""),"")</f>
        <v/>
      </c>
    </row>
    <row r="45" spans="1:65" ht="15" customHeight="1" thickTop="1" thickBot="1" x14ac:dyDescent="0.25">
      <c r="G45" s="8"/>
      <c r="H45" s="8"/>
      <c r="I45" s="8"/>
      <c r="J45" s="8"/>
      <c r="K45" s="8"/>
      <c r="L45" s="8"/>
      <c r="M45" s="20"/>
      <c r="N45" s="20"/>
      <c r="O45" s="20"/>
      <c r="P45" s="20"/>
      <c r="Q45" s="20"/>
      <c r="R45" s="21"/>
      <c r="S45" s="354" t="s">
        <v>137</v>
      </c>
      <c r="T45" s="330">
        <v>1</v>
      </c>
      <c r="U45" s="355">
        <v>60</v>
      </c>
      <c r="V45" s="330">
        <v>0</v>
      </c>
      <c r="W45" s="330">
        <v>11</v>
      </c>
      <c r="X45" s="330">
        <v>0</v>
      </c>
      <c r="Y45" s="330">
        <v>29</v>
      </c>
      <c r="Z45" s="330">
        <v>0</v>
      </c>
      <c r="AA45" s="330">
        <v>1</v>
      </c>
      <c r="AB45" s="330">
        <v>18</v>
      </c>
      <c r="AC45" s="330">
        <v>0</v>
      </c>
      <c r="AD45" s="330">
        <v>0</v>
      </c>
      <c r="AE45" s="106">
        <f>IF(S45&lt;&gt;"",IF(T45&gt;0,W45/(U45/60),0),"")</f>
        <v>11</v>
      </c>
      <c r="AF45" s="106">
        <f>IF(S45&lt;&gt;"",IF(Y45&gt;0,(AB45/Y45)*100,"-"),"")</f>
        <v>62.068965517241381</v>
      </c>
      <c r="AG45" s="333"/>
      <c r="AH45" s="334"/>
      <c r="AI45" s="335"/>
      <c r="AJ45" s="335"/>
      <c r="AK45" s="335"/>
      <c r="AL45" s="335"/>
      <c r="AM45" s="335"/>
      <c r="AN45" s="335"/>
      <c r="AO45" s="336"/>
      <c r="AP45" s="336"/>
      <c r="AQ45" s="335"/>
      <c r="AR45" s="335"/>
      <c r="AS45" s="337"/>
      <c r="AT45" s="335"/>
      <c r="AU45" s="130" t="str">
        <f ca="1">IF(AG45&lt;&gt;"",IF(AH45&lt;&gt;"",INT((TODAY()-AH45)/365),"?"),"")</f>
        <v/>
      </c>
      <c r="AV45" s="130" t="str">
        <f>IF(AG45&lt;&gt;"",CONCATENATE(IF(AQ45&lt;&gt;"",AQ45,"? "),"/",IF(AR45&lt;&gt;"",AR45," ?")),"")</f>
        <v/>
      </c>
      <c r="AW45" s="131" t="str">
        <f>IF(AG45&lt;&gt;"",IF(BE45=1,BD45,IF(BH45,BG45,IF(BJ45=1,BI45,IF(BL45=1,BK45,BM45)))),"")</f>
        <v/>
      </c>
      <c r="AX45" s="132" t="str">
        <f ca="1">IFERROR(IF(MATCH(AG45,OFFSET($S$45,,,COUNTIF($S$45:$S$50,"?*")),0)&gt;0,CONCATENATE(VLOOKUP(AG45,OFFSET($S$45,,,COUNTIF($S$45:$S$50,"?*"),14),4,FALSE)," V, ",VLOOKUP(AG45,OFFSET($S$45,,,COUNTIF($S$45:$S$50,"?*"),14),9,FALSE)," P"),""),IFERROR(CONCATENATE(VLOOKUP(AG45,OFFSET($S$2,,,COUNTIF($S$2:$S$42,"?*"),10),3,FALSE)+AZ45," OZ, ",VLOOKUP(AG45,OFFSET($S$2,,,COUNTIF($S$2:$S$42,"?*"),10),8,FALSE)+BA45+BB45," (",VLOOKUP(AG45,OFFSET($S$2,,,COUNTIF($S$2:$S$42,"?*"),10),4,FALSE)+BA45,"+",VLOOKUP(AG45,OFFSET($S$2,,,COUNTIF($S$2:$S$42,"?*"),10),7,FALSE)+BB45,"), ",IF(VLOOKUP(AG45,OFFSET($S$2,,,COUNTIF($S$2:$S$42,"?*"),10),10,FALSE)+BC45&gt;0,"+",""),VLOOKUP(AG45,OFFSET($S$2,,,COUNTIF($S$2:$S$42,"?*"),10),10,FALSE)+BC45," ±"),IF(AG45&lt;&gt;"","0 OZ, 0 (0+0)","")))</f>
        <v/>
      </c>
      <c r="AY45" s="132" t="str">
        <f ca="1">IFERROR(CONCATENATE(AI45+VLOOKUP(AG45,OFFSET($S$45,,,COUNTIF($S$45:$S$50,"?*"),14),2,FALSE)," OZ, ",AK45+VLOOKUP(AG45,OFFSET($S$45,,,COUNTIF($S$45:$S$50,"?*"),14),11,FALSE)," A"),IFERROR(CONCATENATE(VLOOKUP(AG45,OFFSET($S$2,,,COUNTIF($S$2:$S$42,"?*"),10),3,FALSE)+AZ45+AI45," OZ, ",VLOOKUP(AG45,OFFSET($S$2,,,COUNTIF($S$2:$S$42,"?*"),10),8,FALSE)+BA45+BB45+AL45," (",VLOOKUP(AG45,OFFSET($S$2,,,COUNTIF($S$2:$S$42,"?*"),10),4,FALSE)+BA45+AJ45,"+",VLOOKUP(AG45,OFFSET($S$2,,,COUNTIF($S$2:$S$42,"?*"),10),7,FALSE)+BB45+AK45,")"),IF(AG45&lt;&gt;"",CONCATENATE(AI45," OZ, ",AL45," (",AJ45,"+",AK45,")"),"")))</f>
        <v/>
      </c>
      <c r="AZ45" s="132"/>
      <c r="BA45" s="132"/>
      <c r="BB45" s="132"/>
      <c r="BC45" s="132"/>
      <c r="BD45" s="129" t="str">
        <f>IF(AG45&lt;&gt;"",RIGHT(AG45,LEN(AG45)-SEARCH(" ",AG45)),"")</f>
        <v/>
      </c>
      <c r="BE45" s="132" t="str">
        <f ca="1">IF(AG45&lt;&gt;"",COUNTIF(OFFSET($BD$2,,,COUNTIF($AG$2:$AG$50,"?*")),BD45),"")</f>
        <v/>
      </c>
      <c r="BF45" s="130" t="str">
        <f>IF(AG45&lt;&gt;"",LEFT(AG45,1),"")</f>
        <v/>
      </c>
      <c r="BG45" s="129" t="str">
        <f ca="1">IF(AND($AG45&lt;&gt;"",BE45&gt;1),CONCATENATE($BD45," ",LEFT($AG45,MIN(1,SEARCH(" ",$AG45)-1)),IF(SEARCH(" ",$AG45)-1&gt;1,".",""),""),"")</f>
        <v/>
      </c>
      <c r="BH45" s="130" t="str">
        <f ca="1">IF(BG45&lt;&gt;"",COUNTIF(OFFSET(BG$2,,,COUNTIF($AG$2:$AG$50,"?*")),BG45),IF($AG45&lt;&gt;"",0,""))</f>
        <v/>
      </c>
      <c r="BI45" s="129" t="str">
        <f ca="1">IF(AND($AG45&lt;&gt;"",BH45&gt;1),CONCATENATE($BD45," ",LEFT($AG45,MIN(2,SEARCH(" ",$AG45)-1)),IF(SEARCH(" ",$AG45)-1&gt;2,".",""),""),"")</f>
        <v/>
      </c>
      <c r="BJ45" s="130" t="str">
        <f ca="1">IF(BI45&lt;&gt;"",COUNTIF(OFFSET(BI$2,,,COUNTIF($AG$2:$AG$50,"?*")),BI45),IF($AG45&lt;&gt;"",0,""))</f>
        <v/>
      </c>
      <c r="BK45" s="129" t="str">
        <f ca="1">IF(AND($AG45&lt;&gt;"",BJ45&gt;1),CONCATENATE($BD45," ",LEFT($AG45,MIN(3,SEARCH(" ",$AG45)-1)),IF(SEARCH(" ",$AG45)-1&gt;3,".",""),""),"")</f>
        <v/>
      </c>
      <c r="BL45" s="130" t="str">
        <f ca="1">IF(BK45&lt;&gt;"",COUNTIF(OFFSET(BK$2,,,COUNTIF($AG$2:$AG$50,"?*")),BK45),IF($AG45&lt;&gt;"",0,""))</f>
        <v/>
      </c>
      <c r="BM45" s="129" t="str">
        <f ca="1">IF(AND($AG45&lt;&gt;"",BL45&gt;1),CONCATENATE($BD45," ",LEFT($AG45,MIN(4,SEARCH(" ",$AG45)-1)),IF(SEARCH(" ",$AG45)-1&gt;4,".",""),""),"")</f>
        <v/>
      </c>
    </row>
    <row r="46" spans="1:65" ht="15" customHeight="1" thickTop="1" thickBot="1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22"/>
      <c r="N46" s="22"/>
      <c r="O46" s="22"/>
      <c r="P46" s="22"/>
      <c r="Q46" s="22"/>
      <c r="R46" s="23"/>
      <c r="S46" s="354" t="s">
        <v>15</v>
      </c>
      <c r="T46" s="330">
        <v>0</v>
      </c>
      <c r="U46" s="355">
        <v>0</v>
      </c>
      <c r="V46" s="330">
        <v>0</v>
      </c>
      <c r="W46" s="330">
        <v>0</v>
      </c>
      <c r="X46" s="330">
        <v>0</v>
      </c>
      <c r="Y46" s="330">
        <v>0</v>
      </c>
      <c r="Z46" s="330">
        <v>0</v>
      </c>
      <c r="AA46" s="330">
        <v>0</v>
      </c>
      <c r="AB46" s="330">
        <v>0</v>
      </c>
      <c r="AC46" s="330">
        <v>0</v>
      </c>
      <c r="AD46" s="330">
        <v>0</v>
      </c>
      <c r="AE46" s="106">
        <f t="shared" ref="AE46:AE50" si="6">IF(S46&lt;&gt;"",IF(T46&gt;0,W46/(U46/60),0),"")</f>
        <v>0</v>
      </c>
      <c r="AF46" s="106" t="str">
        <f t="shared" ref="AF46:AF50" si="7">IF(S46&lt;&gt;"",IF(Y46&gt;0,(AB46/Y46)*100,"-"),"")</f>
        <v>-</v>
      </c>
      <c r="AG46" s="328"/>
      <c r="AH46" s="329"/>
      <c r="AI46" s="330"/>
      <c r="AJ46" s="330"/>
      <c r="AK46" s="330"/>
      <c r="AL46" s="330"/>
      <c r="AM46" s="330"/>
      <c r="AN46" s="330"/>
      <c r="AO46" s="331"/>
      <c r="AP46" s="331"/>
      <c r="AQ46" s="330"/>
      <c r="AR46" s="330"/>
      <c r="AS46" s="332"/>
      <c r="AT46" s="330"/>
      <c r="AU46" s="66" t="str">
        <f ca="1">IF(AG46&lt;&gt;"",IF(AH46&lt;&gt;"",INT((TODAY()-AH46)/365),"?"),"")</f>
        <v/>
      </c>
      <c r="AV46" s="66" t="str">
        <f>IF(AG46&lt;&gt;"",CONCATENATE(IF(AQ46&lt;&gt;"",AQ46,"? "),"/",IF(AR46&lt;&gt;"",AR46," ?")),"")</f>
        <v/>
      </c>
      <c r="AW46" s="128" t="str">
        <f>IF(AG46&lt;&gt;"",IF(BE46=1,BD46,IF(BH46,BG46,IF(BJ46=1,BI46,IF(BL46=1,BK46,BM46)))),"")</f>
        <v/>
      </c>
      <c r="AX46" s="123" t="str">
        <f ca="1">IFERROR(IF(MATCH(AG46,OFFSET($S$45,,,COUNTIF($S$45:$S$50,"?*")),0)&gt;0,CONCATENATE(VLOOKUP(AG46,OFFSET($S$45,,,COUNTIF($S$45:$S$50,"?*"),14),4,FALSE)," V, ",VLOOKUP(AG46,OFFSET($S$45,,,COUNTIF($S$45:$S$50,"?*"),14),9,FALSE)," P"),""),IFERROR(CONCATENATE(VLOOKUP(AG46,OFFSET($S$2,,,COUNTIF($S$2:$S$42,"?*"),10),3,FALSE)+AZ46," OZ, ",VLOOKUP(AG46,OFFSET($S$2,,,COUNTIF($S$2:$S$42,"?*"),10),8,FALSE)+BA46+BB46," (",VLOOKUP(AG46,OFFSET($S$2,,,COUNTIF($S$2:$S$42,"?*"),10),4,FALSE)+BA46,"+",VLOOKUP(AG46,OFFSET($S$2,,,COUNTIF($S$2:$S$42,"?*"),10),7,FALSE)+BB46,"), ",IF(VLOOKUP(AG46,OFFSET($S$2,,,COUNTIF($S$2:$S$42,"?*"),10),10,FALSE)+BC46&gt;0,"+",""),VLOOKUP(AG46,OFFSET($S$2,,,COUNTIF($S$2:$S$42,"?*"),10),10,FALSE)+BC46," ±"),IF(AG46&lt;&gt;"","0 OZ, 0 (0+0)","")))</f>
        <v/>
      </c>
      <c r="AY46" s="123" t="str">
        <f ca="1">IFERROR(CONCATENATE(AI46+VLOOKUP(AG46,OFFSET($S$45,,,COUNTIF($S$45:$S$50,"?*"),14),2,FALSE)," OZ, ",AK46+VLOOKUP(AG46,OFFSET($S$45,,,COUNTIF($S$45:$S$50,"?*"),14),11,FALSE)," A"),IFERROR(CONCATENATE(VLOOKUP(AG46,OFFSET($S$2,,,COUNTIF($S$2:$S$42,"?*"),10),3,FALSE)+AZ46+AI46," OZ, ",VLOOKUP(AG46,OFFSET($S$2,,,COUNTIF($S$2:$S$42,"?*"),10),8,FALSE)+BA46+BB46+AL46," (",VLOOKUP(AG46,OFFSET($S$2,,,COUNTIF($S$2:$S$42,"?*"),10),4,FALSE)+BA46+AJ46,"+",VLOOKUP(AG46,OFFSET($S$2,,,COUNTIF($S$2:$S$42,"?*"),10),7,FALSE)+BB46+AK46,")"),IF(AG46&lt;&gt;"",CONCATENATE(AI46," OZ, ",AL46," (",AJ46,"+",AK46,")"),"")))</f>
        <v/>
      </c>
      <c r="BD46" s="3" t="str">
        <f>IF(AG46&lt;&gt;"",RIGHT(AG46,LEN(AG46)-SEARCH(" ",AG46)),"")</f>
        <v/>
      </c>
      <c r="BE46" s="123" t="str">
        <f ca="1">IF(AG46&lt;&gt;"",COUNTIF(OFFSET($BD$2,,,COUNTIF($AG$2:$AG$50,"?*")),BD46),"")</f>
        <v/>
      </c>
      <c r="BF46" s="66" t="str">
        <f>IF(AG46&lt;&gt;"",LEFT(AG46,1),"")</f>
        <v/>
      </c>
      <c r="BG46" s="3" t="str">
        <f ca="1">IF(AND($AG46&lt;&gt;"",BE46&gt;1),CONCATENATE($BD46," ",LEFT($AG46,MIN(1,SEARCH(" ",$AG46)-1)),IF(SEARCH(" ",$AG46)-1&gt;1,".",""),""),"")</f>
        <v/>
      </c>
      <c r="BH46" s="66" t="str">
        <f ca="1">IF(BG46&lt;&gt;"",COUNTIF(OFFSET(BG$2,,,COUNTIF($AG$2:$AG$50,"?*")),BG46),IF($AG46&lt;&gt;"",0,""))</f>
        <v/>
      </c>
      <c r="BI46" s="3" t="str">
        <f ca="1">IF(AND($AG46&lt;&gt;"",BH46&gt;1),CONCATENATE($BD46," ",LEFT($AG46,MIN(2,SEARCH(" ",$AG46)-1)),IF(SEARCH(" ",$AG46)-1&gt;2,".",""),""),"")</f>
        <v/>
      </c>
      <c r="BJ46" s="66" t="str">
        <f ca="1">IF(BI46&lt;&gt;"",COUNTIF(OFFSET(BI$2,,,COUNTIF($AG$2:$AG$50,"?*")),BI46),IF($AG46&lt;&gt;"",0,""))</f>
        <v/>
      </c>
      <c r="BK46" s="3" t="str">
        <f ca="1">IF(AND($AG46&lt;&gt;"",BJ46&gt;1),CONCATENATE($BD46," ",LEFT($AG46,MIN(3,SEARCH(" ",$AG46)-1)),IF(SEARCH(" ",$AG46)-1&gt;3,".",""),""),"")</f>
        <v/>
      </c>
      <c r="BL46" s="66" t="str">
        <f ca="1">IF(BK46&lt;&gt;"",COUNTIF(OFFSET(BK$2,,,COUNTIF($AG$2:$AG$50,"?*")),BK46),IF($AG46&lt;&gt;"",0,""))</f>
        <v/>
      </c>
      <c r="BM46" s="3" t="str">
        <f ca="1">IF(AND($AG46&lt;&gt;"",BL46&gt;1),CONCATENATE($BD46," ",LEFT($AG46,MIN(4,SEARCH(" ",$AG46)-1)),IF(SEARCH(" ",$AG46)-1&gt;4,".",""),""),"")</f>
        <v/>
      </c>
    </row>
    <row r="47" spans="1:65" ht="15" customHeight="1" thickTop="1" x14ac:dyDescent="0.2">
      <c r="A47" s="326"/>
      <c r="B47" s="327"/>
      <c r="C47" s="327"/>
      <c r="D47" s="327"/>
      <c r="E47" s="322" t="str">
        <f ca="1">IFERROR(VLOOKUP(A47,OFFSET($BN$2,,,COUNTIF($BN$2:$BN$11,"?*"),5),3,FALSE),"")</f>
        <v/>
      </c>
      <c r="F47" s="322"/>
      <c r="G47" s="322"/>
      <c r="H47" s="322"/>
      <c r="I47" s="323"/>
      <c r="J47" s="326"/>
      <c r="K47" s="327"/>
      <c r="L47" s="327"/>
      <c r="M47" s="327"/>
      <c r="N47" s="322" t="str">
        <f ca="1">IFERROR(VLOOKUP(J47,OFFSET($BN$2,,,COUNTIF($BN$2:$BN$11,"?*"),5),3,FALSE),"")</f>
        <v/>
      </c>
      <c r="O47" s="322"/>
      <c r="P47" s="322"/>
      <c r="Q47" s="322"/>
      <c r="R47" s="323"/>
      <c r="S47" s="354"/>
      <c r="T47" s="330"/>
      <c r="U47" s="355"/>
      <c r="V47" s="330"/>
      <c r="W47" s="330"/>
      <c r="X47" s="330"/>
      <c r="Y47" s="330"/>
      <c r="Z47" s="330"/>
      <c r="AA47" s="330"/>
      <c r="AB47" s="330"/>
      <c r="AC47" s="330"/>
      <c r="AD47" s="330"/>
      <c r="AE47" s="106" t="str">
        <f t="shared" si="6"/>
        <v/>
      </c>
      <c r="AF47" s="106" t="str">
        <f t="shared" si="7"/>
        <v/>
      </c>
      <c r="AG47" s="333"/>
      <c r="AH47" s="334"/>
      <c r="AI47" s="335"/>
      <c r="AJ47" s="335"/>
      <c r="AK47" s="335"/>
      <c r="AL47" s="335"/>
      <c r="AM47" s="335"/>
      <c r="AN47" s="335"/>
      <c r="AO47" s="336"/>
      <c r="AP47" s="336"/>
      <c r="AQ47" s="335"/>
      <c r="AR47" s="335"/>
      <c r="AS47" s="337"/>
      <c r="AT47" s="335"/>
      <c r="AU47" s="130" t="str">
        <f ca="1">IF(AG47&lt;&gt;"",IF(AH47&lt;&gt;"",INT((TODAY()-AH47)/365),"?"),"")</f>
        <v/>
      </c>
      <c r="AV47" s="130" t="str">
        <f>IF(AG47&lt;&gt;"",CONCATENATE(IF(AQ47&lt;&gt;"",AQ47,"? "),"/",IF(AR47&lt;&gt;"",AR47," ?")),"")</f>
        <v/>
      </c>
      <c r="AW47" s="131" t="str">
        <f>IF(AG47&lt;&gt;"",IF(BE47=1,BD47,IF(BH47,BG47,IF(BJ47=1,BI47,IF(BL47=1,BK47,BM47)))),"")</f>
        <v/>
      </c>
      <c r="AX47" s="132" t="str">
        <f ca="1">IFERROR(IF(MATCH(AG47,OFFSET($S$45,,,COUNTIF($S$45:$S$50,"?*")),0)&gt;0,CONCATENATE(VLOOKUP(AG47,OFFSET($S$45,,,COUNTIF($S$45:$S$50,"?*"),14),4,FALSE)," V, ",VLOOKUP(AG47,OFFSET($S$45,,,COUNTIF($S$45:$S$50,"?*"),14),9,FALSE)," P"),""),IFERROR(CONCATENATE(VLOOKUP(AG47,OFFSET($S$2,,,COUNTIF($S$2:$S$42,"?*"),10),3,FALSE)+AZ47," OZ, ",VLOOKUP(AG47,OFFSET($S$2,,,COUNTIF($S$2:$S$42,"?*"),10),8,FALSE)+BA47+BB47," (",VLOOKUP(AG47,OFFSET($S$2,,,COUNTIF($S$2:$S$42,"?*"),10),4,FALSE)+BA47,"+",VLOOKUP(AG47,OFFSET($S$2,,,COUNTIF($S$2:$S$42,"?*"),10),7,FALSE)+BB47,"), ",IF(VLOOKUP(AG47,OFFSET($S$2,,,COUNTIF($S$2:$S$42,"?*"),10),10,FALSE)+BC47&gt;0,"+",""),VLOOKUP(AG47,OFFSET($S$2,,,COUNTIF($S$2:$S$42,"?*"),10),10,FALSE)+BC47," ±"),IF(AG47&lt;&gt;"","0 OZ, 0 (0+0)","")))</f>
        <v/>
      </c>
      <c r="AY47" s="132" t="str">
        <f ca="1">IFERROR(CONCATENATE(AI47+VLOOKUP(AG47,OFFSET($S$45,,,COUNTIF($S$45:$S$50,"?*"),14),2,FALSE)," OZ, ",AK47+VLOOKUP(AG47,OFFSET($S$45,,,COUNTIF($S$45:$S$50,"?*"),14),11,FALSE)," A"),IFERROR(CONCATENATE(VLOOKUP(AG47,OFFSET($S$2,,,COUNTIF($S$2:$S$42,"?*"),10),3,FALSE)+AZ47+AI47," OZ, ",VLOOKUP(AG47,OFFSET($S$2,,,COUNTIF($S$2:$S$42,"?*"),10),8,FALSE)+BA47+BB47+AL47," (",VLOOKUP(AG47,OFFSET($S$2,,,COUNTIF($S$2:$S$42,"?*"),10),4,FALSE)+BA47+AJ47,"+",VLOOKUP(AG47,OFFSET($S$2,,,COUNTIF($S$2:$S$42,"?*"),10),7,FALSE)+BB47+AK47,")"),IF(AG47&lt;&gt;"",CONCATENATE(AI47," OZ, ",AL47," (",AJ47,"+",AK47,")"),"")))</f>
        <v/>
      </c>
      <c r="AZ47" s="132"/>
      <c r="BA47" s="132"/>
      <c r="BB47" s="132"/>
      <c r="BC47" s="132"/>
      <c r="BD47" s="129" t="str">
        <f>IF(AG47&lt;&gt;"",RIGHT(AG47,LEN(AG47)-SEARCH(" ",AG47)),"")</f>
        <v/>
      </c>
      <c r="BE47" s="132" t="str">
        <f ca="1">IF(AG47&lt;&gt;"",COUNTIF(OFFSET($BD$2,,,COUNTIF($AG$2:$AG$50,"?*")),BD47),"")</f>
        <v/>
      </c>
      <c r="BF47" s="130" t="str">
        <f>IF(AG47&lt;&gt;"",LEFT(AG47,1),"")</f>
        <v/>
      </c>
      <c r="BG47" s="129" t="str">
        <f ca="1">IF(AND($AG47&lt;&gt;"",BE47&gt;1),CONCATENATE($BD47," ",LEFT($AG47,MIN(1,SEARCH(" ",$AG47)-1)),IF(SEARCH(" ",$AG47)-1&gt;1,".",""),""),"")</f>
        <v/>
      </c>
      <c r="BH47" s="130" t="str">
        <f ca="1">IF(BG47&lt;&gt;"",COUNTIF(OFFSET(BG$2,,,COUNTIF($AG$2:$AG$50,"?*")),BG47),IF($AG47&lt;&gt;"",0,""))</f>
        <v/>
      </c>
      <c r="BI47" s="129" t="str">
        <f ca="1">IF(AND($AG47&lt;&gt;"",BH47&gt;1),CONCATENATE($BD47," ",LEFT($AG47,MIN(2,SEARCH(" ",$AG47)-1)),IF(SEARCH(" ",$AG47)-1&gt;2,".",""),""),"")</f>
        <v/>
      </c>
      <c r="BJ47" s="130" t="str">
        <f ca="1">IF(BI47&lt;&gt;"",COUNTIF(OFFSET(BI$2,,,COUNTIF($AG$2:$AG$50,"?*")),BI47),IF($AG47&lt;&gt;"",0,""))</f>
        <v/>
      </c>
      <c r="BK47" s="129" t="str">
        <f ca="1">IF(AND($AG47&lt;&gt;"",BJ47&gt;1),CONCATENATE($BD47," ",LEFT($AG47,MIN(3,SEARCH(" ",$AG47)-1)),IF(SEARCH(" ",$AG47)-1&gt;3,".",""),""),"")</f>
        <v/>
      </c>
      <c r="BL47" s="130" t="str">
        <f ca="1">IF(BK47&lt;&gt;"",COUNTIF(OFFSET(BK$2,,,COUNTIF($AG$2:$AG$50,"?*")),BK47),IF($AG47&lt;&gt;"",0,""))</f>
        <v/>
      </c>
      <c r="BM47" s="129" t="str">
        <f ca="1">IF(AND($AG47&lt;&gt;"",BL47&gt;1),CONCATENATE($BD47," ",LEFT($AG47,MIN(4,SEARCH(" ",$AG47)-1)),IF(SEARCH(" ",$AG47)-1&gt;4,".",""),""),"")</f>
        <v/>
      </c>
    </row>
    <row r="48" spans="1:65" ht="15" customHeight="1" thickBot="1" x14ac:dyDescent="0.25">
      <c r="A48" s="314" t="str">
        <f ca="1">IFERROR(VLOOKUP(A47,OFFSET($BN$2,,,COUNTIF($BN$2:$BN$11,"?*"),5),5,FALSE),"")</f>
        <v/>
      </c>
      <c r="B48" s="316" t="str">
        <f ca="1">IFERROR(IF(VLOOKUP(A47,OFFSET($BN$2,,,COUNTIF($BN$2:$BN$11,"?*"),5),4,FALSE)&lt;&gt;0,VLOOKUP(A47,OFFSET($BN$2,,,COUNTIF($BN$2:$BN$11,"?*"),5),4,FALSE),"-"),"")</f>
        <v/>
      </c>
      <c r="C48" s="316"/>
      <c r="D48" s="316"/>
      <c r="E48" s="316"/>
      <c r="F48" s="316"/>
      <c r="G48" s="316"/>
      <c r="H48" s="316"/>
      <c r="I48" s="317"/>
      <c r="J48" s="24" t="str">
        <f ca="1">IFERROR(VLOOKUP(J47,OFFSET($BN$2,,,COUNTIF($BN$2:$BN$11,"?*"),5),5,FALSE),"")</f>
        <v/>
      </c>
      <c r="K48" s="351" t="str">
        <f ca="1">IFERROR(IF(VLOOKUP(J47,OFFSET($BN$2,,,COUNTIF($BN$2:$BN$11,"?*"),5),4,FALSE)&lt;&gt;0,VLOOKUP(J47,OFFSET($BN$2,,,COUNTIF($BN$2:$BN$11,"?*"),5),4,FALSE),"-"),"")</f>
        <v/>
      </c>
      <c r="L48" s="351"/>
      <c r="M48" s="351"/>
      <c r="N48" s="351"/>
      <c r="O48" s="351"/>
      <c r="P48" s="351"/>
      <c r="Q48" s="351"/>
      <c r="R48" s="352"/>
      <c r="S48" s="354"/>
      <c r="T48" s="330"/>
      <c r="U48" s="355"/>
      <c r="V48" s="330"/>
      <c r="W48" s="330"/>
      <c r="X48" s="330"/>
      <c r="Y48" s="330"/>
      <c r="Z48" s="330"/>
      <c r="AA48" s="330"/>
      <c r="AB48" s="330"/>
      <c r="AC48" s="330"/>
      <c r="AD48" s="330"/>
      <c r="AE48" s="106" t="str">
        <f t="shared" si="6"/>
        <v/>
      </c>
      <c r="AF48" s="106" t="str">
        <f t="shared" si="7"/>
        <v/>
      </c>
      <c r="AG48" s="328"/>
      <c r="AH48" s="329"/>
      <c r="AI48" s="330"/>
      <c r="AJ48" s="330"/>
      <c r="AK48" s="330"/>
      <c r="AL48" s="330"/>
      <c r="AM48" s="330"/>
      <c r="AN48" s="330"/>
      <c r="AO48" s="331"/>
      <c r="AP48" s="331"/>
      <c r="AQ48" s="330"/>
      <c r="AR48" s="330"/>
      <c r="AS48" s="332"/>
      <c r="AT48" s="330"/>
      <c r="AU48" s="66" t="str">
        <f ca="1">IF(AG48&lt;&gt;"",IF(AH48&lt;&gt;"",INT((TODAY()-AH48)/365),"?"),"")</f>
        <v/>
      </c>
      <c r="AV48" s="66" t="str">
        <f>IF(AG48&lt;&gt;"",CONCATENATE(IF(AQ48&lt;&gt;"",AQ48,"? "),"/",IF(AR48&lt;&gt;"",AR48," ?")),"")</f>
        <v/>
      </c>
      <c r="AW48" s="128" t="str">
        <f>IF(AG48&lt;&gt;"",IF(BE48=1,BD48,IF(BH48,BG48,IF(BJ48=1,BI48,IF(BL48=1,BK48,BM48)))),"")</f>
        <v/>
      </c>
      <c r="AX48" s="123" t="str">
        <f ca="1">IFERROR(IF(MATCH(AG48,OFFSET($S$45,,,COUNTIF($S$45:$S$50,"?*")),0)&gt;0,CONCATENATE(VLOOKUP(AG48,OFFSET($S$45,,,COUNTIF($S$45:$S$50,"?*"),14),4,FALSE)," V, ",VLOOKUP(AG48,OFFSET($S$45,,,COUNTIF($S$45:$S$50,"?*"),14),9,FALSE)," P"),""),IFERROR(CONCATENATE(VLOOKUP(AG48,OFFSET($S$2,,,COUNTIF($S$2:$S$42,"?*"),10),3,FALSE)+AZ48," OZ, ",VLOOKUP(AG48,OFFSET($S$2,,,COUNTIF($S$2:$S$42,"?*"),10),8,FALSE)+BA48+BB48," (",VLOOKUP(AG48,OFFSET($S$2,,,COUNTIF($S$2:$S$42,"?*"),10),4,FALSE)+BA48,"+",VLOOKUP(AG48,OFFSET($S$2,,,COUNTIF($S$2:$S$42,"?*"),10),7,FALSE)+BB48,"), ",IF(VLOOKUP(AG48,OFFSET($S$2,,,COUNTIF($S$2:$S$42,"?*"),10),10,FALSE)+BC48&gt;0,"+",""),VLOOKUP(AG48,OFFSET($S$2,,,COUNTIF($S$2:$S$42,"?*"),10),10,FALSE)+BC48," ±"),IF(AG48&lt;&gt;"","0 OZ, 0 (0+0)","")))</f>
        <v/>
      </c>
      <c r="AY48" s="123" t="str">
        <f ca="1">IFERROR(CONCATENATE(AI48+VLOOKUP(AG48,OFFSET($S$45,,,COUNTIF($S$45:$S$50,"?*"),14),2,FALSE)," OZ, ",AK48+VLOOKUP(AG48,OFFSET($S$45,,,COUNTIF($S$45:$S$50,"?*"),14),11,FALSE)," A"),IFERROR(CONCATENATE(VLOOKUP(AG48,OFFSET($S$2,,,COUNTIF($S$2:$S$42,"?*"),10),3,FALSE)+AZ48+AI48," OZ, ",VLOOKUP(AG48,OFFSET($S$2,,,COUNTIF($S$2:$S$42,"?*"),10),8,FALSE)+BA48+BB48+AL48," (",VLOOKUP(AG48,OFFSET($S$2,,,COUNTIF($S$2:$S$42,"?*"),10),4,FALSE)+BA48+AJ48,"+",VLOOKUP(AG48,OFFSET($S$2,,,COUNTIF($S$2:$S$42,"?*"),10),7,FALSE)+BB48+AK48,")"),IF(AG48&lt;&gt;"",CONCATENATE(AI48," OZ, ",AL48," (",AJ48,"+",AK48,")"),"")))</f>
        <v/>
      </c>
      <c r="BD48" s="3" t="str">
        <f>IF(AG48&lt;&gt;"",RIGHT(AG48,LEN(AG48)-SEARCH(" ",AG48)),"")</f>
        <v/>
      </c>
      <c r="BE48" s="123" t="str">
        <f ca="1">IF(AG48&lt;&gt;"",COUNTIF(OFFSET($BD$2,,,COUNTIF($AG$2:$AG$50,"?*")),BD48),"")</f>
        <v/>
      </c>
      <c r="BF48" s="66" t="str">
        <f>IF(AG48&lt;&gt;"",LEFT(AG48,1),"")</f>
        <v/>
      </c>
      <c r="BG48" s="3" t="str">
        <f ca="1">IF(AND($AG48&lt;&gt;"",BE48&gt;1),CONCATENATE($BD48," ",LEFT($AG48,MIN(1,SEARCH(" ",$AG48)-1)),IF(SEARCH(" ",$AG48)-1&gt;1,".",""),""),"")</f>
        <v/>
      </c>
      <c r="BH48" s="66" t="str">
        <f ca="1">IF(BG48&lt;&gt;"",COUNTIF(OFFSET(BG$2,,,COUNTIF($AG$2:$AG$50,"?*")),BG48),IF($AG48&lt;&gt;"",0,""))</f>
        <v/>
      </c>
      <c r="BI48" s="3" t="str">
        <f ca="1">IF(AND($AG48&lt;&gt;"",BH48&gt;1),CONCATENATE($BD48," ",LEFT($AG48,MIN(2,SEARCH(" ",$AG48)-1)),IF(SEARCH(" ",$AG48)-1&gt;2,".",""),""),"")</f>
        <v/>
      </c>
      <c r="BJ48" s="66" t="str">
        <f ca="1">IF(BI48&lt;&gt;"",COUNTIF(OFFSET(BI$2,,,COUNTIF($AG$2:$AG$50,"?*")),BI48),IF($AG48&lt;&gt;"",0,""))</f>
        <v/>
      </c>
      <c r="BK48" s="3" t="str">
        <f ca="1">IF(AND($AG48&lt;&gt;"",BJ48&gt;1),CONCATENATE($BD48," ",LEFT($AG48,MIN(3,SEARCH(" ",$AG48)-1)),IF(SEARCH(" ",$AG48)-1&gt;3,".",""),""),"")</f>
        <v/>
      </c>
      <c r="BL48" s="66" t="str">
        <f ca="1">IF(BK48&lt;&gt;"",COUNTIF(OFFSET(BK$2,,,COUNTIF($AG$2:$AG$50,"?*")),BK48),IF($AG48&lt;&gt;"",0,""))</f>
        <v/>
      </c>
      <c r="BM48" s="3" t="str">
        <f ca="1">IF(AND($AG48&lt;&gt;"",BL48&gt;1),CONCATENATE($BD48," ",LEFT($AG48,MIN(4,SEARCH(" ",$AG48)-1)),IF(SEARCH(" ",$AG48)-1&gt;4,".",""),""),"")</f>
        <v/>
      </c>
    </row>
    <row r="49" spans="1:65" ht="15" customHeight="1" thickTop="1" x14ac:dyDescent="0.2">
      <c r="A49" s="314"/>
      <c r="B49" s="316"/>
      <c r="C49" s="316"/>
      <c r="D49" s="316"/>
      <c r="E49" s="316"/>
      <c r="F49" s="316"/>
      <c r="G49" s="316"/>
      <c r="H49" s="316"/>
      <c r="I49" s="317"/>
      <c r="J49" s="320"/>
      <c r="K49" s="321"/>
      <c r="L49" s="321"/>
      <c r="M49" s="321"/>
      <c r="N49" s="322" t="str">
        <f ca="1">IFERROR(VLOOKUP(J49,OFFSET($BN$2,,,COUNTIF($BN$2:$BN$11,"?*"),5),3,FALSE),"")</f>
        <v/>
      </c>
      <c r="O49" s="322"/>
      <c r="P49" s="322"/>
      <c r="Q49" s="322"/>
      <c r="R49" s="323"/>
      <c r="S49" s="354"/>
      <c r="T49" s="330"/>
      <c r="U49" s="355"/>
      <c r="V49" s="330"/>
      <c r="W49" s="330"/>
      <c r="X49" s="330"/>
      <c r="Y49" s="330"/>
      <c r="Z49" s="330"/>
      <c r="AA49" s="330"/>
      <c r="AB49" s="330"/>
      <c r="AC49" s="330"/>
      <c r="AD49" s="330"/>
      <c r="AE49" s="106" t="str">
        <f t="shared" si="6"/>
        <v/>
      </c>
      <c r="AF49" s="106" t="str">
        <f t="shared" si="7"/>
        <v/>
      </c>
      <c r="AG49" s="333"/>
      <c r="AH49" s="334"/>
      <c r="AI49" s="335"/>
      <c r="AJ49" s="335"/>
      <c r="AK49" s="335"/>
      <c r="AL49" s="335"/>
      <c r="AM49" s="335"/>
      <c r="AN49" s="335"/>
      <c r="AO49" s="336"/>
      <c r="AP49" s="336"/>
      <c r="AQ49" s="335"/>
      <c r="AR49" s="335"/>
      <c r="AS49" s="337"/>
      <c r="AT49" s="335"/>
      <c r="AU49" s="130" t="str">
        <f ca="1">IF(AG49&lt;&gt;"",IF(AH49&lt;&gt;"",INT((TODAY()-AH49)/365),"?"),"")</f>
        <v/>
      </c>
      <c r="AV49" s="130" t="str">
        <f>IF(AG49&lt;&gt;"",CONCATENATE(IF(AQ49&lt;&gt;"",AQ49,"? "),"/",IF(AR49&lt;&gt;"",AR49," ?")),"")</f>
        <v/>
      </c>
      <c r="AW49" s="131" t="str">
        <f>IF(AG49&lt;&gt;"",IF(BE49=1,BD49,IF(BH49,BG49,IF(BJ49=1,BI49,IF(BL49=1,BK49,BM49)))),"")</f>
        <v/>
      </c>
      <c r="AX49" s="132" t="str">
        <f ca="1">IFERROR(IF(MATCH(AG49,OFFSET($S$45,,,COUNTIF($S$45:$S$50,"?*")),0)&gt;0,CONCATENATE(VLOOKUP(AG49,OFFSET($S$45,,,COUNTIF($S$45:$S$50,"?*"),14),4,FALSE)," V, ",VLOOKUP(AG49,OFFSET($S$45,,,COUNTIF($S$45:$S$50,"?*"),14),9,FALSE)," P"),""),IFERROR(CONCATENATE(VLOOKUP(AG49,OFFSET($S$2,,,COUNTIF($S$2:$S$42,"?*"),10),3,FALSE)+AZ49," OZ, ",VLOOKUP(AG49,OFFSET($S$2,,,COUNTIF($S$2:$S$42,"?*"),10),8,FALSE)+BA49+BB49," (",VLOOKUP(AG49,OFFSET($S$2,,,COUNTIF($S$2:$S$42,"?*"),10),4,FALSE)+BA49,"+",VLOOKUP(AG49,OFFSET($S$2,,,COUNTIF($S$2:$S$42,"?*"),10),7,FALSE)+BB49,"), ",IF(VLOOKUP(AG49,OFFSET($S$2,,,COUNTIF($S$2:$S$42,"?*"),10),10,FALSE)+BC49&gt;0,"+",""),VLOOKUP(AG49,OFFSET($S$2,,,COUNTIF($S$2:$S$42,"?*"),10),10,FALSE)+BC49," ±"),IF(AG49&lt;&gt;"","0 OZ, 0 (0+0)","")))</f>
        <v/>
      </c>
      <c r="AY49" s="132" t="str">
        <f ca="1">IFERROR(CONCATENATE(AI49+VLOOKUP(AG49,OFFSET($S$45,,,COUNTIF($S$45:$S$50,"?*"),14),2,FALSE)," OZ, ",AK49+VLOOKUP(AG49,OFFSET($S$45,,,COUNTIF($S$45:$S$50,"?*"),14),11,FALSE)," A"),IFERROR(CONCATENATE(VLOOKUP(AG49,OFFSET($S$2,,,COUNTIF($S$2:$S$42,"?*"),10),3,FALSE)+AZ49+AI49," OZ, ",VLOOKUP(AG49,OFFSET($S$2,,,COUNTIF($S$2:$S$42,"?*"),10),8,FALSE)+BA49+BB49+AL49," (",VLOOKUP(AG49,OFFSET($S$2,,,COUNTIF($S$2:$S$42,"?*"),10),4,FALSE)+BA49+AJ49,"+",VLOOKUP(AG49,OFFSET($S$2,,,COUNTIF($S$2:$S$42,"?*"),10),7,FALSE)+BB49+AK49,")"),IF(AG49&lt;&gt;"",CONCATENATE(AI49," OZ, ",AL49," (",AJ49,"+",AK49,")"),"")))</f>
        <v/>
      </c>
      <c r="AZ49" s="132"/>
      <c r="BA49" s="132"/>
      <c r="BB49" s="132"/>
      <c r="BC49" s="132"/>
      <c r="BD49" s="129" t="str">
        <f>IF(AG49&lt;&gt;"",RIGHT(AG49,LEN(AG49)-SEARCH(" ",AG49)),"")</f>
        <v/>
      </c>
      <c r="BE49" s="132" t="str">
        <f ca="1">IF(AG49&lt;&gt;"",COUNTIF(OFFSET($BD$2,,,COUNTIF($AG$2:$AG$50,"?*")),BD49),"")</f>
        <v/>
      </c>
      <c r="BF49" s="130" t="str">
        <f>IF(AG49&lt;&gt;"",LEFT(AG49,1),"")</f>
        <v/>
      </c>
      <c r="BG49" s="129" t="str">
        <f ca="1">IF(AND($AG49&lt;&gt;"",BE49&gt;1),CONCATENATE($BD49," ",LEFT($AG49,MIN(1,SEARCH(" ",$AG49)-1)),IF(SEARCH(" ",$AG49)-1&gt;1,".",""),""),"")</f>
        <v/>
      </c>
      <c r="BH49" s="130" t="str">
        <f ca="1">IF(BG49&lt;&gt;"",COUNTIF(OFFSET(BG$2,,,COUNTIF($AG$2:$AG$50,"?*")),BG49),IF($AG49&lt;&gt;"",0,""))</f>
        <v/>
      </c>
      <c r="BI49" s="129" t="str">
        <f ca="1">IF(AND($AG49&lt;&gt;"",BH49&gt;1),CONCATENATE($BD49," ",LEFT($AG49,MIN(2,SEARCH(" ",$AG49)-1)),IF(SEARCH(" ",$AG49)-1&gt;2,".",""),""),"")</f>
        <v/>
      </c>
      <c r="BJ49" s="130" t="str">
        <f ca="1">IF(BI49&lt;&gt;"",COUNTIF(OFFSET(BI$2,,,COUNTIF($AG$2:$AG$50,"?*")),BI49),IF($AG49&lt;&gt;"",0,""))</f>
        <v/>
      </c>
      <c r="BK49" s="129" t="str">
        <f ca="1">IF(AND($AG49&lt;&gt;"",BJ49&gt;1),CONCATENATE($BD49," ",LEFT($AG49,MIN(3,SEARCH(" ",$AG49)-1)),IF(SEARCH(" ",$AG49)-1&gt;3,".",""),""),"")</f>
        <v/>
      </c>
      <c r="BL49" s="130" t="str">
        <f ca="1">IF(BK49&lt;&gt;"",COUNTIF(OFFSET(BK$2,,,COUNTIF($AG$2:$AG$50,"?*")),BK49),IF($AG49&lt;&gt;"",0,""))</f>
        <v/>
      </c>
      <c r="BM49" s="129" t="str">
        <f ca="1">IF(AND($AG49&lt;&gt;"",BL49&gt;1),CONCATENATE($BD49," ",LEFT($AG49,MIN(4,SEARCH(" ",$AG49)-1)),IF(SEARCH(" ",$AG49)-1&gt;4,".",""),""),"")</f>
        <v/>
      </c>
    </row>
    <row r="50" spans="1:65" ht="15" customHeight="1" thickBot="1" x14ac:dyDescent="0.25">
      <c r="A50" s="315"/>
      <c r="B50" s="318"/>
      <c r="C50" s="318"/>
      <c r="D50" s="318"/>
      <c r="E50" s="318"/>
      <c r="F50" s="318"/>
      <c r="G50" s="318"/>
      <c r="H50" s="318"/>
      <c r="I50" s="319"/>
      <c r="J50" s="24" t="str">
        <f ca="1">IFERROR(VLOOKUP(J49,OFFSET($BN$2,,,COUNTIF($BN$2:$BN$11,"?*"),5),5,FALSE),"")</f>
        <v/>
      </c>
      <c r="K50" s="351" t="str">
        <f ca="1">IFERROR(IF(VLOOKUP(J49,OFFSET($BN$2,,,COUNTIF($BN$2:$BN$11,"?*"),5),4,FALSE)&lt;&gt;0,VLOOKUP(J49,OFFSET($BN$2,,,COUNTIF($BN$2:$BN$11,"?*"),5),4,FALSE),"-"),"")</f>
        <v/>
      </c>
      <c r="L50" s="351"/>
      <c r="M50" s="351"/>
      <c r="N50" s="351"/>
      <c r="O50" s="351"/>
      <c r="P50" s="351"/>
      <c r="Q50" s="351"/>
      <c r="R50" s="352"/>
      <c r="S50" s="354"/>
      <c r="T50" s="330"/>
      <c r="U50" s="355"/>
      <c r="V50" s="330"/>
      <c r="W50" s="330"/>
      <c r="X50" s="330"/>
      <c r="Y50" s="330"/>
      <c r="Z50" s="330"/>
      <c r="AA50" s="330"/>
      <c r="AB50" s="330"/>
      <c r="AC50" s="330"/>
      <c r="AD50" s="330"/>
      <c r="AE50" s="106" t="str">
        <f t="shared" si="6"/>
        <v/>
      </c>
      <c r="AF50" s="106" t="str">
        <f t="shared" si="7"/>
        <v/>
      </c>
      <c r="AG50" s="328"/>
      <c r="AH50" s="329"/>
      <c r="AI50" s="330"/>
      <c r="AJ50" s="330"/>
      <c r="AK50" s="330"/>
      <c r="AL50" s="330"/>
      <c r="AM50" s="330"/>
      <c r="AN50" s="330"/>
      <c r="AO50" s="331"/>
      <c r="AP50" s="331"/>
      <c r="AQ50" s="330"/>
      <c r="AR50" s="330"/>
      <c r="AS50" s="332"/>
      <c r="AT50" s="330"/>
      <c r="AU50" s="66" t="str">
        <f ca="1">IF(AG50&lt;&gt;"",IF(AH50&lt;&gt;"",INT((TODAY()-AH50)/365),"?"),"")</f>
        <v/>
      </c>
      <c r="AV50" s="66" t="str">
        <f>IF(AG50&lt;&gt;"",CONCATENATE(IF(AQ50&lt;&gt;"",AQ50,"? "),"/",IF(AR50&lt;&gt;"",AR50," ?")),"")</f>
        <v/>
      </c>
      <c r="AW50" s="128" t="str">
        <f>IF(AG50&lt;&gt;"",IF(BE50=1,BD50,IF(BH50,BG50,IF(BJ50=1,BI50,IF(BL50=1,BK50,BM50)))),"")</f>
        <v/>
      </c>
      <c r="AX50" s="123" t="str">
        <f ca="1">IFERROR(IF(MATCH(AG50,OFFSET($S$45,,,COUNTIF($S$45:$S$50,"?*")),0)&gt;0,CONCATENATE(VLOOKUP(AG50,OFFSET($S$45,,,COUNTIF($S$45:$S$50,"?*"),14),4,FALSE)," V, ",VLOOKUP(AG50,OFFSET($S$45,,,COUNTIF($S$45:$S$50,"?*"),14),9,FALSE)," P"),""),IFERROR(CONCATENATE(VLOOKUP(AG50,OFFSET($S$2,,,COUNTIF($S$2:$S$42,"?*"),10),3,FALSE)+AZ50," OZ, ",VLOOKUP(AG50,OFFSET($S$2,,,COUNTIF($S$2:$S$42,"?*"),10),8,FALSE)+BA50+BB50," (",VLOOKUP(AG50,OFFSET($S$2,,,COUNTIF($S$2:$S$42,"?*"),10),4,FALSE)+BA50,"+",VLOOKUP(AG50,OFFSET($S$2,,,COUNTIF($S$2:$S$42,"?*"),10),7,FALSE)+BB50,"), ",IF(VLOOKUP(AG50,OFFSET($S$2,,,COUNTIF($S$2:$S$42,"?*"),10),10,FALSE)+BC50&gt;0,"+",""),VLOOKUP(AG50,OFFSET($S$2,,,COUNTIF($S$2:$S$42,"?*"),10),10,FALSE)+BC50," ±"),IF(AG50&lt;&gt;"","0 OZ, 0 (0+0)","")))</f>
        <v/>
      </c>
      <c r="AY50" s="123" t="str">
        <f ca="1">IFERROR(CONCATENATE(AI50+VLOOKUP(AG50,OFFSET($S$45,,,COUNTIF($S$45:$S$50,"?*"),14),2,FALSE)," OZ, ",AK50+VLOOKUP(AG50,OFFSET($S$45,,,COUNTIF($S$45:$S$50,"?*"),14),11,FALSE)," A"),IFERROR(CONCATENATE(VLOOKUP(AG50,OFFSET($S$2,,,COUNTIF($S$2:$S$42,"?*"),10),3,FALSE)+AZ50+AI50," OZ, ",VLOOKUP(AG50,OFFSET($S$2,,,COUNTIF($S$2:$S$42,"?*"),10),8,FALSE)+BA50+BB50+AL50," (",VLOOKUP(AG50,OFFSET($S$2,,,COUNTIF($S$2:$S$42,"?*"),10),4,FALSE)+BA50+AJ50,"+",VLOOKUP(AG50,OFFSET($S$2,,,COUNTIF($S$2:$S$42,"?*"),10),7,FALSE)+BB50+AK50,")"),IF(AG50&lt;&gt;"",CONCATENATE(AI50," OZ, ",AL50," (",AJ50,"+",AK50,")"),"")))</f>
        <v/>
      </c>
      <c r="BD50" s="3" t="str">
        <f>IF(AG50&lt;&gt;"",RIGHT(AG50,LEN(AG50)-SEARCH(" ",AG50)),"")</f>
        <v/>
      </c>
      <c r="BE50" s="123" t="str">
        <f ca="1">IF(AG50&lt;&gt;"",COUNTIF(OFFSET($BD$2,,,COUNTIF($AG$2:$AG$50,"?*")),BD50),"")</f>
        <v/>
      </c>
      <c r="BF50" s="66" t="str">
        <f>IF(AG50&lt;&gt;"",LEFT(AG50,1),"")</f>
        <v/>
      </c>
      <c r="BG50" s="3" t="str">
        <f ca="1">IF(AND($AG50&lt;&gt;"",BE50&gt;1),CONCATENATE($BD50," ",LEFT($AG50,MIN(1,SEARCH(" ",$AG50)-1)),IF(SEARCH(" ",$AG50)-1&gt;1,".",""),""),"")</f>
        <v/>
      </c>
      <c r="BH50" s="66" t="str">
        <f ca="1">IF(BG50&lt;&gt;"",COUNTIF(OFFSET(BG$2,,,COUNTIF($AG$2:$AG$50,"?*")),BG50),IF($AG50&lt;&gt;"",0,""))</f>
        <v/>
      </c>
      <c r="BI50" s="3" t="str">
        <f ca="1">IF(AND($AG50&lt;&gt;"",BH50&gt;1),CONCATENATE($BD50," ",LEFT($AG50,MIN(2,SEARCH(" ",$AG50)-1)),IF(SEARCH(" ",$AG50)-1&gt;2,".",""),""),"")</f>
        <v/>
      </c>
      <c r="BJ50" s="66" t="str">
        <f ca="1">IF(BI50&lt;&gt;"",COUNTIF(OFFSET(BI$2,,,COUNTIF($AG$2:$AG$50,"?*")),BI50),IF($AG50&lt;&gt;"",0,""))</f>
        <v/>
      </c>
      <c r="BK50" s="3" t="str">
        <f ca="1">IF(AND($AG50&lt;&gt;"",BJ50&gt;1),CONCATENATE($BD50," ",LEFT($AG50,MIN(3,SEARCH(" ",$AG50)-1)),IF(SEARCH(" ",$AG50)-1&gt;3,".",""),""),"")</f>
        <v/>
      </c>
      <c r="BL50" s="66" t="str">
        <f ca="1">IF(BK50&lt;&gt;"",COUNTIF(OFFSET(BK$2,,,COUNTIF($AG$2:$AG$50,"?*")),BK50),IF($AG50&lt;&gt;"",0,""))</f>
        <v/>
      </c>
      <c r="BM50" s="3" t="str">
        <f ca="1">IF(AND($AG50&lt;&gt;"",BL50&gt;1),CONCATENATE($BD50," ",LEFT($AG50,MIN(4,SEARCH(" ",$AG50)-1)),IF(SEARCH(" ",$AG50)-1&gt;4,".",""),""),"")</f>
        <v/>
      </c>
    </row>
    <row r="51" spans="1:65" ht="15" thickTop="1" x14ac:dyDescent="0.2">
      <c r="S51" s="332"/>
      <c r="T51" s="330"/>
      <c r="U51" s="330"/>
      <c r="V51" s="330"/>
      <c r="W51" s="330"/>
      <c r="X51" s="330"/>
      <c r="Y51" s="330"/>
      <c r="Z51" s="330"/>
      <c r="AA51" s="330"/>
      <c r="AB51" s="330"/>
      <c r="AC51" s="330"/>
      <c r="AD51" s="330"/>
    </row>
  </sheetData>
  <sheetProtection selectLockedCells="1"/>
  <mergeCells count="171">
    <mergeCell ref="BX2:BX6"/>
    <mergeCell ref="BX7:BX11"/>
    <mergeCell ref="BS2:BS6"/>
    <mergeCell ref="BS7:BS11"/>
    <mergeCell ref="BS12:BS16"/>
    <mergeCell ref="BS17:BS21"/>
    <mergeCell ref="BS22:BS26"/>
    <mergeCell ref="BS27:BS31"/>
    <mergeCell ref="A47:D47"/>
    <mergeCell ref="E47:I47"/>
    <mergeCell ref="J47:M47"/>
    <mergeCell ref="N47:R47"/>
    <mergeCell ref="B41:C41"/>
    <mergeCell ref="E41:F41"/>
    <mergeCell ref="B42:C42"/>
    <mergeCell ref="D42:E42"/>
    <mergeCell ref="J42:P42"/>
    <mergeCell ref="K39:L39"/>
    <mergeCell ref="N39:O39"/>
    <mergeCell ref="P39:R39"/>
    <mergeCell ref="A40:D40"/>
    <mergeCell ref="K40:M40"/>
    <mergeCell ref="N40:P40"/>
    <mergeCell ref="Q40:R40"/>
    <mergeCell ref="A48:A50"/>
    <mergeCell ref="B48:I50"/>
    <mergeCell ref="K48:R48"/>
    <mergeCell ref="J49:M49"/>
    <mergeCell ref="N49:R49"/>
    <mergeCell ref="K50:R50"/>
    <mergeCell ref="P43:R43"/>
    <mergeCell ref="A44:C44"/>
    <mergeCell ref="D44:E44"/>
    <mergeCell ref="K44:M44"/>
    <mergeCell ref="N44:P44"/>
    <mergeCell ref="Q44:R44"/>
    <mergeCell ref="A43:B43"/>
    <mergeCell ref="C43:D43"/>
    <mergeCell ref="E43:F43"/>
    <mergeCell ref="K43:L43"/>
    <mergeCell ref="N43:O43"/>
    <mergeCell ref="A34:D34"/>
    <mergeCell ref="H34:H44"/>
    <mergeCell ref="J34:P34"/>
    <mergeCell ref="B35:C35"/>
    <mergeCell ref="E35:F35"/>
    <mergeCell ref="K35:L35"/>
    <mergeCell ref="N35:O35"/>
    <mergeCell ref="A37:B37"/>
    <mergeCell ref="C37:D37"/>
    <mergeCell ref="E37:F37"/>
    <mergeCell ref="A38:C38"/>
    <mergeCell ref="D38:E38"/>
    <mergeCell ref="J38:P38"/>
    <mergeCell ref="P35:R35"/>
    <mergeCell ref="B36:C36"/>
    <mergeCell ref="D36:E36"/>
    <mergeCell ref="K36:M36"/>
    <mergeCell ref="N36:P36"/>
    <mergeCell ref="Q36:R36"/>
    <mergeCell ref="B29:C29"/>
    <mergeCell ref="E29:F29"/>
    <mergeCell ref="N29:O29"/>
    <mergeCell ref="Q29:R29"/>
    <mergeCell ref="A30:C30"/>
    <mergeCell ref="D30:F30"/>
    <mergeCell ref="H30:K31"/>
    <mergeCell ref="M30:O30"/>
    <mergeCell ref="P30:R30"/>
    <mergeCell ref="A31:C31"/>
    <mergeCell ref="D31:E31"/>
    <mergeCell ref="M31:O31"/>
    <mergeCell ref="P31:Q31"/>
    <mergeCell ref="G27:I27"/>
    <mergeCell ref="J27:L27"/>
    <mergeCell ref="A28:D28"/>
    <mergeCell ref="G28:I28"/>
    <mergeCell ref="J28:K28"/>
    <mergeCell ref="M28:P28"/>
    <mergeCell ref="A26:C26"/>
    <mergeCell ref="D26:E26"/>
    <mergeCell ref="H26:I26"/>
    <mergeCell ref="K26:L26"/>
    <mergeCell ref="M26:O26"/>
    <mergeCell ref="P26:Q26"/>
    <mergeCell ref="B24:C24"/>
    <mergeCell ref="E24:F24"/>
    <mergeCell ref="N24:O24"/>
    <mergeCell ref="Q24:R24"/>
    <mergeCell ref="A25:C25"/>
    <mergeCell ref="D25:F25"/>
    <mergeCell ref="G25:J25"/>
    <mergeCell ref="M25:O25"/>
    <mergeCell ref="P25:R25"/>
    <mergeCell ref="D20:E20"/>
    <mergeCell ref="M20:O20"/>
    <mergeCell ref="P20:Q20"/>
    <mergeCell ref="A23:D23"/>
    <mergeCell ref="H23:K23"/>
    <mergeCell ref="M23:P23"/>
    <mergeCell ref="B18:C18"/>
    <mergeCell ref="E18:F18"/>
    <mergeCell ref="N18:O18"/>
    <mergeCell ref="Q18:R18"/>
    <mergeCell ref="A19:C19"/>
    <mergeCell ref="D19:F19"/>
    <mergeCell ref="H19:K20"/>
    <mergeCell ref="M19:O19"/>
    <mergeCell ref="P19:R19"/>
    <mergeCell ref="A20:C20"/>
    <mergeCell ref="G16:I16"/>
    <mergeCell ref="J16:L16"/>
    <mergeCell ref="A17:D17"/>
    <mergeCell ref="G17:I17"/>
    <mergeCell ref="J17:K17"/>
    <mergeCell ref="M17:P17"/>
    <mergeCell ref="A15:C15"/>
    <mergeCell ref="D15:E15"/>
    <mergeCell ref="H15:I15"/>
    <mergeCell ref="K15:L15"/>
    <mergeCell ref="M15:O15"/>
    <mergeCell ref="P15:Q15"/>
    <mergeCell ref="B13:C13"/>
    <mergeCell ref="E13:F13"/>
    <mergeCell ref="N13:O13"/>
    <mergeCell ref="Q13:R13"/>
    <mergeCell ref="A14:C14"/>
    <mergeCell ref="D14:F14"/>
    <mergeCell ref="G14:J14"/>
    <mergeCell ref="M14:O14"/>
    <mergeCell ref="P14:R14"/>
    <mergeCell ref="D9:E9"/>
    <mergeCell ref="M9:O9"/>
    <mergeCell ref="P9:Q9"/>
    <mergeCell ref="A12:D12"/>
    <mergeCell ref="H12:K12"/>
    <mergeCell ref="M12:P12"/>
    <mergeCell ref="B7:C7"/>
    <mergeCell ref="E7:F7"/>
    <mergeCell ref="N7:O7"/>
    <mergeCell ref="Q7:R7"/>
    <mergeCell ref="A8:C8"/>
    <mergeCell ref="D8:F8"/>
    <mergeCell ref="H8:K9"/>
    <mergeCell ref="M8:O8"/>
    <mergeCell ref="P8:R8"/>
    <mergeCell ref="A9:C9"/>
    <mergeCell ref="G5:I5"/>
    <mergeCell ref="J5:L5"/>
    <mergeCell ref="A6:D6"/>
    <mergeCell ref="G6:I6"/>
    <mergeCell ref="J6:K6"/>
    <mergeCell ref="M6:P6"/>
    <mergeCell ref="A4:C4"/>
    <mergeCell ref="D4:E4"/>
    <mergeCell ref="H4:I4"/>
    <mergeCell ref="K4:L4"/>
    <mergeCell ref="M4:O4"/>
    <mergeCell ref="P4:Q4"/>
    <mergeCell ref="Q2:R2"/>
    <mergeCell ref="A3:C3"/>
    <mergeCell ref="D3:F3"/>
    <mergeCell ref="G3:J3"/>
    <mergeCell ref="M3:O3"/>
    <mergeCell ref="P3:R3"/>
    <mergeCell ref="A1:D1"/>
    <mergeCell ref="H1:K1"/>
    <mergeCell ref="M1:P1"/>
    <mergeCell ref="B2:C2"/>
    <mergeCell ref="E2:F2"/>
    <mergeCell ref="N2:O2"/>
  </mergeCells>
  <conditionalFormatting sqref="H30:K31">
    <cfRule type="cellIs" dxfId="97" priority="9" stopIfTrue="1" operator="equal">
      <formula>"OTR"</formula>
    </cfRule>
    <cfRule type="cellIs" dxfId="96" priority="10" stopIfTrue="1" operator="equal">
      <formula>"PAR"</formula>
    </cfRule>
    <cfRule type="cellIs" dxfId="95" priority="11" stopIfTrue="1" operator="equal">
      <formula>"CLP"</formula>
    </cfRule>
    <cfRule type="cellIs" dxfId="94" priority="12" stopIfTrue="1" operator="equal">
      <formula>"HAT"</formula>
    </cfRule>
    <cfRule type="cellIs" dxfId="93" priority="13" stopIfTrue="1" operator="equal">
      <formula>"LIB"</formula>
    </cfRule>
    <cfRule type="cellIs" dxfId="92" priority="14" stopIfTrue="1" operator="equal">
      <formula>"BA"</formula>
    </cfRule>
    <cfRule type="cellIs" dxfId="91" priority="15" stopIfTrue="1" operator="equal">
      <formula>"SPA"</formula>
    </cfRule>
    <cfRule type="cellIs" dxfId="90" priority="16" stopIfTrue="1" operator="equal">
      <formula>"OST"</formula>
    </cfRule>
    <cfRule type="cellIs" dxfId="89" priority="17" stopIfTrue="1" operator="equal">
      <formula>"BOH"</formula>
    </cfRule>
    <cfRule type="cellIs" dxfId="88" priority="18" stopIfTrue="1" operator="equal">
      <formula>"TAT"</formula>
    </cfRule>
    <cfRule type="cellIs" dxfId="87" priority="19" stopIfTrue="1" operator="equal">
      <formula>"MB"</formula>
    </cfRule>
    <cfRule type="cellIs" dxfId="86" priority="20" stopIfTrue="1" operator="equal">
      <formula>"VIT"</formula>
    </cfRule>
    <cfRule type="cellIs" dxfId="85" priority="21" stopIfTrue="1" operator="equal">
      <formula>"CHO"</formula>
    </cfRule>
    <cfRule type="cellIs" dxfId="84" priority="22" stopIfTrue="1" operator="equal">
      <formula>"SKV"</formula>
    </cfRule>
  </conditionalFormatting>
  <conditionalFormatting sqref="H19:K20">
    <cfRule type="cellIs" dxfId="83" priority="37" stopIfTrue="1" operator="equal">
      <formula>"OTR"</formula>
    </cfRule>
    <cfRule type="cellIs" dxfId="82" priority="38" stopIfTrue="1" operator="equal">
      <formula>"PAR"</formula>
    </cfRule>
    <cfRule type="cellIs" dxfId="81" priority="39" stopIfTrue="1" operator="equal">
      <formula>"CLP"</formula>
    </cfRule>
    <cfRule type="cellIs" dxfId="80" priority="40" stopIfTrue="1" operator="equal">
      <formula>"HAT"</formula>
    </cfRule>
    <cfRule type="cellIs" dxfId="79" priority="41" stopIfTrue="1" operator="equal">
      <formula>"LIB"</formula>
    </cfRule>
    <cfRule type="cellIs" dxfId="78" priority="42" stopIfTrue="1" operator="equal">
      <formula>"BA"</formula>
    </cfRule>
    <cfRule type="cellIs" dxfId="77" priority="43" stopIfTrue="1" operator="equal">
      <formula>"SPA"</formula>
    </cfRule>
    <cfRule type="cellIs" dxfId="76" priority="44" stopIfTrue="1" operator="equal">
      <formula>"OST"</formula>
    </cfRule>
    <cfRule type="cellIs" dxfId="75" priority="45" stopIfTrue="1" operator="equal">
      <formula>"BOH"</formula>
    </cfRule>
    <cfRule type="cellIs" dxfId="74" priority="46" stopIfTrue="1" operator="equal">
      <formula>"TAT"</formula>
    </cfRule>
    <cfRule type="cellIs" dxfId="73" priority="47" stopIfTrue="1" operator="equal">
      <formula>"MB"</formula>
    </cfRule>
    <cfRule type="cellIs" dxfId="72" priority="48" stopIfTrue="1" operator="equal">
      <formula>"VIT"</formula>
    </cfRule>
    <cfRule type="cellIs" dxfId="71" priority="49" stopIfTrue="1" operator="equal">
      <formula>"CHO"</formula>
    </cfRule>
    <cfRule type="cellIs" dxfId="70" priority="50" stopIfTrue="1" operator="equal">
      <formula>"SKV"</formula>
    </cfRule>
  </conditionalFormatting>
  <conditionalFormatting sqref="H8:K9">
    <cfRule type="cellIs" dxfId="69" priority="23" stopIfTrue="1" operator="equal">
      <formula>"OTR"</formula>
    </cfRule>
    <cfRule type="cellIs" dxfId="68" priority="24" stopIfTrue="1" operator="equal">
      <formula>"PAR"</formula>
    </cfRule>
    <cfRule type="cellIs" dxfId="67" priority="25" stopIfTrue="1" operator="equal">
      <formula>"CLP"</formula>
    </cfRule>
    <cfRule type="cellIs" dxfId="66" priority="26" stopIfTrue="1" operator="equal">
      <formula>"HAT"</formula>
    </cfRule>
    <cfRule type="cellIs" dxfId="65" priority="27" stopIfTrue="1" operator="equal">
      <formula>"LIB"</formula>
    </cfRule>
    <cfRule type="cellIs" dxfId="64" priority="28" stopIfTrue="1" operator="equal">
      <formula>"BA"</formula>
    </cfRule>
    <cfRule type="cellIs" dxfId="63" priority="29" stopIfTrue="1" operator="equal">
      <formula>"SPA"</formula>
    </cfRule>
    <cfRule type="cellIs" dxfId="62" priority="30" stopIfTrue="1" operator="equal">
      <formula>"OST"</formula>
    </cfRule>
    <cfRule type="cellIs" dxfId="61" priority="31" stopIfTrue="1" operator="equal">
      <formula>"BOH"</formula>
    </cfRule>
    <cfRule type="cellIs" dxfId="60" priority="32" stopIfTrue="1" operator="equal">
      <formula>"TAT"</formula>
    </cfRule>
    <cfRule type="cellIs" dxfId="59" priority="33" stopIfTrue="1" operator="equal">
      <formula>"MB"</formula>
    </cfRule>
    <cfRule type="cellIs" dxfId="58" priority="34" stopIfTrue="1" operator="equal">
      <formula>"VIT"</formula>
    </cfRule>
    <cfRule type="cellIs" dxfId="57" priority="35" stopIfTrue="1" operator="equal">
      <formula>"CHO"</formula>
    </cfRule>
    <cfRule type="cellIs" dxfId="56" priority="36" stopIfTrue="1" operator="equal">
      <formula>"SKV"</formula>
    </cfRule>
  </conditionalFormatting>
  <conditionalFormatting sqref="S2:S42">
    <cfRule type="expression" dxfId="55" priority="7" stopIfTrue="1">
      <formula>IFERROR(IF(VLOOKUP($S2,OFFSET($AG$2,,,COUNTIF($AG$2:$AG$50,"?*")),1,FALSE)&lt;&gt;0,1,0),0)&gt;0</formula>
    </cfRule>
  </conditionalFormatting>
  <conditionalFormatting sqref="S2:S42">
    <cfRule type="expression" dxfId="54" priority="8">
      <formula>IFERROR(IF(VLOOKUP($S2,OFFSET($AG$2,,,COUNTIF($AG$2:$AG$50,"?*")),1,FALSE)&lt;&gt;0,1,0),0)=0</formula>
    </cfRule>
  </conditionalFormatting>
  <conditionalFormatting sqref="S45:S50">
    <cfRule type="expression" dxfId="53" priority="6">
      <formula>IFERROR(IF(VLOOKUP($S45,OFFSET($AG$2,,,COUNTIF($AG$2:$AG$50,"?*")),1,FALSE)&lt;&gt;0,1,0),0)&gt;0</formula>
    </cfRule>
  </conditionalFormatting>
  <conditionalFormatting sqref="S45:S50">
    <cfRule type="expression" dxfId="52" priority="5">
      <formula>IFERROR(IF(VLOOKUP($S45,OFFSET($AG$2,,,COUNTIF($AG$2:$AG$50,"?*")),1,FALSE)&lt;&gt;0,1,0),0)=0</formula>
    </cfRule>
  </conditionalFormatting>
  <conditionalFormatting sqref="AG2:AG50">
    <cfRule type="expression" dxfId="51" priority="1" stopIfTrue="1">
      <formula>IFERROR(IF(VLOOKUP($AG2,OFFSET($S$2,,,COUNTIF($S$2:$S$42,"?*")),1,FALSE)&lt;&gt;0,1,0),0)=0</formula>
    </cfRule>
    <cfRule type="expression" dxfId="50" priority="3" stopIfTrue="1">
      <formula>AND(IFERROR(IF(VLOOKUP($AG2,OFFSET($S$2,,,COUNTIF($S$2:$S$42,"?*")),1,FALSE)&lt;&gt;0,1,0),0)&gt;0,OR($AH2="",$AI2="",$AJ2="",$AK2="",$AL2="",$AM2="",$AN2="",$AQ2="",$AR2="",$AS2="",$AT2=""))</formula>
    </cfRule>
    <cfRule type="expression" dxfId="49" priority="4">
      <formula>IFERROR(IF(VLOOKUP($AG2,OFFSET($S$2,,,COUNTIF($S$2:$S$42,"?*")),1,FALSE)&lt;&gt;0,1,0),0)&gt;0</formula>
    </cfRule>
  </conditionalFormatting>
  <dataValidations count="4">
    <dataValidation type="list" errorStyle="warning" allowBlank="1" showErrorMessage="1" errorTitle="Chybějící hráč" error="Vámi zadaný hráč není na soupisce týmu." sqref="A1:D1 J42:P42 G3:J3 A6:D6 M6:P6 M12:P12 A12:D12 G14:J14 M17:P17 A17:D17 A23:D23 M23:P23 G25:J25 A28:D28 M28:P28 J34:P34 J38:P38 M1:P1">
      <formula1>OFFSET($AG$2,,,COUNTIF($AG$2:$AG$50,"?*"))</formula1>
    </dataValidation>
    <dataValidation type="list" errorStyle="warning" allowBlank="1" showInputMessage="1" showErrorMessage="1" errorTitle="Chybějící brankář" error="Vámi zadaný brankář není na soupisce týmu." sqref="A34:D34 A40:D40">
      <formula1>OFFSET($S$45,,,COUNTIF($S$45:$S$50,"?*"))</formula1>
    </dataValidation>
    <dataValidation type="list" errorStyle="warning" allowBlank="1" showInputMessage="1" showErrorMessage="1" errorTitle="Chybějící člen realizačního týmu" error="Vámi zadaný člen realizačního týmu není na soupisce týmu." sqref="A47:D47 J47:M47 J49:M49">
      <formula1>OFFSET($BN$2,,,COUNTIF($BN$2:$BN$11,"?*"))</formula1>
    </dataValidation>
    <dataValidation errorStyle="warning" allowBlank="1" showErrorMessage="1" errorTitle="Chybějící hráč!" error="Vámi zadaný hráč chybí na soupisce týmu." sqref="Q23 E1 E6 K3 Q1 Q6 Q12 Q17 E12 K14 K25 E17 Q28 Q34 E28 Q38 E23 Q42 E34 E40"/>
  </dataValidations>
  <pageMargins left="0.25" right="0.25" top="0.75" bottom="0.75" header="0.3" footer="0.3"/>
  <pageSetup paperSize="9" orientation="portrait" r:id="rId1"/>
  <headerFooter differentFirst="1"/>
  <rowBreaks count="1" manualBreakCount="1">
    <brk id="50" max="16383" man="1"/>
  </rowBreaks>
  <colBreaks count="3" manualBreakCount="3">
    <brk id="18" max="1048575" man="1"/>
    <brk id="32" max="1048575" man="1"/>
    <brk id="55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4"/>
  <dimension ref="A1:CA51"/>
  <sheetViews>
    <sheetView view="pageLayout" zoomScaleNormal="100" zoomScaleSheetLayoutView="100" workbookViewId="0">
      <selection sqref="A1:D1"/>
    </sheetView>
  </sheetViews>
  <sheetFormatPr defaultColWidth="9.140625" defaultRowHeight="14.25" x14ac:dyDescent="0.2"/>
  <cols>
    <col min="1" max="18" width="5.28515625" style="3" customWidth="1"/>
    <col min="19" max="19" width="17.5703125" style="3" customWidth="1"/>
    <col min="20" max="30" width="5.7109375" style="108" customWidth="1"/>
    <col min="31" max="32" width="5.7109375" style="66" customWidth="1"/>
    <col min="33" max="33" width="17.5703125" style="346" customWidth="1"/>
    <col min="34" max="34" width="8.7109375" style="347" bestFit="1" customWidth="1"/>
    <col min="35" max="40" width="4.85546875" style="348" customWidth="1"/>
    <col min="41" max="42" width="5.28515625" style="349" customWidth="1"/>
    <col min="43" max="44" width="5.28515625" style="348" customWidth="1"/>
    <col min="45" max="45" width="21.28515625" style="350" customWidth="1"/>
    <col min="46" max="46" width="9.140625" style="348"/>
    <col min="47" max="47" width="5.28515625" style="66" customWidth="1"/>
    <col min="48" max="48" width="9.140625" style="66" customWidth="1"/>
    <col min="49" max="49" width="11.28515625" style="123" customWidth="1"/>
    <col min="50" max="51" width="16" style="123" customWidth="1"/>
    <col min="52" max="55" width="5.28515625" style="123" customWidth="1"/>
    <col min="56" max="56" width="11.28515625" style="3" hidden="1" customWidth="1"/>
    <col min="57" max="57" width="5.28515625" style="123" hidden="1" customWidth="1"/>
    <col min="58" max="58" width="5.28515625" style="66" hidden="1" customWidth="1"/>
    <col min="59" max="59" width="11.28515625" style="3" hidden="1" customWidth="1"/>
    <col min="60" max="60" width="7.28515625" style="66" hidden="1" customWidth="1"/>
    <col min="61" max="61" width="11.28515625" style="3" hidden="1" customWidth="1"/>
    <col min="62" max="62" width="7.42578125" style="66" hidden="1" customWidth="1"/>
    <col min="63" max="63" width="11.28515625" style="3" hidden="1" customWidth="1"/>
    <col min="64" max="64" width="7.28515625" style="66" hidden="1" customWidth="1"/>
    <col min="65" max="65" width="11.28515625" style="3" hidden="1" customWidth="1"/>
    <col min="66" max="66" width="17.42578125" style="3" customWidth="1"/>
    <col min="67" max="67" width="8.7109375" style="127" customWidth="1"/>
    <col min="68" max="68" width="15" style="66" customWidth="1"/>
    <col min="69" max="69" width="52.42578125" style="3" customWidth="1"/>
    <col min="70" max="70" width="5.28515625" style="66" customWidth="1"/>
    <col min="71" max="71" width="9.140625" style="66"/>
    <col min="72" max="72" width="17.5703125" style="3" customWidth="1"/>
    <col min="73" max="73" width="6" style="66" bestFit="1" customWidth="1"/>
    <col min="74" max="74" width="17.5703125" style="3" customWidth="1"/>
    <col min="75" max="76" width="9.140625" style="3"/>
    <col min="77" max="78" width="9.140625" style="66" customWidth="1"/>
    <col min="79" max="79" width="9.140625" style="135" customWidth="1"/>
    <col min="80" max="16384" width="9.140625" style="3"/>
  </cols>
  <sheetData>
    <row r="1" spans="1:79" ht="15" customHeight="1" thickTop="1" thickBot="1" x14ac:dyDescent="0.3">
      <c r="A1" s="294"/>
      <c r="B1" s="295"/>
      <c r="C1" s="295"/>
      <c r="D1" s="295"/>
      <c r="E1" s="1" t="str">
        <f ca="1">IFERROR(IF(VLOOKUP(A1,OFFSET($AG$2,,,COUNTIF($AG$2:$AG$50,"?*"),23),9,FALSE)&lt;&gt;0,VLOOKUP(A1,OFFSET($AG$2,,,COUNTIF($AG$2:$AG$50,"?*"),23),9,FALSE),""),"")</f>
        <v/>
      </c>
      <c r="F1" s="2" t="str">
        <f ca="1">IFERROR(IF(VLOOKUP(A1,OFFSET($AG$2,,,COUNTIF($AG$2:$AG$50,"?*"),23),8,FALSE)&lt;&gt;0,VLOOKUP(A1,OFFSET($AG$2,,,COUNTIF($AG$2:$AG$50,"?*"),23),8,FALSE),"?"),"")</f>
        <v/>
      </c>
      <c r="H1" s="296" t="s">
        <v>1</v>
      </c>
      <c r="I1" s="296"/>
      <c r="J1" s="296"/>
      <c r="K1" s="296"/>
      <c r="M1" s="294"/>
      <c r="N1" s="295"/>
      <c r="O1" s="295"/>
      <c r="P1" s="295"/>
      <c r="Q1" s="1" t="str">
        <f ca="1">IFERROR(IF(VLOOKUP(M1,OFFSET($AG$2,,,COUNTIF($AG$2:$AG$50,"?*"),23),9,FALSE)&lt;&gt;0,VLOOKUP(M1,OFFSET($AG$2,,,COUNTIF($AG$2:$AG$50,"?*"),23),9,FALSE),""),"")</f>
        <v/>
      </c>
      <c r="R1" s="2" t="str">
        <f ca="1">IFERROR(IF(VLOOKUP(M1,OFFSET($AG$2,,,COUNTIF($AG$2:$AG$50,"?*"),23),8,FALSE)&lt;&gt;0,VLOOKUP(M1,OFFSET($AG$2,,,COUNTIF($AG$2:$AG$50,"?*"),23),8,FALSE),"?"),"")</f>
        <v/>
      </c>
      <c r="S1" s="68" t="s">
        <v>142</v>
      </c>
      <c r="T1" s="124" t="s">
        <v>143</v>
      </c>
      <c r="U1" s="124" t="s">
        <v>89</v>
      </c>
      <c r="V1" s="124" t="s">
        <v>132</v>
      </c>
      <c r="W1" s="124" t="s">
        <v>90</v>
      </c>
      <c r="X1" s="124" t="s">
        <v>64</v>
      </c>
      <c r="Y1" s="124" t="s">
        <v>144</v>
      </c>
      <c r="Z1" s="124" t="s">
        <v>46</v>
      </c>
      <c r="AA1" s="124" t="s">
        <v>31</v>
      </c>
      <c r="AB1" s="124" t="s">
        <v>145</v>
      </c>
      <c r="AG1" s="342" t="s">
        <v>142</v>
      </c>
      <c r="AH1" s="343" t="s">
        <v>151</v>
      </c>
      <c r="AI1" s="344" t="s">
        <v>152</v>
      </c>
      <c r="AJ1" s="344" t="s">
        <v>153</v>
      </c>
      <c r="AK1" s="344" t="s">
        <v>154</v>
      </c>
      <c r="AL1" s="344" t="s">
        <v>155</v>
      </c>
      <c r="AM1" s="344" t="s">
        <v>162</v>
      </c>
      <c r="AN1" s="344" t="s">
        <v>58</v>
      </c>
      <c r="AO1" s="345" t="s">
        <v>156</v>
      </c>
      <c r="AP1" s="345" t="s">
        <v>157</v>
      </c>
      <c r="AQ1" s="344" t="s">
        <v>158</v>
      </c>
      <c r="AR1" s="344" t="s">
        <v>159</v>
      </c>
      <c r="AS1" s="345" t="s">
        <v>160</v>
      </c>
      <c r="AT1" s="344" t="s">
        <v>161</v>
      </c>
      <c r="AU1" s="67" t="s">
        <v>163</v>
      </c>
      <c r="AV1" s="67" t="s">
        <v>204</v>
      </c>
      <c r="AW1" s="124" t="s">
        <v>191</v>
      </c>
      <c r="AX1" s="124" t="s">
        <v>199</v>
      </c>
      <c r="AY1" s="124" t="s">
        <v>205</v>
      </c>
      <c r="AZ1" s="124" t="s">
        <v>200</v>
      </c>
      <c r="BA1" s="124" t="s">
        <v>201</v>
      </c>
      <c r="BB1" s="67" t="s">
        <v>202</v>
      </c>
      <c r="BC1" s="67" t="s">
        <v>203</v>
      </c>
      <c r="BD1" s="67" t="s">
        <v>188</v>
      </c>
      <c r="BE1" s="124" t="s">
        <v>189</v>
      </c>
      <c r="BF1" s="67" t="s">
        <v>190</v>
      </c>
      <c r="BG1" s="67" t="s">
        <v>195</v>
      </c>
      <c r="BH1" s="67" t="s">
        <v>192</v>
      </c>
      <c r="BI1" s="67" t="s">
        <v>196</v>
      </c>
      <c r="BJ1" s="67" t="s">
        <v>193</v>
      </c>
      <c r="BK1" s="67" t="s">
        <v>197</v>
      </c>
      <c r="BL1" s="67" t="s">
        <v>194</v>
      </c>
      <c r="BM1" s="67" t="s">
        <v>198</v>
      </c>
      <c r="BN1" s="125" t="s">
        <v>142</v>
      </c>
      <c r="BO1" s="126" t="s">
        <v>151</v>
      </c>
      <c r="BP1" s="67" t="s">
        <v>206</v>
      </c>
      <c r="BQ1" s="67" t="s">
        <v>207</v>
      </c>
      <c r="BR1" s="67" t="s">
        <v>163</v>
      </c>
      <c r="BS1" s="67" t="s">
        <v>236</v>
      </c>
      <c r="BT1" s="68" t="s">
        <v>142</v>
      </c>
      <c r="BU1" s="67" t="s">
        <v>237</v>
      </c>
      <c r="BV1" s="68" t="s">
        <v>238</v>
      </c>
      <c r="BW1" s="67" t="s">
        <v>239</v>
      </c>
      <c r="BX1" s="67" t="s">
        <v>247</v>
      </c>
      <c r="BY1" s="67" t="s">
        <v>56</v>
      </c>
      <c r="BZ1" s="67" t="s">
        <v>248</v>
      </c>
      <c r="CA1" s="133" t="s">
        <v>28</v>
      </c>
    </row>
    <row r="2" spans="1:79" ht="15" customHeight="1" thickBot="1" x14ac:dyDescent="0.25">
      <c r="A2" s="4" t="str">
        <f ca="1">IFERROR(IF(VLOOKUP(A1,OFFSET($AG$2,,,COUNTIF($AG$2:$AG$50,"?*"),23),10,FALSE)&lt;&gt;0,VLOOKUP(A1,OFFSET($AG$2,,,COUNTIF($AG$2:$AG$50,"?*"),23),10,FALSE),"?"),"")</f>
        <v/>
      </c>
      <c r="B2" s="252" t="str">
        <f ca="1">IFERROR(IF(VLOOKUP(A1,OFFSET($AG$2,,,COUNTIF($AG$2:$AG$50,"?*"),23),2,FALSE)&lt;&gt;0,YEAR(VLOOKUP(A1,OFFSET($AG$2,,,COUNTIF($AG$2:$AG$50,"?*"),23),2,FALSE)),"?"),"")</f>
        <v/>
      </c>
      <c r="C2" s="261"/>
      <c r="D2" s="140" t="str">
        <f ca="1">IFERROR(VLOOKUP(A1,OFFSET($AG$2,,,COUNTIF($AG$2:$AG$50,"?*"),23),15,FALSE),"")</f>
        <v/>
      </c>
      <c r="E2" s="251" t="str">
        <f ca="1">IFERROR(VLOOKUP(A1,OFFSET($AG$2,,,COUNTIF($AG$2:$AG$50,"?*"),23),16,FALSE),"")</f>
        <v/>
      </c>
      <c r="F2" s="253"/>
      <c r="M2" s="4" t="str">
        <f ca="1">IFERROR(IF(VLOOKUP(M1,OFFSET($AG$2,,,COUNTIF($AG$2:$AG$50,"?*"),23),10,FALSE)&lt;&gt;0,VLOOKUP(M1,OFFSET($AG$2,,,COUNTIF($AG$2:$AG$50,"?*"),23),10,FALSE),"?"),"")</f>
        <v/>
      </c>
      <c r="N2" s="252" t="str">
        <f ca="1">IFERROR(IF(VLOOKUP(M1,OFFSET($AG$2,,,COUNTIF($AG$2:$AG$50,"?*"),23),2,FALSE)&lt;&gt;0,YEAR(VLOOKUP(M1,OFFSET($AG$2,,,COUNTIF($AG$2:$AG$50,"?*"),23),2,FALSE)),"?"),"")</f>
        <v/>
      </c>
      <c r="O2" s="261"/>
      <c r="P2" s="140" t="str">
        <f ca="1">IFERROR(VLOOKUP(M1,OFFSET($AG$2,,,COUNTIF($AG$2:$AG$50,"?*"),23),15,FALSE),"")</f>
        <v/>
      </c>
      <c r="Q2" s="251" t="str">
        <f ca="1">IFERROR(VLOOKUP(M1,OFFSET($AG$2,,,COUNTIF($AG$2:$AG$50,"?*"),23),16,FALSE),"")</f>
        <v/>
      </c>
      <c r="R2" s="253"/>
      <c r="S2" s="136" t="s">
        <v>253</v>
      </c>
      <c r="U2" s="108">
        <v>1</v>
      </c>
      <c r="V2" s="108">
        <v>1</v>
      </c>
      <c r="W2" s="108">
        <v>1</v>
      </c>
      <c r="X2" s="108">
        <v>0</v>
      </c>
      <c r="Y2" s="108">
        <v>1</v>
      </c>
      <c r="Z2" s="108">
        <v>2</v>
      </c>
      <c r="AA2" s="108">
        <v>0</v>
      </c>
      <c r="AB2" s="108">
        <v>-1</v>
      </c>
      <c r="AG2" s="328" t="s">
        <v>261</v>
      </c>
      <c r="AH2" s="329">
        <v>34442</v>
      </c>
      <c r="AI2" s="330">
        <v>118</v>
      </c>
      <c r="AJ2" s="330">
        <v>26</v>
      </c>
      <c r="AK2" s="330">
        <v>9</v>
      </c>
      <c r="AL2" s="330">
        <v>35</v>
      </c>
      <c r="AM2" s="330">
        <v>11</v>
      </c>
      <c r="AN2" s="330">
        <v>48</v>
      </c>
      <c r="AO2" s="331"/>
      <c r="AP2" s="331" t="s">
        <v>164</v>
      </c>
      <c r="AQ2" s="330">
        <v>185</v>
      </c>
      <c r="AR2" s="330">
        <v>86</v>
      </c>
      <c r="AS2" s="332" t="s">
        <v>273</v>
      </c>
      <c r="AT2" s="330">
        <v>2001</v>
      </c>
      <c r="AU2" s="66">
        <f t="shared" ref="AU2:AU50" ca="1" si="0">IF(AG2&lt;&gt;"",IF(AH2&lt;&gt;"",INT((TODAY()-AH2)/365),"?"),"")</f>
        <v>27</v>
      </c>
      <c r="AV2" s="66" t="str">
        <f>IF(AG2&lt;&gt;"",CONCATENATE(IF(AQ2&lt;&gt;"",AQ2,"? "),"/",IF(AR2&lt;&gt;"",AR2," ?")),"")</f>
        <v>185/86</v>
      </c>
      <c r="AW2" s="128" t="str">
        <f t="shared" ref="AW2:AW50" ca="1" si="1">IF(AG2&lt;&gt;"",IF(BE2=1,BD2,IF(BH2,BG2,IF(BJ2=1,BI2,IF(BL2=1,BK2,BM2)))),"")</f>
        <v>Baudisch</v>
      </c>
      <c r="AX2" s="123" t="str">
        <f t="shared" ref="AX2:AX27" ca="1" si="2">IFERROR(IF(MATCH(AG2,OFFSET($S$45,,,COUNTIF($S$45:$S$50,"?*")),0)&gt;0,CONCATENATE(VLOOKUP(AG2,OFFSET($S$45,,,COUNTIF($S$45:$S$50,"?*"),14),4,FALSE)," V, ",VLOOKUP(AG2,OFFSET($S$45,,,COUNTIF($S$45:$S$50,"?*"),14),9,FALSE)," P"),""),IFERROR(CONCATENATE(VLOOKUP(AG2,OFFSET($S$2,,,COUNTIF($S$2:$S$42,"?*"),10),3,FALSE)+AZ2," OZ, ",VLOOKUP(AG2,OFFSET($S$2,,,COUNTIF($S$2:$S$42,"?*"),10),8,FALSE)+BA2+BB2," (",VLOOKUP(AG2,OFFSET($S$2,,,COUNTIF($S$2:$S$42,"?*"),10),4,FALSE)+BA2,"+",VLOOKUP(AG2,OFFSET($S$2,,,COUNTIF($S$2:$S$42,"?*"),10),7,FALSE)+BB2,"), ",IF(VLOOKUP(AG2,OFFSET($S$2,,,COUNTIF($S$2:$S$42,"?*"),10),10,FALSE)+BC2&gt;0,"+",""),VLOOKUP(AG2,OFFSET($S$2,,,COUNTIF($S$2:$S$42,"?*"),10),10,FALSE)+BC2," ±"),IF(AG2&lt;&gt;"","0 OZ, 0 (0+0)","")))</f>
        <v>1 OZ, 0 (0+0), -5 ±</v>
      </c>
      <c r="AY2" s="123" t="str">
        <f ca="1">IFERROR(CONCATENATE(AI2+VLOOKUP(AG2,OFFSET($S$45,,,COUNTIF($S$45:$S$50,"?*"),14),2,FALSE)," OZ, ",AK2+VLOOKUP(AG2,OFFSET($S$45,,,COUNTIF($S$45:$S$50,"?*"),14),11,FALSE)," A"),IFERROR(CONCATENATE(VLOOKUP(AG2,OFFSET($S$2,,,COUNTIF($S$2:$S$42,"?*"),10),3,FALSE)+AZ2+AI2," OZ, ",VLOOKUP(AG2,OFFSET($S$2,,,COUNTIF($S$2:$S$42,"?*"),10),8,FALSE)+BA2+BB2+AL2," (",VLOOKUP(AG2,OFFSET($S$2,,,COUNTIF($S$2:$S$42,"?*"),10),4,FALSE)+BA2+AJ2,"+",VLOOKUP(AG2,OFFSET($S$2,,,COUNTIF($S$2:$S$42,"?*"),10),7,FALSE)+BB2+AK2,")"),IF(AG2&lt;&gt;"",CONCATENATE(AI2," OZ, ",AL2," (",AJ2,"+",AK2,")"),"")))</f>
        <v>119 OZ, 35 (26+9)</v>
      </c>
      <c r="BD2" s="3" t="str">
        <f>IF(AG2&lt;&gt;"",RIGHT(AG2,LEN(AG2)-SEARCH(" ",AG2)),"")</f>
        <v>Baudisch</v>
      </c>
      <c r="BE2" s="123">
        <f ca="1">IF(AG2&lt;&gt;"",COUNTIF(OFFSET($BD$2,,,COUNTIF($AG$2:$AG$50,"?*")),BD2),"")</f>
        <v>1</v>
      </c>
      <c r="BF2" s="66" t="str">
        <f>IF(AG2&lt;&gt;"",LEFT(AG2,1),"")</f>
        <v>J</v>
      </c>
      <c r="BG2" s="3" t="str">
        <f ca="1">IF(AND($AG2&lt;&gt;"",BE2&gt;1),CONCATENATE($BD2," ",LEFT($AG2,MIN(1,SEARCH(" ",$AG2)-1)),IF(SEARCH(" ",$AG2)-1&gt;1,".",""),""),"")</f>
        <v/>
      </c>
      <c r="BH2" s="66">
        <f ca="1">IF(BG2&lt;&gt;"",COUNTIF(OFFSET(BG$2,,,COUNTIF($AG$2:$AG$50,"?*")),BG2),IF($AG2&lt;&gt;"",0,""))</f>
        <v>0</v>
      </c>
      <c r="BI2" s="3" t="str">
        <f ca="1">IF(AND($AG2&lt;&gt;"",BH2&gt;1),CONCATENATE($BD2," ",LEFT($AG2,MIN(2,SEARCH(" ",$AG2)-1)),IF(SEARCH(" ",$AG2)-1&gt;2,".",""),""),"")</f>
        <v/>
      </c>
      <c r="BJ2" s="66">
        <f ca="1">IF(BI2&lt;&gt;"",COUNTIF(OFFSET(BI$2,,,COUNTIF($AG$2:$AG$50,"?*")),BI2),IF($AG2&lt;&gt;"",0,""))</f>
        <v>0</v>
      </c>
      <c r="BK2" s="3" t="str">
        <f ca="1">IF(AND($AG2&lt;&gt;"",BJ2&gt;1),CONCATENATE($BD2," ",LEFT($AG2,MIN(3,SEARCH(" ",$AG2)-1)),IF(SEARCH(" ",$AG2)-1&gt;3,".",""),""),"")</f>
        <v/>
      </c>
      <c r="BL2" s="66">
        <f ca="1">IF(BK2&lt;&gt;"",COUNTIF(OFFSET(BK$2,,,COUNTIF($AG$2:$AG$50,"?*")),BK2),IF($AG2&lt;&gt;"",0,""))</f>
        <v>0</v>
      </c>
      <c r="BM2" s="3" t="str">
        <f ca="1">IF(AND($AG2&lt;&gt;"",BL2&gt;1),CONCATENATE($BD2," ",LEFT($AG2,MIN(4,SEARCH(" ",$AG2)-1)),IF(SEARCH(" ",$AG2)-1&gt;4,".",""),""),"")</f>
        <v/>
      </c>
      <c r="BN2" s="332" t="s">
        <v>292</v>
      </c>
      <c r="BO2" s="329">
        <v>24850</v>
      </c>
      <c r="BP2" s="338" t="s">
        <v>297</v>
      </c>
      <c r="BQ2" s="339" t="s">
        <v>301</v>
      </c>
      <c r="BR2" s="66">
        <f ca="1">IF(BN2&lt;&gt;"",IF(BO2&lt;&gt;"",INT((TODAY()-BO2)/365),"?"),"")</f>
        <v>53</v>
      </c>
      <c r="BS2" s="325" t="s">
        <v>36</v>
      </c>
      <c r="BT2" s="3" t="s">
        <v>302</v>
      </c>
      <c r="BU2" s="66">
        <v>2</v>
      </c>
      <c r="BV2" s="3" t="str">
        <f>IFERROR(RIGHT(BT2,LEN(BT2)-SEARCH(" ",BT2)),"")</f>
        <v>Jakub Kopecký</v>
      </c>
      <c r="BW2" s="108">
        <f>IF(BT2&lt;&gt;0,_xlfn.NUMBERVALUE(BU2,","),"")</f>
        <v>2</v>
      </c>
      <c r="BX2" s="324" t="s">
        <v>250</v>
      </c>
      <c r="BY2" s="66" t="s">
        <v>318</v>
      </c>
      <c r="BZ2" s="66" t="s">
        <v>23</v>
      </c>
      <c r="CA2" s="135" t="s">
        <v>319</v>
      </c>
    </row>
    <row r="3" spans="1:79" ht="15" customHeight="1" thickTop="1" thickBot="1" x14ac:dyDescent="0.25">
      <c r="A3" s="290" t="str">
        <f ca="1">IFERROR(VLOOKUP(A1,OFFSET($AG$2,,,COUNTIF($AG$2:$AG$50,"?*"),23),18,FALSE),"")</f>
        <v/>
      </c>
      <c r="B3" s="291"/>
      <c r="C3" s="291"/>
      <c r="D3" s="292" t="str">
        <f ca="1">IFERROR(VLOOKUP(A1,OFFSET($AG$2,,,COUNTIF($AG$2:$AG$50,"?*"),23),19,FALSE),"")</f>
        <v/>
      </c>
      <c r="E3" s="292"/>
      <c r="F3" s="293"/>
      <c r="G3" s="294"/>
      <c r="H3" s="295"/>
      <c r="I3" s="295"/>
      <c r="J3" s="295"/>
      <c r="K3" s="1" t="str">
        <f ca="1">IFERROR(IF(VLOOKUP(G3,OFFSET($AG$2,,,COUNTIF($AG$2:$AG$50,"?*"),23),9,FALSE)&lt;&gt;0,VLOOKUP(G3,OFFSET($AG$2,,,COUNTIF($AG$2:$AG$50,"?*"),23),9,FALSE),""),"")</f>
        <v/>
      </c>
      <c r="L3" s="2" t="str">
        <f ca="1">IFERROR(IF(VLOOKUP(G3,OFFSET($AG$2,,,COUNTIF($AG$2:$AG$50,"?*"),23),8,FALSE)&lt;&gt;0,VLOOKUP(G3,OFFSET($AG$2,,,COUNTIF($AG$2:$AG$50,"?*"),23),8,FALSE),"?"),"")</f>
        <v/>
      </c>
      <c r="M3" s="290" t="str">
        <f ca="1">IFERROR(VLOOKUP(M1,OFFSET($AG$2,,,COUNTIF($AG$2:$AG$50,"?*"),23),18,FALSE),"")</f>
        <v/>
      </c>
      <c r="N3" s="291"/>
      <c r="O3" s="291"/>
      <c r="P3" s="292" t="str">
        <f ca="1">IFERROR(VLOOKUP(M1,OFFSET($AG$2,,,COUNTIF($AG$2:$AG$50,"?*"),23),19,FALSE),"")</f>
        <v/>
      </c>
      <c r="Q3" s="292"/>
      <c r="R3" s="293"/>
      <c r="S3" s="136" t="s">
        <v>254</v>
      </c>
      <c r="T3" s="108" t="s">
        <v>134</v>
      </c>
      <c r="U3" s="108">
        <v>1</v>
      </c>
      <c r="V3" s="108">
        <v>1</v>
      </c>
      <c r="W3" s="108">
        <v>0</v>
      </c>
      <c r="X3" s="108">
        <v>0</v>
      </c>
      <c r="Y3" s="108">
        <v>0</v>
      </c>
      <c r="Z3" s="108">
        <v>1</v>
      </c>
      <c r="AA3" s="108">
        <v>0</v>
      </c>
      <c r="AB3" s="108">
        <v>-2</v>
      </c>
      <c r="AG3" s="333" t="s">
        <v>274</v>
      </c>
      <c r="AH3" s="334">
        <v>35107</v>
      </c>
      <c r="AI3" s="335">
        <v>121</v>
      </c>
      <c r="AJ3" s="335">
        <v>4</v>
      </c>
      <c r="AK3" s="335">
        <v>12</v>
      </c>
      <c r="AL3" s="335">
        <v>16</v>
      </c>
      <c r="AM3" s="335">
        <v>6</v>
      </c>
      <c r="AN3" s="335">
        <v>8</v>
      </c>
      <c r="AO3" s="336"/>
      <c r="AP3" s="336" t="s">
        <v>164</v>
      </c>
      <c r="AQ3" s="335">
        <v>180</v>
      </c>
      <c r="AR3" s="335">
        <v>73</v>
      </c>
      <c r="AS3" s="337" t="s">
        <v>87</v>
      </c>
      <c r="AT3" s="335">
        <v>2011</v>
      </c>
      <c r="AU3" s="130">
        <f t="shared" ca="1" si="0"/>
        <v>25</v>
      </c>
      <c r="AV3" s="130" t="str">
        <f t="shared" ref="AV3:AV50" si="3">IF(AG3&lt;&gt;"",CONCATENATE(IF(AQ3&lt;&gt;"",AQ3,"? "),"/",IF(AR3&lt;&gt;"",AR3," ?")),"")</f>
        <v>180/73</v>
      </c>
      <c r="AW3" s="131" t="str">
        <f t="shared" ca="1" si="1"/>
        <v>Bitman</v>
      </c>
      <c r="AX3" s="132" t="str">
        <f t="shared" ca="1" si="2"/>
        <v>0 OZ, 0 (0+0)</v>
      </c>
      <c r="AY3" s="132" t="str">
        <f t="shared" ref="AY3:AY32" ca="1" si="4">IFERROR(CONCATENATE(AI3+VLOOKUP(AG3,OFFSET($S$45,,,COUNTIF($S$45:$S$50,"?*"),14),2,FALSE)," OZ, ",AK3+VLOOKUP(AG3,OFFSET($S$45,,,COUNTIF($S$45:$S$50,"?*"),14),11,FALSE)," A"),IFERROR(CONCATENATE(VLOOKUP(AG3,OFFSET($S$2,,,COUNTIF($S$2:$S$42,"?*"),10),3,FALSE)+AZ3+AI3," OZ, ",VLOOKUP(AG3,OFFSET($S$2,,,COUNTIF($S$2:$S$42,"?*"),10),8,FALSE)+BA3+BB3+AL3," (",VLOOKUP(AG3,OFFSET($S$2,,,COUNTIF($S$2:$S$42,"?*"),10),4,FALSE)+BA3+AJ3,"+",VLOOKUP(AG3,OFFSET($S$2,,,COUNTIF($S$2:$S$42,"?*"),10),7,FALSE)+BB3+AK3,")"),IF(AG3&lt;&gt;"",CONCATENATE(AI3," OZ, ",AL3," (",AJ3,"+",AK3,")"),"")))</f>
        <v>121 OZ, 16 (4+12)</v>
      </c>
      <c r="AZ3" s="132"/>
      <c r="BA3" s="132"/>
      <c r="BB3" s="132"/>
      <c r="BC3" s="132"/>
      <c r="BD3" s="129" t="str">
        <f t="shared" ref="BD3:BD50" si="5">IF(AG3&lt;&gt;"",RIGHT(AG3,LEN(AG3)-SEARCH(" ",AG3)),"")</f>
        <v>Bitman</v>
      </c>
      <c r="BE3" s="132">
        <f t="shared" ref="BE3:BE50" ca="1" si="6">IF(AG3&lt;&gt;"",COUNTIF(OFFSET($BD$2,,,COUNTIF($AG$2:$AG$50,"?*")),BD3),"")</f>
        <v>1</v>
      </c>
      <c r="BF3" s="130" t="str">
        <f t="shared" ref="BF3:BF50" si="7">IF(AG3&lt;&gt;"",LEFT(AG3,1),"")</f>
        <v>J</v>
      </c>
      <c r="BG3" s="129" t="str">
        <f t="shared" ref="BG3:BG50" ca="1" si="8">IF(AND($AG3&lt;&gt;"",BE3&gt;1),CONCATENATE($BD3," ",LEFT($AG3,MIN(1,SEARCH(" ",$AG3)-1)),IF(SEARCH(" ",$AG3)-1&gt;1,".",""),""),"")</f>
        <v/>
      </c>
      <c r="BH3" s="130">
        <f t="shared" ref="BH3:BJ50" ca="1" si="9">IF(BG3&lt;&gt;"",COUNTIF(OFFSET(BG$2,,,COUNTIF($AG$2:$AG$50,"?*")),BG3),IF($AG3&lt;&gt;"",0,""))</f>
        <v>0</v>
      </c>
      <c r="BI3" s="129" t="str">
        <f t="shared" ref="BI3:BI50" ca="1" si="10">IF(AND($AG3&lt;&gt;"",BH3&gt;1),CONCATENATE($BD3," ",LEFT($AG3,MIN(2,SEARCH(" ",$AG3)-1)),IF(SEARCH(" ",$AG3)-1&gt;2,".",""),""),"")</f>
        <v/>
      </c>
      <c r="BJ3" s="130">
        <f t="shared" ca="1" si="9"/>
        <v>0</v>
      </c>
      <c r="BK3" s="129" t="str">
        <f t="shared" ref="BK3:BK50" ca="1" si="11">IF(AND($AG3&lt;&gt;"",BJ3&gt;1),CONCATENATE($BD3," ",LEFT($AG3,MIN(3,SEARCH(" ",$AG3)-1)),IF(SEARCH(" ",$AG3)-1&gt;3,".",""),""),"")</f>
        <v/>
      </c>
      <c r="BL3" s="130">
        <f t="shared" ref="BL3:BL50" ca="1" si="12">IF(BK3&lt;&gt;"",COUNTIF(OFFSET(BK$2,,,COUNTIF($AG$2:$AG$50,"?*")),BK3),IF($AG3&lt;&gt;"",0,""))</f>
        <v>0</v>
      </c>
      <c r="BM3" s="129" t="str">
        <f t="shared" ref="BM3:BM50" ca="1" si="13">IF(AND($AG3&lt;&gt;"",BL3&gt;1),CONCATENATE($BD3," ",LEFT($AG3,MIN(4,SEARCH(" ",$AG3)-1)),IF(SEARCH(" ",$AG3)-1&gt;4,".",""),""),"")</f>
        <v/>
      </c>
      <c r="BN3" s="337" t="s">
        <v>293</v>
      </c>
      <c r="BO3" s="334">
        <v>34764</v>
      </c>
      <c r="BP3" s="340" t="s">
        <v>298</v>
      </c>
      <c r="BQ3" s="341"/>
      <c r="BR3" s="130">
        <f t="shared" ref="BR3:BR11" ca="1" si="14">IF(BN3&lt;&gt;"",IF(BO3&lt;&gt;"",INT((TODAY()-BO3)/365),"?"),"")</f>
        <v>26</v>
      </c>
      <c r="BS3" s="325"/>
      <c r="BT3" s="3" t="s">
        <v>303</v>
      </c>
      <c r="BU3" s="66">
        <v>1</v>
      </c>
      <c r="BV3" s="3" t="str">
        <f t="shared" ref="BV3:BV31" si="15">IFERROR(RIGHT(BT3,LEN(BT3)-SEARCH(" ",BT3)),"")</f>
        <v>Jan Šoltys</v>
      </c>
      <c r="BW3" s="108">
        <f t="shared" ref="BW3:BW31" si="16">IF(BT3&lt;&gt;0,_xlfn.NUMBERVALUE(BU3,","),"")</f>
        <v>1</v>
      </c>
      <c r="BX3" s="324"/>
    </row>
    <row r="4" spans="1:79" ht="15" customHeight="1" thickBot="1" x14ac:dyDescent="0.25">
      <c r="A4" s="297" t="str">
        <f ca="1">IFERROR(IF(VLOOKUP(A1,OFFSET($AG$2,,,COUNTIF($AG$2:$AG$50,"?*"),23),13,FALSE)&lt;&gt;0,VLOOKUP(A1,OFFSET($AG$2,,,COUNTIF($AG$2:$AG$50,"?*"),23),13,FALSE),"?"),"")</f>
        <v/>
      </c>
      <c r="B4" s="298"/>
      <c r="C4" s="299"/>
      <c r="D4" s="288" t="str">
        <f ca="1">IFERROR(IF(VLOOKUP(A1,OFFSET($AG$2,,,COUNTIF($AG$2:$AG$50,"?*"),23),14,FALSE)&lt;&gt;0,VLOOKUP(A1,OFFSET($AG$2,,,COUNTIF($AG$2:$AG$50,"?*"),23),14,FALSE),"?"),"")</f>
        <v/>
      </c>
      <c r="E4" s="287"/>
      <c r="F4" s="7" t="str">
        <f ca="1">IFERROR(IF(VLOOKUP(A1,OFFSET($AG$2,,,COUNTIF($AG$2:$AG$50,"?*"),23),7,FALSE)&lt;&gt;0,VLOOKUP(A1,OFFSET($AG$2,,,COUNTIF($AG$2:$AG$50,"?*"),23),7,FALSE),"?"),"")</f>
        <v/>
      </c>
      <c r="G4" s="4" t="str">
        <f ca="1">IFERROR(IF(VLOOKUP(G3,OFFSET($AG$2,,,COUNTIF($AG$2:$AG$50,"?*"),23),10,FALSE)&lt;&gt;0,VLOOKUP(G3,OFFSET($AG$2,,,COUNTIF($AG$2:$AG$50,"?*"),23),10,FALSE),"?"),"")</f>
        <v/>
      </c>
      <c r="H4" s="252" t="str">
        <f ca="1">IFERROR(IF(VLOOKUP(G3,OFFSET($AG$2,,,COUNTIF($AG$2:$AG$50,"?*"),23),2,FALSE)&lt;&gt;0,YEAR(VLOOKUP(G3,OFFSET($AG$2,,,COUNTIF($AG$2:$AG$50,"?*"),23),2,FALSE)),"?"),"")</f>
        <v/>
      </c>
      <c r="I4" s="261"/>
      <c r="J4" s="140" t="str">
        <f ca="1">IFERROR(VLOOKUP(G3,OFFSET($AG$2,,,COUNTIF($AG$2:$AG$50,"?*"),23),15,FALSE),"")</f>
        <v/>
      </c>
      <c r="K4" s="251" t="str">
        <f ca="1">IFERROR(VLOOKUP(G3,OFFSET($AG$2,,,COUNTIF($AG$2:$AG$50,"?*"),23),16,FALSE),"")</f>
        <v/>
      </c>
      <c r="L4" s="253"/>
      <c r="M4" s="297" t="str">
        <f ca="1">IFERROR(IF(VLOOKUP(M1,OFFSET($AG$2,,,COUNTIF($AG$2:$AG$50,"?*"),23),13,FALSE)&lt;&gt;0,VLOOKUP(M1,OFFSET($AG$2,,,COUNTIF($AG$2:$AG$50,"?*"),23),13,FALSE),"?"),"")</f>
        <v/>
      </c>
      <c r="N4" s="298"/>
      <c r="O4" s="299"/>
      <c r="P4" s="288" t="str">
        <f ca="1">IFERROR(IF(VLOOKUP(M1,OFFSET($AG$2,,,COUNTIF($AG$2:$AG$50,"?*"),23),14,FALSE)&lt;&gt;0,VLOOKUP(M1,OFFSET($AG$2,,,COUNTIF($AG$2:$AG$50,"?*"),23),14,FALSE),"?"),"")</f>
        <v/>
      </c>
      <c r="Q4" s="287"/>
      <c r="R4" s="7" t="str">
        <f ca="1">IFERROR(IF(VLOOKUP(M1,OFFSET($AG$2,,,COUNTIF($AG$2:$AG$50,"?*"),23),7,FALSE)&lt;&gt;0,VLOOKUP(M1,OFFSET($AG$2,,,COUNTIF($AG$2:$AG$50,"?*"),23),7,FALSE),"?"),"")</f>
        <v/>
      </c>
      <c r="S4" s="136" t="s">
        <v>255</v>
      </c>
      <c r="T4" s="108" t="s">
        <v>134</v>
      </c>
      <c r="U4" s="108">
        <v>1</v>
      </c>
      <c r="V4" s="108">
        <v>0</v>
      </c>
      <c r="W4" s="108">
        <v>0</v>
      </c>
      <c r="X4" s="108">
        <v>0</v>
      </c>
      <c r="Y4" s="108">
        <v>1</v>
      </c>
      <c r="Z4" s="108">
        <v>1</v>
      </c>
      <c r="AA4" s="108">
        <v>2</v>
      </c>
      <c r="AB4" s="108">
        <v>-1</v>
      </c>
      <c r="AG4" s="328" t="s">
        <v>275</v>
      </c>
      <c r="AH4" s="329">
        <v>37271</v>
      </c>
      <c r="AI4" s="330">
        <v>5</v>
      </c>
      <c r="AJ4" s="330">
        <v>1</v>
      </c>
      <c r="AK4" s="330">
        <v>2</v>
      </c>
      <c r="AL4" s="330">
        <v>3</v>
      </c>
      <c r="AM4" s="330">
        <v>2</v>
      </c>
      <c r="AN4" s="330">
        <v>89</v>
      </c>
      <c r="AO4" s="331"/>
      <c r="AP4" s="331" t="s">
        <v>164</v>
      </c>
      <c r="AQ4" s="330">
        <v>180</v>
      </c>
      <c r="AR4" s="330">
        <v>66</v>
      </c>
      <c r="AS4" s="332" t="s">
        <v>87</v>
      </c>
      <c r="AT4" s="330">
        <v>2009</v>
      </c>
      <c r="AU4" s="66">
        <f t="shared" ca="1" si="0"/>
        <v>19</v>
      </c>
      <c r="AV4" s="66" t="str">
        <f t="shared" si="3"/>
        <v>180/66</v>
      </c>
      <c r="AW4" s="128" t="str">
        <f t="shared" ca="1" si="1"/>
        <v>Blažek</v>
      </c>
      <c r="AX4" s="123" t="str">
        <f t="shared" ca="1" si="2"/>
        <v>0 OZ, 0 (0+0)</v>
      </c>
      <c r="AY4" s="123" t="str">
        <f t="shared" ca="1" si="4"/>
        <v>5 OZ, 3 (1+2)</v>
      </c>
      <c r="BD4" s="3" t="str">
        <f t="shared" si="5"/>
        <v>Blažek</v>
      </c>
      <c r="BE4" s="123">
        <f t="shared" ca="1" si="6"/>
        <v>1</v>
      </c>
      <c r="BF4" s="66" t="str">
        <f t="shared" si="7"/>
        <v>V</v>
      </c>
      <c r="BG4" s="3" t="str">
        <f t="shared" ca="1" si="8"/>
        <v/>
      </c>
      <c r="BH4" s="66">
        <f t="shared" ca="1" si="9"/>
        <v>0</v>
      </c>
      <c r="BI4" s="3" t="str">
        <f t="shared" ca="1" si="10"/>
        <v/>
      </c>
      <c r="BJ4" s="66">
        <f t="shared" ca="1" si="9"/>
        <v>0</v>
      </c>
      <c r="BK4" s="3" t="str">
        <f t="shared" ca="1" si="11"/>
        <v/>
      </c>
      <c r="BL4" s="66">
        <f t="shared" ca="1" si="12"/>
        <v>0</v>
      </c>
      <c r="BM4" s="3" t="str">
        <f t="shared" ca="1" si="13"/>
        <v/>
      </c>
      <c r="BN4" s="332" t="s">
        <v>294</v>
      </c>
      <c r="BO4" s="329">
        <v>29102</v>
      </c>
      <c r="BP4" s="338" t="s">
        <v>211</v>
      </c>
      <c r="BQ4" s="339"/>
      <c r="BR4" s="66">
        <f t="shared" ca="1" si="14"/>
        <v>42</v>
      </c>
      <c r="BS4" s="325"/>
      <c r="BT4" s="3" t="s">
        <v>304</v>
      </c>
      <c r="BU4" s="66">
        <v>1</v>
      </c>
      <c r="BV4" s="3" t="str">
        <f t="shared" si="15"/>
        <v>Radek Valeš</v>
      </c>
      <c r="BW4" s="108">
        <f t="shared" si="16"/>
        <v>1</v>
      </c>
      <c r="BX4" s="324"/>
    </row>
    <row r="5" spans="1:79" ht="15" customHeight="1" thickTop="1" thickBot="1" x14ac:dyDescent="0.25">
      <c r="A5" s="8"/>
      <c r="B5" s="8"/>
      <c r="C5" s="8"/>
      <c r="D5" s="8"/>
      <c r="G5" s="290" t="str">
        <f ca="1">IFERROR(VLOOKUP(G3,OFFSET($AG$2,,,COUNTIF($AG$2:$AG$50,"?*"),23),18,FALSE),"")</f>
        <v/>
      </c>
      <c r="H5" s="291"/>
      <c r="I5" s="291"/>
      <c r="J5" s="292" t="str">
        <f ca="1">IFERROR(VLOOKUP(G3,OFFSET($AG$2,,,COUNTIF($AG$2:$AG$50,"?*"),23),19,FALSE),"")</f>
        <v/>
      </c>
      <c r="K5" s="292"/>
      <c r="L5" s="293"/>
      <c r="S5" s="136" t="s">
        <v>256</v>
      </c>
      <c r="T5" s="108" t="s">
        <v>69</v>
      </c>
      <c r="U5" s="108">
        <v>1</v>
      </c>
      <c r="V5" s="108">
        <v>0</v>
      </c>
      <c r="W5" s="108">
        <v>0</v>
      </c>
      <c r="X5" s="108">
        <v>0</v>
      </c>
      <c r="Y5" s="108">
        <v>0</v>
      </c>
      <c r="Z5" s="108">
        <v>0</v>
      </c>
      <c r="AA5" s="108">
        <v>0</v>
      </c>
      <c r="AB5" s="108">
        <v>-2</v>
      </c>
      <c r="AG5" s="333" t="s">
        <v>276</v>
      </c>
      <c r="AH5" s="334">
        <v>37393</v>
      </c>
      <c r="AI5" s="335">
        <v>1</v>
      </c>
      <c r="AJ5" s="335">
        <v>0</v>
      </c>
      <c r="AK5" s="335">
        <v>0</v>
      </c>
      <c r="AL5" s="335">
        <v>0</v>
      </c>
      <c r="AM5" s="335">
        <v>2</v>
      </c>
      <c r="AN5" s="335">
        <v>64</v>
      </c>
      <c r="AO5" s="336"/>
      <c r="AP5" s="336"/>
      <c r="AQ5" s="335"/>
      <c r="AR5" s="335"/>
      <c r="AS5" s="337" t="s">
        <v>87</v>
      </c>
      <c r="AT5" s="335">
        <v>2011</v>
      </c>
      <c r="AU5" s="130">
        <f t="shared" ca="1" si="0"/>
        <v>19</v>
      </c>
      <c r="AV5" s="130" t="str">
        <f t="shared" si="3"/>
        <v>? / ?</v>
      </c>
      <c r="AW5" s="131" t="str">
        <f t="shared" ca="1" si="1"/>
        <v>Blecha</v>
      </c>
      <c r="AX5" s="132" t="str">
        <f t="shared" ca="1" si="2"/>
        <v>0 OZ, 0 (0+0)</v>
      </c>
      <c r="AY5" s="132" t="str">
        <f t="shared" ca="1" si="4"/>
        <v>1 OZ, 0 (0+0)</v>
      </c>
      <c r="AZ5" s="132"/>
      <c r="BA5" s="132"/>
      <c r="BB5" s="132"/>
      <c r="BC5" s="132"/>
      <c r="BD5" s="129" t="str">
        <f t="shared" si="5"/>
        <v>Blecha</v>
      </c>
      <c r="BE5" s="132">
        <f t="shared" ca="1" si="6"/>
        <v>1</v>
      </c>
      <c r="BF5" s="130" t="str">
        <f t="shared" si="7"/>
        <v>M</v>
      </c>
      <c r="BG5" s="129" t="str">
        <f t="shared" ca="1" si="8"/>
        <v/>
      </c>
      <c r="BH5" s="130">
        <f t="shared" ca="1" si="9"/>
        <v>0</v>
      </c>
      <c r="BI5" s="129" t="str">
        <f t="shared" ca="1" si="10"/>
        <v/>
      </c>
      <c r="BJ5" s="130">
        <f t="shared" ca="1" si="9"/>
        <v>0</v>
      </c>
      <c r="BK5" s="129" t="str">
        <f t="shared" ca="1" si="11"/>
        <v/>
      </c>
      <c r="BL5" s="130">
        <f t="shared" ca="1" si="12"/>
        <v>0</v>
      </c>
      <c r="BM5" s="129" t="str">
        <f t="shared" ca="1" si="13"/>
        <v/>
      </c>
      <c r="BN5" s="337" t="s">
        <v>295</v>
      </c>
      <c r="BO5" s="334">
        <v>30335</v>
      </c>
      <c r="BP5" s="340" t="s">
        <v>299</v>
      </c>
      <c r="BQ5" s="341"/>
      <c r="BR5" s="130">
        <f t="shared" ca="1" si="14"/>
        <v>38</v>
      </c>
      <c r="BS5" s="325"/>
      <c r="BT5" s="3" t="s">
        <v>305</v>
      </c>
      <c r="BU5" s="66">
        <v>0</v>
      </c>
      <c r="BV5" s="3" t="str">
        <f t="shared" si="15"/>
        <v>Daniel Martínek</v>
      </c>
      <c r="BW5" s="108">
        <f t="shared" si="16"/>
        <v>0</v>
      </c>
      <c r="BX5" s="324"/>
    </row>
    <row r="6" spans="1:79" ht="15" customHeight="1" thickTop="1" thickBot="1" x14ac:dyDescent="0.25">
      <c r="A6" s="294"/>
      <c r="B6" s="295"/>
      <c r="C6" s="295"/>
      <c r="D6" s="295"/>
      <c r="E6" s="1" t="str">
        <f ca="1">IFERROR(IF(VLOOKUP(A6,OFFSET($AG$2,,,COUNTIF($AG$2:$AG$50,"?*"),23),9,FALSE)&lt;&gt;0,VLOOKUP(A6,OFFSET($AG$2,,,COUNTIF($AG$2:$AG$50,"?*"),23),9,FALSE),""),"")</f>
        <v/>
      </c>
      <c r="F6" s="2" t="str">
        <f ca="1">IFERROR(IF(VLOOKUP(A6,OFFSET($AG$2,,,COUNTIF($AG$2:$AG$50,"?*"),23),8,FALSE)&lt;&gt;0,VLOOKUP(A6,OFFSET($AG$2,,,COUNTIF($AG$2:$AG$50,"?*"),23),8,FALSE),"?"),"")</f>
        <v/>
      </c>
      <c r="G6" s="297" t="str">
        <f ca="1">IFERROR(IF(VLOOKUP(G3,OFFSET($AG$2,,,COUNTIF($AG$2:$AG$50,"?*"),23),13,FALSE)&lt;&gt;0,VLOOKUP(G3,OFFSET($AG$2,,,COUNTIF($AG$2:$AG$50,"?*"),23),13,FALSE),"?"),"")</f>
        <v/>
      </c>
      <c r="H6" s="298"/>
      <c r="I6" s="299"/>
      <c r="J6" s="288" t="str">
        <f ca="1">IFERROR(IF(VLOOKUP(G3,OFFSET($AG$2,,,COUNTIF($AG$2:$AG$50,"?*"),23),14,FALSE)&lt;&gt;0,VLOOKUP(G3,OFFSET($AG$2,,,COUNTIF($AG$2:$AG$50,"?*"),23),14,FALSE),"?"),"")</f>
        <v/>
      </c>
      <c r="K6" s="287"/>
      <c r="L6" s="7" t="str">
        <f ca="1">IFERROR(IF(VLOOKUP(G3,OFFSET($AG$2,,,COUNTIF($AG$2:$AG$50,"?*"),23),7,FALSE)&lt;&gt;0,VLOOKUP(G3,OFFSET($AG$2,,,COUNTIF($AG$2:$AG$50,"?*"),23),7,FALSE),"?"),"")</f>
        <v/>
      </c>
      <c r="M6" s="294"/>
      <c r="N6" s="295"/>
      <c r="O6" s="295"/>
      <c r="P6" s="295"/>
      <c r="Q6" s="1" t="str">
        <f ca="1">IFERROR(IF(VLOOKUP(M6,OFFSET($AG$2,,,COUNTIF($AG$2:$AG$50,"?*"),23),9,FALSE)&lt;&gt;0,VLOOKUP(M6,OFFSET($AG$2,,,COUNTIF($AG$2:$AG$50,"?*"),23),9,FALSE),""),"")</f>
        <v/>
      </c>
      <c r="R6" s="2" t="str">
        <f ca="1">IFERROR(IF(VLOOKUP(M6,OFFSET($AG$2,,,COUNTIF($AG$2:$AG$50,"?*"),23),8,FALSE)&lt;&gt;0,VLOOKUP(M6,OFFSET($AG$2,,,COUNTIF($AG$2:$AG$50,"?*"),23),8,FALSE),"?"),"")</f>
        <v/>
      </c>
      <c r="S6" s="136" t="s">
        <v>257</v>
      </c>
      <c r="T6" s="108" t="s">
        <v>134</v>
      </c>
      <c r="U6" s="108">
        <v>1</v>
      </c>
      <c r="V6" s="108">
        <v>0</v>
      </c>
      <c r="W6" s="108">
        <v>0</v>
      </c>
      <c r="X6" s="108">
        <v>0</v>
      </c>
      <c r="Y6" s="108">
        <v>0</v>
      </c>
      <c r="Z6" s="108">
        <v>0</v>
      </c>
      <c r="AA6" s="108">
        <v>0</v>
      </c>
      <c r="AB6" s="108">
        <v>-1</v>
      </c>
      <c r="AG6" s="328" t="s">
        <v>268</v>
      </c>
      <c r="AH6" s="329">
        <v>34407</v>
      </c>
      <c r="AI6" s="330">
        <v>194</v>
      </c>
      <c r="AJ6" s="330">
        <v>50</v>
      </c>
      <c r="AK6" s="330">
        <v>66</v>
      </c>
      <c r="AL6" s="330">
        <v>116</v>
      </c>
      <c r="AM6" s="330">
        <v>11</v>
      </c>
      <c r="AN6" s="330">
        <v>24</v>
      </c>
      <c r="AO6" s="331"/>
      <c r="AP6" s="331" t="s">
        <v>164</v>
      </c>
      <c r="AQ6" s="330">
        <v>180</v>
      </c>
      <c r="AR6" s="330">
        <v>82</v>
      </c>
      <c r="AS6" s="332" t="s">
        <v>277</v>
      </c>
      <c r="AT6" s="330">
        <v>2009</v>
      </c>
      <c r="AU6" s="66">
        <f t="shared" ca="1" si="0"/>
        <v>27</v>
      </c>
      <c r="AV6" s="66" t="str">
        <f t="shared" si="3"/>
        <v>180/82</v>
      </c>
      <c r="AW6" s="128" t="str">
        <f t="shared" ca="1" si="1"/>
        <v>Dlesk</v>
      </c>
      <c r="AX6" s="123" t="str">
        <f t="shared" ca="1" si="2"/>
        <v>1 OZ, 0 (0+0), -2 ±</v>
      </c>
      <c r="AY6" s="123" t="str">
        <f t="shared" ca="1" si="4"/>
        <v>195 OZ, 116 (50+66)</v>
      </c>
      <c r="BD6" s="3" t="str">
        <f t="shared" si="5"/>
        <v>Dlesk</v>
      </c>
      <c r="BE6" s="123">
        <f t="shared" ca="1" si="6"/>
        <v>1</v>
      </c>
      <c r="BF6" s="66" t="str">
        <f t="shared" si="7"/>
        <v>T</v>
      </c>
      <c r="BG6" s="3" t="str">
        <f t="shared" ca="1" si="8"/>
        <v/>
      </c>
      <c r="BH6" s="66">
        <f t="shared" ca="1" si="9"/>
        <v>0</v>
      </c>
      <c r="BI6" s="3" t="str">
        <f t="shared" ca="1" si="10"/>
        <v/>
      </c>
      <c r="BJ6" s="66">
        <f t="shared" ca="1" si="9"/>
        <v>0</v>
      </c>
      <c r="BK6" s="3" t="str">
        <f t="shared" ca="1" si="11"/>
        <v/>
      </c>
      <c r="BL6" s="66">
        <f t="shared" ca="1" si="12"/>
        <v>0</v>
      </c>
      <c r="BM6" s="3" t="str">
        <f t="shared" ca="1" si="13"/>
        <v/>
      </c>
      <c r="BN6" s="332" t="s">
        <v>296</v>
      </c>
      <c r="BO6" s="329">
        <v>36034</v>
      </c>
      <c r="BP6" s="338" t="s">
        <v>300</v>
      </c>
      <c r="BQ6" s="339"/>
      <c r="BR6" s="66">
        <f t="shared" ca="1" si="14"/>
        <v>23</v>
      </c>
      <c r="BS6" s="325"/>
      <c r="BT6" s="3" t="s">
        <v>306</v>
      </c>
      <c r="BU6" s="66">
        <v>0</v>
      </c>
      <c r="BV6" s="3" t="str">
        <f t="shared" si="15"/>
        <v>Filip Smutný</v>
      </c>
      <c r="BW6" s="108">
        <f t="shared" si="16"/>
        <v>0</v>
      </c>
      <c r="BX6" s="324"/>
    </row>
    <row r="7" spans="1:79" ht="15" customHeight="1" thickBot="1" x14ac:dyDescent="0.25">
      <c r="A7" s="4" t="str">
        <f ca="1">IFERROR(IF(VLOOKUP(A6,OFFSET($AG$2,,,COUNTIF($AG$2:$AG$50,"?*"),23),10,FALSE)&lt;&gt;0,VLOOKUP(A6,OFFSET($AG$2,,,COUNTIF($AG$2:$AG$50,"?*"),23),10,FALSE),"?"),"")</f>
        <v/>
      </c>
      <c r="B7" s="252" t="str">
        <f ca="1">IFERROR(IF(VLOOKUP(A6,OFFSET($AG$2,,,COUNTIF($AG$2:$AG$50,"?*"),23),2,FALSE)&lt;&gt;0,YEAR(VLOOKUP(A6,OFFSET($AG$2,,,COUNTIF($AG$2:$AG$50,"?*"),23),2,FALSE)),"?"),"")</f>
        <v/>
      </c>
      <c r="C7" s="261"/>
      <c r="D7" s="140" t="str">
        <f ca="1">IFERROR(VLOOKUP(A6,OFFSET($AG$2,,,COUNTIF($AG$2:$AG$50,"?*"),23),15,FALSE),"")</f>
        <v/>
      </c>
      <c r="E7" s="251" t="str">
        <f ca="1">IFERROR(VLOOKUP(A6,OFFSET($AG$2,,,COUNTIF($AG$2:$AG$50,"?*"),23),16,FALSE),"")</f>
        <v/>
      </c>
      <c r="F7" s="253"/>
      <c r="M7" s="4" t="str">
        <f ca="1">IFERROR(IF(VLOOKUP(M6,OFFSET($AG$2,,,COUNTIF($AG$2:$AG$50,"?*"),23),10,FALSE)&lt;&gt;0,VLOOKUP(M6,OFFSET($AG$2,,,COUNTIF($AG$2:$AG$50,"?*"),23),10,FALSE),"?"),"")</f>
        <v/>
      </c>
      <c r="N7" s="252" t="str">
        <f ca="1">IFERROR(IF(VLOOKUP(M6,OFFSET($AG$2,,,COUNTIF($AG$2:$AG$50,"?*"),23),2,FALSE)&lt;&gt;0,YEAR(VLOOKUP(M6,OFFSET($AG$2,,,COUNTIF($AG$2:$AG$50,"?*"),23),2,FALSE)),"?"),"")</f>
        <v/>
      </c>
      <c r="O7" s="261"/>
      <c r="P7" s="140" t="str">
        <f ca="1">IFERROR(VLOOKUP(M6,OFFSET($AG$2,,,COUNTIF($AG$2:$AG$50,"?*"),23),15,FALSE),"")</f>
        <v/>
      </c>
      <c r="Q7" s="251" t="str">
        <f ca="1">IFERROR(VLOOKUP(M6,OFFSET($AG$2,,,COUNTIF($AG$2:$AG$50,"?*"),23),16,FALSE),"")</f>
        <v/>
      </c>
      <c r="R7" s="253"/>
      <c r="S7" s="136" t="s">
        <v>258</v>
      </c>
      <c r="U7" s="108">
        <v>1</v>
      </c>
      <c r="V7" s="108">
        <v>0</v>
      </c>
      <c r="W7" s="108">
        <v>0</v>
      </c>
      <c r="X7" s="108">
        <v>0</v>
      </c>
      <c r="Y7" s="108">
        <v>0</v>
      </c>
      <c r="Z7" s="108">
        <v>0</v>
      </c>
      <c r="AA7" s="108">
        <v>0</v>
      </c>
      <c r="AB7" s="108">
        <v>-4</v>
      </c>
      <c r="AG7" s="333" t="s">
        <v>278</v>
      </c>
      <c r="AH7" s="334"/>
      <c r="AI7" s="335">
        <v>6</v>
      </c>
      <c r="AJ7" s="335">
        <v>1</v>
      </c>
      <c r="AK7" s="335">
        <v>1</v>
      </c>
      <c r="AL7" s="335">
        <v>2</v>
      </c>
      <c r="AM7" s="335">
        <v>3</v>
      </c>
      <c r="AN7" s="335">
        <v>12</v>
      </c>
      <c r="AO7" s="336"/>
      <c r="AP7" s="336" t="s">
        <v>164</v>
      </c>
      <c r="AQ7" s="335">
        <v>192</v>
      </c>
      <c r="AR7" s="335">
        <v>71</v>
      </c>
      <c r="AS7" s="337" t="s">
        <v>279</v>
      </c>
      <c r="AT7" s="335">
        <v>2008</v>
      </c>
      <c r="AU7" s="130" t="str">
        <f t="shared" ca="1" si="0"/>
        <v>?</v>
      </c>
      <c r="AV7" s="130" t="str">
        <f t="shared" si="3"/>
        <v>192/71</v>
      </c>
      <c r="AW7" s="131" t="str">
        <f t="shared" ca="1" si="1"/>
        <v>Emlar</v>
      </c>
      <c r="AX7" s="132" t="str">
        <f t="shared" ca="1" si="2"/>
        <v>0 OZ, 0 (0+0)</v>
      </c>
      <c r="AY7" s="132" t="str">
        <f t="shared" ca="1" si="4"/>
        <v>6 OZ, 2 (1+1)</v>
      </c>
      <c r="AZ7" s="132"/>
      <c r="BA7" s="132"/>
      <c r="BB7" s="132"/>
      <c r="BC7" s="132"/>
      <c r="BD7" s="129" t="str">
        <f t="shared" si="5"/>
        <v>Emlar</v>
      </c>
      <c r="BE7" s="132">
        <f t="shared" ca="1" si="6"/>
        <v>1</v>
      </c>
      <c r="BF7" s="130" t="str">
        <f t="shared" si="7"/>
        <v>D</v>
      </c>
      <c r="BG7" s="129" t="str">
        <f t="shared" ca="1" si="8"/>
        <v/>
      </c>
      <c r="BH7" s="130">
        <f t="shared" ca="1" si="9"/>
        <v>0</v>
      </c>
      <c r="BI7" s="129" t="str">
        <f t="shared" ca="1" si="10"/>
        <v/>
      </c>
      <c r="BJ7" s="130">
        <f t="shared" ca="1" si="9"/>
        <v>0</v>
      </c>
      <c r="BK7" s="129" t="str">
        <f t="shared" ca="1" si="11"/>
        <v/>
      </c>
      <c r="BL7" s="130">
        <f t="shared" ca="1" si="12"/>
        <v>0</v>
      </c>
      <c r="BM7" s="129" t="str">
        <f t="shared" ca="1" si="13"/>
        <v/>
      </c>
      <c r="BN7" s="337"/>
      <c r="BO7" s="334"/>
      <c r="BP7" s="340"/>
      <c r="BQ7" s="341"/>
      <c r="BR7" s="130" t="str">
        <f t="shared" ca="1" si="14"/>
        <v/>
      </c>
      <c r="BS7" s="325" t="s">
        <v>40</v>
      </c>
      <c r="BT7" s="3" t="s">
        <v>307</v>
      </c>
      <c r="BU7" s="66" t="s">
        <v>308</v>
      </c>
      <c r="BV7" s="3" t="str">
        <f t="shared" si="15"/>
        <v>Petr Chlad</v>
      </c>
      <c r="BW7" s="106">
        <f t="shared" si="16"/>
        <v>10</v>
      </c>
      <c r="BX7" s="324" t="s">
        <v>251</v>
      </c>
      <c r="BY7" s="66" t="s">
        <v>241</v>
      </c>
      <c r="BZ7" s="66" t="s">
        <v>106</v>
      </c>
      <c r="CA7" s="135" t="s">
        <v>242</v>
      </c>
    </row>
    <row r="8" spans="1:79" ht="15" customHeight="1" x14ac:dyDescent="0.2">
      <c r="A8" s="290" t="str">
        <f ca="1">IFERROR(VLOOKUP(A6,OFFSET($AG$2,,,COUNTIF($AG$2:$AG$50,"?*"),23),18,FALSE),"")</f>
        <v/>
      </c>
      <c r="B8" s="291"/>
      <c r="C8" s="291"/>
      <c r="D8" s="292" t="str">
        <f ca="1">IFERROR(VLOOKUP(A6,OFFSET($AG$2,,,COUNTIF($AG$2:$AG$50,"?*"),23),19,FALSE),"")</f>
        <v/>
      </c>
      <c r="E8" s="292"/>
      <c r="F8" s="293"/>
      <c r="H8" s="300" t="s">
        <v>110</v>
      </c>
      <c r="I8" s="300"/>
      <c r="J8" s="300"/>
      <c r="K8" s="300"/>
      <c r="M8" s="290" t="str">
        <f ca="1">IFERROR(VLOOKUP(M6,OFFSET($AG$2,,,COUNTIF($AG$2:$AG$50,"?*"),23),18,FALSE),"")</f>
        <v/>
      </c>
      <c r="N8" s="291"/>
      <c r="O8" s="291"/>
      <c r="P8" s="292" t="str">
        <f ca="1">IFERROR(VLOOKUP(M6,OFFSET($AG$2,,,COUNTIF($AG$2:$AG$50,"?*"),23),19,FALSE),"")</f>
        <v/>
      </c>
      <c r="Q8" s="292"/>
      <c r="R8" s="293"/>
      <c r="S8" s="136" t="s">
        <v>259</v>
      </c>
      <c r="T8" s="108" t="s">
        <v>134</v>
      </c>
      <c r="U8" s="108">
        <v>1</v>
      </c>
      <c r="V8" s="108">
        <v>0</v>
      </c>
      <c r="W8" s="108">
        <v>0</v>
      </c>
      <c r="X8" s="108">
        <v>0</v>
      </c>
      <c r="Y8" s="108">
        <v>0</v>
      </c>
      <c r="Z8" s="108">
        <v>0</v>
      </c>
      <c r="AA8" s="108">
        <v>0</v>
      </c>
      <c r="AB8" s="108">
        <v>-3</v>
      </c>
      <c r="AG8" s="328" t="s">
        <v>257</v>
      </c>
      <c r="AH8" s="329">
        <v>33683</v>
      </c>
      <c r="AI8" s="330">
        <v>185</v>
      </c>
      <c r="AJ8" s="330">
        <v>126</v>
      </c>
      <c r="AK8" s="330">
        <v>98</v>
      </c>
      <c r="AL8" s="330">
        <v>224</v>
      </c>
      <c r="AM8" s="330">
        <v>10</v>
      </c>
      <c r="AN8" s="330">
        <v>55</v>
      </c>
      <c r="AO8" s="331"/>
      <c r="AP8" s="331" t="s">
        <v>27</v>
      </c>
      <c r="AQ8" s="330">
        <v>176</v>
      </c>
      <c r="AR8" s="330">
        <v>74</v>
      </c>
      <c r="AS8" s="332" t="s">
        <v>280</v>
      </c>
      <c r="AT8" s="330">
        <v>2006</v>
      </c>
      <c r="AU8" s="66">
        <f t="shared" ca="1" si="0"/>
        <v>29</v>
      </c>
      <c r="AV8" s="66" t="str">
        <f t="shared" si="3"/>
        <v>176/74</v>
      </c>
      <c r="AW8" s="128" t="str">
        <f t="shared" ca="1" si="1"/>
        <v>Ferdan</v>
      </c>
      <c r="AX8" s="123" t="str">
        <f t="shared" ca="1" si="2"/>
        <v>1 OZ, 0 (0+0), -1 ±</v>
      </c>
      <c r="AY8" s="123" t="str">
        <f t="shared" ca="1" si="4"/>
        <v>186 OZ, 224 (126+98)</v>
      </c>
      <c r="BD8" s="3" t="str">
        <f t="shared" si="5"/>
        <v>Ferdan</v>
      </c>
      <c r="BE8" s="123">
        <f t="shared" ca="1" si="6"/>
        <v>1</v>
      </c>
      <c r="BF8" s="66" t="str">
        <f t="shared" si="7"/>
        <v>P</v>
      </c>
      <c r="BG8" s="3" t="str">
        <f t="shared" ca="1" si="8"/>
        <v/>
      </c>
      <c r="BH8" s="66">
        <f t="shared" ca="1" si="9"/>
        <v>0</v>
      </c>
      <c r="BI8" s="3" t="str">
        <f t="shared" ca="1" si="10"/>
        <v/>
      </c>
      <c r="BJ8" s="66">
        <f t="shared" ca="1" si="9"/>
        <v>0</v>
      </c>
      <c r="BK8" s="3" t="str">
        <f t="shared" ca="1" si="11"/>
        <v/>
      </c>
      <c r="BL8" s="66">
        <f t="shared" ca="1" si="12"/>
        <v>0</v>
      </c>
      <c r="BM8" s="3" t="str">
        <f t="shared" ca="1" si="13"/>
        <v/>
      </c>
      <c r="BN8" s="332"/>
      <c r="BO8" s="329"/>
      <c r="BP8" s="338"/>
      <c r="BQ8" s="339"/>
      <c r="BR8" s="66" t="str">
        <f t="shared" ca="1" si="14"/>
        <v/>
      </c>
      <c r="BS8" s="325"/>
      <c r="BT8" s="3" t="s">
        <v>309</v>
      </c>
      <c r="BU8" s="66" t="s">
        <v>226</v>
      </c>
      <c r="BV8" s="3" t="str">
        <f t="shared" si="15"/>
        <v>Jan Král</v>
      </c>
      <c r="BW8" s="106">
        <f t="shared" si="16"/>
        <v>0</v>
      </c>
      <c r="BX8" s="324"/>
      <c r="BY8" s="66" t="s">
        <v>243</v>
      </c>
      <c r="BZ8" s="66" t="s">
        <v>5</v>
      </c>
      <c r="CA8" s="135" t="s">
        <v>242</v>
      </c>
    </row>
    <row r="9" spans="1:79" ht="15" customHeight="1" thickBot="1" x14ac:dyDescent="0.25">
      <c r="A9" s="297" t="str">
        <f ca="1">IFERROR(IF(VLOOKUP(A6,OFFSET($AG$2,,,COUNTIF($AG$2:$AG$50,"?*"),23),13,FALSE)&lt;&gt;0,VLOOKUP(A6,OFFSET($AG$2,,,COUNTIF($AG$2:$AG$50,"?*"),23),13,FALSE),"?"),"")</f>
        <v/>
      </c>
      <c r="B9" s="298"/>
      <c r="C9" s="299"/>
      <c r="D9" s="288" t="str">
        <f ca="1">IFERROR(IF(VLOOKUP(A6,OFFSET($AG$2,,,COUNTIF($AG$2:$AG$50,"?*"),23),14,FALSE)&lt;&gt;0,VLOOKUP(A6,OFFSET($AG$2,,,COUNTIF($AG$2:$AG$50,"?*"),23),14,FALSE),"?"),"")</f>
        <v/>
      </c>
      <c r="E9" s="287"/>
      <c r="F9" s="7" t="str">
        <f ca="1">IFERROR(IF(VLOOKUP(A6,OFFSET($AG$2,,,COUNTIF($AG$2:$AG$50,"?*"),23),7,FALSE)&lt;&gt;0,VLOOKUP(A6,OFFSET($AG$2,,,COUNTIF($AG$2:$AG$50,"?*"),23),7,FALSE),"?"),"")</f>
        <v/>
      </c>
      <c r="H9" s="300"/>
      <c r="I9" s="300"/>
      <c r="J9" s="300"/>
      <c r="K9" s="300"/>
      <c r="M9" s="297" t="str">
        <f ca="1">IFERROR(IF(VLOOKUP(M6,OFFSET($AG$2,,,COUNTIF($AG$2:$AG$50,"?*"),23),13,FALSE)&lt;&gt;0,VLOOKUP(M6,OFFSET($AG$2,,,COUNTIF($AG$2:$AG$50,"?*"),23),13,FALSE),"?"),"")</f>
        <v/>
      </c>
      <c r="N9" s="298"/>
      <c r="O9" s="299"/>
      <c r="P9" s="288" t="str">
        <f ca="1">IFERROR(IF(VLOOKUP(M6,OFFSET($AG$2,,,COUNTIF($AG$2:$AG$50,"?*"),23),14,FALSE)&lt;&gt;0,VLOOKUP(M6,OFFSET($AG$2,,,COUNTIF($AG$2:$AG$50,"?*"),23),14,FALSE),"?"),"")</f>
        <v/>
      </c>
      <c r="Q9" s="287"/>
      <c r="R9" s="7" t="str">
        <f ca="1">IFERROR(IF(VLOOKUP(M6,OFFSET($AG$2,,,COUNTIF($AG$2:$AG$50,"?*"),23),7,FALSE)&lt;&gt;0,VLOOKUP(M6,OFFSET($AG$2,,,COUNTIF($AG$2:$AG$50,"?*"),23),7,FALSE),"?"),"")</f>
        <v/>
      </c>
      <c r="S9" s="136" t="s">
        <v>260</v>
      </c>
      <c r="U9" s="108">
        <v>1</v>
      </c>
      <c r="V9" s="108">
        <v>0</v>
      </c>
      <c r="W9" s="108">
        <v>0</v>
      </c>
      <c r="X9" s="108">
        <v>0</v>
      </c>
      <c r="Y9" s="108">
        <v>0</v>
      </c>
      <c r="Z9" s="108">
        <v>0</v>
      </c>
      <c r="AA9" s="108">
        <v>0</v>
      </c>
      <c r="AB9" s="108">
        <v>-2</v>
      </c>
      <c r="AG9" s="333" t="s">
        <v>271</v>
      </c>
      <c r="AH9" s="334">
        <v>37023</v>
      </c>
      <c r="AI9" s="335">
        <v>0</v>
      </c>
      <c r="AJ9" s="335">
        <v>0</v>
      </c>
      <c r="AK9" s="335">
        <v>0</v>
      </c>
      <c r="AL9" s="335">
        <v>0</v>
      </c>
      <c r="AM9" s="335">
        <v>2</v>
      </c>
      <c r="AN9" s="335">
        <v>35</v>
      </c>
      <c r="AO9" s="336"/>
      <c r="AP9" s="336" t="s">
        <v>281</v>
      </c>
      <c r="AQ9" s="335"/>
      <c r="AR9" s="335"/>
      <c r="AS9" s="337"/>
      <c r="AT9" s="335"/>
      <c r="AU9" s="130">
        <f t="shared" ca="1" si="0"/>
        <v>20</v>
      </c>
      <c r="AV9" s="130" t="str">
        <f t="shared" si="3"/>
        <v>? / ?</v>
      </c>
      <c r="AW9" s="131" t="str">
        <f t="shared" ca="1" si="1"/>
        <v>Chlad</v>
      </c>
      <c r="AX9" s="132" t="str">
        <f t="shared" ca="1" si="2"/>
        <v>0 V, 1 P</v>
      </c>
      <c r="AY9" s="132" t="str">
        <f t="shared" ca="1" si="4"/>
        <v>1 OZ, 0 A</v>
      </c>
      <c r="AZ9" s="132"/>
      <c r="BA9" s="132"/>
      <c r="BB9" s="132"/>
      <c r="BC9" s="132"/>
      <c r="BD9" s="129" t="str">
        <f t="shared" si="5"/>
        <v>Chlad</v>
      </c>
      <c r="BE9" s="132">
        <f t="shared" ca="1" si="6"/>
        <v>1</v>
      </c>
      <c r="BF9" s="130" t="str">
        <f t="shared" si="7"/>
        <v>P</v>
      </c>
      <c r="BG9" s="129" t="str">
        <f t="shared" ca="1" si="8"/>
        <v/>
      </c>
      <c r="BH9" s="130">
        <f t="shared" ca="1" si="9"/>
        <v>0</v>
      </c>
      <c r="BI9" s="129" t="str">
        <f t="shared" ca="1" si="10"/>
        <v/>
      </c>
      <c r="BJ9" s="130">
        <f t="shared" ca="1" si="9"/>
        <v>0</v>
      </c>
      <c r="BK9" s="129" t="str">
        <f t="shared" ca="1" si="11"/>
        <v/>
      </c>
      <c r="BL9" s="130">
        <f t="shared" ca="1" si="12"/>
        <v>0</v>
      </c>
      <c r="BM9" s="129" t="str">
        <f t="shared" ca="1" si="13"/>
        <v/>
      </c>
      <c r="BN9" s="337"/>
      <c r="BO9" s="334"/>
      <c r="BP9" s="340"/>
      <c r="BQ9" s="341"/>
      <c r="BR9" s="130" t="str">
        <f t="shared" ca="1" si="14"/>
        <v/>
      </c>
      <c r="BS9" s="325"/>
      <c r="BV9" s="3" t="str">
        <f t="shared" si="15"/>
        <v/>
      </c>
      <c r="BW9" s="106" t="str">
        <f t="shared" si="16"/>
        <v/>
      </c>
      <c r="BX9" s="324"/>
      <c r="BY9" s="66" t="s">
        <v>320</v>
      </c>
      <c r="BZ9" s="66" t="s">
        <v>99</v>
      </c>
      <c r="CA9" s="135" t="s">
        <v>242</v>
      </c>
    </row>
    <row r="10" spans="1:79" ht="15" customHeight="1" thickTop="1" thickBot="1" x14ac:dyDescent="0.25">
      <c r="A10" s="9"/>
      <c r="B10" s="9"/>
      <c r="C10" s="9"/>
      <c r="D10" s="9"/>
      <c r="E10" s="10"/>
      <c r="F10" s="10"/>
      <c r="G10" s="11"/>
      <c r="H10" s="11"/>
      <c r="I10" s="11"/>
      <c r="J10" s="11"/>
      <c r="K10" s="11"/>
      <c r="L10" s="11"/>
      <c r="M10" s="9"/>
      <c r="N10" s="9"/>
      <c r="O10" s="9"/>
      <c r="P10" s="9"/>
      <c r="Q10" s="10"/>
      <c r="R10" s="141"/>
      <c r="S10" s="136" t="s">
        <v>261</v>
      </c>
      <c r="T10" s="108" t="s">
        <v>134</v>
      </c>
      <c r="U10" s="108">
        <v>1</v>
      </c>
      <c r="V10" s="108">
        <v>0</v>
      </c>
      <c r="W10" s="108">
        <v>0</v>
      </c>
      <c r="X10" s="108">
        <v>0</v>
      </c>
      <c r="Y10" s="108">
        <v>0</v>
      </c>
      <c r="Z10" s="108">
        <v>0</v>
      </c>
      <c r="AA10" s="108">
        <v>0</v>
      </c>
      <c r="AB10" s="108">
        <v>-5</v>
      </c>
      <c r="AG10" s="328" t="s">
        <v>262</v>
      </c>
      <c r="AH10" s="329">
        <v>37882</v>
      </c>
      <c r="AI10" s="330">
        <v>22</v>
      </c>
      <c r="AJ10" s="330">
        <v>2</v>
      </c>
      <c r="AK10" s="330">
        <v>2</v>
      </c>
      <c r="AL10" s="330">
        <v>4</v>
      </c>
      <c r="AM10" s="330">
        <v>2</v>
      </c>
      <c r="AN10" s="330">
        <v>93</v>
      </c>
      <c r="AO10" s="331"/>
      <c r="AP10" s="331" t="s">
        <v>164</v>
      </c>
      <c r="AQ10" s="330">
        <v>178</v>
      </c>
      <c r="AR10" s="330">
        <v>74</v>
      </c>
      <c r="AS10" s="332" t="s">
        <v>87</v>
      </c>
      <c r="AT10" s="330">
        <v>2010</v>
      </c>
      <c r="AU10" s="66">
        <f t="shared" ca="1" si="0"/>
        <v>18</v>
      </c>
      <c r="AV10" s="66" t="str">
        <f t="shared" si="3"/>
        <v>178/74</v>
      </c>
      <c r="AW10" s="128" t="str">
        <f t="shared" ca="1" si="1"/>
        <v>Janeček</v>
      </c>
      <c r="AX10" s="123" t="str">
        <f t="shared" ca="1" si="2"/>
        <v>1 OZ, 0 (0+0), -2 ±</v>
      </c>
      <c r="AY10" s="123" t="str">
        <f t="shared" ca="1" si="4"/>
        <v>23 OZ, 4 (2+2)</v>
      </c>
      <c r="BD10" s="3" t="str">
        <f t="shared" si="5"/>
        <v>Janeček</v>
      </c>
      <c r="BE10" s="123">
        <f t="shared" ca="1" si="6"/>
        <v>1</v>
      </c>
      <c r="BF10" s="66" t="str">
        <f t="shared" si="7"/>
        <v>V</v>
      </c>
      <c r="BG10" s="3" t="str">
        <f t="shared" ca="1" si="8"/>
        <v/>
      </c>
      <c r="BH10" s="66">
        <f t="shared" ca="1" si="9"/>
        <v>0</v>
      </c>
      <c r="BI10" s="3" t="str">
        <f t="shared" ca="1" si="10"/>
        <v/>
      </c>
      <c r="BJ10" s="66">
        <f t="shared" ca="1" si="9"/>
        <v>0</v>
      </c>
      <c r="BK10" s="3" t="str">
        <f t="shared" ca="1" si="11"/>
        <v/>
      </c>
      <c r="BL10" s="66">
        <f t="shared" ca="1" si="12"/>
        <v>0</v>
      </c>
      <c r="BM10" s="3" t="str">
        <f t="shared" ca="1" si="13"/>
        <v/>
      </c>
      <c r="BN10" s="332"/>
      <c r="BO10" s="329"/>
      <c r="BP10" s="338"/>
      <c r="BQ10" s="339"/>
      <c r="BR10" s="66" t="str">
        <f t="shared" ca="1" si="14"/>
        <v/>
      </c>
      <c r="BS10" s="325"/>
      <c r="BV10" s="3" t="str">
        <f t="shared" si="15"/>
        <v/>
      </c>
      <c r="BW10" s="106" t="str">
        <f t="shared" si="16"/>
        <v/>
      </c>
      <c r="BX10" s="324"/>
      <c r="BY10" s="66" t="s">
        <v>245</v>
      </c>
      <c r="BZ10" s="66" t="s">
        <v>104</v>
      </c>
      <c r="CA10" s="135" t="s">
        <v>242</v>
      </c>
    </row>
    <row r="11" spans="1:79" ht="15" customHeight="1" thickTop="1" thickBot="1" x14ac:dyDescent="0.25">
      <c r="R11" s="13"/>
      <c r="S11" s="136" t="s">
        <v>262</v>
      </c>
      <c r="T11" s="108" t="s">
        <v>69</v>
      </c>
      <c r="U11" s="108">
        <v>1</v>
      </c>
      <c r="V11" s="108">
        <v>0</v>
      </c>
      <c r="W11" s="108">
        <v>0</v>
      </c>
      <c r="X11" s="108">
        <v>0</v>
      </c>
      <c r="Y11" s="108">
        <v>0</v>
      </c>
      <c r="Z11" s="108">
        <v>0</v>
      </c>
      <c r="AA11" s="108">
        <v>0</v>
      </c>
      <c r="AB11" s="108">
        <v>-2</v>
      </c>
      <c r="AG11" s="333" t="s">
        <v>258</v>
      </c>
      <c r="AH11" s="334">
        <v>36611</v>
      </c>
      <c r="AI11" s="335">
        <v>50</v>
      </c>
      <c r="AJ11" s="335">
        <v>5</v>
      </c>
      <c r="AK11" s="335">
        <v>8</v>
      </c>
      <c r="AL11" s="335">
        <v>13</v>
      </c>
      <c r="AM11" s="335">
        <v>3</v>
      </c>
      <c r="AN11" s="335">
        <v>7</v>
      </c>
      <c r="AO11" s="336"/>
      <c r="AP11" s="336" t="s">
        <v>27</v>
      </c>
      <c r="AQ11" s="335">
        <v>180</v>
      </c>
      <c r="AR11" s="335">
        <v>72</v>
      </c>
      <c r="AS11" s="337" t="s">
        <v>282</v>
      </c>
      <c r="AT11" s="335">
        <v>2006</v>
      </c>
      <c r="AU11" s="130">
        <f t="shared" ca="1" si="0"/>
        <v>21</v>
      </c>
      <c r="AV11" s="130" t="str">
        <f t="shared" si="3"/>
        <v>180/72</v>
      </c>
      <c r="AW11" s="131" t="str">
        <f t="shared" ca="1" si="1"/>
        <v>Kárník</v>
      </c>
      <c r="AX11" s="132" t="str">
        <f t="shared" ca="1" si="2"/>
        <v>1 OZ, 0 (0+0), -4 ±</v>
      </c>
      <c r="AY11" s="132" t="str">
        <f t="shared" ca="1" si="4"/>
        <v>51 OZ, 13 (5+8)</v>
      </c>
      <c r="AZ11" s="132"/>
      <c r="BA11" s="132"/>
      <c r="BB11" s="132"/>
      <c r="BC11" s="132"/>
      <c r="BD11" s="129" t="str">
        <f t="shared" si="5"/>
        <v>Kárník</v>
      </c>
      <c r="BE11" s="132">
        <f t="shared" ca="1" si="6"/>
        <v>1</v>
      </c>
      <c r="BF11" s="130" t="str">
        <f t="shared" si="7"/>
        <v>J</v>
      </c>
      <c r="BG11" s="129" t="str">
        <f t="shared" ca="1" si="8"/>
        <v/>
      </c>
      <c r="BH11" s="130">
        <f t="shared" ca="1" si="9"/>
        <v>0</v>
      </c>
      <c r="BI11" s="129" t="str">
        <f t="shared" ca="1" si="10"/>
        <v/>
      </c>
      <c r="BJ11" s="130">
        <f t="shared" ca="1" si="9"/>
        <v>0</v>
      </c>
      <c r="BK11" s="129" t="str">
        <f t="shared" ca="1" si="11"/>
        <v/>
      </c>
      <c r="BL11" s="130">
        <f t="shared" ca="1" si="12"/>
        <v>0</v>
      </c>
      <c r="BM11" s="129" t="str">
        <f t="shared" ca="1" si="13"/>
        <v/>
      </c>
      <c r="BN11" s="337"/>
      <c r="BO11" s="334"/>
      <c r="BP11" s="340"/>
      <c r="BQ11" s="341"/>
      <c r="BR11" s="130" t="str">
        <f t="shared" ca="1" si="14"/>
        <v/>
      </c>
      <c r="BS11" s="325"/>
      <c r="BV11" s="3" t="str">
        <f t="shared" si="15"/>
        <v/>
      </c>
      <c r="BW11" s="106" t="str">
        <f t="shared" si="16"/>
        <v/>
      </c>
      <c r="BX11" s="324"/>
      <c r="BY11" s="66" t="s">
        <v>321</v>
      </c>
      <c r="BZ11" s="66" t="s">
        <v>105</v>
      </c>
      <c r="CA11" s="135" t="s">
        <v>242</v>
      </c>
    </row>
    <row r="12" spans="1:79" ht="15" customHeight="1" thickTop="1" thickBot="1" x14ac:dyDescent="0.25">
      <c r="A12" s="294"/>
      <c r="B12" s="295"/>
      <c r="C12" s="295"/>
      <c r="D12" s="295"/>
      <c r="E12" s="1" t="str">
        <f ca="1">IFERROR(IF(VLOOKUP(A12,OFFSET($AG$2,,,COUNTIF($AG$2:$AG$50,"?*"),23),9,FALSE)&lt;&gt;0,VLOOKUP(A12,OFFSET($AG$2,,,COUNTIF($AG$2:$AG$50,"?*"),23),9,FALSE),""),"")</f>
        <v/>
      </c>
      <c r="F12" s="2" t="str">
        <f ca="1">IFERROR(IF(VLOOKUP(A12,OFFSET($AG$2,,,COUNTIF($AG$2:$AG$50,"?*"),23),8,FALSE)&lt;&gt;0,VLOOKUP(A12,OFFSET($AG$2,,,COUNTIF($AG$2:$AG$50,"?*"),23),8,FALSE),"?"),"")</f>
        <v/>
      </c>
      <c r="H12" s="296" t="s">
        <v>7</v>
      </c>
      <c r="I12" s="296"/>
      <c r="J12" s="296"/>
      <c r="K12" s="296"/>
      <c r="M12" s="294"/>
      <c r="N12" s="295"/>
      <c r="O12" s="295"/>
      <c r="P12" s="295"/>
      <c r="Q12" s="1" t="str">
        <f ca="1">IFERROR(IF(VLOOKUP(M12,OFFSET($AG$2,,,COUNTIF($AG$2:$AG$50,"?*"),23),9,FALSE)&lt;&gt;0,VLOOKUP(M12,OFFSET($AG$2,,,COUNTIF($AG$2:$AG$50,"?*"),23),9,FALSE),""),"")</f>
        <v/>
      </c>
      <c r="R12" s="2" t="str">
        <f ca="1">IFERROR(IF(VLOOKUP(M12,OFFSET($AG$2,,,COUNTIF($AG$2:$AG$50,"?*"),23),8,FALSE)&lt;&gt;0,VLOOKUP(M12,OFFSET($AG$2,,,COUNTIF($AG$2:$AG$50,"?*"),23),8,FALSE),"?"),"")</f>
        <v/>
      </c>
      <c r="S12" s="136" t="s">
        <v>263</v>
      </c>
      <c r="T12" s="108" t="s">
        <v>69</v>
      </c>
      <c r="U12" s="108">
        <v>1</v>
      </c>
      <c r="V12" s="108">
        <v>0</v>
      </c>
      <c r="W12" s="108">
        <v>0</v>
      </c>
      <c r="X12" s="108">
        <v>0</v>
      </c>
      <c r="Y12" s="108">
        <v>0</v>
      </c>
      <c r="Z12" s="108">
        <v>0</v>
      </c>
      <c r="AA12" s="108">
        <v>0</v>
      </c>
      <c r="AB12" s="108">
        <v>-2</v>
      </c>
      <c r="AG12" s="328" t="s">
        <v>256</v>
      </c>
      <c r="AH12" s="329">
        <v>32803</v>
      </c>
      <c r="AI12" s="330">
        <v>242</v>
      </c>
      <c r="AJ12" s="330">
        <v>63</v>
      </c>
      <c r="AK12" s="330">
        <v>55</v>
      </c>
      <c r="AL12" s="330">
        <v>118</v>
      </c>
      <c r="AM12" s="330">
        <v>14</v>
      </c>
      <c r="AN12" s="330">
        <v>6</v>
      </c>
      <c r="AO12" s="331" t="s">
        <v>184</v>
      </c>
      <c r="AP12" s="331" t="s">
        <v>164</v>
      </c>
      <c r="AQ12" s="330">
        <v>194</v>
      </c>
      <c r="AR12" s="330">
        <v>98</v>
      </c>
      <c r="AS12" s="332" t="s">
        <v>87</v>
      </c>
      <c r="AT12" s="330">
        <v>1999</v>
      </c>
      <c r="AU12" s="66">
        <f t="shared" ca="1" si="0"/>
        <v>31</v>
      </c>
      <c r="AV12" s="66" t="str">
        <f t="shared" si="3"/>
        <v>194/98</v>
      </c>
      <c r="AW12" s="128" t="str">
        <f t="shared" ca="1" si="1"/>
        <v>Klucho</v>
      </c>
      <c r="AX12" s="123" t="str">
        <f t="shared" ca="1" si="2"/>
        <v>1 OZ, 0 (0+0), -2 ±</v>
      </c>
      <c r="AY12" s="123" t="str">
        <f t="shared" ca="1" si="4"/>
        <v>243 OZ, 118 (63+55)</v>
      </c>
      <c r="BD12" s="3" t="str">
        <f t="shared" si="5"/>
        <v>Klucho</v>
      </c>
      <c r="BE12" s="123">
        <f t="shared" ca="1" si="6"/>
        <v>1</v>
      </c>
      <c r="BF12" s="66" t="str">
        <f t="shared" si="7"/>
        <v>M</v>
      </c>
      <c r="BG12" s="3" t="str">
        <f t="shared" ca="1" si="8"/>
        <v/>
      </c>
      <c r="BH12" s="66">
        <f t="shared" ca="1" si="9"/>
        <v>0</v>
      </c>
      <c r="BI12" s="3" t="str">
        <f t="shared" ca="1" si="10"/>
        <v/>
      </c>
      <c r="BJ12" s="66">
        <f t="shared" ca="1" si="9"/>
        <v>0</v>
      </c>
      <c r="BK12" s="3" t="str">
        <f t="shared" ca="1" si="11"/>
        <v/>
      </c>
      <c r="BL12" s="66">
        <f t="shared" ca="1" si="12"/>
        <v>0</v>
      </c>
      <c r="BM12" s="3" t="str">
        <f t="shared" ca="1" si="13"/>
        <v/>
      </c>
      <c r="BS12" s="325" t="s">
        <v>37</v>
      </c>
      <c r="BT12" s="3" t="s">
        <v>302</v>
      </c>
      <c r="BU12" s="66">
        <v>1</v>
      </c>
      <c r="BV12" s="3" t="str">
        <f t="shared" si="15"/>
        <v>Jakub Kopecký</v>
      </c>
      <c r="BW12" s="108">
        <f t="shared" si="16"/>
        <v>1</v>
      </c>
      <c r="BX12" s="137" t="s">
        <v>249</v>
      </c>
      <c r="BY12" s="105" t="s">
        <v>27</v>
      </c>
      <c r="BZ12" s="105"/>
      <c r="CA12" s="105"/>
    </row>
    <row r="13" spans="1:79" ht="15" customHeight="1" thickBot="1" x14ac:dyDescent="0.25">
      <c r="A13" s="4" t="str">
        <f ca="1">IFERROR(IF(VLOOKUP(A12,OFFSET($AG$2,,,COUNTIF($AG$2:$AG$50,"?*"),23),10,FALSE)&lt;&gt;0,VLOOKUP(A12,OFFSET($AG$2,,,COUNTIF($AG$2:$AG$50,"?*"),23),10,FALSE),"?"),"")</f>
        <v/>
      </c>
      <c r="B13" s="252" t="str">
        <f ca="1">IFERROR(IF(VLOOKUP(A12,OFFSET($AG$2,,,COUNTIF($AG$2:$AG$50,"?*"),23),2,FALSE)&lt;&gt;0,YEAR(VLOOKUP(A12,OFFSET($AG$2,,,COUNTIF($AG$2:$AG$50,"?*"),23),2,FALSE)),"?"),"")</f>
        <v/>
      </c>
      <c r="C13" s="261"/>
      <c r="D13" s="140" t="str">
        <f ca="1">IFERROR(VLOOKUP(A12,OFFSET($AG$2,,,COUNTIF($AG$2:$AG$50,"?*"),23),15,FALSE),"")</f>
        <v/>
      </c>
      <c r="E13" s="251" t="str">
        <f ca="1">IFERROR(VLOOKUP(A12,OFFSET($AG$2,,,COUNTIF($AG$2:$AG$50,"?*"),23),16,FALSE),"")</f>
        <v/>
      </c>
      <c r="F13" s="253"/>
      <c r="M13" s="4" t="str">
        <f ca="1">IFERROR(IF(VLOOKUP(M12,OFFSET($AG$2,,,COUNTIF($AG$2:$AG$50,"?*"),23),10,FALSE)&lt;&gt;0,VLOOKUP(M12,OFFSET($AG$2,,,COUNTIF($AG$2:$AG$50,"?*"),23),10,FALSE),"?"),"")</f>
        <v/>
      </c>
      <c r="N13" s="252" t="str">
        <f ca="1">IFERROR(IF(VLOOKUP(M12,OFFSET($AG$2,,,COUNTIF($AG$2:$AG$50,"?*"),23),2,FALSE)&lt;&gt;0,YEAR(VLOOKUP(M12,OFFSET($AG$2,,,COUNTIF($AG$2:$AG$50,"?*"),23),2,FALSE)),"?"),"")</f>
        <v/>
      </c>
      <c r="O13" s="261"/>
      <c r="P13" s="140" t="str">
        <f ca="1">IFERROR(VLOOKUP(M12,OFFSET($AG$2,,,COUNTIF($AG$2:$AG$50,"?*"),23),15,FALSE),"")</f>
        <v/>
      </c>
      <c r="Q13" s="251" t="str">
        <f ca="1">IFERROR(VLOOKUP(M12,OFFSET($AG$2,,,COUNTIF($AG$2:$AG$50,"?*"),23),16,FALSE),"")</f>
        <v/>
      </c>
      <c r="R13" s="253"/>
      <c r="S13" s="136" t="s">
        <v>264</v>
      </c>
      <c r="U13" s="108">
        <v>1</v>
      </c>
      <c r="V13" s="108">
        <v>0</v>
      </c>
      <c r="W13" s="108">
        <v>0</v>
      </c>
      <c r="X13" s="108">
        <v>0</v>
      </c>
      <c r="Y13" s="108">
        <v>0</v>
      </c>
      <c r="Z13" s="108">
        <v>0</v>
      </c>
      <c r="AA13" s="108">
        <v>0</v>
      </c>
      <c r="AB13" s="108">
        <v>-2</v>
      </c>
      <c r="AG13" s="333" t="s">
        <v>263</v>
      </c>
      <c r="AH13" s="334">
        <v>31531</v>
      </c>
      <c r="AI13" s="335">
        <v>302</v>
      </c>
      <c r="AJ13" s="335">
        <v>95</v>
      </c>
      <c r="AK13" s="335">
        <v>136</v>
      </c>
      <c r="AL13" s="335">
        <v>231</v>
      </c>
      <c r="AM13" s="335">
        <v>18</v>
      </c>
      <c r="AN13" s="335">
        <v>11</v>
      </c>
      <c r="AO13" s="336"/>
      <c r="AP13" s="336" t="s">
        <v>164</v>
      </c>
      <c r="AQ13" s="335">
        <v>185</v>
      </c>
      <c r="AR13" s="335">
        <v>69</v>
      </c>
      <c r="AS13" s="337" t="s">
        <v>283</v>
      </c>
      <c r="AT13" s="335">
        <v>1996</v>
      </c>
      <c r="AU13" s="130">
        <f t="shared" ca="1" si="0"/>
        <v>35</v>
      </c>
      <c r="AV13" s="130" t="str">
        <f t="shared" si="3"/>
        <v>185/69</v>
      </c>
      <c r="AW13" s="131" t="str">
        <f t="shared" ca="1" si="1"/>
        <v>Kološ</v>
      </c>
      <c r="AX13" s="132" t="str">
        <f t="shared" ca="1" si="2"/>
        <v>1 OZ, 0 (0+0), -2 ±</v>
      </c>
      <c r="AY13" s="132" t="str">
        <f t="shared" ca="1" si="4"/>
        <v>303 OZ, 231 (95+136)</v>
      </c>
      <c r="AZ13" s="132"/>
      <c r="BA13" s="132"/>
      <c r="BB13" s="132"/>
      <c r="BC13" s="132"/>
      <c r="BD13" s="129" t="str">
        <f t="shared" si="5"/>
        <v>Kološ</v>
      </c>
      <c r="BE13" s="132">
        <f t="shared" ca="1" si="6"/>
        <v>1</v>
      </c>
      <c r="BF13" s="130" t="str">
        <f t="shared" si="7"/>
        <v>P</v>
      </c>
      <c r="BG13" s="129" t="str">
        <f t="shared" ca="1" si="8"/>
        <v/>
      </c>
      <c r="BH13" s="130">
        <f t="shared" ca="1" si="9"/>
        <v>0</v>
      </c>
      <c r="BI13" s="129" t="str">
        <f t="shared" ca="1" si="10"/>
        <v/>
      </c>
      <c r="BJ13" s="130">
        <f t="shared" ca="1" si="9"/>
        <v>0</v>
      </c>
      <c r="BK13" s="129" t="str">
        <f t="shared" ca="1" si="11"/>
        <v/>
      </c>
      <c r="BL13" s="130">
        <f t="shared" ca="1" si="12"/>
        <v>0</v>
      </c>
      <c r="BM13" s="129" t="str">
        <f t="shared" ca="1" si="13"/>
        <v/>
      </c>
      <c r="BS13" s="325"/>
      <c r="BT13" s="3" t="s">
        <v>303</v>
      </c>
      <c r="BU13" s="66">
        <v>1</v>
      </c>
      <c r="BV13" s="3" t="str">
        <f t="shared" si="15"/>
        <v>Jan Šoltys</v>
      </c>
      <c r="BW13" s="108">
        <f t="shared" si="16"/>
        <v>1</v>
      </c>
    </row>
    <row r="14" spans="1:79" ht="15" customHeight="1" thickTop="1" thickBot="1" x14ac:dyDescent="0.25">
      <c r="A14" s="290" t="str">
        <f ca="1">IFERROR(VLOOKUP(A12,OFFSET($AG$2,,,COUNTIF($AG$2:$AG$50,"?*"),23),18,FALSE),"")</f>
        <v/>
      </c>
      <c r="B14" s="291"/>
      <c r="C14" s="291"/>
      <c r="D14" s="292" t="str">
        <f ca="1">IFERROR(VLOOKUP(A12,OFFSET($AG$2,,,COUNTIF($AG$2:$AG$50,"?*"),23),19,FALSE),"")</f>
        <v/>
      </c>
      <c r="E14" s="292"/>
      <c r="F14" s="293"/>
      <c r="G14" s="294"/>
      <c r="H14" s="295"/>
      <c r="I14" s="295"/>
      <c r="J14" s="295"/>
      <c r="K14" s="1" t="str">
        <f ca="1">IFERROR(IF(VLOOKUP(G14,OFFSET($AG$2,,,COUNTIF($AG$2:$AG$50,"?*"),23),9,FALSE)&lt;&gt;0,VLOOKUP(G14,OFFSET($AG$2,,,COUNTIF($AG$2:$AG$50,"?*"),23),9,FALSE),""),"")</f>
        <v/>
      </c>
      <c r="L14" s="2" t="str">
        <f ca="1">IFERROR(IF(VLOOKUP(G14,OFFSET($AG$2,,,COUNTIF($AG$2:$AG$50,"?*"),23),8,FALSE)&lt;&gt;0,VLOOKUP(G14,OFFSET($AG$2,,,COUNTIF($AG$2:$AG$50,"?*"),23),8,FALSE),"?"),"")</f>
        <v/>
      </c>
      <c r="M14" s="290" t="str">
        <f ca="1">IFERROR(VLOOKUP(M12,OFFSET($AG$2,,,COUNTIF($AG$2:$AG$50,"?*"),23),18,FALSE),"")</f>
        <v/>
      </c>
      <c r="N14" s="291"/>
      <c r="O14" s="291"/>
      <c r="P14" s="292" t="str">
        <f ca="1">IFERROR(VLOOKUP(M12,OFFSET($AG$2,,,COUNTIF($AG$2:$AG$50,"?*"),23),19,FALSE),"")</f>
        <v/>
      </c>
      <c r="Q14" s="292"/>
      <c r="R14" s="293"/>
      <c r="S14" s="136" t="s">
        <v>265</v>
      </c>
      <c r="U14" s="108">
        <v>1</v>
      </c>
      <c r="V14" s="108">
        <v>0</v>
      </c>
      <c r="W14" s="108">
        <v>0</v>
      </c>
      <c r="X14" s="108">
        <v>0</v>
      </c>
      <c r="Y14" s="108">
        <v>0</v>
      </c>
      <c r="Z14" s="108">
        <v>0</v>
      </c>
      <c r="AA14" s="108">
        <v>0</v>
      </c>
      <c r="AB14" s="108">
        <v>-2</v>
      </c>
      <c r="AG14" s="328" t="s">
        <v>253</v>
      </c>
      <c r="AH14" s="329">
        <v>36014</v>
      </c>
      <c r="AI14" s="330">
        <v>100</v>
      </c>
      <c r="AJ14" s="330">
        <v>50</v>
      </c>
      <c r="AK14" s="330">
        <v>35</v>
      </c>
      <c r="AL14" s="330">
        <v>85</v>
      </c>
      <c r="AM14" s="330">
        <v>5</v>
      </c>
      <c r="AN14" s="330">
        <v>5</v>
      </c>
      <c r="AO14" s="331"/>
      <c r="AP14" s="331" t="s">
        <v>164</v>
      </c>
      <c r="AQ14" s="330">
        <v>185</v>
      </c>
      <c r="AR14" s="330">
        <v>74</v>
      </c>
      <c r="AS14" s="332" t="s">
        <v>279</v>
      </c>
      <c r="AT14" s="330">
        <v>2007</v>
      </c>
      <c r="AU14" s="66">
        <f t="shared" ca="1" si="0"/>
        <v>23</v>
      </c>
      <c r="AV14" s="66" t="str">
        <f t="shared" si="3"/>
        <v>185/74</v>
      </c>
      <c r="AW14" s="128" t="str">
        <f t="shared" ca="1" si="1"/>
        <v>Kopecký</v>
      </c>
      <c r="AX14" s="123" t="str">
        <f t="shared" ca="1" si="2"/>
        <v>1 OZ, 2 (1+1), -1 ±</v>
      </c>
      <c r="AY14" s="123" t="str">
        <f t="shared" ca="1" si="4"/>
        <v>101 OZ, 87 (51+36)</v>
      </c>
      <c r="BD14" s="3" t="str">
        <f t="shared" si="5"/>
        <v>Kopecký</v>
      </c>
      <c r="BE14" s="123">
        <f t="shared" ca="1" si="6"/>
        <v>1</v>
      </c>
      <c r="BF14" s="66" t="str">
        <f t="shared" si="7"/>
        <v>J</v>
      </c>
      <c r="BG14" s="3" t="str">
        <f t="shared" ca="1" si="8"/>
        <v/>
      </c>
      <c r="BH14" s="66">
        <f t="shared" ca="1" si="9"/>
        <v>0</v>
      </c>
      <c r="BI14" s="3" t="str">
        <f t="shared" ca="1" si="10"/>
        <v/>
      </c>
      <c r="BJ14" s="66">
        <f t="shared" ca="1" si="9"/>
        <v>0</v>
      </c>
      <c r="BK14" s="3" t="str">
        <f t="shared" ca="1" si="11"/>
        <v/>
      </c>
      <c r="BL14" s="66">
        <f t="shared" ca="1" si="12"/>
        <v>0</v>
      </c>
      <c r="BM14" s="3" t="str">
        <f t="shared" ca="1" si="13"/>
        <v/>
      </c>
      <c r="BS14" s="325"/>
      <c r="BT14" s="3" t="s">
        <v>310</v>
      </c>
      <c r="BU14" s="66">
        <v>0</v>
      </c>
      <c r="BV14" s="3" t="str">
        <f t="shared" si="15"/>
        <v>Daniel Martínek</v>
      </c>
      <c r="BW14" s="108">
        <f t="shared" si="16"/>
        <v>0</v>
      </c>
    </row>
    <row r="15" spans="1:79" ht="15" customHeight="1" thickBot="1" x14ac:dyDescent="0.25">
      <c r="A15" s="297" t="str">
        <f ca="1">IFERROR(IF(VLOOKUP(A12,OFFSET($AG$2,,,COUNTIF($AG$2:$AG$50,"?*"),23),13,FALSE)&lt;&gt;0,VLOOKUP(A12,OFFSET($AG$2,,,COUNTIF($AG$2:$AG$50,"?*"),23),13,FALSE),"?"),"")</f>
        <v/>
      </c>
      <c r="B15" s="298"/>
      <c r="C15" s="299"/>
      <c r="D15" s="288" t="str">
        <f ca="1">IFERROR(IF(VLOOKUP(A12,OFFSET($AG$2,,,COUNTIF($AG$2:$AG$50,"?*"),23),14,FALSE)&lt;&gt;0,VLOOKUP(A12,OFFSET($AG$2,,,COUNTIF($AG$2:$AG$50,"?*"),23),14,FALSE),"?"),"")</f>
        <v/>
      </c>
      <c r="E15" s="287"/>
      <c r="F15" s="7" t="str">
        <f ca="1">IFERROR(IF(VLOOKUP(A12,OFFSET($AG$2,,,COUNTIF($AG$2:$AG$50,"?*"),23),7,FALSE)&lt;&gt;0,VLOOKUP(A12,OFFSET($AG$2,,,COUNTIF($AG$2:$AG$50,"?*"),23),7,FALSE),"?"),"")</f>
        <v/>
      </c>
      <c r="G15" s="4" t="str">
        <f ca="1">IFERROR(IF(VLOOKUP(G14,OFFSET($AG$2,,,COUNTIF($AG$2:$AG$50,"?*"),23),10,FALSE)&lt;&gt;0,VLOOKUP(G14,OFFSET($AG$2,,,COUNTIF($AG$2:$AG$50,"?*"),23),10,FALSE),"?"),"")</f>
        <v/>
      </c>
      <c r="H15" s="252" t="str">
        <f ca="1">IFERROR(IF(VLOOKUP(G14,OFFSET($AG$2,,,COUNTIF($AG$2:$AG$50,"?*"),23),2,FALSE)&lt;&gt;0,YEAR(VLOOKUP(G14,OFFSET($AG$2,,,COUNTIF($AG$2:$AG$50,"?*"),23),2,FALSE)),"?"),"")</f>
        <v/>
      </c>
      <c r="I15" s="261"/>
      <c r="J15" s="140" t="str">
        <f ca="1">IFERROR(VLOOKUP(G14,OFFSET($AG$2,,,COUNTIF($AG$2:$AG$50,"?*"),23),15,FALSE),"")</f>
        <v/>
      </c>
      <c r="K15" s="251" t="str">
        <f ca="1">IFERROR(VLOOKUP(G14,OFFSET($AG$2,,,COUNTIF($AG$2:$AG$50,"?*"),23),16,FALSE),"")</f>
        <v/>
      </c>
      <c r="L15" s="253"/>
      <c r="M15" s="297" t="str">
        <f ca="1">IFERROR(IF(VLOOKUP(M12,OFFSET($AG$2,,,COUNTIF($AG$2:$AG$50,"?*"),23),13,FALSE)&lt;&gt;0,VLOOKUP(M12,OFFSET($AG$2,,,COUNTIF($AG$2:$AG$50,"?*"),23),13,FALSE),"?"),"")</f>
        <v/>
      </c>
      <c r="N15" s="298"/>
      <c r="O15" s="299"/>
      <c r="P15" s="288" t="str">
        <f ca="1">IFERROR(IF(VLOOKUP(M12,OFFSET($AG$2,,,COUNTIF($AG$2:$AG$50,"?*"),23),14,FALSE)&lt;&gt;0,VLOOKUP(M12,OFFSET($AG$2,,,COUNTIF($AG$2:$AG$50,"?*"),23),14,FALSE),"?"),"")</f>
        <v/>
      </c>
      <c r="Q15" s="287"/>
      <c r="R15" s="7" t="str">
        <f ca="1">IFERROR(IF(VLOOKUP(M12,OFFSET($AG$2,,,COUNTIF($AG$2:$AG$50,"?*"),23),7,FALSE)&lt;&gt;0,VLOOKUP(M12,OFFSET($AG$2,,,COUNTIF($AG$2:$AG$50,"?*"),23),7,FALSE),"?"),"")</f>
        <v/>
      </c>
      <c r="S15" s="136" t="s">
        <v>266</v>
      </c>
      <c r="T15" s="108" t="s">
        <v>132</v>
      </c>
      <c r="U15" s="108">
        <v>0</v>
      </c>
      <c r="V15" s="108">
        <v>0</v>
      </c>
      <c r="W15" s="108">
        <v>0</v>
      </c>
      <c r="X15" s="108">
        <v>0</v>
      </c>
      <c r="Y15" s="108">
        <v>0</v>
      </c>
      <c r="Z15" s="108">
        <v>0</v>
      </c>
      <c r="AA15" s="108">
        <v>0</v>
      </c>
      <c r="AB15" s="108">
        <v>0</v>
      </c>
      <c r="AG15" s="333" t="s">
        <v>272</v>
      </c>
      <c r="AH15" s="334">
        <v>36962</v>
      </c>
      <c r="AI15" s="335">
        <v>14</v>
      </c>
      <c r="AJ15" s="335">
        <v>0</v>
      </c>
      <c r="AK15" s="335">
        <v>0</v>
      </c>
      <c r="AL15" s="335">
        <v>0</v>
      </c>
      <c r="AM15" s="335">
        <v>4</v>
      </c>
      <c r="AN15" s="335">
        <v>65</v>
      </c>
      <c r="AO15" s="336"/>
      <c r="AP15" s="336" t="s">
        <v>27</v>
      </c>
      <c r="AQ15" s="335">
        <v>170</v>
      </c>
      <c r="AR15" s="335">
        <v>67</v>
      </c>
      <c r="AS15" s="337" t="s">
        <v>284</v>
      </c>
      <c r="AT15" s="335">
        <v>2006</v>
      </c>
      <c r="AU15" s="130">
        <f t="shared" ca="1" si="0"/>
        <v>20</v>
      </c>
      <c r="AV15" s="130" t="str">
        <f t="shared" si="3"/>
        <v>170/67</v>
      </c>
      <c r="AW15" s="131" t="str">
        <f t="shared" ca="1" si="1"/>
        <v>Martínek</v>
      </c>
      <c r="AX15" s="132" t="str">
        <f t="shared" ca="1" si="2"/>
        <v>1 OZ, 0 (0+0), 0 ±</v>
      </c>
      <c r="AY15" s="132" t="str">
        <f t="shared" ca="1" si="4"/>
        <v>15 OZ, 0 (0+0)</v>
      </c>
      <c r="AZ15" s="132"/>
      <c r="BA15" s="132"/>
      <c r="BB15" s="132"/>
      <c r="BC15" s="132"/>
      <c r="BD15" s="129" t="str">
        <f t="shared" si="5"/>
        <v>Martínek</v>
      </c>
      <c r="BE15" s="132">
        <f t="shared" ca="1" si="6"/>
        <v>1</v>
      </c>
      <c r="BF15" s="130" t="str">
        <f t="shared" si="7"/>
        <v>D</v>
      </c>
      <c r="BG15" s="129" t="str">
        <f t="shared" ca="1" si="8"/>
        <v/>
      </c>
      <c r="BH15" s="130">
        <f t="shared" ca="1" si="9"/>
        <v>0</v>
      </c>
      <c r="BI15" s="129" t="str">
        <f t="shared" ca="1" si="10"/>
        <v/>
      </c>
      <c r="BJ15" s="130">
        <f t="shared" ca="1" si="9"/>
        <v>0</v>
      </c>
      <c r="BK15" s="129" t="str">
        <f t="shared" ca="1" si="11"/>
        <v/>
      </c>
      <c r="BL15" s="130">
        <f t="shared" ca="1" si="12"/>
        <v>0</v>
      </c>
      <c r="BM15" s="129" t="str">
        <f t="shared" ca="1" si="13"/>
        <v/>
      </c>
      <c r="BS15" s="325"/>
      <c r="BT15" s="3" t="s">
        <v>311</v>
      </c>
      <c r="BU15" s="66">
        <v>0</v>
      </c>
      <c r="BV15" s="3" t="str">
        <f t="shared" si="15"/>
        <v>Filip Smutný</v>
      </c>
      <c r="BW15" s="108">
        <f t="shared" si="16"/>
        <v>0</v>
      </c>
    </row>
    <row r="16" spans="1:79" ht="15" customHeight="1" thickTop="1" thickBot="1" x14ac:dyDescent="0.25">
      <c r="A16" s="8"/>
      <c r="B16" s="8"/>
      <c r="C16" s="8"/>
      <c r="D16" s="8"/>
      <c r="G16" s="290" t="str">
        <f ca="1">IFERROR(VLOOKUP(G14,OFFSET($AG$2,,,COUNTIF($AG$2:$AG$50,"?*"),23),18,FALSE),"")</f>
        <v/>
      </c>
      <c r="H16" s="291"/>
      <c r="I16" s="291"/>
      <c r="J16" s="292" t="str">
        <f ca="1">IFERROR(VLOOKUP(G14,OFFSET($AG$2,,,COUNTIF($AG$2:$AG$50,"?*"),23),19,FALSE),"")</f>
        <v/>
      </c>
      <c r="K16" s="292"/>
      <c r="L16" s="293"/>
      <c r="S16" s="136" t="s">
        <v>267</v>
      </c>
      <c r="T16" s="108" t="s">
        <v>134</v>
      </c>
      <c r="U16" s="108">
        <v>1</v>
      </c>
      <c r="V16" s="108">
        <v>0</v>
      </c>
      <c r="W16" s="108">
        <v>0</v>
      </c>
      <c r="X16" s="108">
        <v>0</v>
      </c>
      <c r="Y16" s="108">
        <v>0</v>
      </c>
      <c r="Z16" s="108">
        <v>0</v>
      </c>
      <c r="AA16" s="108">
        <v>0</v>
      </c>
      <c r="AB16" s="108">
        <v>-1</v>
      </c>
      <c r="AG16" s="328" t="s">
        <v>285</v>
      </c>
      <c r="AH16" s="329">
        <v>35992</v>
      </c>
      <c r="AI16" s="330">
        <v>48</v>
      </c>
      <c r="AJ16" s="330">
        <v>0</v>
      </c>
      <c r="AK16" s="330">
        <v>0</v>
      </c>
      <c r="AL16" s="330">
        <v>0</v>
      </c>
      <c r="AM16" s="330">
        <v>4</v>
      </c>
      <c r="AN16" s="330">
        <v>30</v>
      </c>
      <c r="AO16" s="331"/>
      <c r="AP16" s="331" t="s">
        <v>281</v>
      </c>
      <c r="AQ16" s="330">
        <v>185</v>
      </c>
      <c r="AR16" s="330">
        <v>94</v>
      </c>
      <c r="AS16" s="332" t="s">
        <v>286</v>
      </c>
      <c r="AT16" s="330">
        <v>2007</v>
      </c>
      <c r="AU16" s="66">
        <f t="shared" ca="1" si="0"/>
        <v>23</v>
      </c>
      <c r="AV16" s="66" t="str">
        <f t="shared" si="3"/>
        <v>185/94</v>
      </c>
      <c r="AW16" s="128" t="str">
        <f t="shared" ca="1" si="1"/>
        <v>Mück</v>
      </c>
      <c r="AX16" s="123" t="str">
        <f t="shared" ca="1" si="2"/>
        <v>0 OZ, 0 (0+0)</v>
      </c>
      <c r="AY16" s="123" t="str">
        <f t="shared" ca="1" si="4"/>
        <v>48 OZ, 0 (0+0)</v>
      </c>
      <c r="BD16" s="3" t="str">
        <f t="shared" si="5"/>
        <v>Mück</v>
      </c>
      <c r="BE16" s="123">
        <f t="shared" ca="1" si="6"/>
        <v>1</v>
      </c>
      <c r="BF16" s="66" t="str">
        <f t="shared" si="7"/>
        <v>D</v>
      </c>
      <c r="BG16" s="3" t="str">
        <f t="shared" ca="1" si="8"/>
        <v/>
      </c>
      <c r="BH16" s="66">
        <f t="shared" ca="1" si="9"/>
        <v>0</v>
      </c>
      <c r="BI16" s="3" t="str">
        <f t="shared" ca="1" si="10"/>
        <v/>
      </c>
      <c r="BJ16" s="66">
        <f t="shared" ca="1" si="9"/>
        <v>0</v>
      </c>
      <c r="BK16" s="3" t="str">
        <f t="shared" ca="1" si="11"/>
        <v/>
      </c>
      <c r="BL16" s="66">
        <f t="shared" ca="1" si="12"/>
        <v>0</v>
      </c>
      <c r="BM16" s="3" t="str">
        <f t="shared" ca="1" si="13"/>
        <v/>
      </c>
      <c r="BS16" s="325"/>
      <c r="BT16" s="3" t="s">
        <v>312</v>
      </c>
      <c r="BU16" s="66">
        <v>0</v>
      </c>
      <c r="BV16" s="3" t="str">
        <f t="shared" si="15"/>
        <v>Jakub Kárník</v>
      </c>
      <c r="BW16" s="108">
        <f t="shared" si="16"/>
        <v>0</v>
      </c>
    </row>
    <row r="17" spans="1:75" ht="15" customHeight="1" thickTop="1" thickBot="1" x14ac:dyDescent="0.25">
      <c r="A17" s="294"/>
      <c r="B17" s="295"/>
      <c r="C17" s="295"/>
      <c r="D17" s="295"/>
      <c r="E17" s="1" t="str">
        <f ca="1">IFERROR(IF(VLOOKUP(A17,OFFSET($AG$2,,,COUNTIF($AG$2:$AG$50,"?*"),23),9,FALSE)&lt;&gt;0,VLOOKUP(A17,OFFSET($AG$2,,,COUNTIF($AG$2:$AG$50,"?*"),23),9,FALSE),""),"")</f>
        <v/>
      </c>
      <c r="F17" s="2" t="str">
        <f ca="1">IFERROR(IF(VLOOKUP(A17,OFFSET($AG$2,,,COUNTIF($AG$2:$AG$50,"?*"),23),8,FALSE)&lt;&gt;0,VLOOKUP(A17,OFFSET($AG$2,,,COUNTIF($AG$2:$AG$50,"?*"),23),8,FALSE),"?"),"")</f>
        <v/>
      </c>
      <c r="G17" s="297" t="str">
        <f ca="1">IFERROR(IF(VLOOKUP(G14,OFFSET($AG$2,,,COUNTIF($AG$2:$AG$50,"?*"),23),13,FALSE)&lt;&gt;0,VLOOKUP(G14,OFFSET($AG$2,,,COUNTIF($AG$2:$AG$50,"?*"),23),13,FALSE),"?"),"")</f>
        <v/>
      </c>
      <c r="H17" s="298"/>
      <c r="I17" s="299"/>
      <c r="J17" s="288" t="str">
        <f ca="1">IFERROR(IF(VLOOKUP(G14,OFFSET($AG$2,,,COUNTIF($AG$2:$AG$50,"?*"),23),14,FALSE)&lt;&gt;0,VLOOKUP(G14,OFFSET($AG$2,,,COUNTIF($AG$2:$AG$50,"?*"),23),14,FALSE),"?"),"")</f>
        <v/>
      </c>
      <c r="K17" s="287"/>
      <c r="L17" s="7" t="str">
        <f ca="1">IFERROR(IF(VLOOKUP(G14,OFFSET($AG$2,,,COUNTIF($AG$2:$AG$50,"?*"),23),7,FALSE)&lt;&gt;0,VLOOKUP(G14,OFFSET($AG$2,,,COUNTIF($AG$2:$AG$50,"?*"),23),7,FALSE),"?"),"")</f>
        <v/>
      </c>
      <c r="M17" s="294"/>
      <c r="N17" s="295"/>
      <c r="O17" s="295"/>
      <c r="P17" s="295"/>
      <c r="Q17" s="1" t="str">
        <f ca="1">IFERROR(IF(VLOOKUP(M17,OFFSET($AG$2,,,COUNTIF($AG$2:$AG$50,"?*"),23),9,FALSE)&lt;&gt;0,VLOOKUP(M17,OFFSET($AG$2,,,COUNTIF($AG$2:$AG$50,"?*"),23),9,FALSE),""),"")</f>
        <v/>
      </c>
      <c r="R17" s="2" t="str">
        <f ca="1">IFERROR(IF(VLOOKUP(M17,OFFSET($AG$2,,,COUNTIF($AG$2:$AG$50,"?*"),23),8,FALSE)&lt;&gt;0,VLOOKUP(M17,OFFSET($AG$2,,,COUNTIF($AG$2:$AG$50,"?*"),23),8,FALSE),"?"),"")</f>
        <v/>
      </c>
      <c r="S17" s="136" t="s">
        <v>268</v>
      </c>
      <c r="T17" s="108" t="s">
        <v>134</v>
      </c>
      <c r="U17" s="108">
        <v>1</v>
      </c>
      <c r="V17" s="108">
        <v>0</v>
      </c>
      <c r="W17" s="108">
        <v>0</v>
      </c>
      <c r="X17" s="108">
        <v>0</v>
      </c>
      <c r="Y17" s="108">
        <v>0</v>
      </c>
      <c r="Z17" s="108">
        <v>0</v>
      </c>
      <c r="AA17" s="108">
        <v>0</v>
      </c>
      <c r="AB17" s="108">
        <v>-2</v>
      </c>
      <c r="AG17" s="333" t="s">
        <v>259</v>
      </c>
      <c r="AH17" s="334">
        <v>36449</v>
      </c>
      <c r="AI17" s="335">
        <v>75</v>
      </c>
      <c r="AJ17" s="335">
        <v>23</v>
      </c>
      <c r="AK17" s="335">
        <v>21</v>
      </c>
      <c r="AL17" s="335">
        <v>44</v>
      </c>
      <c r="AM17" s="335">
        <v>4</v>
      </c>
      <c r="AN17" s="335">
        <v>22</v>
      </c>
      <c r="AO17" s="336"/>
      <c r="AP17" s="336" t="s">
        <v>164</v>
      </c>
      <c r="AQ17" s="335">
        <v>164</v>
      </c>
      <c r="AR17" s="335">
        <v>60</v>
      </c>
      <c r="AS17" s="337" t="s">
        <v>287</v>
      </c>
      <c r="AT17" s="335">
        <v>2008</v>
      </c>
      <c r="AU17" s="130">
        <f t="shared" ca="1" si="0"/>
        <v>21</v>
      </c>
      <c r="AV17" s="130" t="str">
        <f t="shared" si="3"/>
        <v>164/60</v>
      </c>
      <c r="AW17" s="131" t="str">
        <f t="shared" ca="1" si="1"/>
        <v>Rozkovec</v>
      </c>
      <c r="AX17" s="132" t="str">
        <f t="shared" ca="1" si="2"/>
        <v>1 OZ, 0 (0+0), -3 ±</v>
      </c>
      <c r="AY17" s="132" t="str">
        <f t="shared" ca="1" si="4"/>
        <v>76 OZ, 44 (23+21)</v>
      </c>
      <c r="AZ17" s="132"/>
      <c r="BA17" s="132"/>
      <c r="BB17" s="132"/>
      <c r="BC17" s="132"/>
      <c r="BD17" s="129" t="str">
        <f t="shared" si="5"/>
        <v>Rozkovec</v>
      </c>
      <c r="BE17" s="132">
        <f t="shared" ca="1" si="6"/>
        <v>1</v>
      </c>
      <c r="BF17" s="130" t="str">
        <f t="shared" si="7"/>
        <v>P</v>
      </c>
      <c r="BG17" s="129" t="str">
        <f t="shared" ca="1" si="8"/>
        <v/>
      </c>
      <c r="BH17" s="130">
        <f t="shared" ca="1" si="9"/>
        <v>0</v>
      </c>
      <c r="BI17" s="129" t="str">
        <f t="shared" ca="1" si="10"/>
        <v/>
      </c>
      <c r="BJ17" s="130">
        <f t="shared" ca="1" si="9"/>
        <v>0</v>
      </c>
      <c r="BK17" s="129" t="str">
        <f t="shared" ca="1" si="11"/>
        <v/>
      </c>
      <c r="BL17" s="130">
        <f t="shared" ca="1" si="12"/>
        <v>0</v>
      </c>
      <c r="BM17" s="129" t="str">
        <f t="shared" ca="1" si="13"/>
        <v/>
      </c>
      <c r="BS17" s="325" t="s">
        <v>41</v>
      </c>
      <c r="BT17" s="3" t="s">
        <v>307</v>
      </c>
      <c r="BU17" s="66">
        <v>0</v>
      </c>
      <c r="BV17" s="3" t="str">
        <f t="shared" si="15"/>
        <v>Petr Chlad</v>
      </c>
      <c r="BW17" s="108">
        <f t="shared" si="16"/>
        <v>0</v>
      </c>
    </row>
    <row r="18" spans="1:75" ht="15" customHeight="1" thickBot="1" x14ac:dyDescent="0.25">
      <c r="A18" s="4"/>
      <c r="B18" s="252"/>
      <c r="C18" s="261"/>
      <c r="D18" s="140"/>
      <c r="E18" s="251"/>
      <c r="F18" s="253"/>
      <c r="M18" s="4" t="str">
        <f ca="1">IFERROR(IF(VLOOKUP(M17,OFFSET($AG$2,,,COUNTIF($AG$2:$AG$50,"?*"),23),10,FALSE)&lt;&gt;0,VLOOKUP(M17,OFFSET($AG$2,,,COUNTIF($AG$2:$AG$50,"?*"),23),10,FALSE),"?"),"")</f>
        <v/>
      </c>
      <c r="N18" s="252" t="str">
        <f ca="1">IFERROR(IF(VLOOKUP(M17,OFFSET($AG$2,,,COUNTIF($AG$2:$AG$50,"?*"),23),2,FALSE)&lt;&gt;0,YEAR(VLOOKUP(M17,OFFSET($AG$2,,,COUNTIF($AG$2:$AG$50,"?*"),23),2,FALSE)),"?"),"")</f>
        <v/>
      </c>
      <c r="O18" s="261"/>
      <c r="P18" s="140" t="str">
        <f ca="1">IFERROR(VLOOKUP(M17,OFFSET($AG$2,,,COUNTIF($AG$2:$AG$50,"?*"),23),15,FALSE),"")</f>
        <v/>
      </c>
      <c r="Q18" s="251" t="str">
        <f ca="1">IFERROR(VLOOKUP(M17,OFFSET($AG$2,,,COUNTIF($AG$2:$AG$50,"?*"),23),16,FALSE),"")</f>
        <v/>
      </c>
      <c r="R18" s="253"/>
      <c r="S18" s="136" t="s">
        <v>269</v>
      </c>
      <c r="U18" s="108">
        <v>1</v>
      </c>
      <c r="V18" s="108">
        <v>0</v>
      </c>
      <c r="W18" s="108">
        <v>0</v>
      </c>
      <c r="X18" s="108">
        <v>0</v>
      </c>
      <c r="Y18" s="108">
        <v>0</v>
      </c>
      <c r="Z18" s="108">
        <v>0</v>
      </c>
      <c r="AA18" s="108">
        <v>0</v>
      </c>
      <c r="AB18" s="108">
        <v>-2</v>
      </c>
      <c r="AG18" s="328" t="s">
        <v>288</v>
      </c>
      <c r="AH18" s="329">
        <v>31222</v>
      </c>
      <c r="AI18" s="330">
        <v>332</v>
      </c>
      <c r="AJ18" s="330">
        <v>192</v>
      </c>
      <c r="AK18" s="330">
        <v>261</v>
      </c>
      <c r="AL18" s="330">
        <v>453</v>
      </c>
      <c r="AM18" s="330">
        <v>18</v>
      </c>
      <c r="AN18" s="330">
        <v>10</v>
      </c>
      <c r="AO18" s="331"/>
      <c r="AP18" s="331" t="s">
        <v>164</v>
      </c>
      <c r="AQ18" s="330">
        <v>181</v>
      </c>
      <c r="AR18" s="330">
        <v>79</v>
      </c>
      <c r="AS18" s="332" t="s">
        <v>289</v>
      </c>
      <c r="AT18" s="330">
        <v>2000</v>
      </c>
      <c r="AU18" s="66">
        <f t="shared" ca="1" si="0"/>
        <v>36</v>
      </c>
      <c r="AV18" s="66" t="str">
        <f t="shared" si="3"/>
        <v>181/79</v>
      </c>
      <c r="AW18" s="128" t="str">
        <f t="shared" ca="1" si="1"/>
        <v>Salát</v>
      </c>
      <c r="AX18" s="123" t="str">
        <f t="shared" ca="1" si="2"/>
        <v>0 OZ, 0 (0+0)</v>
      </c>
      <c r="AY18" s="123" t="str">
        <f t="shared" ca="1" si="4"/>
        <v>332 OZ, 453 (192+261)</v>
      </c>
      <c r="BD18" s="3" t="str">
        <f t="shared" si="5"/>
        <v>Salát</v>
      </c>
      <c r="BE18" s="123">
        <f t="shared" ca="1" si="6"/>
        <v>1</v>
      </c>
      <c r="BF18" s="66" t="str">
        <f t="shared" si="7"/>
        <v>P</v>
      </c>
      <c r="BG18" s="3" t="str">
        <f t="shared" ca="1" si="8"/>
        <v/>
      </c>
      <c r="BH18" s="66">
        <f t="shared" ca="1" si="9"/>
        <v>0</v>
      </c>
      <c r="BI18" s="3" t="str">
        <f t="shared" ca="1" si="10"/>
        <v/>
      </c>
      <c r="BJ18" s="66">
        <f t="shared" ca="1" si="9"/>
        <v>0</v>
      </c>
      <c r="BK18" s="3" t="str">
        <f t="shared" ca="1" si="11"/>
        <v/>
      </c>
      <c r="BL18" s="66">
        <f t="shared" ca="1" si="12"/>
        <v>0</v>
      </c>
      <c r="BM18" s="3" t="str">
        <f t="shared" ca="1" si="13"/>
        <v/>
      </c>
      <c r="BS18" s="325"/>
      <c r="BT18" s="3" t="s">
        <v>309</v>
      </c>
      <c r="BU18" s="66">
        <v>0</v>
      </c>
      <c r="BV18" s="3" t="str">
        <f t="shared" si="15"/>
        <v>Jan Král</v>
      </c>
      <c r="BW18" s="108">
        <f t="shared" si="16"/>
        <v>0</v>
      </c>
    </row>
    <row r="19" spans="1:75" ht="15" customHeight="1" x14ac:dyDescent="0.2">
      <c r="A19" s="290"/>
      <c r="B19" s="291"/>
      <c r="C19" s="291"/>
      <c r="D19" s="292"/>
      <c r="E19" s="292"/>
      <c r="F19" s="293"/>
      <c r="H19" s="300" t="str">
        <f>H$8</f>
        <v>LIB</v>
      </c>
      <c r="I19" s="300"/>
      <c r="J19" s="300"/>
      <c r="K19" s="300"/>
      <c r="M19" s="290" t="str">
        <f ca="1">IFERROR(VLOOKUP(M17,OFFSET($AG$2,,,COUNTIF($AG$2:$AG$50,"?*"),23),18,FALSE),"")</f>
        <v/>
      </c>
      <c r="N19" s="291"/>
      <c r="O19" s="291"/>
      <c r="P19" s="292" t="str">
        <f ca="1">IFERROR(VLOOKUP(M17,OFFSET($AG$2,,,COUNTIF($AG$2:$AG$50,"?*"),23),19,FALSE),"")</f>
        <v/>
      </c>
      <c r="Q19" s="292"/>
      <c r="R19" s="293"/>
      <c r="S19" s="136" t="s">
        <v>270</v>
      </c>
      <c r="T19" s="108" t="s">
        <v>134</v>
      </c>
      <c r="U19" s="108">
        <v>1</v>
      </c>
      <c r="V19" s="108">
        <v>0</v>
      </c>
      <c r="W19" s="108">
        <v>0</v>
      </c>
      <c r="X19" s="108">
        <v>0</v>
      </c>
      <c r="Y19" s="108">
        <v>0</v>
      </c>
      <c r="Z19" s="108">
        <v>0</v>
      </c>
      <c r="AA19" s="108">
        <v>0</v>
      </c>
      <c r="AB19" s="108">
        <v>-4</v>
      </c>
      <c r="AG19" s="333" t="s">
        <v>260</v>
      </c>
      <c r="AH19" s="334">
        <v>37818</v>
      </c>
      <c r="AI19" s="335">
        <v>18</v>
      </c>
      <c r="AJ19" s="335">
        <v>9</v>
      </c>
      <c r="AK19" s="335">
        <v>5</v>
      </c>
      <c r="AL19" s="335">
        <v>14</v>
      </c>
      <c r="AM19" s="335">
        <v>2</v>
      </c>
      <c r="AN19" s="335">
        <v>28</v>
      </c>
      <c r="AO19" s="336"/>
      <c r="AP19" s="336" t="s">
        <v>164</v>
      </c>
      <c r="AQ19" s="335">
        <v>187</v>
      </c>
      <c r="AR19" s="335">
        <v>83</v>
      </c>
      <c r="AS19" s="337" t="s">
        <v>290</v>
      </c>
      <c r="AT19" s="335">
        <v>2010</v>
      </c>
      <c r="AU19" s="130">
        <f t="shared" ca="1" si="0"/>
        <v>18</v>
      </c>
      <c r="AV19" s="130" t="str">
        <f t="shared" si="3"/>
        <v>187/83</v>
      </c>
      <c r="AW19" s="131" t="str">
        <f t="shared" ca="1" si="1"/>
        <v>Stránský</v>
      </c>
      <c r="AX19" s="132" t="str">
        <f t="shared" ca="1" si="2"/>
        <v>1 OZ, 0 (0+0), -2 ±</v>
      </c>
      <c r="AY19" s="132" t="str">
        <f t="shared" ca="1" si="4"/>
        <v>19 OZ, 14 (9+5)</v>
      </c>
      <c r="AZ19" s="132"/>
      <c r="BA19" s="132"/>
      <c r="BB19" s="132"/>
      <c r="BC19" s="132"/>
      <c r="BD19" s="129" t="str">
        <f t="shared" si="5"/>
        <v>Stránský</v>
      </c>
      <c r="BE19" s="132">
        <f t="shared" ca="1" si="6"/>
        <v>1</v>
      </c>
      <c r="BF19" s="130" t="str">
        <f t="shared" si="7"/>
        <v>Š</v>
      </c>
      <c r="BG19" s="129" t="str">
        <f t="shared" ca="1" si="8"/>
        <v/>
      </c>
      <c r="BH19" s="130">
        <f t="shared" ca="1" si="9"/>
        <v>0</v>
      </c>
      <c r="BI19" s="129" t="str">
        <f t="shared" ca="1" si="10"/>
        <v/>
      </c>
      <c r="BJ19" s="130">
        <f t="shared" ca="1" si="9"/>
        <v>0</v>
      </c>
      <c r="BK19" s="129" t="str">
        <f t="shared" ca="1" si="11"/>
        <v/>
      </c>
      <c r="BL19" s="130">
        <f t="shared" ca="1" si="12"/>
        <v>0</v>
      </c>
      <c r="BM19" s="129" t="str">
        <f t="shared" ca="1" si="13"/>
        <v/>
      </c>
      <c r="BS19" s="325"/>
      <c r="BV19" s="3" t="str">
        <f t="shared" si="15"/>
        <v/>
      </c>
      <c r="BW19" s="108" t="str">
        <f t="shared" si="16"/>
        <v/>
      </c>
    </row>
    <row r="20" spans="1:75" ht="15" customHeight="1" thickBot="1" x14ac:dyDescent="0.25">
      <c r="A20" s="297"/>
      <c r="B20" s="298"/>
      <c r="C20" s="299"/>
      <c r="D20" s="288"/>
      <c r="E20" s="287"/>
      <c r="F20" s="7"/>
      <c r="H20" s="300"/>
      <c r="I20" s="300"/>
      <c r="J20" s="300"/>
      <c r="K20" s="300"/>
      <c r="M20" s="297" t="str">
        <f ca="1">IFERROR(IF(VLOOKUP(M17,OFFSET($AG$2,,,COUNTIF($AG$2:$AG$50,"?*"),23),13,FALSE)&lt;&gt;0,VLOOKUP(M17,OFFSET($AG$2,,,COUNTIF($AG$2:$AG$50,"?*"),23),13,FALSE),"?"),"")</f>
        <v/>
      </c>
      <c r="N20" s="298"/>
      <c r="O20" s="299"/>
      <c r="P20" s="288" t="str">
        <f ca="1">IFERROR(IF(VLOOKUP(M17,OFFSET($AG$2,,,COUNTIF($AG$2:$AG$50,"?*"),23),14,FALSE)&lt;&gt;0,VLOOKUP(M17,OFFSET($AG$2,,,COUNTIF($AG$2:$AG$50,"?*"),23),14,FALSE),"?"),"")</f>
        <v/>
      </c>
      <c r="Q20" s="287"/>
      <c r="R20" s="7" t="str">
        <f ca="1">IFERROR(IF(VLOOKUP(M17,OFFSET($AG$2,,,COUNTIF($AG$2:$AG$50,"?*"),23),7,FALSE)&lt;&gt;0,VLOOKUP(M17,OFFSET($AG$2,,,COUNTIF($AG$2:$AG$50,"?*"),23),7,FALSE),"?"),"")</f>
        <v/>
      </c>
      <c r="S20" s="136" t="s">
        <v>271</v>
      </c>
      <c r="T20" s="108" t="s">
        <v>132</v>
      </c>
      <c r="U20" s="108">
        <v>0</v>
      </c>
      <c r="V20" s="108">
        <v>0</v>
      </c>
      <c r="W20" s="108">
        <v>0</v>
      </c>
      <c r="X20" s="108">
        <v>0</v>
      </c>
      <c r="Y20" s="108">
        <v>0</v>
      </c>
      <c r="Z20" s="108">
        <v>0</v>
      </c>
      <c r="AA20" s="108">
        <v>0</v>
      </c>
      <c r="AB20" s="108">
        <v>0</v>
      </c>
      <c r="AG20" s="328" t="s">
        <v>270</v>
      </c>
      <c r="AH20" s="329">
        <v>35909</v>
      </c>
      <c r="AI20" s="330">
        <v>41</v>
      </c>
      <c r="AJ20" s="330">
        <v>15</v>
      </c>
      <c r="AK20" s="330">
        <v>10</v>
      </c>
      <c r="AL20" s="330">
        <v>25</v>
      </c>
      <c r="AM20" s="330">
        <v>3</v>
      </c>
      <c r="AN20" s="330">
        <v>90</v>
      </c>
      <c r="AO20" s="331"/>
      <c r="AP20" s="331" t="s">
        <v>164</v>
      </c>
      <c r="AQ20" s="330">
        <v>187</v>
      </c>
      <c r="AR20" s="330">
        <v>82</v>
      </c>
      <c r="AS20" s="332" t="s">
        <v>291</v>
      </c>
      <c r="AT20" s="330">
        <v>2014</v>
      </c>
      <c r="AU20" s="66">
        <f t="shared" ca="1" si="0"/>
        <v>23</v>
      </c>
      <c r="AV20" s="66" t="str">
        <f t="shared" si="3"/>
        <v>187/82</v>
      </c>
      <c r="AW20" s="128" t="str">
        <f t="shared" ca="1" si="1"/>
        <v>Světlík</v>
      </c>
      <c r="AX20" s="123" t="str">
        <f t="shared" ca="1" si="2"/>
        <v>1 OZ, 0 (0+0), -4 ±</v>
      </c>
      <c r="AY20" s="123" t="str">
        <f t="shared" ca="1" si="4"/>
        <v>42 OZ, 25 (15+10)</v>
      </c>
      <c r="BD20" s="3" t="str">
        <f t="shared" si="5"/>
        <v>Světlík</v>
      </c>
      <c r="BE20" s="123">
        <f t="shared" ca="1" si="6"/>
        <v>1</v>
      </c>
      <c r="BF20" s="66" t="str">
        <f t="shared" si="7"/>
        <v>J</v>
      </c>
      <c r="BG20" s="3" t="str">
        <f t="shared" ca="1" si="8"/>
        <v/>
      </c>
      <c r="BH20" s="66">
        <f t="shared" ca="1" si="9"/>
        <v>0</v>
      </c>
      <c r="BI20" s="3" t="str">
        <f t="shared" ca="1" si="10"/>
        <v/>
      </c>
      <c r="BJ20" s="66">
        <f t="shared" ca="1" si="9"/>
        <v>0</v>
      </c>
      <c r="BK20" s="3" t="str">
        <f t="shared" ca="1" si="11"/>
        <v/>
      </c>
      <c r="BL20" s="66">
        <f t="shared" ca="1" si="12"/>
        <v>0</v>
      </c>
      <c r="BM20" s="3" t="str">
        <f t="shared" ca="1" si="13"/>
        <v/>
      </c>
      <c r="BS20" s="325"/>
      <c r="BV20" s="3" t="str">
        <f t="shared" si="15"/>
        <v/>
      </c>
      <c r="BW20" s="108" t="str">
        <f t="shared" si="16"/>
        <v/>
      </c>
    </row>
    <row r="21" spans="1:75" ht="15" customHeight="1" thickTop="1" thickBot="1" x14ac:dyDescent="0.25">
      <c r="A21" s="9"/>
      <c r="B21" s="9"/>
      <c r="C21" s="9"/>
      <c r="D21" s="9"/>
      <c r="E21" s="10"/>
      <c r="F21" s="10"/>
      <c r="G21" s="11"/>
      <c r="H21" s="11"/>
      <c r="I21" s="11"/>
      <c r="J21" s="11"/>
      <c r="K21" s="11"/>
      <c r="L21" s="11"/>
      <c r="M21" s="9"/>
      <c r="N21" s="9"/>
      <c r="O21" s="9"/>
      <c r="P21" s="9"/>
      <c r="Q21" s="10"/>
      <c r="R21" s="10"/>
      <c r="S21" s="8" t="s">
        <v>272</v>
      </c>
      <c r="U21" s="108">
        <v>1</v>
      </c>
      <c r="V21" s="108">
        <v>0</v>
      </c>
      <c r="W21" s="108">
        <v>0</v>
      </c>
      <c r="X21" s="108">
        <v>0</v>
      </c>
      <c r="Y21" s="108">
        <v>0</v>
      </c>
      <c r="Z21" s="108">
        <v>0</v>
      </c>
      <c r="AA21" s="108">
        <v>0</v>
      </c>
      <c r="AB21" s="108">
        <v>0</v>
      </c>
      <c r="AG21" s="333" t="s">
        <v>254</v>
      </c>
      <c r="AH21" s="334">
        <v>36067</v>
      </c>
      <c r="AI21" s="335">
        <v>94</v>
      </c>
      <c r="AJ21" s="335">
        <v>20</v>
      </c>
      <c r="AK21" s="335">
        <v>9</v>
      </c>
      <c r="AL21" s="335">
        <v>29</v>
      </c>
      <c r="AM21" s="335">
        <v>6</v>
      </c>
      <c r="AN21" s="335">
        <v>61</v>
      </c>
      <c r="AO21" s="336"/>
      <c r="AP21" s="336" t="s">
        <v>164</v>
      </c>
      <c r="AQ21" s="335">
        <v>177</v>
      </c>
      <c r="AR21" s="335">
        <v>74</v>
      </c>
      <c r="AS21" s="337" t="s">
        <v>87</v>
      </c>
      <c r="AT21" s="335">
        <v>2011</v>
      </c>
      <c r="AU21" s="130">
        <f t="shared" ca="1" si="0"/>
        <v>22</v>
      </c>
      <c r="AV21" s="130" t="str">
        <f t="shared" si="3"/>
        <v>177/74</v>
      </c>
      <c r="AW21" s="131" t="str">
        <f t="shared" ca="1" si="1"/>
        <v>Šoltys</v>
      </c>
      <c r="AX21" s="132" t="str">
        <f t="shared" ca="1" si="2"/>
        <v>1 OZ, 1 (1+0), -2 ±</v>
      </c>
      <c r="AY21" s="132" t="str">
        <f t="shared" ca="1" si="4"/>
        <v>95 OZ, 30 (21+9)</v>
      </c>
      <c r="AZ21" s="132"/>
      <c r="BA21" s="132"/>
      <c r="BB21" s="132"/>
      <c r="BC21" s="132"/>
      <c r="BD21" s="129" t="str">
        <f t="shared" si="5"/>
        <v>Šoltys</v>
      </c>
      <c r="BE21" s="132">
        <f t="shared" ca="1" si="6"/>
        <v>1</v>
      </c>
      <c r="BF21" s="130" t="str">
        <f t="shared" si="7"/>
        <v>J</v>
      </c>
      <c r="BG21" s="129" t="str">
        <f t="shared" ca="1" si="8"/>
        <v/>
      </c>
      <c r="BH21" s="130">
        <f t="shared" ca="1" si="9"/>
        <v>0</v>
      </c>
      <c r="BI21" s="129" t="str">
        <f t="shared" ca="1" si="10"/>
        <v/>
      </c>
      <c r="BJ21" s="130">
        <f t="shared" ca="1" si="9"/>
        <v>0</v>
      </c>
      <c r="BK21" s="129" t="str">
        <f t="shared" ca="1" si="11"/>
        <v/>
      </c>
      <c r="BL21" s="130">
        <f t="shared" ca="1" si="12"/>
        <v>0</v>
      </c>
      <c r="BM21" s="129" t="str">
        <f t="shared" ca="1" si="13"/>
        <v/>
      </c>
      <c r="BS21" s="325"/>
      <c r="BV21" s="3" t="str">
        <f t="shared" si="15"/>
        <v/>
      </c>
      <c r="BW21" s="108" t="str">
        <f t="shared" si="16"/>
        <v/>
      </c>
    </row>
    <row r="22" spans="1:75" ht="15" customHeight="1" thickTop="1" thickBot="1" x14ac:dyDescent="0.25">
      <c r="S22" s="8"/>
      <c r="AG22" s="328" t="s">
        <v>255</v>
      </c>
      <c r="AH22" s="329">
        <v>34624</v>
      </c>
      <c r="AI22" s="330">
        <v>189</v>
      </c>
      <c r="AJ22" s="330">
        <v>166</v>
      </c>
      <c r="AK22" s="330">
        <v>139</v>
      </c>
      <c r="AL22" s="330">
        <v>305</v>
      </c>
      <c r="AM22" s="330">
        <v>10</v>
      </c>
      <c r="AN22" s="330">
        <v>9</v>
      </c>
      <c r="AO22" s="331"/>
      <c r="AP22" s="331" t="s">
        <v>164</v>
      </c>
      <c r="AQ22" s="330">
        <v>187</v>
      </c>
      <c r="AR22" s="330">
        <v>76</v>
      </c>
      <c r="AS22" s="332" t="s">
        <v>87</v>
      </c>
      <c r="AT22" s="330">
        <v>2002</v>
      </c>
      <c r="AU22" s="66">
        <f t="shared" ca="1" si="0"/>
        <v>26</v>
      </c>
      <c r="AV22" s="66" t="str">
        <f t="shared" si="3"/>
        <v>187/76</v>
      </c>
      <c r="AW22" s="128" t="str">
        <f t="shared" ca="1" si="1"/>
        <v>Valeš</v>
      </c>
      <c r="AX22" s="123" t="str">
        <f t="shared" ca="1" si="2"/>
        <v>1 OZ, 1 (0+1), -1 ±</v>
      </c>
      <c r="AY22" s="123" t="str">
        <f t="shared" ca="1" si="4"/>
        <v>190 OZ, 306 (166+140)</v>
      </c>
      <c r="BD22" s="3" t="str">
        <f t="shared" si="5"/>
        <v>Valeš</v>
      </c>
      <c r="BE22" s="123">
        <f t="shared" ca="1" si="6"/>
        <v>1</v>
      </c>
      <c r="BF22" s="66" t="str">
        <f t="shared" si="7"/>
        <v>R</v>
      </c>
      <c r="BG22" s="3" t="str">
        <f t="shared" ca="1" si="8"/>
        <v/>
      </c>
      <c r="BH22" s="66">
        <f t="shared" ca="1" si="9"/>
        <v>0</v>
      </c>
      <c r="BI22" s="3" t="str">
        <f t="shared" ca="1" si="10"/>
        <v/>
      </c>
      <c r="BJ22" s="66">
        <f t="shared" ca="1" si="9"/>
        <v>0</v>
      </c>
      <c r="BK22" s="3" t="str">
        <f t="shared" ca="1" si="11"/>
        <v/>
      </c>
      <c r="BL22" s="66">
        <f t="shared" ca="1" si="12"/>
        <v>0</v>
      </c>
      <c r="BM22" s="3" t="str">
        <f t="shared" ca="1" si="13"/>
        <v/>
      </c>
      <c r="BS22" s="325" t="s">
        <v>38</v>
      </c>
      <c r="BT22" s="3" t="s">
        <v>302</v>
      </c>
      <c r="BU22" s="66">
        <v>1</v>
      </c>
      <c r="BV22" s="3" t="str">
        <f t="shared" si="15"/>
        <v>Jakub Kopecký</v>
      </c>
      <c r="BW22" s="108">
        <f t="shared" si="16"/>
        <v>1</v>
      </c>
    </row>
    <row r="23" spans="1:75" ht="15" customHeight="1" thickTop="1" thickBot="1" x14ac:dyDescent="0.25">
      <c r="A23" s="294"/>
      <c r="B23" s="295"/>
      <c r="C23" s="295"/>
      <c r="D23" s="295"/>
      <c r="E23" s="1" t="str">
        <f ca="1">IFERROR(IF(VLOOKUP(A23,OFFSET($AG$2,,,COUNTIF($AG$2:$AG$50,"?*"),23),9,FALSE)&lt;&gt;0,VLOOKUP(A23,OFFSET($AG$2,,,COUNTIF($AG$2:$AG$50,"?*"),23),9,FALSE),""),"")</f>
        <v/>
      </c>
      <c r="F23" s="2" t="str">
        <f ca="1">IFERROR(IF(VLOOKUP(A23,OFFSET($AG$2,,,COUNTIF($AG$2:$AG$50,"?*"),23),8,FALSE)&lt;&gt;0,VLOOKUP(A23,OFFSET($AG$2,,,COUNTIF($AG$2:$AG$50,"?*"),23),8,FALSE),"?"),"")</f>
        <v/>
      </c>
      <c r="H23" s="296" t="s">
        <v>13</v>
      </c>
      <c r="I23" s="296"/>
      <c r="J23" s="296"/>
      <c r="K23" s="296"/>
      <c r="M23" s="294"/>
      <c r="N23" s="295"/>
      <c r="O23" s="295"/>
      <c r="P23" s="295"/>
      <c r="Q23" s="1" t="str">
        <f ca="1">IFERROR(IF(VLOOKUP(M23,OFFSET($AG$2,,,COUNTIF($AG$2:$AG$50,"?*"),23),9,FALSE)&lt;&gt;0,VLOOKUP(M23,OFFSET($AG$2,,,COUNTIF($AG$2:$AG$50,"?*"),23),9,FALSE),""),"")</f>
        <v/>
      </c>
      <c r="R23" s="2" t="str">
        <f ca="1">IFERROR(IF(VLOOKUP(M23,OFFSET($AG$2,,,COUNTIF($AG$2:$AG$50,"?*"),23),8,FALSE)&lt;&gt;0,VLOOKUP(M23,OFFSET($AG$2,,,COUNTIF($AG$2:$AG$50,"?*"),23),8,FALSE),"?"),"")</f>
        <v/>
      </c>
      <c r="S23" s="8"/>
      <c r="AG23" s="333" t="s">
        <v>265</v>
      </c>
      <c r="AH23" s="334">
        <v>37710</v>
      </c>
      <c r="AI23" s="335">
        <v>22</v>
      </c>
      <c r="AJ23" s="335">
        <v>9</v>
      </c>
      <c r="AK23" s="335">
        <v>17</v>
      </c>
      <c r="AL23" s="335">
        <v>26</v>
      </c>
      <c r="AM23" s="335">
        <v>2</v>
      </c>
      <c r="AN23" s="335">
        <v>73</v>
      </c>
      <c r="AO23" s="336"/>
      <c r="AP23" s="336" t="s">
        <v>164</v>
      </c>
      <c r="AQ23" s="335">
        <v>178</v>
      </c>
      <c r="AR23" s="335">
        <v>70</v>
      </c>
      <c r="AS23" s="337" t="s">
        <v>87</v>
      </c>
      <c r="AT23" s="335">
        <v>2010</v>
      </c>
      <c r="AU23" s="130">
        <f t="shared" ca="1" si="0"/>
        <v>18</v>
      </c>
      <c r="AV23" s="130" t="str">
        <f t="shared" si="3"/>
        <v>178/70</v>
      </c>
      <c r="AW23" s="131" t="str">
        <f t="shared" ca="1" si="1"/>
        <v>Wiener</v>
      </c>
      <c r="AX23" s="132" t="str">
        <f t="shared" ca="1" si="2"/>
        <v>1 OZ, 0 (0+0), -2 ±</v>
      </c>
      <c r="AY23" s="132" t="str">
        <f t="shared" ca="1" si="4"/>
        <v>23 OZ, 26 (9+17)</v>
      </c>
      <c r="AZ23" s="132"/>
      <c r="BA23" s="132"/>
      <c r="BB23" s="132"/>
      <c r="BC23" s="132"/>
      <c r="BD23" s="129" t="str">
        <f t="shared" si="5"/>
        <v>Wiener</v>
      </c>
      <c r="BE23" s="132">
        <f t="shared" ca="1" si="6"/>
        <v>1</v>
      </c>
      <c r="BF23" s="130" t="str">
        <f t="shared" si="7"/>
        <v>V</v>
      </c>
      <c r="BG23" s="129" t="str">
        <f t="shared" ca="1" si="8"/>
        <v/>
      </c>
      <c r="BH23" s="130">
        <f t="shared" ca="1" si="9"/>
        <v>0</v>
      </c>
      <c r="BI23" s="129" t="str">
        <f t="shared" ca="1" si="10"/>
        <v/>
      </c>
      <c r="BJ23" s="130">
        <f t="shared" ca="1" si="9"/>
        <v>0</v>
      </c>
      <c r="BK23" s="129" t="str">
        <f t="shared" ca="1" si="11"/>
        <v/>
      </c>
      <c r="BL23" s="130">
        <f t="shared" ca="1" si="12"/>
        <v>0</v>
      </c>
      <c r="BM23" s="129" t="str">
        <f t="shared" ca="1" si="13"/>
        <v/>
      </c>
      <c r="BS23" s="325"/>
      <c r="BT23" s="3" t="s">
        <v>313</v>
      </c>
      <c r="BU23" s="66">
        <v>1</v>
      </c>
      <c r="BV23" s="3" t="str">
        <f t="shared" si="15"/>
        <v>Radek Valeš</v>
      </c>
      <c r="BW23" s="108">
        <f t="shared" si="16"/>
        <v>1</v>
      </c>
    </row>
    <row r="24" spans="1:75" ht="15" customHeight="1" thickBot="1" x14ac:dyDescent="0.25">
      <c r="A24" s="4" t="str">
        <f ca="1">IFERROR(IF(VLOOKUP(A23,OFFSET($AG$2,,,COUNTIF($AG$2:$AG$50,"?*"),23),10,FALSE)&lt;&gt;0,VLOOKUP(A23,OFFSET($AG$2,,,COUNTIF($AG$2:$AG$50,"?*"),23),10,FALSE),"?"),"")</f>
        <v/>
      </c>
      <c r="B24" s="252" t="str">
        <f ca="1">IFERROR(IF(VLOOKUP(A23,OFFSET($AG$2,,,COUNTIF($AG$2:$AG$50,"?*"),23),2,FALSE)&lt;&gt;0,YEAR(VLOOKUP(A23,OFFSET($AG$2,,,COUNTIF($AG$2:$AG$50,"?*"),23),2,FALSE)),"?"),"")</f>
        <v/>
      </c>
      <c r="C24" s="261"/>
      <c r="D24" s="140" t="str">
        <f ca="1">IFERROR(VLOOKUP(A23,OFFSET($AG$2,,,COUNTIF($AG$2:$AG$50,"?*"),23),15,FALSE),"")</f>
        <v/>
      </c>
      <c r="E24" s="251" t="str">
        <f ca="1">IFERROR(VLOOKUP(A23,OFFSET($AG$2,,,COUNTIF($AG$2:$AG$50,"?*"),23),16,FALSE),"")</f>
        <v/>
      </c>
      <c r="F24" s="253"/>
      <c r="M24" s="4" t="str">
        <f ca="1">IFERROR(IF(VLOOKUP(M23,OFFSET($AG$2,,,COUNTIF($AG$2:$AG$50,"?*"),23),10,FALSE)&lt;&gt;0,VLOOKUP(M23,OFFSET($AG$2,,,COUNTIF($AG$2:$AG$50,"?*"),23),10,FALSE),"?"),"")</f>
        <v/>
      </c>
      <c r="N24" s="252" t="str">
        <f ca="1">IFERROR(IF(VLOOKUP(M23,OFFSET($AG$2,,,COUNTIF($AG$2:$AG$50,"?*"),23),2,FALSE)&lt;&gt;0,YEAR(VLOOKUP(M23,OFFSET($AG$2,,,COUNTIF($AG$2:$AG$50,"?*"),23),2,FALSE)),"?"),"")</f>
        <v/>
      </c>
      <c r="O24" s="261"/>
      <c r="P24" s="140" t="str">
        <f ca="1">IFERROR(VLOOKUP(M23,OFFSET($AG$2,,,COUNTIF($AG$2:$AG$50,"?*"),23),15,FALSE),"")</f>
        <v/>
      </c>
      <c r="Q24" s="251" t="str">
        <f ca="1">IFERROR(VLOOKUP(M23,OFFSET($AG$2,,,COUNTIF($AG$2:$AG$50,"?*"),23),16,FALSE),"")</f>
        <v/>
      </c>
      <c r="R24" s="253"/>
      <c r="S24" s="8"/>
      <c r="AG24" s="328"/>
      <c r="AH24" s="329"/>
      <c r="AI24" s="330"/>
      <c r="AJ24" s="330"/>
      <c r="AK24" s="330"/>
      <c r="AL24" s="330"/>
      <c r="AM24" s="330"/>
      <c r="AN24" s="330"/>
      <c r="AO24" s="331"/>
      <c r="AP24" s="331"/>
      <c r="AQ24" s="330"/>
      <c r="AR24" s="330"/>
      <c r="AS24" s="332"/>
      <c r="AT24" s="330"/>
      <c r="AU24" s="66" t="str">
        <f t="shared" ca="1" si="0"/>
        <v/>
      </c>
      <c r="AV24" s="66" t="str">
        <f t="shared" si="3"/>
        <v/>
      </c>
      <c r="AW24" s="128" t="str">
        <f t="shared" si="1"/>
        <v/>
      </c>
      <c r="AX24" s="123" t="str">
        <f t="shared" ca="1" si="2"/>
        <v/>
      </c>
      <c r="AY24" s="123" t="str">
        <f t="shared" ca="1" si="4"/>
        <v/>
      </c>
      <c r="BD24" s="3" t="str">
        <f t="shared" si="5"/>
        <v/>
      </c>
      <c r="BE24" s="123" t="str">
        <f t="shared" ca="1" si="6"/>
        <v/>
      </c>
      <c r="BF24" s="66" t="str">
        <f t="shared" si="7"/>
        <v/>
      </c>
      <c r="BG24" s="3" t="str">
        <f t="shared" ca="1" si="8"/>
        <v/>
      </c>
      <c r="BH24" s="66" t="str">
        <f t="shared" ca="1" si="9"/>
        <v/>
      </c>
      <c r="BI24" s="3" t="str">
        <f t="shared" ca="1" si="10"/>
        <v/>
      </c>
      <c r="BJ24" s="66" t="str">
        <f t="shared" ca="1" si="9"/>
        <v/>
      </c>
      <c r="BK24" s="3" t="str">
        <f t="shared" ca="1" si="11"/>
        <v/>
      </c>
      <c r="BL24" s="66" t="str">
        <f t="shared" ca="1" si="12"/>
        <v/>
      </c>
      <c r="BM24" s="3" t="str">
        <f t="shared" ca="1" si="13"/>
        <v/>
      </c>
      <c r="BS24" s="325"/>
      <c r="BT24" s="3" t="s">
        <v>310</v>
      </c>
      <c r="BU24" s="66">
        <v>0</v>
      </c>
      <c r="BV24" s="3" t="str">
        <f t="shared" si="15"/>
        <v>Daniel Martínek</v>
      </c>
      <c r="BW24" s="108">
        <f t="shared" si="16"/>
        <v>0</v>
      </c>
    </row>
    <row r="25" spans="1:75" ht="15" customHeight="1" thickTop="1" thickBot="1" x14ac:dyDescent="0.25">
      <c r="A25" s="290" t="str">
        <f ca="1">IFERROR(VLOOKUP(A23,OFFSET($AG$2,,,COUNTIF($AG$2:$AG$50,"?*"),23),18,FALSE),"")</f>
        <v/>
      </c>
      <c r="B25" s="291"/>
      <c r="C25" s="291"/>
      <c r="D25" s="292" t="str">
        <f ca="1">IFERROR(VLOOKUP(A23,OFFSET($AG$2,,,COUNTIF($AG$2:$AG$50,"?*"),23),19,FALSE),"")</f>
        <v/>
      </c>
      <c r="E25" s="292"/>
      <c r="F25" s="293"/>
      <c r="G25" s="294"/>
      <c r="H25" s="295"/>
      <c r="I25" s="295"/>
      <c r="J25" s="295"/>
      <c r="K25" s="1" t="str">
        <f ca="1">IFERROR(IF(VLOOKUP(G25,OFFSET($AG$2,,,COUNTIF($AG$2:$AG$50,"?*"),23),9,FALSE)&lt;&gt;0,VLOOKUP(G25,OFFSET($AG$2,,,COUNTIF($AG$2:$AG$50,"?*"),23),9,FALSE),""),"")</f>
        <v/>
      </c>
      <c r="L25" s="2" t="str">
        <f ca="1">IFERROR(IF(VLOOKUP(G25,OFFSET($AG$2,,,COUNTIF($AG$2:$AG$50,"?*"),23),8,FALSE)&lt;&gt;0,VLOOKUP(G25,OFFSET($AG$2,,,COUNTIF($AG$2:$AG$50,"?*"),23),8,FALSE),"?"),"")</f>
        <v/>
      </c>
      <c r="M25" s="290" t="str">
        <f ca="1">IFERROR(VLOOKUP(M23,OFFSET($AG$2,,,COUNTIF($AG$2:$AG$50,"?*"),23),18,FALSE),"")</f>
        <v/>
      </c>
      <c r="N25" s="291"/>
      <c r="O25" s="291"/>
      <c r="P25" s="292" t="str">
        <f ca="1">IFERROR(VLOOKUP(M23,OFFSET($AG$2,,,COUNTIF($AG$2:$AG$50,"?*"),23),19,FALSE),"")</f>
        <v/>
      </c>
      <c r="Q25" s="292"/>
      <c r="R25" s="293"/>
      <c r="S25" s="8"/>
      <c r="AG25" s="333"/>
      <c r="AH25" s="334"/>
      <c r="AI25" s="335"/>
      <c r="AJ25" s="335"/>
      <c r="AK25" s="335"/>
      <c r="AL25" s="335"/>
      <c r="AM25" s="335"/>
      <c r="AN25" s="335"/>
      <c r="AO25" s="336"/>
      <c r="AP25" s="336"/>
      <c r="AQ25" s="335"/>
      <c r="AR25" s="335"/>
      <c r="AS25" s="337"/>
      <c r="AT25" s="335"/>
      <c r="AU25" s="130" t="str">
        <f t="shared" ca="1" si="0"/>
        <v/>
      </c>
      <c r="AV25" s="130" t="str">
        <f t="shared" si="3"/>
        <v/>
      </c>
      <c r="AW25" s="131" t="str">
        <f t="shared" si="1"/>
        <v/>
      </c>
      <c r="AX25" s="132" t="str">
        <f t="shared" ca="1" si="2"/>
        <v/>
      </c>
      <c r="AY25" s="132" t="str">
        <f t="shared" ca="1" si="4"/>
        <v/>
      </c>
      <c r="AZ25" s="132"/>
      <c r="BA25" s="132"/>
      <c r="BB25" s="132"/>
      <c r="BC25" s="132"/>
      <c r="BD25" s="129" t="str">
        <f t="shared" si="5"/>
        <v/>
      </c>
      <c r="BE25" s="132" t="str">
        <f t="shared" ca="1" si="6"/>
        <v/>
      </c>
      <c r="BF25" s="130" t="str">
        <f t="shared" si="7"/>
        <v/>
      </c>
      <c r="BG25" s="129" t="str">
        <f t="shared" ca="1" si="8"/>
        <v/>
      </c>
      <c r="BH25" s="130" t="str">
        <f t="shared" ca="1" si="9"/>
        <v/>
      </c>
      <c r="BI25" s="129" t="str">
        <f t="shared" ca="1" si="10"/>
        <v/>
      </c>
      <c r="BJ25" s="130" t="str">
        <f t="shared" ca="1" si="9"/>
        <v/>
      </c>
      <c r="BK25" s="129" t="str">
        <f t="shared" ca="1" si="11"/>
        <v/>
      </c>
      <c r="BL25" s="130" t="str">
        <f t="shared" ca="1" si="12"/>
        <v/>
      </c>
      <c r="BM25" s="129" t="str">
        <f t="shared" ca="1" si="13"/>
        <v/>
      </c>
      <c r="BS25" s="325"/>
      <c r="BT25" s="3" t="s">
        <v>311</v>
      </c>
      <c r="BU25" s="66">
        <v>0</v>
      </c>
      <c r="BV25" s="3" t="str">
        <f t="shared" si="15"/>
        <v>Filip Smutný</v>
      </c>
      <c r="BW25" s="108">
        <f t="shared" si="16"/>
        <v>0</v>
      </c>
    </row>
    <row r="26" spans="1:75" ht="15" customHeight="1" thickBot="1" x14ac:dyDescent="0.25">
      <c r="A26" s="297" t="str">
        <f ca="1">IFERROR(IF(VLOOKUP(A23,OFFSET($AG$2,,,COUNTIF($AG$2:$AG$50,"?*"),23),13,FALSE)&lt;&gt;0,VLOOKUP(A23,OFFSET($AG$2,,,COUNTIF($AG$2:$AG$50,"?*"),23),13,FALSE),"?"),"")</f>
        <v/>
      </c>
      <c r="B26" s="298"/>
      <c r="C26" s="299"/>
      <c r="D26" s="288" t="str">
        <f ca="1">IFERROR(IF(VLOOKUP(A23,OFFSET($AG$2,,,COUNTIF($AG$2:$AG$50,"?*"),23),14,FALSE)&lt;&gt;0,VLOOKUP(A23,OFFSET($AG$2,,,COUNTIF($AG$2:$AG$50,"?*"),23),14,FALSE),"?"),"")</f>
        <v/>
      </c>
      <c r="E26" s="287"/>
      <c r="F26" s="7" t="str">
        <f ca="1">IFERROR(IF(VLOOKUP(A23,OFFSET($AG$2,,,COUNTIF($AG$2:$AG$50,"?*"),23),7,FALSE)&lt;&gt;0,VLOOKUP(A23,OFFSET($AG$2,,,COUNTIF($AG$2:$AG$50,"?*"),23),7,FALSE),"?"),"")</f>
        <v/>
      </c>
      <c r="G26" s="4" t="str">
        <f ca="1">IFERROR(IF(VLOOKUP(G25,OFFSET($AG$2,,,COUNTIF($AG$2:$AG$50,"?*"),23),10,FALSE)&lt;&gt;0,VLOOKUP(G25,OFFSET($AG$2,,,COUNTIF($AG$2:$AG$50,"?*"),23),10,FALSE),"?"),"")</f>
        <v/>
      </c>
      <c r="H26" s="252" t="str">
        <f ca="1">IFERROR(IF(VLOOKUP(G25,OFFSET($AG$2,,,COUNTIF($AG$2:$AG$50,"?*"),23),2,FALSE)&lt;&gt;0,YEAR(VLOOKUP(G25,OFFSET($AG$2,,,COUNTIF($AG$2:$AG$50,"?*"),23),2,FALSE)),"?"),"")</f>
        <v/>
      </c>
      <c r="I26" s="261"/>
      <c r="J26" s="140" t="str">
        <f ca="1">IFERROR(VLOOKUP(G25,OFFSET($AG$2,,,COUNTIF($AG$2:$AG$50,"?*"),23),15,FALSE),"")</f>
        <v/>
      </c>
      <c r="K26" s="251" t="str">
        <f ca="1">IFERROR(VLOOKUP(G25,OFFSET($AG$2,,,COUNTIF($AG$2:$AG$50,"?*"),23),16,FALSE),"")</f>
        <v/>
      </c>
      <c r="L26" s="253"/>
      <c r="M26" s="297" t="str">
        <f ca="1">IFERROR(IF(VLOOKUP(M23,OFFSET($AG$2,,,COUNTIF($AG$2:$AG$50,"?*"),23),13,FALSE)&lt;&gt;0,VLOOKUP(M23,OFFSET($AG$2,,,COUNTIF($AG$2:$AG$50,"?*"),23),13,FALSE),"?"),"")</f>
        <v/>
      </c>
      <c r="N26" s="298"/>
      <c r="O26" s="299"/>
      <c r="P26" s="288" t="str">
        <f ca="1">IFERROR(IF(VLOOKUP(M23,OFFSET($AG$2,,,COUNTIF($AG$2:$AG$50,"?*"),23),14,FALSE)&lt;&gt;0,VLOOKUP(M23,OFFSET($AG$2,,,COUNTIF($AG$2:$AG$50,"?*"),23),14,FALSE),"?"),"")</f>
        <v/>
      </c>
      <c r="Q26" s="287"/>
      <c r="R26" s="7" t="str">
        <f ca="1">IFERROR(IF(VLOOKUP(M23,OFFSET($AG$2,,,COUNTIF($AG$2:$AG$50,"?*"),23),7,FALSE)&lt;&gt;0,VLOOKUP(M23,OFFSET($AG$2,,,COUNTIF($AG$2:$AG$50,"?*"),23),7,FALSE),"?"),"")</f>
        <v/>
      </c>
      <c r="S26" s="8"/>
      <c r="AG26" s="328"/>
      <c r="AH26" s="329"/>
      <c r="AI26" s="330"/>
      <c r="AJ26" s="330"/>
      <c r="AK26" s="330"/>
      <c r="AL26" s="330"/>
      <c r="AM26" s="330"/>
      <c r="AN26" s="330"/>
      <c r="AO26" s="331"/>
      <c r="AP26" s="331"/>
      <c r="AQ26" s="330"/>
      <c r="AR26" s="330"/>
      <c r="AS26" s="332"/>
      <c r="AT26" s="330"/>
      <c r="AU26" s="66" t="str">
        <f t="shared" ca="1" si="0"/>
        <v/>
      </c>
      <c r="AV26" s="66" t="str">
        <f t="shared" si="3"/>
        <v/>
      </c>
      <c r="AW26" s="128" t="str">
        <f t="shared" si="1"/>
        <v/>
      </c>
      <c r="AX26" s="123" t="str">
        <f t="shared" ca="1" si="2"/>
        <v/>
      </c>
      <c r="AY26" s="123" t="str">
        <f t="shared" ca="1" si="4"/>
        <v/>
      </c>
      <c r="BD26" s="3" t="str">
        <f t="shared" si="5"/>
        <v/>
      </c>
      <c r="BE26" s="123" t="str">
        <f t="shared" ca="1" si="6"/>
        <v/>
      </c>
      <c r="BF26" s="66" t="str">
        <f t="shared" si="7"/>
        <v/>
      </c>
      <c r="BG26" s="3" t="str">
        <f t="shared" ca="1" si="8"/>
        <v/>
      </c>
      <c r="BH26" s="66" t="str">
        <f t="shared" ca="1" si="9"/>
        <v/>
      </c>
      <c r="BI26" s="3" t="str">
        <f t="shared" ca="1" si="10"/>
        <v/>
      </c>
      <c r="BJ26" s="66" t="str">
        <f t="shared" ca="1" si="9"/>
        <v/>
      </c>
      <c r="BK26" s="3" t="str">
        <f t="shared" ca="1" si="11"/>
        <v/>
      </c>
      <c r="BL26" s="66" t="str">
        <f t="shared" ca="1" si="12"/>
        <v/>
      </c>
      <c r="BM26" s="3" t="str">
        <f t="shared" ca="1" si="13"/>
        <v/>
      </c>
      <c r="BS26" s="325"/>
      <c r="BT26" s="3" t="s">
        <v>312</v>
      </c>
      <c r="BU26" s="66">
        <v>0</v>
      </c>
      <c r="BV26" s="3" t="str">
        <f t="shared" si="15"/>
        <v>Jakub Kárník</v>
      </c>
      <c r="BW26" s="108">
        <f t="shared" si="16"/>
        <v>0</v>
      </c>
    </row>
    <row r="27" spans="1:75" ht="15" customHeight="1" thickTop="1" thickBot="1" x14ac:dyDescent="0.25">
      <c r="A27" s="8"/>
      <c r="B27" s="8"/>
      <c r="C27" s="8"/>
      <c r="D27" s="8"/>
      <c r="G27" s="290" t="str">
        <f ca="1">IFERROR(VLOOKUP(G25,OFFSET($AG$2,,,COUNTIF($AG$2:$AG$50,"?*"),23),18,FALSE),"")</f>
        <v/>
      </c>
      <c r="H27" s="291"/>
      <c r="I27" s="291"/>
      <c r="J27" s="292" t="str">
        <f ca="1">IFERROR(VLOOKUP(G25,OFFSET($AG$2,,,COUNTIF($AG$2:$AG$50,"?*"),23),19,FALSE),"")</f>
        <v/>
      </c>
      <c r="K27" s="292"/>
      <c r="L27" s="293"/>
      <c r="S27" s="8"/>
      <c r="AG27" s="333"/>
      <c r="AH27" s="334"/>
      <c r="AI27" s="335"/>
      <c r="AJ27" s="335"/>
      <c r="AK27" s="335"/>
      <c r="AL27" s="335"/>
      <c r="AM27" s="335"/>
      <c r="AN27" s="335"/>
      <c r="AO27" s="336"/>
      <c r="AP27" s="336"/>
      <c r="AQ27" s="335"/>
      <c r="AR27" s="335"/>
      <c r="AS27" s="337"/>
      <c r="AT27" s="335"/>
      <c r="AU27" s="130" t="str">
        <f t="shared" ca="1" si="0"/>
        <v/>
      </c>
      <c r="AV27" s="130" t="str">
        <f t="shared" si="3"/>
        <v/>
      </c>
      <c r="AW27" s="131" t="str">
        <f t="shared" si="1"/>
        <v/>
      </c>
      <c r="AX27" s="132" t="str">
        <f t="shared" ca="1" si="2"/>
        <v/>
      </c>
      <c r="AY27" s="132" t="str">
        <f t="shared" ca="1" si="4"/>
        <v/>
      </c>
      <c r="AZ27" s="132"/>
      <c r="BA27" s="132"/>
      <c r="BB27" s="132"/>
      <c r="BC27" s="132"/>
      <c r="BD27" s="129" t="str">
        <f t="shared" si="5"/>
        <v/>
      </c>
      <c r="BE27" s="132" t="str">
        <f t="shared" ca="1" si="6"/>
        <v/>
      </c>
      <c r="BF27" s="130" t="str">
        <f t="shared" si="7"/>
        <v/>
      </c>
      <c r="BG27" s="129" t="str">
        <f t="shared" ca="1" si="8"/>
        <v/>
      </c>
      <c r="BH27" s="130" t="str">
        <f t="shared" ca="1" si="9"/>
        <v/>
      </c>
      <c r="BI27" s="129" t="str">
        <f t="shared" ca="1" si="10"/>
        <v/>
      </c>
      <c r="BJ27" s="130" t="str">
        <f t="shared" ca="1" si="9"/>
        <v/>
      </c>
      <c r="BK27" s="129" t="str">
        <f t="shared" ca="1" si="11"/>
        <v/>
      </c>
      <c r="BL27" s="130" t="str">
        <f t="shared" ca="1" si="12"/>
        <v/>
      </c>
      <c r="BM27" s="129" t="str">
        <f t="shared" ca="1" si="13"/>
        <v/>
      </c>
      <c r="BS27" s="325" t="s">
        <v>39</v>
      </c>
      <c r="BT27" s="3" t="s">
        <v>314</v>
      </c>
      <c r="BU27" s="66">
        <v>2</v>
      </c>
      <c r="BV27" s="3" t="str">
        <f t="shared" si="15"/>
        <v>Radek Valeš</v>
      </c>
      <c r="BW27" s="108">
        <f t="shared" si="16"/>
        <v>2</v>
      </c>
    </row>
    <row r="28" spans="1:75" ht="15" customHeight="1" thickTop="1" thickBot="1" x14ac:dyDescent="0.25">
      <c r="A28" s="294"/>
      <c r="B28" s="295"/>
      <c r="C28" s="295"/>
      <c r="D28" s="295"/>
      <c r="E28" s="1" t="str">
        <f ca="1">IFERROR(IF(VLOOKUP(A28,OFFSET($AG$2,,,COUNTIF($AG$2:$AG$50,"?*"),23),9,FALSE)&lt;&gt;0,VLOOKUP(A28,OFFSET($AG$2,,,COUNTIF($AG$2:$AG$50,"?*"),23),9,FALSE),""),"")</f>
        <v/>
      </c>
      <c r="F28" s="2" t="str">
        <f ca="1">IFERROR(IF(VLOOKUP(A28,OFFSET($AG$2,,,COUNTIF($AG$2:$AG$50,"?*"),23),8,FALSE)&lt;&gt;0,VLOOKUP(A28,OFFSET($AG$2,,,COUNTIF($AG$2:$AG$50,"?*"),23),8,FALSE),"?"),"")</f>
        <v/>
      </c>
      <c r="G28" s="297" t="str">
        <f ca="1">IFERROR(IF(VLOOKUP(G25,OFFSET($AG$2,,,COUNTIF($AG$2:$AG$50,"?*"),23),13,FALSE)&lt;&gt;0,VLOOKUP(G25,OFFSET($AG$2,,,COUNTIF($AG$2:$AG$50,"?*"),23),13,FALSE),"?"),"")</f>
        <v/>
      </c>
      <c r="H28" s="298"/>
      <c r="I28" s="299"/>
      <c r="J28" s="288" t="str">
        <f ca="1">IFERROR(IF(VLOOKUP(G25,OFFSET($AG$2,,,COUNTIF($AG$2:$AG$50,"?*"),23),14,FALSE)&lt;&gt;0,VLOOKUP(G25,OFFSET($AG$2,,,COUNTIF($AG$2:$AG$50,"?*"),23),14,FALSE),"?"),"")</f>
        <v/>
      </c>
      <c r="K28" s="287"/>
      <c r="L28" s="7" t="str">
        <f ca="1">IFERROR(IF(VLOOKUP(G25,OFFSET($AG$2,,,COUNTIF($AG$2:$AG$50,"?*"),23),7,FALSE)&lt;&gt;0,VLOOKUP(G25,OFFSET($AG$2,,,COUNTIF($AG$2:$AG$50,"?*"),23),7,FALSE),"?"),"")</f>
        <v/>
      </c>
      <c r="M28" s="294"/>
      <c r="N28" s="295"/>
      <c r="O28" s="295"/>
      <c r="P28" s="295"/>
      <c r="Q28" s="1" t="str">
        <f ca="1">IFERROR(IF(VLOOKUP(M28,OFFSET($AG$2,,,COUNTIF($AG$2:$AG$50,"?*"),23),9,FALSE)&lt;&gt;0,VLOOKUP(M28,OFFSET($AG$2,,,COUNTIF($AG$2:$AG$50,"?*"),23),9,FALSE),""),"")</f>
        <v/>
      </c>
      <c r="R28" s="2" t="str">
        <f ca="1">IFERROR(IF(VLOOKUP(M28,OFFSET($AG$2,,,COUNTIF($AG$2:$AG$50,"?*"),23),8,FALSE)&lt;&gt;0,VLOOKUP(M28,OFFSET($AG$2,,,COUNTIF($AG$2:$AG$50,"?*"),23),8,FALSE),"?"),"")</f>
        <v/>
      </c>
      <c r="S28" s="8"/>
      <c r="AG28" s="328"/>
      <c r="AH28" s="329"/>
      <c r="AI28" s="330"/>
      <c r="AJ28" s="330"/>
      <c r="AK28" s="330"/>
      <c r="AL28" s="330"/>
      <c r="AM28" s="330"/>
      <c r="AN28" s="330"/>
      <c r="AO28" s="331"/>
      <c r="AP28" s="331"/>
      <c r="AQ28" s="330"/>
      <c r="AR28" s="330"/>
      <c r="AS28" s="332"/>
      <c r="AT28" s="330"/>
      <c r="AU28" s="66" t="str">
        <f t="shared" ca="1" si="0"/>
        <v/>
      </c>
      <c r="AV28" s="66" t="str">
        <f t="shared" si="3"/>
        <v/>
      </c>
      <c r="AW28" s="128" t="str">
        <f t="shared" si="1"/>
        <v/>
      </c>
      <c r="AX28" s="123" t="str">
        <f ca="1">IFERROR(IF(MATCH(AG28,OFFSET($S$45,,,COUNTIF($S$45:$S$50,"?*")),0)&gt;0,CONCATENATE(VLOOKUP(AG28,OFFSET($S$45,,,COUNTIF($S$45:$S$50,"?*"),14),4,FALSE)," V, ",VLOOKUP(AG28,OFFSET($S$45,,,COUNTIF($S$45:$S$50,"?*"),14),9,FALSE)," P"),""),IFERROR(CONCATENATE(VLOOKUP(AG28,OFFSET($S$2,,,COUNTIF($S$2:$S$42,"?*"),10),3,FALSE)+AZ28," OZ, ",VLOOKUP(AG28,OFFSET($S$2,,,COUNTIF($S$2:$S$42,"?*"),10),8,FALSE)+BA28+BB28," (",VLOOKUP(AG28,OFFSET($S$2,,,COUNTIF($S$2:$S$42,"?*"),10),4,FALSE)+BA28,"+",VLOOKUP(AG28,OFFSET($S$2,,,COUNTIF($S$2:$S$42,"?*"),10),7,FALSE)+BB28,"), ",IF(VLOOKUP(AG28,OFFSET($S$2,,,COUNTIF($S$2:$S$42,"?*"),10),10,FALSE)+BC28&gt;0,"+",""),VLOOKUP(AG28,OFFSET($S$2,,,COUNTIF($S$2:$S$42,"?*"),10),10,FALSE)+BC28," ±"),IF(AG28&lt;&gt;"","0 OZ, 0 (0+0)","")))</f>
        <v/>
      </c>
      <c r="AY28" s="123" t="str">
        <f t="shared" ca="1" si="4"/>
        <v/>
      </c>
      <c r="BD28" s="3" t="str">
        <f t="shared" si="5"/>
        <v/>
      </c>
      <c r="BE28" s="123" t="str">
        <f t="shared" ca="1" si="6"/>
        <v/>
      </c>
      <c r="BF28" s="66" t="str">
        <f t="shared" si="7"/>
        <v/>
      </c>
      <c r="BG28" s="3" t="str">
        <f t="shared" ca="1" si="8"/>
        <v/>
      </c>
      <c r="BH28" s="66" t="str">
        <f t="shared" ca="1" si="9"/>
        <v/>
      </c>
      <c r="BI28" s="3" t="str">
        <f t="shared" ca="1" si="10"/>
        <v/>
      </c>
      <c r="BJ28" s="66" t="str">
        <f t="shared" ca="1" si="9"/>
        <v/>
      </c>
      <c r="BK28" s="3" t="str">
        <f t="shared" ca="1" si="11"/>
        <v/>
      </c>
      <c r="BL28" s="66" t="str">
        <f t="shared" ca="1" si="12"/>
        <v/>
      </c>
      <c r="BM28" s="3" t="str">
        <f t="shared" ca="1" si="13"/>
        <v/>
      </c>
      <c r="BS28" s="325"/>
      <c r="BT28" s="3" t="s">
        <v>315</v>
      </c>
      <c r="BU28" s="66">
        <v>0</v>
      </c>
      <c r="BV28" s="3" t="str">
        <f t="shared" si="15"/>
        <v>Daniel Martínek</v>
      </c>
      <c r="BW28" s="108">
        <f t="shared" si="16"/>
        <v>0</v>
      </c>
    </row>
    <row r="29" spans="1:75" ht="15" customHeight="1" thickBot="1" x14ac:dyDescent="0.25">
      <c r="A29" s="4" t="str">
        <f ca="1">IFERROR(IF(VLOOKUP(A28,OFFSET($AG$2,,,COUNTIF($AG$2:$AG$50,"?*"),23),10,FALSE)&lt;&gt;0,VLOOKUP(A28,OFFSET($AG$2,,,COUNTIF($AG$2:$AG$50,"?*"),23),10,FALSE),"?"),"")</f>
        <v/>
      </c>
      <c r="B29" s="252" t="str">
        <f ca="1">IFERROR(IF(VLOOKUP(A28,OFFSET($AG$2,,,COUNTIF($AG$2:$AG$50,"?*"),23),2,FALSE)&lt;&gt;0,YEAR(VLOOKUP(A28,OFFSET($AG$2,,,COUNTIF($AG$2:$AG$50,"?*"),23),2,FALSE)),"?"),"")</f>
        <v/>
      </c>
      <c r="C29" s="261"/>
      <c r="D29" s="140" t="str">
        <f ca="1">IFERROR(VLOOKUP(A28,OFFSET($AG$2,,,COUNTIF($AG$2:$AG$50,"?*"),23),15,FALSE),"")</f>
        <v/>
      </c>
      <c r="E29" s="251" t="str">
        <f ca="1">IFERROR(VLOOKUP(A28,OFFSET($AG$2,,,COUNTIF($AG$2:$AG$50,"?*"),23),16,FALSE),"")</f>
        <v/>
      </c>
      <c r="F29" s="253"/>
      <c r="M29" s="4" t="str">
        <f ca="1">IFERROR(IF(VLOOKUP(M28,OFFSET($AG$2,,,COUNTIF($AG$2:$AG$50,"?*"),23),10,FALSE)&lt;&gt;0,VLOOKUP(M28,OFFSET($AG$2,,,COUNTIF($AG$2:$AG$50,"?*"),23),10,FALSE),"?"),"")</f>
        <v/>
      </c>
      <c r="N29" s="252" t="str">
        <f ca="1">IFERROR(IF(VLOOKUP(M28,OFFSET($AG$2,,,COUNTIF($AG$2:$AG$50,"?*"),23),2,FALSE)&lt;&gt;0,YEAR(VLOOKUP(M28,OFFSET($AG$2,,,COUNTIF($AG$2:$AG$50,"?*"),23),2,FALSE)),"?"),"")</f>
        <v/>
      </c>
      <c r="O29" s="261"/>
      <c r="P29" s="140" t="str">
        <f ca="1">IFERROR(VLOOKUP(M28,OFFSET($AG$2,,,COUNTIF($AG$2:$AG$50,"?*"),23),15,FALSE),"")</f>
        <v/>
      </c>
      <c r="Q29" s="251" t="str">
        <f ca="1">IFERROR(VLOOKUP(M28,OFFSET($AG$2,,,COUNTIF($AG$2:$AG$50,"?*"),23),16,FALSE),"")</f>
        <v/>
      </c>
      <c r="R29" s="253"/>
      <c r="S29" s="8"/>
      <c r="AG29" s="333"/>
      <c r="AH29" s="334"/>
      <c r="AI29" s="335"/>
      <c r="AJ29" s="335"/>
      <c r="AK29" s="335"/>
      <c r="AL29" s="335"/>
      <c r="AM29" s="335"/>
      <c r="AN29" s="335"/>
      <c r="AO29" s="336"/>
      <c r="AP29" s="336"/>
      <c r="AQ29" s="335"/>
      <c r="AR29" s="335"/>
      <c r="AS29" s="337"/>
      <c r="AT29" s="335"/>
      <c r="AU29" s="130" t="str">
        <f t="shared" ca="1" si="0"/>
        <v/>
      </c>
      <c r="AV29" s="130" t="str">
        <f t="shared" si="3"/>
        <v/>
      </c>
      <c r="AW29" s="131" t="str">
        <f t="shared" si="1"/>
        <v/>
      </c>
      <c r="AX29" s="132" t="str">
        <f t="shared" ref="AX29:AX50" ca="1" si="17">IFERROR(IF(MATCH(AG29,OFFSET($S$45,,,COUNTIF($S$45:$S$50,"?*")),0)&gt;0,CONCATENATE(VLOOKUP(AG29,OFFSET($S$45,,,COUNTIF($S$45:$S$50,"?*"),14),4,FALSE)," V, ",VLOOKUP(AG29,OFFSET($S$45,,,COUNTIF($S$45:$S$50,"?*"),14),9,FALSE)," P"),""),IFERROR(CONCATENATE(VLOOKUP(AG29,OFFSET($S$2,,,COUNTIF($S$2:$S$42,"?*"),10),3,FALSE)+AZ29," OZ, ",VLOOKUP(AG29,OFFSET($S$2,,,COUNTIF($S$2:$S$42,"?*"),10),8,FALSE)+BA29+BB29," (",VLOOKUP(AG29,OFFSET($S$2,,,COUNTIF($S$2:$S$42,"?*"),10),4,FALSE)+BA29,"+",VLOOKUP(AG29,OFFSET($S$2,,,COUNTIF($S$2:$S$42,"?*"),10),7,FALSE)+BB29,"), ",IF(VLOOKUP(AG29,OFFSET($S$2,,,COUNTIF($S$2:$S$42,"?*"),10),10,FALSE)+BC29&gt;0,"+",""),VLOOKUP(AG29,OFFSET($S$2,,,COUNTIF($S$2:$S$42,"?*"),10),10,FALSE)+BC29," ±"),IF(AG29&lt;&gt;"","0 OZ, 0 (0+0)","")))</f>
        <v/>
      </c>
      <c r="AY29" s="132" t="str">
        <f t="shared" ca="1" si="4"/>
        <v/>
      </c>
      <c r="AZ29" s="132"/>
      <c r="BA29" s="132"/>
      <c r="BB29" s="132"/>
      <c r="BC29" s="132"/>
      <c r="BD29" s="129" t="str">
        <f t="shared" si="5"/>
        <v/>
      </c>
      <c r="BE29" s="132" t="str">
        <f t="shared" ca="1" si="6"/>
        <v/>
      </c>
      <c r="BF29" s="130" t="str">
        <f t="shared" si="7"/>
        <v/>
      </c>
      <c r="BG29" s="129" t="str">
        <f t="shared" ca="1" si="8"/>
        <v/>
      </c>
      <c r="BH29" s="130" t="str">
        <f t="shared" ca="1" si="9"/>
        <v/>
      </c>
      <c r="BI29" s="129" t="str">
        <f t="shared" ca="1" si="10"/>
        <v/>
      </c>
      <c r="BJ29" s="130" t="str">
        <f t="shared" ca="1" si="9"/>
        <v/>
      </c>
      <c r="BK29" s="129" t="str">
        <f t="shared" ca="1" si="11"/>
        <v/>
      </c>
      <c r="BL29" s="130" t="str">
        <f t="shared" ca="1" si="12"/>
        <v/>
      </c>
      <c r="BM29" s="129" t="str">
        <f t="shared" ca="1" si="13"/>
        <v/>
      </c>
      <c r="BS29" s="325"/>
      <c r="BT29" s="3" t="s">
        <v>316</v>
      </c>
      <c r="BU29" s="66">
        <v>0</v>
      </c>
      <c r="BV29" s="3" t="str">
        <f t="shared" si="15"/>
        <v>Filip Smutný</v>
      </c>
      <c r="BW29" s="108">
        <f t="shared" si="16"/>
        <v>0</v>
      </c>
    </row>
    <row r="30" spans="1:75" ht="15" customHeight="1" x14ac:dyDescent="0.2">
      <c r="A30" s="290" t="str">
        <f ca="1">IFERROR(VLOOKUP(A28,OFFSET($AG$2,,,COUNTIF($AG$2:$AG$50,"?*"),23),18,FALSE),"")</f>
        <v/>
      </c>
      <c r="B30" s="291"/>
      <c r="C30" s="291"/>
      <c r="D30" s="292" t="str">
        <f ca="1">IFERROR(VLOOKUP(A28,OFFSET($AG$2,,,COUNTIF($AG$2:$AG$50,"?*"),23),19,FALSE),"")</f>
        <v/>
      </c>
      <c r="E30" s="292"/>
      <c r="F30" s="293"/>
      <c r="H30" s="300" t="str">
        <f>H$8</f>
        <v>LIB</v>
      </c>
      <c r="I30" s="300"/>
      <c r="J30" s="300"/>
      <c r="K30" s="300"/>
      <c r="M30" s="290" t="str">
        <f ca="1">IFERROR(VLOOKUP(M28,OFFSET($AG$2,,,COUNTIF($AG$2:$AG$50,"?*"),23),18,FALSE),"")</f>
        <v/>
      </c>
      <c r="N30" s="291"/>
      <c r="O30" s="291"/>
      <c r="P30" s="292" t="str">
        <f ca="1">IFERROR(VLOOKUP(M28,OFFSET($AG$2,,,COUNTIF($AG$2:$AG$50,"?*"),23),19,FALSE),"")</f>
        <v/>
      </c>
      <c r="Q30" s="292"/>
      <c r="R30" s="293"/>
      <c r="S30" s="8"/>
      <c r="AG30" s="328"/>
      <c r="AH30" s="329"/>
      <c r="AI30" s="330"/>
      <c r="AJ30" s="330"/>
      <c r="AK30" s="330"/>
      <c r="AL30" s="330"/>
      <c r="AM30" s="330"/>
      <c r="AN30" s="330"/>
      <c r="AO30" s="331"/>
      <c r="AP30" s="331"/>
      <c r="AQ30" s="330"/>
      <c r="AR30" s="330"/>
      <c r="AS30" s="332"/>
      <c r="AT30" s="330"/>
      <c r="AU30" s="66" t="str">
        <f t="shared" ca="1" si="0"/>
        <v/>
      </c>
      <c r="AV30" s="66" t="str">
        <f t="shared" si="3"/>
        <v/>
      </c>
      <c r="AW30" s="128" t="str">
        <f t="shared" si="1"/>
        <v/>
      </c>
      <c r="AX30" s="123" t="str">
        <f t="shared" ca="1" si="17"/>
        <v/>
      </c>
      <c r="AY30" s="123" t="str">
        <f t="shared" ca="1" si="4"/>
        <v/>
      </c>
      <c r="BD30" s="3" t="str">
        <f t="shared" si="5"/>
        <v/>
      </c>
      <c r="BE30" s="123" t="str">
        <f t="shared" ca="1" si="6"/>
        <v/>
      </c>
      <c r="BF30" s="66" t="str">
        <f t="shared" si="7"/>
        <v/>
      </c>
      <c r="BG30" s="3" t="str">
        <f t="shared" ca="1" si="8"/>
        <v/>
      </c>
      <c r="BH30" s="66" t="str">
        <f t="shared" ca="1" si="9"/>
        <v/>
      </c>
      <c r="BI30" s="3" t="str">
        <f t="shared" ca="1" si="10"/>
        <v/>
      </c>
      <c r="BJ30" s="66" t="str">
        <f t="shared" ca="1" si="9"/>
        <v/>
      </c>
      <c r="BK30" s="3" t="str">
        <f t="shared" ca="1" si="11"/>
        <v/>
      </c>
      <c r="BL30" s="66" t="str">
        <f t="shared" ca="1" si="12"/>
        <v/>
      </c>
      <c r="BM30" s="3" t="str">
        <f t="shared" ca="1" si="13"/>
        <v/>
      </c>
      <c r="BS30" s="325"/>
      <c r="BT30" s="3" t="s">
        <v>317</v>
      </c>
      <c r="BU30" s="66">
        <v>0</v>
      </c>
      <c r="BV30" s="3" t="str">
        <f t="shared" si="15"/>
        <v>Jakub Kopecký</v>
      </c>
      <c r="BW30" s="108">
        <f t="shared" si="16"/>
        <v>0</v>
      </c>
    </row>
    <row r="31" spans="1:75" ht="15" customHeight="1" thickBot="1" x14ac:dyDescent="0.25">
      <c r="A31" s="297" t="str">
        <f ca="1">IFERROR(IF(VLOOKUP(A28,OFFSET($AG$2,,,COUNTIF($AG$2:$AG$50,"?*"),23),13,FALSE)&lt;&gt;0,VLOOKUP(A28,OFFSET($AG$2,,,COUNTIF($AG$2:$AG$50,"?*"),23),13,FALSE),"?"),"")</f>
        <v/>
      </c>
      <c r="B31" s="298"/>
      <c r="C31" s="299"/>
      <c r="D31" s="288" t="str">
        <f ca="1">IFERROR(IF(VLOOKUP(A28,OFFSET($AG$2,,,COUNTIF($AG$2:$AG$50,"?*"),23),14,FALSE)&lt;&gt;0,VLOOKUP(A28,OFFSET($AG$2,,,COUNTIF($AG$2:$AG$50,"?*"),23),14,FALSE),"?"),"")</f>
        <v/>
      </c>
      <c r="E31" s="287"/>
      <c r="F31" s="7" t="str">
        <f ca="1">IFERROR(IF(VLOOKUP(A28,OFFSET($AG$2,,,COUNTIF($AG$2:$AG$50,"?*"),23),7,FALSE)&lt;&gt;0,VLOOKUP(A28,OFFSET($AG$2,,,COUNTIF($AG$2:$AG$50,"?*"),23),7,FALSE),"?"),"")</f>
        <v/>
      </c>
      <c r="H31" s="300"/>
      <c r="I31" s="300"/>
      <c r="J31" s="300"/>
      <c r="K31" s="300"/>
      <c r="M31" s="297" t="str">
        <f ca="1">IFERROR(IF(VLOOKUP(M28,OFFSET($AG$2,,,COUNTIF($AG$2:$AG$50,"?*"),23),13,FALSE)&lt;&gt;0,VLOOKUP(M28,OFFSET($AG$2,,,COUNTIF($AG$2:$AG$50,"?*"),23),13,FALSE),"?"),"")</f>
        <v/>
      </c>
      <c r="N31" s="298"/>
      <c r="O31" s="299"/>
      <c r="P31" s="288" t="str">
        <f ca="1">IFERROR(IF(VLOOKUP(M28,OFFSET($AG$2,,,COUNTIF($AG$2:$AG$50,"?*"),23),14,FALSE)&lt;&gt;0,VLOOKUP(M28,OFFSET($AG$2,,,COUNTIF($AG$2:$AG$50,"?*"),23),14,FALSE),"?"),"")</f>
        <v/>
      </c>
      <c r="Q31" s="287"/>
      <c r="R31" s="7" t="str">
        <f ca="1">IFERROR(IF(VLOOKUP(M28,OFFSET($AG$2,,,COUNTIF($AG$2:$AG$50,"?*"),23),7,FALSE)&lt;&gt;0,VLOOKUP(M28,OFFSET($AG$2,,,COUNTIF($AG$2:$AG$50,"?*"),23),7,FALSE),"?"),"")</f>
        <v/>
      </c>
      <c r="S31" s="8"/>
      <c r="AG31" s="333"/>
      <c r="AH31" s="334"/>
      <c r="AI31" s="335"/>
      <c r="AJ31" s="335"/>
      <c r="AK31" s="335"/>
      <c r="AL31" s="335"/>
      <c r="AM31" s="335"/>
      <c r="AN31" s="335"/>
      <c r="AO31" s="336"/>
      <c r="AP31" s="336"/>
      <c r="AQ31" s="335"/>
      <c r="AR31" s="335"/>
      <c r="AS31" s="337"/>
      <c r="AT31" s="335"/>
      <c r="AU31" s="130" t="str">
        <f t="shared" ca="1" si="0"/>
        <v/>
      </c>
      <c r="AV31" s="130" t="str">
        <f t="shared" si="3"/>
        <v/>
      </c>
      <c r="AW31" s="131" t="str">
        <f t="shared" si="1"/>
        <v/>
      </c>
      <c r="AX31" s="132" t="str">
        <f t="shared" ca="1" si="17"/>
        <v/>
      </c>
      <c r="AY31" s="132" t="str">
        <f t="shared" ca="1" si="4"/>
        <v/>
      </c>
      <c r="AZ31" s="132"/>
      <c r="BA31" s="132"/>
      <c r="BB31" s="132"/>
      <c r="BC31" s="132"/>
      <c r="BD31" s="129" t="str">
        <f t="shared" si="5"/>
        <v/>
      </c>
      <c r="BE31" s="132" t="str">
        <f t="shared" ca="1" si="6"/>
        <v/>
      </c>
      <c r="BF31" s="130" t="str">
        <f t="shared" si="7"/>
        <v/>
      </c>
      <c r="BG31" s="129" t="str">
        <f t="shared" ca="1" si="8"/>
        <v/>
      </c>
      <c r="BH31" s="130" t="str">
        <f t="shared" ca="1" si="9"/>
        <v/>
      </c>
      <c r="BI31" s="129" t="str">
        <f t="shared" ca="1" si="10"/>
        <v/>
      </c>
      <c r="BJ31" s="130" t="str">
        <f t="shared" ca="1" si="9"/>
        <v/>
      </c>
      <c r="BK31" s="129" t="str">
        <f t="shared" ca="1" si="11"/>
        <v/>
      </c>
      <c r="BL31" s="130" t="str">
        <f t="shared" ca="1" si="12"/>
        <v/>
      </c>
      <c r="BM31" s="129" t="str">
        <f t="shared" ca="1" si="13"/>
        <v/>
      </c>
      <c r="BS31" s="325"/>
      <c r="BT31" s="3" t="s">
        <v>312</v>
      </c>
      <c r="BU31" s="66">
        <v>0</v>
      </c>
      <c r="BV31" s="3" t="str">
        <f t="shared" si="15"/>
        <v>Jakub Kárník</v>
      </c>
      <c r="BW31" s="108">
        <f t="shared" si="16"/>
        <v>0</v>
      </c>
    </row>
    <row r="32" spans="1:75" ht="15" customHeight="1" thickTop="1" thickBot="1" x14ac:dyDescent="0.25">
      <c r="S32" s="8"/>
      <c r="AG32" s="328"/>
      <c r="AH32" s="329"/>
      <c r="AI32" s="330"/>
      <c r="AJ32" s="330"/>
      <c r="AK32" s="330"/>
      <c r="AL32" s="330"/>
      <c r="AM32" s="330"/>
      <c r="AN32" s="330"/>
      <c r="AO32" s="331"/>
      <c r="AP32" s="331"/>
      <c r="AQ32" s="330"/>
      <c r="AR32" s="330"/>
      <c r="AS32" s="332"/>
      <c r="AT32" s="330"/>
      <c r="AU32" s="66" t="str">
        <f t="shared" ca="1" si="0"/>
        <v/>
      </c>
      <c r="AV32" s="66" t="str">
        <f t="shared" si="3"/>
        <v/>
      </c>
      <c r="AW32" s="128" t="str">
        <f t="shared" si="1"/>
        <v/>
      </c>
      <c r="AX32" s="123" t="str">
        <f t="shared" ca="1" si="17"/>
        <v/>
      </c>
      <c r="AY32" s="123" t="str">
        <f t="shared" ca="1" si="4"/>
        <v/>
      </c>
      <c r="BD32" s="3" t="str">
        <f t="shared" si="5"/>
        <v/>
      </c>
      <c r="BE32" s="123" t="str">
        <f t="shared" ca="1" si="6"/>
        <v/>
      </c>
      <c r="BF32" s="66" t="str">
        <f t="shared" si="7"/>
        <v/>
      </c>
      <c r="BG32" s="3" t="str">
        <f t="shared" ca="1" si="8"/>
        <v/>
      </c>
      <c r="BH32" s="66" t="str">
        <f t="shared" ca="1" si="9"/>
        <v/>
      </c>
      <c r="BI32" s="3" t="str">
        <f t="shared" ca="1" si="10"/>
        <v/>
      </c>
      <c r="BJ32" s="66" t="str">
        <f t="shared" ca="1" si="9"/>
        <v/>
      </c>
      <c r="BK32" s="3" t="str">
        <f t="shared" ca="1" si="11"/>
        <v/>
      </c>
      <c r="BL32" s="66" t="str">
        <f t="shared" ca="1" si="12"/>
        <v/>
      </c>
      <c r="BM32" s="3" t="str">
        <f t="shared" ca="1" si="13"/>
        <v/>
      </c>
    </row>
    <row r="33" spans="1:65" ht="15" customHeight="1" thickTop="1" thickBot="1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3"/>
      <c r="S33" s="8"/>
      <c r="AG33" s="333"/>
      <c r="AH33" s="334"/>
      <c r="AI33" s="335"/>
      <c r="AJ33" s="335"/>
      <c r="AK33" s="335"/>
      <c r="AL33" s="335"/>
      <c r="AM33" s="335"/>
      <c r="AN33" s="335"/>
      <c r="AO33" s="336"/>
      <c r="AP33" s="336"/>
      <c r="AQ33" s="335"/>
      <c r="AR33" s="335"/>
      <c r="AS33" s="337"/>
      <c r="AT33" s="335"/>
      <c r="AU33" s="130" t="str">
        <f t="shared" ca="1" si="0"/>
        <v/>
      </c>
      <c r="AV33" s="130" t="str">
        <f t="shared" si="3"/>
        <v/>
      </c>
      <c r="AW33" s="131" t="str">
        <f t="shared" si="1"/>
        <v/>
      </c>
      <c r="AX33" s="132" t="str">
        <f t="shared" ca="1" si="17"/>
        <v/>
      </c>
      <c r="AY33" s="132" t="str">
        <f ca="1">IFERROR(CONCATENATE(AI33+VLOOKUP(AG33,OFFSET($S$45,,,COUNTIF($S$45:$S$50,"?*"),14),2,FALSE)," OZ, ",AK33+VLOOKUP(AG33,OFFSET($S$45,,,COUNTIF($S$45:$S$50,"?*"),14),11,FALSE)," A"),IFERROR(CONCATENATE(VLOOKUP(AG33,OFFSET($S$2,,,COUNTIF($S$2:$S$42,"?*"),10),3,FALSE)+AZ33+AI33," OZ, ",VLOOKUP(AG33,OFFSET($S$2,,,COUNTIF($S$2:$S$42,"?*"),10),8,FALSE)+BA33+BB33+AL33," (",VLOOKUP(AG33,OFFSET($S$2,,,COUNTIF($S$2:$S$42,"?*"),10),4,FALSE)+BA33+AJ33,"+",VLOOKUP(AG33,OFFSET($S$2,,,COUNTIF($S$2:$S$42,"?*"),10),7,FALSE)+BB33+AK33,")"),IF(AG33&lt;&gt;"",CONCATENATE(AI33," OZ, ",AL33," (",AJ33,"+",AK33,")"),"")))</f>
        <v/>
      </c>
      <c r="AZ33" s="132"/>
      <c r="BA33" s="132"/>
      <c r="BB33" s="132"/>
      <c r="BC33" s="132"/>
      <c r="BD33" s="129" t="str">
        <f t="shared" si="5"/>
        <v/>
      </c>
      <c r="BE33" s="132" t="str">
        <f t="shared" ca="1" si="6"/>
        <v/>
      </c>
      <c r="BF33" s="130" t="str">
        <f t="shared" si="7"/>
        <v/>
      </c>
      <c r="BG33" s="129" t="str">
        <f t="shared" ca="1" si="8"/>
        <v/>
      </c>
      <c r="BH33" s="130" t="str">
        <f t="shared" ca="1" si="9"/>
        <v/>
      </c>
      <c r="BI33" s="129" t="str">
        <f t="shared" ca="1" si="10"/>
        <v/>
      </c>
      <c r="BJ33" s="130" t="str">
        <f t="shared" ca="1" si="9"/>
        <v/>
      </c>
      <c r="BK33" s="129" t="str">
        <f t="shared" ca="1" si="11"/>
        <v/>
      </c>
      <c r="BL33" s="130" t="str">
        <f t="shared" ca="1" si="12"/>
        <v/>
      </c>
      <c r="BM33" s="129" t="str">
        <f t="shared" ca="1" si="13"/>
        <v/>
      </c>
    </row>
    <row r="34" spans="1:65" ht="15" customHeight="1" thickTop="1" thickBot="1" x14ac:dyDescent="0.25">
      <c r="A34" s="294"/>
      <c r="B34" s="295"/>
      <c r="C34" s="295"/>
      <c r="D34" s="295"/>
      <c r="E34" s="1" t="str">
        <f ca="1">IFERROR(IF(VLOOKUP(A34,OFFSET($AG$2,,,COUNTIF($AG$2:$AG$50,"?*"),23),9,FALSE)&lt;&gt;0,VLOOKUP(A34,OFFSET($AG$2,,,COUNTIF($AG$2:$AG$50,"?*"),23),9,FALSE),""),"")</f>
        <v/>
      </c>
      <c r="F34" s="2" t="str">
        <f ca="1">IFERROR(IF(VLOOKUP(A34,OFFSET($AG$2,,,COUNTIF($AG$2:$AG$50,"?*"),23),8,FALSE)&lt;&gt;0,VLOOKUP(A34,OFFSET($AG$2,,,COUNTIF($AG$2:$AG$50,"?*"),23),8,FALSE),"?"),"")</f>
        <v/>
      </c>
      <c r="H34" s="301" t="s">
        <v>16</v>
      </c>
      <c r="J34" s="294"/>
      <c r="K34" s="295"/>
      <c r="L34" s="295"/>
      <c r="M34" s="295"/>
      <c r="N34" s="295"/>
      <c r="O34" s="295"/>
      <c r="P34" s="295"/>
      <c r="Q34" s="1" t="str">
        <f ca="1">IFERROR(IF(VLOOKUP(M34,OFFSET($AG$2,,,COUNTIF($AG$2:$AG$50,"?*"),23),9,FALSE)&lt;&gt;0,VLOOKUP(M34,OFFSET($AG$2,,,COUNTIF($AG$2:$AG$50,"?*"),23),9,FALSE),""),"")</f>
        <v/>
      </c>
      <c r="R34" s="2" t="str">
        <f ca="1">IFERROR(IF(VLOOKUP(M34,OFFSET($AG$2,,,COUNTIF($AG$2:$AG$50,"?*"),23),8,FALSE)&lt;&gt;0,VLOOKUP(M34,OFFSET($AG$2,,,COUNTIF($AG$2:$AG$50,"?*"),23),8,FALSE),"?"),"")</f>
        <v/>
      </c>
      <c r="S34" s="8"/>
      <c r="AG34" s="328"/>
      <c r="AH34" s="329"/>
      <c r="AI34" s="330"/>
      <c r="AJ34" s="330"/>
      <c r="AK34" s="330"/>
      <c r="AL34" s="330"/>
      <c r="AM34" s="330"/>
      <c r="AN34" s="330"/>
      <c r="AO34" s="331"/>
      <c r="AP34" s="331"/>
      <c r="AQ34" s="330"/>
      <c r="AR34" s="330"/>
      <c r="AS34" s="332"/>
      <c r="AT34" s="330"/>
      <c r="AU34" s="66" t="str">
        <f t="shared" ca="1" si="0"/>
        <v/>
      </c>
      <c r="AV34" s="66" t="str">
        <f t="shared" si="3"/>
        <v/>
      </c>
      <c r="AW34" s="128" t="str">
        <f t="shared" si="1"/>
        <v/>
      </c>
      <c r="AX34" s="123" t="str">
        <f t="shared" ca="1" si="17"/>
        <v/>
      </c>
      <c r="AY34" s="123" t="str">
        <f t="shared" ref="AY34:AY50" ca="1" si="18">IFERROR(CONCATENATE(AI34+VLOOKUP(AG34,OFFSET($S$45,,,COUNTIF($S$45:$S$50,"?*"),14),2,FALSE)," OZ, ",AK34+VLOOKUP(AG34,OFFSET($S$45,,,COUNTIF($S$45:$S$50,"?*"),14),11,FALSE)," A"),IFERROR(CONCATENATE(VLOOKUP(AG34,OFFSET($S$2,,,COUNTIF($S$2:$S$42,"?*"),10),3,FALSE)+AZ34+AI34," OZ, ",VLOOKUP(AG34,OFFSET($S$2,,,COUNTIF($S$2:$S$42,"?*"),10),8,FALSE)+BA34+BB34+AL34," (",VLOOKUP(AG34,OFFSET($S$2,,,COUNTIF($S$2:$S$42,"?*"),10),4,FALSE)+BA34+AJ34,"+",VLOOKUP(AG34,OFFSET($S$2,,,COUNTIF($S$2:$S$42,"?*"),10),7,FALSE)+BB34+AK34,")"),IF(AG34&lt;&gt;"",CONCATENATE(AI34," OZ, ",AL34," (",AJ34,"+",AK34,")"),"")))</f>
        <v/>
      </c>
      <c r="BD34" s="3" t="str">
        <f t="shared" si="5"/>
        <v/>
      </c>
      <c r="BE34" s="123" t="str">
        <f t="shared" ca="1" si="6"/>
        <v/>
      </c>
      <c r="BF34" s="66" t="str">
        <f t="shared" si="7"/>
        <v/>
      </c>
      <c r="BG34" s="3" t="str">
        <f t="shared" ca="1" si="8"/>
        <v/>
      </c>
      <c r="BH34" s="66" t="str">
        <f t="shared" ca="1" si="9"/>
        <v/>
      </c>
      <c r="BI34" s="3" t="str">
        <f t="shared" ca="1" si="10"/>
        <v/>
      </c>
      <c r="BJ34" s="66" t="str">
        <f t="shared" ca="1" si="9"/>
        <v/>
      </c>
      <c r="BK34" s="3" t="str">
        <f t="shared" ca="1" si="11"/>
        <v/>
      </c>
      <c r="BL34" s="66" t="str">
        <f t="shared" ca="1" si="12"/>
        <v/>
      </c>
      <c r="BM34" s="3" t="str">
        <f t="shared" ca="1" si="13"/>
        <v/>
      </c>
    </row>
    <row r="35" spans="1:65" ht="15" customHeight="1" thickBot="1" x14ac:dyDescent="0.25">
      <c r="A35" s="14" t="str">
        <f ca="1">IFERROR(IF(VLOOKUP(A34,OFFSET($AG$2,,,COUNTIF($AG$2:$AG$50,"?*"),23),7,FALSE)&lt;&gt;0,VLOOKUP(A34,OFFSET($AG$2,,,COUNTIF($AG$2:$AG$50,"?*"),23),7,FALSE),"?"),"")</f>
        <v/>
      </c>
      <c r="B35" s="252" t="str">
        <f ca="1">IFERROR(IF(VLOOKUP(A34,OFFSET($AG$2,,,COUNTIF($AG$2:$AG$50,"?*"),23),2,FALSE)&lt;&gt;0,YEAR(VLOOKUP(A34,OFFSET($AG$2,,,COUNTIF($AG$2:$AG$50,"?*"),23),2,FALSE)),"?"),"")</f>
        <v/>
      </c>
      <c r="C35" s="261"/>
      <c r="D35" s="140" t="str">
        <f ca="1">IFERROR(VLOOKUP(A34,OFFSET($AG$2,,,COUNTIF($AG$2:$AG$50,"?*"),23),15,FALSE),"")</f>
        <v/>
      </c>
      <c r="E35" s="251" t="str">
        <f ca="1">IFERROR(VLOOKUP(A34,OFFSET($AG$2,,,COUNTIF($AG$2:$AG$50,"?*"),23),16,FALSE),"")</f>
        <v/>
      </c>
      <c r="F35" s="253"/>
      <c r="H35" s="301"/>
      <c r="J35" s="4" t="str">
        <f ca="1">IFERROR(IF(VLOOKUP(J34,OFFSET($AG$2,,,COUNTIF($AG$2:$AG$50,"?*"),23),10,FALSE)&lt;&gt;0,VLOOKUP(J34,OFFSET($AG$2,,,COUNTIF($AG$2:$AG$50,"?*"),23),10,FALSE),"?"),"")</f>
        <v/>
      </c>
      <c r="K35" s="261" t="str">
        <f ca="1">IFERROR(IF(VLOOKUP(J34,OFFSET($AG$2,,,COUNTIF($AG$2:$AG$50,"?*"),23),2,FALSE)&lt;&gt;0,YEAR(VLOOKUP(J34,OFFSET($AG$2,,,COUNTIF($AG$2:$AG$50,"?*"),23),2,FALSE)),"?"),"")</f>
        <v/>
      </c>
      <c r="L35" s="302"/>
      <c r="M35" s="139" t="str">
        <f ca="1">IFERROR(VLOOKUP(J34,OFFSET($AG$2,,,COUNTIF($AG$2:$AG$50,"?*"),23),15,FALSE),"")</f>
        <v/>
      </c>
      <c r="N35" s="302" t="str">
        <f ca="1">IFERROR(VLOOKUP(J34,OFFSET($AG$2,,,COUNTIF($AG$2:$AG$50,"?*"),23),16,FALSE),"")</f>
        <v/>
      </c>
      <c r="O35" s="302"/>
      <c r="P35" s="302" t="str">
        <f ca="1">IFERROR(VLOOKUP(P33,OFFSET($AG$2,,,COUNTIF($AG$2:$AG$50,"?*"),23),18,FALSE),"")</f>
        <v/>
      </c>
      <c r="Q35" s="302"/>
      <c r="R35" s="307"/>
      <c r="S35" s="8"/>
      <c r="AG35" s="333"/>
      <c r="AH35" s="334"/>
      <c r="AI35" s="335"/>
      <c r="AJ35" s="335"/>
      <c r="AK35" s="335"/>
      <c r="AL35" s="335"/>
      <c r="AM35" s="335"/>
      <c r="AN35" s="335"/>
      <c r="AO35" s="336"/>
      <c r="AP35" s="336"/>
      <c r="AQ35" s="335"/>
      <c r="AR35" s="335"/>
      <c r="AS35" s="337"/>
      <c r="AT35" s="335"/>
      <c r="AU35" s="130" t="str">
        <f t="shared" ca="1" si="0"/>
        <v/>
      </c>
      <c r="AV35" s="130" t="str">
        <f t="shared" si="3"/>
        <v/>
      </c>
      <c r="AW35" s="131" t="str">
        <f t="shared" si="1"/>
        <v/>
      </c>
      <c r="AX35" s="132" t="str">
        <f t="shared" ca="1" si="17"/>
        <v/>
      </c>
      <c r="AY35" s="132" t="str">
        <f t="shared" ca="1" si="18"/>
        <v/>
      </c>
      <c r="AZ35" s="132"/>
      <c r="BA35" s="132"/>
      <c r="BB35" s="132"/>
      <c r="BC35" s="132"/>
      <c r="BD35" s="129" t="str">
        <f t="shared" si="5"/>
        <v/>
      </c>
      <c r="BE35" s="132" t="str">
        <f t="shared" ca="1" si="6"/>
        <v/>
      </c>
      <c r="BF35" s="130" t="str">
        <f t="shared" si="7"/>
        <v/>
      </c>
      <c r="BG35" s="129" t="str">
        <f t="shared" ca="1" si="8"/>
        <v/>
      </c>
      <c r="BH35" s="130" t="str">
        <f t="shared" ca="1" si="9"/>
        <v/>
      </c>
      <c r="BI35" s="129" t="str">
        <f t="shared" ca="1" si="10"/>
        <v/>
      </c>
      <c r="BJ35" s="130" t="str">
        <f t="shared" ca="1" si="9"/>
        <v/>
      </c>
      <c r="BK35" s="129" t="str">
        <f t="shared" ca="1" si="11"/>
        <v/>
      </c>
      <c r="BL35" s="130" t="str">
        <f t="shared" ca="1" si="12"/>
        <v/>
      </c>
      <c r="BM35" s="129" t="str">
        <f t="shared" ca="1" si="13"/>
        <v/>
      </c>
    </row>
    <row r="36" spans="1:65" ht="15" customHeight="1" thickBot="1" x14ac:dyDescent="0.25">
      <c r="A36" s="16" t="str">
        <f ca="1">IFERROR(VLOOKUP(A34,OFFSET($S$45,,,COUNTIF($S$45:$S$50,"?*"),14),2,FALSE),"")</f>
        <v/>
      </c>
      <c r="B36" s="308" t="str">
        <f ca="1">IFERROR(VLOOKUP(A34,OFFSET($AG$2,,,COUNTIF($AG$2:$AG$50,"?*"),23),18,FALSE),"")</f>
        <v/>
      </c>
      <c r="C36" s="308"/>
      <c r="D36" s="309" t="str">
        <f ca="1">IFERROR(VLOOKUP(A34,OFFSET($S$45,,,COUNTIF($S$45:$S$50,"?*"),14),5,FALSE),"")</f>
        <v/>
      </c>
      <c r="E36" s="310"/>
      <c r="F36" s="17" t="str">
        <f ca="1">IFERROR(VLOOKUP(A34,OFFSET($S$45,,,COUNTIF($S$45:$S$50,"?*"),14),14,FALSE),"")</f>
        <v/>
      </c>
      <c r="H36" s="301"/>
      <c r="J36" s="18" t="str">
        <f ca="1">IFERROR(IF(VLOOKUP(E33,OFFSET($AG$2,,,COUNTIF($AG$2:$AG$50,"?*"),23),7,FALSE)&lt;&gt;0,VLOOKUP(E33,OFFSET($AG$2,,,COUNTIF($AG$2:$AG$50,"?*"),23),7,FALSE),"?"),"")</f>
        <v/>
      </c>
      <c r="K36" s="311" t="str">
        <f ca="1">IFERROR(VLOOKUP(H34,OFFSET($AG$2,,,COUNTIF($AG$2:$AG$50,"?*"),23),19,FALSE),"")</f>
        <v/>
      </c>
      <c r="L36" s="311"/>
      <c r="M36" s="311"/>
      <c r="N36" s="312" t="str">
        <f ca="1">IFERROR(IF(VLOOKUP(N33,OFFSET($AG$2,,,COUNTIF($AG$2:$AG$50,"?*"),23),13,FALSE)&lt;&gt;0,VLOOKUP(N33,OFFSET($AG$2,,,COUNTIF($AG$2:$AG$50,"?*"),23),13,FALSE),"?"),"")</f>
        <v/>
      </c>
      <c r="O36" s="312"/>
      <c r="P36" s="312"/>
      <c r="Q36" s="311" t="str">
        <f ca="1">IFERROR(IF(VLOOKUP(N33,OFFSET($AG$2,,,COUNTIF($AG$2:$AG$50,"?*"),23),14,FALSE)&lt;&gt;0,VLOOKUP(N33,OFFSET($AG$2,,,COUNTIF($AG$2:$AG$50,"?*"),23),14,FALSE),"?"),"")</f>
        <v/>
      </c>
      <c r="R36" s="313"/>
      <c r="S36" s="8"/>
      <c r="AG36" s="328"/>
      <c r="AH36" s="329"/>
      <c r="AI36" s="330"/>
      <c r="AJ36" s="330"/>
      <c r="AK36" s="330"/>
      <c r="AL36" s="330"/>
      <c r="AM36" s="330"/>
      <c r="AN36" s="330"/>
      <c r="AO36" s="331"/>
      <c r="AP36" s="331"/>
      <c r="AQ36" s="330"/>
      <c r="AR36" s="330"/>
      <c r="AS36" s="332"/>
      <c r="AT36" s="330"/>
      <c r="AU36" s="66" t="str">
        <f t="shared" ca="1" si="0"/>
        <v/>
      </c>
      <c r="AV36" s="66" t="str">
        <f t="shared" si="3"/>
        <v/>
      </c>
      <c r="AW36" s="128" t="str">
        <f t="shared" si="1"/>
        <v/>
      </c>
      <c r="AX36" s="123" t="str">
        <f t="shared" ca="1" si="17"/>
        <v/>
      </c>
      <c r="AY36" s="123" t="str">
        <f t="shared" ca="1" si="18"/>
        <v/>
      </c>
      <c r="BD36" s="3" t="str">
        <f t="shared" si="5"/>
        <v/>
      </c>
      <c r="BE36" s="123" t="str">
        <f t="shared" ca="1" si="6"/>
        <v/>
      </c>
      <c r="BF36" s="66" t="str">
        <f t="shared" si="7"/>
        <v/>
      </c>
      <c r="BG36" s="3" t="str">
        <f t="shared" ca="1" si="8"/>
        <v/>
      </c>
      <c r="BH36" s="66" t="str">
        <f t="shared" ca="1" si="9"/>
        <v/>
      </c>
      <c r="BI36" s="3" t="str">
        <f t="shared" ca="1" si="10"/>
        <v/>
      </c>
      <c r="BJ36" s="66" t="str">
        <f t="shared" ca="1" si="9"/>
        <v/>
      </c>
      <c r="BK36" s="3" t="str">
        <f t="shared" ca="1" si="11"/>
        <v/>
      </c>
      <c r="BL36" s="66" t="str">
        <f t="shared" ca="1" si="12"/>
        <v/>
      </c>
      <c r="BM36" s="3" t="str">
        <f t="shared" ca="1" si="13"/>
        <v/>
      </c>
    </row>
    <row r="37" spans="1:65" ht="15" customHeight="1" thickTop="1" thickBot="1" x14ac:dyDescent="0.25">
      <c r="A37" s="303" t="str">
        <f ca="1">IFERROR(VLOOKUP(A34,OFFSET($S$45,,,COUNTIF($S$45:$S$50,"?*"),14),3,FALSE),"")</f>
        <v/>
      </c>
      <c r="B37" s="304"/>
      <c r="C37" s="305" t="str">
        <f ca="1">IFERROR(VLOOKUP(A34,OFFSET($S$45,,,COUNTIF($S$45:$S$50,"?*"),14),13,FALSE),"")</f>
        <v/>
      </c>
      <c r="D37" s="306"/>
      <c r="E37" s="282" t="str">
        <f ca="1">IFERROR(VLOOKUP(A34,OFFSET($AG$2,,,COUNTIF($AG$2:$AG$50,"?*"),23),19,FALSE),"")</f>
        <v/>
      </c>
      <c r="F37" s="283"/>
      <c r="H37" s="301"/>
      <c r="S37" s="8"/>
      <c r="AG37" s="333"/>
      <c r="AH37" s="334"/>
      <c r="AI37" s="335"/>
      <c r="AJ37" s="335"/>
      <c r="AK37" s="335"/>
      <c r="AL37" s="335"/>
      <c r="AM37" s="335"/>
      <c r="AN37" s="335"/>
      <c r="AO37" s="336"/>
      <c r="AP37" s="336"/>
      <c r="AQ37" s="335"/>
      <c r="AR37" s="335"/>
      <c r="AS37" s="337"/>
      <c r="AT37" s="335"/>
      <c r="AU37" s="130" t="str">
        <f t="shared" ca="1" si="0"/>
        <v/>
      </c>
      <c r="AV37" s="130" t="str">
        <f t="shared" si="3"/>
        <v/>
      </c>
      <c r="AW37" s="131" t="str">
        <f t="shared" si="1"/>
        <v/>
      </c>
      <c r="AX37" s="132" t="str">
        <f t="shared" ca="1" si="17"/>
        <v/>
      </c>
      <c r="AY37" s="132" t="str">
        <f t="shared" ca="1" si="18"/>
        <v/>
      </c>
      <c r="AZ37" s="132"/>
      <c r="BA37" s="132"/>
      <c r="BB37" s="132"/>
      <c r="BC37" s="132"/>
      <c r="BD37" s="129" t="str">
        <f t="shared" si="5"/>
        <v/>
      </c>
      <c r="BE37" s="132" t="str">
        <f t="shared" ca="1" si="6"/>
        <v/>
      </c>
      <c r="BF37" s="130" t="str">
        <f t="shared" si="7"/>
        <v/>
      </c>
      <c r="BG37" s="129" t="str">
        <f t="shared" ca="1" si="8"/>
        <v/>
      </c>
      <c r="BH37" s="130" t="str">
        <f t="shared" ca="1" si="9"/>
        <v/>
      </c>
      <c r="BI37" s="129" t="str">
        <f t="shared" ca="1" si="10"/>
        <v/>
      </c>
      <c r="BJ37" s="130" t="str">
        <f t="shared" ca="1" si="9"/>
        <v/>
      </c>
      <c r="BK37" s="129" t="str">
        <f t="shared" ca="1" si="11"/>
        <v/>
      </c>
      <c r="BL37" s="130" t="str">
        <f t="shared" ca="1" si="12"/>
        <v/>
      </c>
      <c r="BM37" s="129" t="str">
        <f t="shared" ca="1" si="13"/>
        <v/>
      </c>
    </row>
    <row r="38" spans="1:65" ht="15" customHeight="1" thickTop="1" thickBot="1" x14ac:dyDescent="0.25">
      <c r="A38" s="297" t="str">
        <f ca="1">IFERROR(IF(VLOOKUP(A34,OFFSET($AG$2,,,COUNTIF($AG$2:$AG$50,"?*"),23),13,FALSE)&lt;&gt;0,VLOOKUP(A34,OFFSET($AG$2,,,COUNTIF($AG$2:$AG$50,"?*"),23),13,FALSE),"?"),"")</f>
        <v/>
      </c>
      <c r="B38" s="298"/>
      <c r="C38" s="299"/>
      <c r="D38" s="288" t="str">
        <f ca="1">IFERROR(IF(VLOOKUP(A34,OFFSET($AG$2,,,COUNTIF($AG$2:$AG$50,"?*"),23),14,FALSE)&lt;&gt;0,VLOOKUP(A34,OFFSET($AG$2,,,COUNTIF($AG$2:$AG$50,"?*"),23),14,FALSE),"?"),"")</f>
        <v/>
      </c>
      <c r="E38" s="287"/>
      <c r="F38" s="19" t="str">
        <f ca="1">IFERROR(VLOOKUP(A34,OFFSET($S$45,,,COUNTIF($S$45:$S$50,"?*"),14),6,FALSE),"")</f>
        <v/>
      </c>
      <c r="H38" s="301"/>
      <c r="J38" s="294"/>
      <c r="K38" s="295"/>
      <c r="L38" s="295"/>
      <c r="M38" s="295"/>
      <c r="N38" s="295"/>
      <c r="O38" s="295"/>
      <c r="P38" s="295"/>
      <c r="Q38" s="1" t="str">
        <f ca="1">IFERROR(IF(VLOOKUP(M38,OFFSET($AG$2,,,COUNTIF($AG$2:$AG$50,"?*"),23),9,FALSE)&lt;&gt;0,VLOOKUP(M38,OFFSET($AG$2,,,COUNTIF($AG$2:$AG$50,"?*"),23),9,FALSE),""),"")</f>
        <v/>
      </c>
      <c r="R38" s="2" t="str">
        <f ca="1">IFERROR(IF(VLOOKUP(M38,OFFSET($AG$2,,,COUNTIF($AG$2:$AG$50,"?*"),23),8,FALSE)&lt;&gt;0,VLOOKUP(M38,OFFSET($AG$2,,,COUNTIF($AG$2:$AG$50,"?*"),23),8,FALSE),"?"),"")</f>
        <v/>
      </c>
      <c r="S38" s="8"/>
      <c r="AG38" s="328"/>
      <c r="AH38" s="329"/>
      <c r="AI38" s="330"/>
      <c r="AJ38" s="330"/>
      <c r="AK38" s="330"/>
      <c r="AL38" s="330"/>
      <c r="AM38" s="330"/>
      <c r="AN38" s="330"/>
      <c r="AO38" s="331"/>
      <c r="AP38" s="331"/>
      <c r="AQ38" s="330"/>
      <c r="AR38" s="330"/>
      <c r="AS38" s="332"/>
      <c r="AT38" s="330"/>
      <c r="AU38" s="66" t="str">
        <f t="shared" ca="1" si="0"/>
        <v/>
      </c>
      <c r="AV38" s="66" t="str">
        <f t="shared" si="3"/>
        <v/>
      </c>
      <c r="AW38" s="128" t="str">
        <f t="shared" si="1"/>
        <v/>
      </c>
      <c r="AX38" s="123" t="str">
        <f t="shared" ca="1" si="17"/>
        <v/>
      </c>
      <c r="AY38" s="123" t="str">
        <f t="shared" ca="1" si="18"/>
        <v/>
      </c>
      <c r="BD38" s="3" t="str">
        <f t="shared" si="5"/>
        <v/>
      </c>
      <c r="BE38" s="123" t="str">
        <f t="shared" ca="1" si="6"/>
        <v/>
      </c>
      <c r="BF38" s="66" t="str">
        <f t="shared" si="7"/>
        <v/>
      </c>
      <c r="BG38" s="3" t="str">
        <f t="shared" ca="1" si="8"/>
        <v/>
      </c>
      <c r="BH38" s="66" t="str">
        <f t="shared" ca="1" si="9"/>
        <v/>
      </c>
      <c r="BI38" s="3" t="str">
        <f t="shared" ca="1" si="10"/>
        <v/>
      </c>
      <c r="BJ38" s="66" t="str">
        <f t="shared" ca="1" si="9"/>
        <v/>
      </c>
      <c r="BK38" s="3" t="str">
        <f t="shared" ca="1" si="11"/>
        <v/>
      </c>
      <c r="BL38" s="66" t="str">
        <f t="shared" ca="1" si="12"/>
        <v/>
      </c>
      <c r="BM38" s="3" t="str">
        <f t="shared" ca="1" si="13"/>
        <v/>
      </c>
    </row>
    <row r="39" spans="1:65" ht="15" customHeight="1" thickTop="1" thickBot="1" x14ac:dyDescent="0.25">
      <c r="H39" s="301"/>
      <c r="J39" s="4" t="str">
        <f ca="1">IFERROR(IF(VLOOKUP(J38,OFFSET($AG$2,,,COUNTIF($AG$2:$AG$50,"?*"),23),10,FALSE)&lt;&gt;0,VLOOKUP(J38,OFFSET($AG$2,,,COUNTIF($AG$2:$AG$50,"?*"),23),10,FALSE),"?"),"")</f>
        <v/>
      </c>
      <c r="K39" s="261" t="str">
        <f ca="1">IFERROR(IF(VLOOKUP(J38,OFFSET($AG$2,,,COUNTIF($AG$2:$AG$50,"?*"),23),2,FALSE)&lt;&gt;0,YEAR(VLOOKUP(J38,OFFSET($AG$2,,,COUNTIF($AG$2:$AG$50,"?*"),23),2,FALSE)),"?"),"")</f>
        <v/>
      </c>
      <c r="L39" s="302"/>
      <c r="M39" s="139" t="str">
        <f ca="1">IFERROR(VLOOKUP(J38,OFFSET($AG$2,,,COUNTIF($AG$2:$AG$50,"?*"),23),15,FALSE),"")</f>
        <v/>
      </c>
      <c r="N39" s="302" t="str">
        <f ca="1">IFERROR(VLOOKUP(J38,OFFSET($AG$2,,,COUNTIF($AG$2:$AG$50,"?*"),23),16,FALSE),"")</f>
        <v/>
      </c>
      <c r="O39" s="302"/>
      <c r="P39" s="302" t="str">
        <f ca="1">IFERROR(VLOOKUP(P37,OFFSET($AG$2,,,COUNTIF($AG$2:$AG$50,"?*"),23),18,FALSE),"")</f>
        <v/>
      </c>
      <c r="Q39" s="302"/>
      <c r="R39" s="307"/>
      <c r="S39" s="8"/>
      <c r="AG39" s="333"/>
      <c r="AH39" s="334"/>
      <c r="AI39" s="335"/>
      <c r="AJ39" s="335"/>
      <c r="AK39" s="335"/>
      <c r="AL39" s="335"/>
      <c r="AM39" s="335"/>
      <c r="AN39" s="335"/>
      <c r="AO39" s="336"/>
      <c r="AP39" s="336"/>
      <c r="AQ39" s="335"/>
      <c r="AR39" s="335"/>
      <c r="AS39" s="337"/>
      <c r="AT39" s="335"/>
      <c r="AU39" s="130" t="str">
        <f t="shared" ca="1" si="0"/>
        <v/>
      </c>
      <c r="AV39" s="130" t="str">
        <f t="shared" si="3"/>
        <v/>
      </c>
      <c r="AW39" s="131" t="str">
        <f t="shared" si="1"/>
        <v/>
      </c>
      <c r="AX39" s="132" t="str">
        <f t="shared" ca="1" si="17"/>
        <v/>
      </c>
      <c r="AY39" s="132" t="str">
        <f t="shared" ca="1" si="18"/>
        <v/>
      </c>
      <c r="AZ39" s="132"/>
      <c r="BA39" s="132"/>
      <c r="BB39" s="132"/>
      <c r="BC39" s="132"/>
      <c r="BD39" s="129" t="str">
        <f t="shared" si="5"/>
        <v/>
      </c>
      <c r="BE39" s="132" t="str">
        <f t="shared" ca="1" si="6"/>
        <v/>
      </c>
      <c r="BF39" s="130" t="str">
        <f t="shared" si="7"/>
        <v/>
      </c>
      <c r="BG39" s="129" t="str">
        <f t="shared" ca="1" si="8"/>
        <v/>
      </c>
      <c r="BH39" s="130" t="str">
        <f t="shared" ca="1" si="9"/>
        <v/>
      </c>
      <c r="BI39" s="129" t="str">
        <f t="shared" ca="1" si="10"/>
        <v/>
      </c>
      <c r="BJ39" s="130" t="str">
        <f t="shared" ca="1" si="9"/>
        <v/>
      </c>
      <c r="BK39" s="129" t="str">
        <f t="shared" ca="1" si="11"/>
        <v/>
      </c>
      <c r="BL39" s="130" t="str">
        <f t="shared" ca="1" si="12"/>
        <v/>
      </c>
      <c r="BM39" s="129" t="str">
        <f t="shared" ca="1" si="13"/>
        <v/>
      </c>
    </row>
    <row r="40" spans="1:65" ht="15" customHeight="1" thickTop="1" thickBot="1" x14ac:dyDescent="0.25">
      <c r="A40" s="294"/>
      <c r="B40" s="295"/>
      <c r="C40" s="295"/>
      <c r="D40" s="295"/>
      <c r="E40" s="1" t="str">
        <f ca="1">IFERROR(IF(VLOOKUP(A40,OFFSET($AG$2,,,COUNTIF($AG$2:$AG$50,"?*"),23),9,FALSE)&lt;&gt;0,VLOOKUP(A40,OFFSET($AG$2,,,COUNTIF($AG$2:$AG$50,"?*"),23),9,FALSE),""),"")</f>
        <v/>
      </c>
      <c r="F40" s="2" t="str">
        <f ca="1">IFERROR(IF(VLOOKUP(A40,OFFSET($AG$2,,,COUNTIF($AG$2:$AG$50,"?*"),23),8,FALSE)&lt;&gt;0,VLOOKUP(A40,OFFSET($AG$2,,,COUNTIF($AG$2:$AG$50,"?*"),23),8,FALSE),"?"),"")</f>
        <v/>
      </c>
      <c r="H40" s="301"/>
      <c r="J40" s="18" t="str">
        <f ca="1">IFERROR(IF(VLOOKUP(E37,OFFSET($AG$2,,,COUNTIF($AG$2:$AG$50,"?*"),23),7,FALSE)&lt;&gt;0,VLOOKUP(E37,OFFSET($AG$2,,,COUNTIF($AG$2:$AG$50,"?*"),23),7,FALSE),"?"),"")</f>
        <v/>
      </c>
      <c r="K40" s="311" t="str">
        <f ca="1">IFERROR(VLOOKUP(H38,OFFSET($AG$2,,,COUNTIF($AG$2:$AG$50,"?*"),23),19,FALSE),"")</f>
        <v/>
      </c>
      <c r="L40" s="311"/>
      <c r="M40" s="311"/>
      <c r="N40" s="312" t="str">
        <f ca="1">IFERROR(IF(VLOOKUP(N37,OFFSET($AG$2,,,COUNTIF($AG$2:$AG$50,"?*"),23),13,FALSE)&lt;&gt;0,VLOOKUP(N37,OFFSET($AG$2,,,COUNTIF($AG$2:$AG$50,"?*"),23),13,FALSE),"?"),"")</f>
        <v/>
      </c>
      <c r="O40" s="312"/>
      <c r="P40" s="312"/>
      <c r="Q40" s="311" t="str">
        <f ca="1">IFERROR(IF(VLOOKUP(N37,OFFSET($AG$2,,,COUNTIF($AG$2:$AG$50,"?*"),23),14,FALSE)&lt;&gt;0,VLOOKUP(N37,OFFSET($AG$2,,,COUNTIF($AG$2:$AG$50,"?*"),23),14,FALSE),"?"),"")</f>
        <v/>
      </c>
      <c r="R40" s="313"/>
      <c r="S40" s="8"/>
      <c r="AG40" s="328"/>
      <c r="AH40" s="329"/>
      <c r="AI40" s="330"/>
      <c r="AJ40" s="330"/>
      <c r="AK40" s="330"/>
      <c r="AL40" s="330"/>
      <c r="AM40" s="330"/>
      <c r="AN40" s="330"/>
      <c r="AO40" s="331"/>
      <c r="AP40" s="331"/>
      <c r="AQ40" s="330"/>
      <c r="AR40" s="330"/>
      <c r="AS40" s="332"/>
      <c r="AT40" s="330"/>
      <c r="AU40" s="66" t="str">
        <f t="shared" ca="1" si="0"/>
        <v/>
      </c>
      <c r="AV40" s="66" t="str">
        <f t="shared" si="3"/>
        <v/>
      </c>
      <c r="AW40" s="128" t="str">
        <f t="shared" si="1"/>
        <v/>
      </c>
      <c r="AX40" s="123" t="str">
        <f t="shared" ca="1" si="17"/>
        <v/>
      </c>
      <c r="AY40" s="123" t="str">
        <f t="shared" ca="1" si="18"/>
        <v/>
      </c>
      <c r="BD40" s="3" t="str">
        <f t="shared" si="5"/>
        <v/>
      </c>
      <c r="BE40" s="123" t="str">
        <f t="shared" ca="1" si="6"/>
        <v/>
      </c>
      <c r="BF40" s="66" t="str">
        <f t="shared" si="7"/>
        <v/>
      </c>
      <c r="BG40" s="3" t="str">
        <f t="shared" ca="1" si="8"/>
        <v/>
      </c>
      <c r="BH40" s="66" t="str">
        <f t="shared" ca="1" si="9"/>
        <v/>
      </c>
      <c r="BI40" s="3" t="str">
        <f t="shared" ca="1" si="10"/>
        <v/>
      </c>
      <c r="BJ40" s="66" t="str">
        <f t="shared" ca="1" si="9"/>
        <v/>
      </c>
      <c r="BK40" s="3" t="str">
        <f t="shared" ca="1" si="11"/>
        <v/>
      </c>
      <c r="BL40" s="66" t="str">
        <f t="shared" ca="1" si="12"/>
        <v/>
      </c>
      <c r="BM40" s="3" t="str">
        <f t="shared" ca="1" si="13"/>
        <v/>
      </c>
    </row>
    <row r="41" spans="1:65" ht="15" customHeight="1" thickBot="1" x14ac:dyDescent="0.25">
      <c r="A41" s="14" t="str">
        <f ca="1">IFERROR(IF(VLOOKUP(A40,OFFSET($AG$2,,,COUNTIF($AG$2:$AG$50,"?*"),23),7,FALSE)&lt;&gt;0,VLOOKUP(A40,OFFSET($AG$2,,,COUNTIF($AG$2:$AG$50,"?*"),23),7,FALSE),"?"),"")</f>
        <v/>
      </c>
      <c r="B41" s="252" t="str">
        <f ca="1">IFERROR(IF(VLOOKUP(A40,OFFSET($AG$2,,,COUNTIF($AG$2:$AG$50,"?*"),23),2,FALSE)&lt;&gt;0,YEAR(VLOOKUP(A40,OFFSET($AG$2,,,COUNTIF($AG$2:$AG$50,"?*"),23),2,FALSE)),"?"),"")</f>
        <v/>
      </c>
      <c r="C41" s="261"/>
      <c r="D41" s="140" t="str">
        <f ca="1">IFERROR(VLOOKUP(A40,OFFSET($AG$2,,,COUNTIF($AG$2:$AG$50,"?*"),23),15,FALSE),"")</f>
        <v/>
      </c>
      <c r="E41" s="251" t="str">
        <f ca="1">IFERROR(VLOOKUP(A40,OFFSET($AG$2,,,COUNTIF($AG$2:$AG$50,"?*"),23),16,FALSE),"")</f>
        <v/>
      </c>
      <c r="F41" s="253"/>
      <c r="H41" s="301"/>
      <c r="M41" s="8"/>
      <c r="N41" s="8"/>
      <c r="O41" s="8"/>
      <c r="P41" s="8"/>
      <c r="Q41" s="8"/>
      <c r="R41" s="8"/>
      <c r="S41" s="8"/>
      <c r="AG41" s="333"/>
      <c r="AH41" s="334"/>
      <c r="AI41" s="335"/>
      <c r="AJ41" s="335"/>
      <c r="AK41" s="335"/>
      <c r="AL41" s="335"/>
      <c r="AM41" s="335"/>
      <c r="AN41" s="335"/>
      <c r="AO41" s="336"/>
      <c r="AP41" s="336"/>
      <c r="AQ41" s="335"/>
      <c r="AR41" s="335"/>
      <c r="AS41" s="337"/>
      <c r="AT41" s="335"/>
      <c r="AU41" s="130" t="str">
        <f t="shared" ca="1" si="0"/>
        <v/>
      </c>
      <c r="AV41" s="130" t="str">
        <f t="shared" si="3"/>
        <v/>
      </c>
      <c r="AW41" s="131" t="str">
        <f t="shared" si="1"/>
        <v/>
      </c>
      <c r="AX41" s="132" t="str">
        <f t="shared" ca="1" si="17"/>
        <v/>
      </c>
      <c r="AY41" s="132" t="str">
        <f t="shared" ca="1" si="18"/>
        <v/>
      </c>
      <c r="AZ41" s="132"/>
      <c r="BA41" s="132"/>
      <c r="BB41" s="132"/>
      <c r="BC41" s="132"/>
      <c r="BD41" s="129" t="str">
        <f t="shared" si="5"/>
        <v/>
      </c>
      <c r="BE41" s="132" t="str">
        <f t="shared" ca="1" si="6"/>
        <v/>
      </c>
      <c r="BF41" s="130" t="str">
        <f t="shared" si="7"/>
        <v/>
      </c>
      <c r="BG41" s="129" t="str">
        <f t="shared" ca="1" si="8"/>
        <v/>
      </c>
      <c r="BH41" s="130" t="str">
        <f t="shared" ca="1" si="9"/>
        <v/>
      </c>
      <c r="BI41" s="129" t="str">
        <f t="shared" ca="1" si="10"/>
        <v/>
      </c>
      <c r="BJ41" s="130" t="str">
        <f t="shared" ca="1" si="9"/>
        <v/>
      </c>
      <c r="BK41" s="129" t="str">
        <f t="shared" ca="1" si="11"/>
        <v/>
      </c>
      <c r="BL41" s="130" t="str">
        <f t="shared" ca="1" si="12"/>
        <v/>
      </c>
      <c r="BM41" s="129" t="str">
        <f t="shared" ca="1" si="13"/>
        <v/>
      </c>
    </row>
    <row r="42" spans="1:65" ht="15" customHeight="1" thickTop="1" thickBot="1" x14ac:dyDescent="0.25">
      <c r="A42" s="16" t="str">
        <f ca="1">IFERROR(VLOOKUP(A40,OFFSET($S$45,,,COUNTIF($S$45:$S$50,"?*"),14),2,FALSE),"")</f>
        <v/>
      </c>
      <c r="B42" s="308" t="str">
        <f ca="1">IFERROR(VLOOKUP(A40,OFFSET($AG$2,,,COUNTIF($AG$2:$AG$50,"?*"),23),18,FALSE),"")</f>
        <v/>
      </c>
      <c r="C42" s="308"/>
      <c r="D42" s="309" t="str">
        <f ca="1">IFERROR(VLOOKUP(A40,OFFSET($S$45,,,COUNTIF($S$45:$S$50,"?*"),14),5,FALSE),"")</f>
        <v/>
      </c>
      <c r="E42" s="310"/>
      <c r="F42" s="17" t="str">
        <f ca="1">IFERROR(VLOOKUP(A40,OFFSET($S$45,,,COUNTIF($S$45:$S$50,"?*"),14),14,FALSE),"")</f>
        <v/>
      </c>
      <c r="H42" s="301"/>
      <c r="J42" s="294"/>
      <c r="K42" s="295"/>
      <c r="L42" s="295"/>
      <c r="M42" s="295"/>
      <c r="N42" s="295"/>
      <c r="O42" s="295"/>
      <c r="P42" s="295"/>
      <c r="Q42" s="1"/>
      <c r="R42" s="2"/>
      <c r="S42" s="8"/>
      <c r="AG42" s="328"/>
      <c r="AH42" s="329"/>
      <c r="AI42" s="330"/>
      <c r="AJ42" s="330"/>
      <c r="AK42" s="330"/>
      <c r="AL42" s="330"/>
      <c r="AM42" s="330"/>
      <c r="AN42" s="330"/>
      <c r="AO42" s="331"/>
      <c r="AP42" s="331"/>
      <c r="AQ42" s="330"/>
      <c r="AR42" s="330"/>
      <c r="AS42" s="332"/>
      <c r="AT42" s="330"/>
      <c r="AU42" s="66" t="str">
        <f t="shared" ca="1" si="0"/>
        <v/>
      </c>
      <c r="AV42" s="66" t="str">
        <f t="shared" si="3"/>
        <v/>
      </c>
      <c r="AW42" s="128" t="str">
        <f t="shared" si="1"/>
        <v/>
      </c>
      <c r="AX42" s="123" t="str">
        <f t="shared" ca="1" si="17"/>
        <v/>
      </c>
      <c r="AY42" s="123" t="str">
        <f t="shared" ca="1" si="18"/>
        <v/>
      </c>
      <c r="BD42" s="3" t="str">
        <f t="shared" si="5"/>
        <v/>
      </c>
      <c r="BE42" s="123" t="str">
        <f t="shared" ca="1" si="6"/>
        <v/>
      </c>
      <c r="BF42" s="66" t="str">
        <f t="shared" si="7"/>
        <v/>
      </c>
      <c r="BG42" s="3" t="str">
        <f t="shared" ca="1" si="8"/>
        <v/>
      </c>
      <c r="BH42" s="66" t="str">
        <f t="shared" ca="1" si="9"/>
        <v/>
      </c>
      <c r="BI42" s="3" t="str">
        <f t="shared" ca="1" si="10"/>
        <v/>
      </c>
      <c r="BJ42" s="66" t="str">
        <f t="shared" ca="1" si="9"/>
        <v/>
      </c>
      <c r="BK42" s="3" t="str">
        <f t="shared" ca="1" si="11"/>
        <v/>
      </c>
      <c r="BL42" s="66" t="str">
        <f t="shared" ca="1" si="12"/>
        <v/>
      </c>
      <c r="BM42" s="3" t="str">
        <f t="shared" ca="1" si="13"/>
        <v/>
      </c>
    </row>
    <row r="43" spans="1:65" ht="15" customHeight="1" thickBot="1" x14ac:dyDescent="0.25">
      <c r="A43" s="303" t="str">
        <f ca="1">IFERROR(VLOOKUP(A40,OFFSET($S$45,,,COUNTIF($S$45:$S$50,"?*"),14),3,FALSE),"")</f>
        <v/>
      </c>
      <c r="B43" s="304"/>
      <c r="C43" s="305" t="str">
        <f ca="1">IFERROR(VLOOKUP(A40,OFFSET($S$45,,,COUNTIF($S$45:$S$50,"?*"),14),13,FALSE),"")</f>
        <v/>
      </c>
      <c r="D43" s="306"/>
      <c r="E43" s="282" t="str">
        <f ca="1">IFERROR(VLOOKUP(A40,OFFSET($AG$2,,,COUNTIF($AG$2:$AG$50,"?*"),23),19,FALSE),"")</f>
        <v/>
      </c>
      <c r="F43" s="283"/>
      <c r="H43" s="301"/>
      <c r="J43" s="4" t="str">
        <f ca="1">IFERROR(IF(VLOOKUP(J42,OFFSET($AG$2,,,COUNTIF($AG$2:$AG$50,"?*"),23),10,FALSE)&lt;&gt;0,VLOOKUP(J42,OFFSET($AG$2,,,COUNTIF($AG$2:$AG$50,"?*"),23),10,FALSE),"?"),"")</f>
        <v/>
      </c>
      <c r="K43" s="261" t="str">
        <f ca="1">IFERROR(IF(VLOOKUP(J42,OFFSET($AG$2,,,COUNTIF($AG$2:$AG$50,"?*"),23),2,FALSE)&lt;&gt;0,YEAR(VLOOKUP(J42,OFFSET($AG$2,,,COUNTIF($AG$2:$AG$50,"?*"),23),2,FALSE)),"?"),"")</f>
        <v/>
      </c>
      <c r="L43" s="302"/>
      <c r="M43" s="139" t="str">
        <f ca="1">IFERROR(VLOOKUP(J42,OFFSET($AG$2,,,COUNTIF($AG$2:$AG$50,"?*"),23),15,FALSE),"")</f>
        <v/>
      </c>
      <c r="N43" s="302" t="str">
        <f ca="1">IFERROR(VLOOKUP(J42,OFFSET($AG$2,,,COUNTIF($AG$2:$AG$50,"?*"),23),16,FALSE),"")</f>
        <v/>
      </c>
      <c r="O43" s="302"/>
      <c r="P43" s="302" t="str">
        <f ca="1">IFERROR(VLOOKUP(P41,OFFSET($AG$2,,,COUNTIF($AG$2:$AG$50,"?*"),23),18,FALSE),"")</f>
        <v/>
      </c>
      <c r="Q43" s="302"/>
      <c r="R43" s="307"/>
      <c r="AG43" s="333"/>
      <c r="AH43" s="334"/>
      <c r="AI43" s="335"/>
      <c r="AJ43" s="335"/>
      <c r="AK43" s="335"/>
      <c r="AL43" s="335"/>
      <c r="AM43" s="335"/>
      <c r="AN43" s="335"/>
      <c r="AO43" s="336"/>
      <c r="AP43" s="336"/>
      <c r="AQ43" s="335"/>
      <c r="AR43" s="335"/>
      <c r="AS43" s="337"/>
      <c r="AT43" s="335"/>
      <c r="AU43" s="130" t="str">
        <f t="shared" ca="1" si="0"/>
        <v/>
      </c>
      <c r="AV43" s="130" t="str">
        <f t="shared" si="3"/>
        <v/>
      </c>
      <c r="AW43" s="131" t="str">
        <f t="shared" si="1"/>
        <v/>
      </c>
      <c r="AX43" s="132" t="str">
        <f t="shared" ca="1" si="17"/>
        <v/>
      </c>
      <c r="AY43" s="132" t="str">
        <f t="shared" ca="1" si="18"/>
        <v/>
      </c>
      <c r="AZ43" s="132"/>
      <c r="BA43" s="132"/>
      <c r="BB43" s="132"/>
      <c r="BC43" s="132"/>
      <c r="BD43" s="129" t="str">
        <f t="shared" si="5"/>
        <v/>
      </c>
      <c r="BE43" s="132" t="str">
        <f t="shared" ca="1" si="6"/>
        <v/>
      </c>
      <c r="BF43" s="130" t="str">
        <f t="shared" si="7"/>
        <v/>
      </c>
      <c r="BG43" s="129" t="str">
        <f t="shared" ca="1" si="8"/>
        <v/>
      </c>
      <c r="BH43" s="130" t="str">
        <f t="shared" ca="1" si="9"/>
        <v/>
      </c>
      <c r="BI43" s="129" t="str">
        <f t="shared" ca="1" si="10"/>
        <v/>
      </c>
      <c r="BJ43" s="130" t="str">
        <f t="shared" ca="1" si="9"/>
        <v/>
      </c>
      <c r="BK43" s="129" t="str">
        <f t="shared" ca="1" si="11"/>
        <v/>
      </c>
      <c r="BL43" s="130" t="str">
        <f t="shared" ca="1" si="12"/>
        <v/>
      </c>
      <c r="BM43" s="129" t="str">
        <f t="shared" ca="1" si="13"/>
        <v/>
      </c>
    </row>
    <row r="44" spans="1:65" ht="15" customHeight="1" thickBot="1" x14ac:dyDescent="0.25">
      <c r="A44" s="297" t="str">
        <f ca="1">IFERROR(IF(VLOOKUP(A40,OFFSET($AG$2,,,COUNTIF($AG$2:$AG$50,"?*"),23),13,FALSE)&lt;&gt;0,VLOOKUP(A40,OFFSET($AG$2,,,COUNTIF($AG$2:$AG$50,"?*"),23),13,FALSE),"?"),"")</f>
        <v/>
      </c>
      <c r="B44" s="298"/>
      <c r="C44" s="299"/>
      <c r="D44" s="288" t="str">
        <f ca="1">IFERROR(IF(VLOOKUP(A40,OFFSET($AG$2,,,COUNTIF($AG$2:$AG$50,"?*"),23),14,FALSE)&lt;&gt;0,VLOOKUP(A40,OFFSET($AG$2,,,COUNTIF($AG$2:$AG$50,"?*"),23),14,FALSE),"?"),"")</f>
        <v/>
      </c>
      <c r="E44" s="287"/>
      <c r="F44" s="19" t="str">
        <f ca="1">IFERROR(VLOOKUP(A40,OFFSET($S$45,,,COUNTIF($S$45:$S$50,"?*"),14),6,FALSE),"")</f>
        <v/>
      </c>
      <c r="H44" s="301"/>
      <c r="J44" s="18" t="str">
        <f ca="1">IFERROR(IF(VLOOKUP(E41,OFFSET($AG$2,,,COUNTIF($AG$2:$AG$50,"?*"),23),7,FALSE)&lt;&gt;0,VLOOKUP(E41,OFFSET($AG$2,,,COUNTIF($AG$2:$AG$50,"?*"),23),7,FALSE),"?"),"")</f>
        <v/>
      </c>
      <c r="K44" s="311" t="str">
        <f ca="1">IFERROR(VLOOKUP(H42,OFFSET($AG$2,,,COUNTIF($AG$2:$AG$50,"?*"),23),19,FALSE),"")</f>
        <v/>
      </c>
      <c r="L44" s="311"/>
      <c r="M44" s="311"/>
      <c r="N44" s="312" t="str">
        <f ca="1">IFERROR(IF(VLOOKUP(N41,OFFSET($AG$2,,,COUNTIF($AG$2:$AG$50,"?*"),23),13,FALSE)&lt;&gt;0,VLOOKUP(N41,OFFSET($AG$2,,,COUNTIF($AG$2:$AG$50,"?*"),23),13,FALSE),"?"),"")</f>
        <v/>
      </c>
      <c r="O44" s="312"/>
      <c r="P44" s="312"/>
      <c r="Q44" s="311" t="str">
        <f ca="1">IFERROR(IF(VLOOKUP(N41,OFFSET($AG$2,,,COUNTIF($AG$2:$AG$50,"?*"),23),14,FALSE)&lt;&gt;0,VLOOKUP(N41,OFFSET($AG$2,,,COUNTIF($AG$2:$AG$50,"?*"),23),14,FALSE),"?"),"")</f>
        <v/>
      </c>
      <c r="R44" s="313"/>
      <c r="S44" s="68" t="s">
        <v>142</v>
      </c>
      <c r="T44" s="124" t="s">
        <v>89</v>
      </c>
      <c r="U44" s="124" t="s">
        <v>146</v>
      </c>
      <c r="V44" s="124" t="s">
        <v>26</v>
      </c>
      <c r="W44" s="124" t="s">
        <v>148</v>
      </c>
      <c r="X44" s="124" t="s">
        <v>147</v>
      </c>
      <c r="Y44" s="124" t="s">
        <v>73</v>
      </c>
      <c r="Z44" s="124" t="s">
        <v>149</v>
      </c>
      <c r="AA44" s="124" t="s">
        <v>27</v>
      </c>
      <c r="AB44" s="124" t="s">
        <v>60</v>
      </c>
      <c r="AC44" s="124" t="s">
        <v>144</v>
      </c>
      <c r="AD44" s="124" t="s">
        <v>31</v>
      </c>
      <c r="AE44" s="67" t="s">
        <v>40</v>
      </c>
      <c r="AF44" s="67" t="s">
        <v>150</v>
      </c>
      <c r="AG44" s="328"/>
      <c r="AH44" s="329"/>
      <c r="AI44" s="330"/>
      <c r="AJ44" s="330"/>
      <c r="AK44" s="330"/>
      <c r="AL44" s="330"/>
      <c r="AM44" s="330"/>
      <c r="AN44" s="330"/>
      <c r="AO44" s="331"/>
      <c r="AP44" s="331"/>
      <c r="AQ44" s="330"/>
      <c r="AR44" s="330"/>
      <c r="AS44" s="332"/>
      <c r="AT44" s="330"/>
      <c r="AU44" s="66" t="str">
        <f t="shared" ca="1" si="0"/>
        <v/>
      </c>
      <c r="AV44" s="66" t="str">
        <f t="shared" si="3"/>
        <v/>
      </c>
      <c r="AW44" s="128" t="str">
        <f t="shared" si="1"/>
        <v/>
      </c>
      <c r="AX44" s="123" t="str">
        <f t="shared" ca="1" si="17"/>
        <v/>
      </c>
      <c r="AY44" s="123" t="str">
        <f t="shared" ca="1" si="18"/>
        <v/>
      </c>
      <c r="BD44" s="3" t="str">
        <f t="shared" si="5"/>
        <v/>
      </c>
      <c r="BE44" s="123" t="str">
        <f t="shared" ca="1" si="6"/>
        <v/>
      </c>
      <c r="BF44" s="66" t="str">
        <f t="shared" si="7"/>
        <v/>
      </c>
      <c r="BG44" s="3" t="str">
        <f t="shared" ca="1" si="8"/>
        <v/>
      </c>
      <c r="BH44" s="66" t="str">
        <f t="shared" ca="1" si="9"/>
        <v/>
      </c>
      <c r="BI44" s="3" t="str">
        <f t="shared" ca="1" si="10"/>
        <v/>
      </c>
      <c r="BJ44" s="66" t="str">
        <f t="shared" ca="1" si="9"/>
        <v/>
      </c>
      <c r="BK44" s="3" t="str">
        <f t="shared" ca="1" si="11"/>
        <v/>
      </c>
      <c r="BL44" s="66" t="str">
        <f t="shared" ca="1" si="12"/>
        <v/>
      </c>
      <c r="BM44" s="3" t="str">
        <f t="shared" ca="1" si="13"/>
        <v/>
      </c>
    </row>
    <row r="45" spans="1:65" ht="15" customHeight="1" thickTop="1" thickBot="1" x14ac:dyDescent="0.25">
      <c r="G45" s="8"/>
      <c r="H45" s="8"/>
      <c r="I45" s="8"/>
      <c r="J45" s="8"/>
      <c r="K45" s="8"/>
      <c r="L45" s="8"/>
      <c r="M45" s="20"/>
      <c r="N45" s="20"/>
      <c r="O45" s="20"/>
      <c r="P45" s="20"/>
      <c r="Q45" s="20"/>
      <c r="R45" s="21"/>
      <c r="S45" s="8" t="s">
        <v>271</v>
      </c>
      <c r="T45" s="108">
        <v>1</v>
      </c>
      <c r="U45" s="106">
        <v>60</v>
      </c>
      <c r="V45" s="108">
        <v>0</v>
      </c>
      <c r="W45" s="108">
        <v>10</v>
      </c>
      <c r="X45" s="108">
        <v>0</v>
      </c>
      <c r="Y45" s="108">
        <v>27</v>
      </c>
      <c r="Z45" s="108">
        <v>0</v>
      </c>
      <c r="AA45" s="108">
        <v>1</v>
      </c>
      <c r="AB45" s="108">
        <v>17</v>
      </c>
      <c r="AC45" s="108">
        <v>0</v>
      </c>
      <c r="AD45" s="108">
        <v>0</v>
      </c>
      <c r="AE45" s="106">
        <f>IF(S45&lt;&gt;"",IF(T45&gt;0,W45/(U45/60),0),"")</f>
        <v>10</v>
      </c>
      <c r="AF45" s="106">
        <f>IF(S45&lt;&gt;"",IF(Y45&gt;0,(AB45/Y45)*100,"-"),"")</f>
        <v>62.962962962962962</v>
      </c>
      <c r="AG45" s="333"/>
      <c r="AH45" s="334"/>
      <c r="AI45" s="335"/>
      <c r="AJ45" s="335"/>
      <c r="AK45" s="335"/>
      <c r="AL45" s="335"/>
      <c r="AM45" s="335"/>
      <c r="AN45" s="335"/>
      <c r="AO45" s="336"/>
      <c r="AP45" s="336"/>
      <c r="AQ45" s="335"/>
      <c r="AR45" s="335"/>
      <c r="AS45" s="337"/>
      <c r="AT45" s="335"/>
      <c r="AU45" s="130" t="str">
        <f t="shared" ca="1" si="0"/>
        <v/>
      </c>
      <c r="AV45" s="130" t="str">
        <f t="shared" si="3"/>
        <v/>
      </c>
      <c r="AW45" s="131" t="str">
        <f t="shared" si="1"/>
        <v/>
      </c>
      <c r="AX45" s="132" t="str">
        <f t="shared" ca="1" si="17"/>
        <v/>
      </c>
      <c r="AY45" s="132" t="str">
        <f t="shared" ca="1" si="18"/>
        <v/>
      </c>
      <c r="AZ45" s="132"/>
      <c r="BA45" s="132"/>
      <c r="BB45" s="132"/>
      <c r="BC45" s="132"/>
      <c r="BD45" s="129" t="str">
        <f t="shared" si="5"/>
        <v/>
      </c>
      <c r="BE45" s="132" t="str">
        <f t="shared" ca="1" si="6"/>
        <v/>
      </c>
      <c r="BF45" s="130" t="str">
        <f t="shared" si="7"/>
        <v/>
      </c>
      <c r="BG45" s="129" t="str">
        <f t="shared" ca="1" si="8"/>
        <v/>
      </c>
      <c r="BH45" s="130" t="str">
        <f t="shared" ca="1" si="9"/>
        <v/>
      </c>
      <c r="BI45" s="129" t="str">
        <f t="shared" ca="1" si="10"/>
        <v/>
      </c>
      <c r="BJ45" s="130" t="str">
        <f t="shared" ca="1" si="9"/>
        <v/>
      </c>
      <c r="BK45" s="129" t="str">
        <f t="shared" ca="1" si="11"/>
        <v/>
      </c>
      <c r="BL45" s="130" t="str">
        <f t="shared" ca="1" si="12"/>
        <v/>
      </c>
      <c r="BM45" s="129" t="str">
        <f t="shared" ca="1" si="13"/>
        <v/>
      </c>
    </row>
    <row r="46" spans="1:65" ht="15" customHeight="1" thickTop="1" thickBot="1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22"/>
      <c r="N46" s="22"/>
      <c r="O46" s="22"/>
      <c r="P46" s="22"/>
      <c r="Q46" s="22"/>
      <c r="R46" s="23"/>
      <c r="S46" s="8" t="s">
        <v>266</v>
      </c>
      <c r="T46" s="108">
        <v>0</v>
      </c>
      <c r="U46" s="106">
        <v>0</v>
      </c>
      <c r="V46" s="108">
        <v>0</v>
      </c>
      <c r="W46" s="108">
        <v>0</v>
      </c>
      <c r="X46" s="108">
        <v>0</v>
      </c>
      <c r="Y46" s="108">
        <v>0</v>
      </c>
      <c r="Z46" s="108">
        <v>0</v>
      </c>
      <c r="AA46" s="108">
        <v>0</v>
      </c>
      <c r="AB46" s="108">
        <v>0</v>
      </c>
      <c r="AC46" s="108">
        <v>0</v>
      </c>
      <c r="AD46" s="108">
        <v>0</v>
      </c>
      <c r="AE46" s="106">
        <f t="shared" ref="AE46:AE50" si="19">IF(S46&lt;&gt;"",IF(T46&gt;0,W46/(U46/60),0),"")</f>
        <v>0</v>
      </c>
      <c r="AF46" s="106" t="str">
        <f t="shared" ref="AF46:AF50" si="20">IF(S46&lt;&gt;"",IF(Y46&gt;0,(AB46/Y46)*100,"-"),"")</f>
        <v>-</v>
      </c>
      <c r="AG46" s="328"/>
      <c r="AH46" s="329"/>
      <c r="AI46" s="330"/>
      <c r="AJ46" s="330"/>
      <c r="AK46" s="330"/>
      <c r="AL46" s="330"/>
      <c r="AM46" s="330"/>
      <c r="AN46" s="330"/>
      <c r="AO46" s="331"/>
      <c r="AP46" s="331"/>
      <c r="AQ46" s="330"/>
      <c r="AR46" s="330"/>
      <c r="AS46" s="332"/>
      <c r="AT46" s="330"/>
      <c r="AU46" s="66" t="str">
        <f t="shared" ca="1" si="0"/>
        <v/>
      </c>
      <c r="AV46" s="66" t="str">
        <f t="shared" si="3"/>
        <v/>
      </c>
      <c r="AW46" s="128" t="str">
        <f t="shared" si="1"/>
        <v/>
      </c>
      <c r="AX46" s="123" t="str">
        <f t="shared" ca="1" si="17"/>
        <v/>
      </c>
      <c r="AY46" s="123" t="str">
        <f t="shared" ca="1" si="18"/>
        <v/>
      </c>
      <c r="BD46" s="3" t="str">
        <f t="shared" si="5"/>
        <v/>
      </c>
      <c r="BE46" s="123" t="str">
        <f t="shared" ca="1" si="6"/>
        <v/>
      </c>
      <c r="BF46" s="66" t="str">
        <f t="shared" si="7"/>
        <v/>
      </c>
      <c r="BG46" s="3" t="str">
        <f t="shared" ca="1" si="8"/>
        <v/>
      </c>
      <c r="BH46" s="66" t="str">
        <f t="shared" ca="1" si="9"/>
        <v/>
      </c>
      <c r="BI46" s="3" t="str">
        <f t="shared" ca="1" si="10"/>
        <v/>
      </c>
      <c r="BJ46" s="66" t="str">
        <f t="shared" ca="1" si="9"/>
        <v/>
      </c>
      <c r="BK46" s="3" t="str">
        <f t="shared" ca="1" si="11"/>
        <v/>
      </c>
      <c r="BL46" s="66" t="str">
        <f t="shared" ca="1" si="12"/>
        <v/>
      </c>
      <c r="BM46" s="3" t="str">
        <f t="shared" ca="1" si="13"/>
        <v/>
      </c>
    </row>
    <row r="47" spans="1:65" ht="15" customHeight="1" thickTop="1" x14ac:dyDescent="0.2">
      <c r="A47" s="326"/>
      <c r="B47" s="327"/>
      <c r="C47" s="327"/>
      <c r="D47" s="327"/>
      <c r="E47" s="322" t="str">
        <f ca="1">IFERROR(VLOOKUP(A47,OFFSET($BN$2,,,COUNTIF($BN$2:$BN$11,"?*"),5),3,FALSE),"")</f>
        <v/>
      </c>
      <c r="F47" s="322"/>
      <c r="G47" s="322"/>
      <c r="H47" s="322"/>
      <c r="I47" s="323"/>
      <c r="J47" s="326"/>
      <c r="K47" s="327"/>
      <c r="L47" s="327"/>
      <c r="M47" s="327"/>
      <c r="N47" s="322" t="str">
        <f ca="1">IFERROR(VLOOKUP(J47,OFFSET($BN$2,,,COUNTIF($BN$2:$BN$11,"?*"),5),3,FALSE),"")</f>
        <v/>
      </c>
      <c r="O47" s="322"/>
      <c r="P47" s="322"/>
      <c r="Q47" s="322"/>
      <c r="R47" s="323"/>
      <c r="S47" s="8"/>
      <c r="U47" s="106"/>
      <c r="AE47" s="106" t="str">
        <f t="shared" si="19"/>
        <v/>
      </c>
      <c r="AF47" s="106" t="str">
        <f t="shared" si="20"/>
        <v/>
      </c>
      <c r="AG47" s="333"/>
      <c r="AH47" s="334"/>
      <c r="AI47" s="335"/>
      <c r="AJ47" s="335"/>
      <c r="AK47" s="335"/>
      <c r="AL47" s="335"/>
      <c r="AM47" s="335"/>
      <c r="AN47" s="335"/>
      <c r="AO47" s="336"/>
      <c r="AP47" s="336"/>
      <c r="AQ47" s="335"/>
      <c r="AR47" s="335"/>
      <c r="AS47" s="337"/>
      <c r="AT47" s="335"/>
      <c r="AU47" s="130" t="str">
        <f t="shared" ca="1" si="0"/>
        <v/>
      </c>
      <c r="AV47" s="130" t="str">
        <f t="shared" si="3"/>
        <v/>
      </c>
      <c r="AW47" s="131" t="str">
        <f t="shared" si="1"/>
        <v/>
      </c>
      <c r="AX47" s="132" t="str">
        <f t="shared" ca="1" si="17"/>
        <v/>
      </c>
      <c r="AY47" s="132" t="str">
        <f t="shared" ca="1" si="18"/>
        <v/>
      </c>
      <c r="AZ47" s="132"/>
      <c r="BA47" s="132"/>
      <c r="BB47" s="132"/>
      <c r="BC47" s="132"/>
      <c r="BD47" s="129" t="str">
        <f t="shared" si="5"/>
        <v/>
      </c>
      <c r="BE47" s="132" t="str">
        <f t="shared" ca="1" si="6"/>
        <v/>
      </c>
      <c r="BF47" s="130" t="str">
        <f t="shared" si="7"/>
        <v/>
      </c>
      <c r="BG47" s="129" t="str">
        <f t="shared" ca="1" si="8"/>
        <v/>
      </c>
      <c r="BH47" s="130" t="str">
        <f t="shared" ca="1" si="9"/>
        <v/>
      </c>
      <c r="BI47" s="129" t="str">
        <f t="shared" ca="1" si="10"/>
        <v/>
      </c>
      <c r="BJ47" s="130" t="str">
        <f t="shared" ca="1" si="9"/>
        <v/>
      </c>
      <c r="BK47" s="129" t="str">
        <f t="shared" ca="1" si="11"/>
        <v/>
      </c>
      <c r="BL47" s="130" t="str">
        <f t="shared" ca="1" si="12"/>
        <v/>
      </c>
      <c r="BM47" s="129" t="str">
        <f t="shared" ca="1" si="13"/>
        <v/>
      </c>
    </row>
    <row r="48" spans="1:65" ht="15" customHeight="1" thickBot="1" x14ac:dyDescent="0.25">
      <c r="A48" s="314" t="str">
        <f ca="1">IFERROR(VLOOKUP(A47,OFFSET($BN$2,,,COUNTIF($BN$2:$BN$11,"?*"),5),5,FALSE),"")</f>
        <v/>
      </c>
      <c r="B48" s="316" t="str">
        <f ca="1">IFERROR(IF(VLOOKUP(A47,OFFSET($BN$2,,,COUNTIF($BN$2:$BN$11,"?*"),5),4,FALSE)&lt;&gt;0,VLOOKUP(A47,OFFSET($BN$2,,,COUNTIF($BN$2:$BN$11,"?*"),5),4,FALSE),"-"),"")</f>
        <v/>
      </c>
      <c r="C48" s="316"/>
      <c r="D48" s="316"/>
      <c r="E48" s="316"/>
      <c r="F48" s="316"/>
      <c r="G48" s="316"/>
      <c r="H48" s="316"/>
      <c r="I48" s="317"/>
      <c r="J48" s="138" t="str">
        <f ca="1">IFERROR(VLOOKUP(J47,OFFSET($BN$2,,,COUNTIF($BN$2:$BN$11,"?*"),5),5,FALSE),"")</f>
        <v/>
      </c>
      <c r="K48" s="351" t="str">
        <f ca="1">IFERROR(IF(VLOOKUP(J47,OFFSET($BN$2,,,COUNTIF($BN$2:$BN$11,"?*"),5),4,FALSE)&lt;&gt;0,VLOOKUP(J47,OFFSET($BN$2,,,COUNTIF($BN$2:$BN$11,"?*"),5),4,FALSE),"-"),"")</f>
        <v/>
      </c>
      <c r="L48" s="351"/>
      <c r="M48" s="351"/>
      <c r="N48" s="351"/>
      <c r="O48" s="351"/>
      <c r="P48" s="351"/>
      <c r="Q48" s="351"/>
      <c r="R48" s="352"/>
      <c r="S48" s="8"/>
      <c r="U48" s="106"/>
      <c r="AE48" s="106" t="str">
        <f t="shared" si="19"/>
        <v/>
      </c>
      <c r="AF48" s="106" t="str">
        <f t="shared" si="20"/>
        <v/>
      </c>
      <c r="AG48" s="328"/>
      <c r="AH48" s="329"/>
      <c r="AI48" s="330"/>
      <c r="AJ48" s="330"/>
      <c r="AK48" s="330"/>
      <c r="AL48" s="330"/>
      <c r="AM48" s="330"/>
      <c r="AN48" s="330"/>
      <c r="AO48" s="331"/>
      <c r="AP48" s="331"/>
      <c r="AQ48" s="330"/>
      <c r="AR48" s="330"/>
      <c r="AS48" s="332"/>
      <c r="AT48" s="330"/>
      <c r="AU48" s="66" t="str">
        <f t="shared" ca="1" si="0"/>
        <v/>
      </c>
      <c r="AV48" s="66" t="str">
        <f t="shared" si="3"/>
        <v/>
      </c>
      <c r="AW48" s="128" t="str">
        <f t="shared" si="1"/>
        <v/>
      </c>
      <c r="AX48" s="123" t="str">
        <f t="shared" ca="1" si="17"/>
        <v/>
      </c>
      <c r="AY48" s="123" t="str">
        <f t="shared" ca="1" si="18"/>
        <v/>
      </c>
      <c r="BD48" s="3" t="str">
        <f t="shared" si="5"/>
        <v/>
      </c>
      <c r="BE48" s="123" t="str">
        <f t="shared" ca="1" si="6"/>
        <v/>
      </c>
      <c r="BF48" s="66" t="str">
        <f t="shared" si="7"/>
        <v/>
      </c>
      <c r="BG48" s="3" t="str">
        <f t="shared" ca="1" si="8"/>
        <v/>
      </c>
      <c r="BH48" s="66" t="str">
        <f t="shared" ca="1" si="9"/>
        <v/>
      </c>
      <c r="BI48" s="3" t="str">
        <f t="shared" ca="1" si="10"/>
        <v/>
      </c>
      <c r="BJ48" s="66" t="str">
        <f t="shared" ca="1" si="9"/>
        <v/>
      </c>
      <c r="BK48" s="3" t="str">
        <f t="shared" ca="1" si="11"/>
        <v/>
      </c>
      <c r="BL48" s="66" t="str">
        <f t="shared" ca="1" si="12"/>
        <v/>
      </c>
      <c r="BM48" s="3" t="str">
        <f t="shared" ca="1" si="13"/>
        <v/>
      </c>
    </row>
    <row r="49" spans="1:65" ht="15" customHeight="1" thickTop="1" x14ac:dyDescent="0.2">
      <c r="A49" s="314"/>
      <c r="B49" s="316"/>
      <c r="C49" s="316"/>
      <c r="D49" s="316"/>
      <c r="E49" s="316"/>
      <c r="F49" s="316"/>
      <c r="G49" s="316"/>
      <c r="H49" s="316"/>
      <c r="I49" s="317"/>
      <c r="J49" s="320"/>
      <c r="K49" s="321"/>
      <c r="L49" s="321"/>
      <c r="M49" s="321"/>
      <c r="N49" s="322" t="str">
        <f ca="1">IFERROR(VLOOKUP(J49,OFFSET($BN$2,,,COUNTIF($BN$2:$BN$11,"?*"),5),3,FALSE),"")</f>
        <v/>
      </c>
      <c r="O49" s="322"/>
      <c r="P49" s="322"/>
      <c r="Q49" s="322"/>
      <c r="R49" s="323"/>
      <c r="S49" s="8"/>
      <c r="U49" s="106"/>
      <c r="AE49" s="106" t="str">
        <f t="shared" si="19"/>
        <v/>
      </c>
      <c r="AF49" s="106" t="str">
        <f t="shared" si="20"/>
        <v/>
      </c>
      <c r="AG49" s="333"/>
      <c r="AH49" s="334"/>
      <c r="AI49" s="335"/>
      <c r="AJ49" s="335"/>
      <c r="AK49" s="335"/>
      <c r="AL49" s="335"/>
      <c r="AM49" s="335"/>
      <c r="AN49" s="335"/>
      <c r="AO49" s="336"/>
      <c r="AP49" s="336"/>
      <c r="AQ49" s="335"/>
      <c r="AR49" s="335"/>
      <c r="AS49" s="337"/>
      <c r="AT49" s="335"/>
      <c r="AU49" s="130" t="str">
        <f t="shared" ca="1" si="0"/>
        <v/>
      </c>
      <c r="AV49" s="130" t="str">
        <f t="shared" si="3"/>
        <v/>
      </c>
      <c r="AW49" s="131" t="str">
        <f t="shared" si="1"/>
        <v/>
      </c>
      <c r="AX49" s="132" t="str">
        <f t="shared" ca="1" si="17"/>
        <v/>
      </c>
      <c r="AY49" s="132" t="str">
        <f t="shared" ca="1" si="18"/>
        <v/>
      </c>
      <c r="AZ49" s="132"/>
      <c r="BA49" s="132"/>
      <c r="BB49" s="132"/>
      <c r="BC49" s="132"/>
      <c r="BD49" s="129" t="str">
        <f t="shared" si="5"/>
        <v/>
      </c>
      <c r="BE49" s="132" t="str">
        <f t="shared" ca="1" si="6"/>
        <v/>
      </c>
      <c r="BF49" s="130" t="str">
        <f t="shared" si="7"/>
        <v/>
      </c>
      <c r="BG49" s="129" t="str">
        <f t="shared" ca="1" si="8"/>
        <v/>
      </c>
      <c r="BH49" s="130" t="str">
        <f t="shared" ca="1" si="9"/>
        <v/>
      </c>
      <c r="BI49" s="129" t="str">
        <f t="shared" ca="1" si="10"/>
        <v/>
      </c>
      <c r="BJ49" s="130" t="str">
        <f t="shared" ca="1" si="9"/>
        <v/>
      </c>
      <c r="BK49" s="129" t="str">
        <f t="shared" ca="1" si="11"/>
        <v/>
      </c>
      <c r="BL49" s="130" t="str">
        <f t="shared" ca="1" si="12"/>
        <v/>
      </c>
      <c r="BM49" s="129" t="str">
        <f t="shared" ca="1" si="13"/>
        <v/>
      </c>
    </row>
    <row r="50" spans="1:65" ht="15" customHeight="1" thickBot="1" x14ac:dyDescent="0.25">
      <c r="A50" s="315"/>
      <c r="B50" s="318"/>
      <c r="C50" s="318"/>
      <c r="D50" s="318"/>
      <c r="E50" s="318"/>
      <c r="F50" s="318"/>
      <c r="G50" s="318"/>
      <c r="H50" s="318"/>
      <c r="I50" s="319"/>
      <c r="J50" s="138" t="str">
        <f ca="1">IFERROR(VLOOKUP(J49,OFFSET($BN$2,,,COUNTIF($BN$2:$BN$11,"?*"),5),5,FALSE),"")</f>
        <v/>
      </c>
      <c r="K50" s="351" t="str">
        <f ca="1">IFERROR(IF(VLOOKUP(J49,OFFSET($BN$2,,,COUNTIF($BN$2:$BN$11,"?*"),5),4,FALSE)&lt;&gt;0,VLOOKUP(J49,OFFSET($BN$2,,,COUNTIF($BN$2:$BN$11,"?*"),5),4,FALSE),"-"),"")</f>
        <v/>
      </c>
      <c r="L50" s="351"/>
      <c r="M50" s="351"/>
      <c r="N50" s="351"/>
      <c r="O50" s="351"/>
      <c r="P50" s="351"/>
      <c r="Q50" s="351"/>
      <c r="R50" s="352"/>
      <c r="S50" s="8"/>
      <c r="U50" s="106"/>
      <c r="AE50" s="106" t="str">
        <f t="shared" si="19"/>
        <v/>
      </c>
      <c r="AF50" s="106" t="str">
        <f t="shared" si="20"/>
        <v/>
      </c>
      <c r="AG50" s="328"/>
      <c r="AH50" s="329"/>
      <c r="AI50" s="330"/>
      <c r="AJ50" s="330"/>
      <c r="AK50" s="330"/>
      <c r="AL50" s="330"/>
      <c r="AM50" s="330"/>
      <c r="AN50" s="330"/>
      <c r="AO50" s="331"/>
      <c r="AP50" s="331"/>
      <c r="AQ50" s="330"/>
      <c r="AR50" s="330"/>
      <c r="AS50" s="332"/>
      <c r="AT50" s="330"/>
      <c r="AU50" s="66" t="str">
        <f t="shared" ca="1" si="0"/>
        <v/>
      </c>
      <c r="AV50" s="66" t="str">
        <f t="shared" si="3"/>
        <v/>
      </c>
      <c r="AW50" s="128" t="str">
        <f t="shared" si="1"/>
        <v/>
      </c>
      <c r="AX50" s="123" t="str">
        <f t="shared" ca="1" si="17"/>
        <v/>
      </c>
      <c r="AY50" s="123" t="str">
        <f t="shared" ca="1" si="18"/>
        <v/>
      </c>
      <c r="BD50" s="3" t="str">
        <f t="shared" si="5"/>
        <v/>
      </c>
      <c r="BE50" s="123" t="str">
        <f t="shared" ca="1" si="6"/>
        <v/>
      </c>
      <c r="BF50" s="66" t="str">
        <f t="shared" si="7"/>
        <v/>
      </c>
      <c r="BG50" s="3" t="str">
        <f t="shared" ca="1" si="8"/>
        <v/>
      </c>
      <c r="BH50" s="66" t="str">
        <f t="shared" ca="1" si="9"/>
        <v/>
      </c>
      <c r="BI50" s="3" t="str">
        <f t="shared" ca="1" si="10"/>
        <v/>
      </c>
      <c r="BJ50" s="66" t="str">
        <f t="shared" ca="1" si="9"/>
        <v/>
      </c>
      <c r="BK50" s="3" t="str">
        <f t="shared" ca="1" si="11"/>
        <v/>
      </c>
      <c r="BL50" s="66" t="str">
        <f t="shared" ca="1" si="12"/>
        <v/>
      </c>
      <c r="BM50" s="3" t="str">
        <f t="shared" ca="1" si="13"/>
        <v/>
      </c>
    </row>
    <row r="51" spans="1:65" ht="15" thickTop="1" x14ac:dyDescent="0.2"/>
  </sheetData>
  <sheetProtection selectLockedCells="1"/>
  <mergeCells count="171">
    <mergeCell ref="A48:A50"/>
    <mergeCell ref="B48:I50"/>
    <mergeCell ref="K48:R48"/>
    <mergeCell ref="J49:M49"/>
    <mergeCell ref="N49:R49"/>
    <mergeCell ref="K50:R50"/>
    <mergeCell ref="A44:C44"/>
    <mergeCell ref="D44:E44"/>
    <mergeCell ref="K44:M44"/>
    <mergeCell ref="N44:P44"/>
    <mergeCell ref="Q44:R44"/>
    <mergeCell ref="A47:D47"/>
    <mergeCell ref="E47:I47"/>
    <mergeCell ref="J47:M47"/>
    <mergeCell ref="N47:R47"/>
    <mergeCell ref="B42:C42"/>
    <mergeCell ref="D42:E42"/>
    <mergeCell ref="J42:P42"/>
    <mergeCell ref="A43:B43"/>
    <mergeCell ref="C43:D43"/>
    <mergeCell ref="E43:F43"/>
    <mergeCell ref="K43:L43"/>
    <mergeCell ref="N43:O43"/>
    <mergeCell ref="P43:R43"/>
    <mergeCell ref="A40:D40"/>
    <mergeCell ref="K40:M40"/>
    <mergeCell ref="N40:P40"/>
    <mergeCell ref="Q40:R40"/>
    <mergeCell ref="B41:C41"/>
    <mergeCell ref="E41:F41"/>
    <mergeCell ref="A38:C38"/>
    <mergeCell ref="D38:E38"/>
    <mergeCell ref="J38:P38"/>
    <mergeCell ref="K39:L39"/>
    <mergeCell ref="N39:O39"/>
    <mergeCell ref="P39:R39"/>
    <mergeCell ref="K36:M36"/>
    <mergeCell ref="N36:P36"/>
    <mergeCell ref="Q36:R36"/>
    <mergeCell ref="A37:B37"/>
    <mergeCell ref="C37:D37"/>
    <mergeCell ref="E37:F37"/>
    <mergeCell ref="A34:D34"/>
    <mergeCell ref="H34:H44"/>
    <mergeCell ref="J34:P34"/>
    <mergeCell ref="B35:C35"/>
    <mergeCell ref="E35:F35"/>
    <mergeCell ref="K35:L35"/>
    <mergeCell ref="N35:O35"/>
    <mergeCell ref="P35:R35"/>
    <mergeCell ref="B36:C36"/>
    <mergeCell ref="D36:E36"/>
    <mergeCell ref="Q29:R29"/>
    <mergeCell ref="A30:C30"/>
    <mergeCell ref="D30:F30"/>
    <mergeCell ref="H30:K31"/>
    <mergeCell ref="M30:O30"/>
    <mergeCell ref="P30:R30"/>
    <mergeCell ref="A31:C31"/>
    <mergeCell ref="D31:E31"/>
    <mergeCell ref="M31:O31"/>
    <mergeCell ref="P31:Q31"/>
    <mergeCell ref="G27:I27"/>
    <mergeCell ref="J27:L27"/>
    <mergeCell ref="BS27:BS31"/>
    <mergeCell ref="A28:D28"/>
    <mergeCell ref="G28:I28"/>
    <mergeCell ref="J28:K28"/>
    <mergeCell ref="M28:P28"/>
    <mergeCell ref="B29:C29"/>
    <mergeCell ref="E29:F29"/>
    <mergeCell ref="N29:O29"/>
    <mergeCell ref="A26:C26"/>
    <mergeCell ref="D26:E26"/>
    <mergeCell ref="H26:I26"/>
    <mergeCell ref="K26:L26"/>
    <mergeCell ref="M26:O26"/>
    <mergeCell ref="P26:Q26"/>
    <mergeCell ref="N24:O24"/>
    <mergeCell ref="Q24:R24"/>
    <mergeCell ref="A25:C25"/>
    <mergeCell ref="D25:F25"/>
    <mergeCell ref="G25:J25"/>
    <mergeCell ref="M25:O25"/>
    <mergeCell ref="P25:R25"/>
    <mergeCell ref="A20:C20"/>
    <mergeCell ref="D20:E20"/>
    <mergeCell ref="M20:O20"/>
    <mergeCell ref="P20:Q20"/>
    <mergeCell ref="BS22:BS26"/>
    <mergeCell ref="A23:D23"/>
    <mergeCell ref="H23:K23"/>
    <mergeCell ref="M23:P23"/>
    <mergeCell ref="B24:C24"/>
    <mergeCell ref="E24:F24"/>
    <mergeCell ref="BS17:BS21"/>
    <mergeCell ref="B18:C18"/>
    <mergeCell ref="E18:F18"/>
    <mergeCell ref="N18:O18"/>
    <mergeCell ref="Q18:R18"/>
    <mergeCell ref="A19:C19"/>
    <mergeCell ref="D19:F19"/>
    <mergeCell ref="H19:K20"/>
    <mergeCell ref="M19:O19"/>
    <mergeCell ref="P19:R19"/>
    <mergeCell ref="P15:Q15"/>
    <mergeCell ref="G16:I16"/>
    <mergeCell ref="J16:L16"/>
    <mergeCell ref="A17:D17"/>
    <mergeCell ref="G17:I17"/>
    <mergeCell ref="J17:K17"/>
    <mergeCell ref="M17:P17"/>
    <mergeCell ref="A14:C14"/>
    <mergeCell ref="D14:F14"/>
    <mergeCell ref="G14:J14"/>
    <mergeCell ref="M14:O14"/>
    <mergeCell ref="P14:R14"/>
    <mergeCell ref="A15:C15"/>
    <mergeCell ref="D15:E15"/>
    <mergeCell ref="H15:I15"/>
    <mergeCell ref="K15:L15"/>
    <mergeCell ref="M15:O15"/>
    <mergeCell ref="M9:O9"/>
    <mergeCell ref="P9:Q9"/>
    <mergeCell ref="A12:D12"/>
    <mergeCell ref="H12:K12"/>
    <mergeCell ref="M12:P12"/>
    <mergeCell ref="BS12:BS16"/>
    <mergeCell ref="B13:C13"/>
    <mergeCell ref="E13:F13"/>
    <mergeCell ref="N13:O13"/>
    <mergeCell ref="Q13:R13"/>
    <mergeCell ref="Q7:R7"/>
    <mergeCell ref="BS7:BS11"/>
    <mergeCell ref="BX7:BX11"/>
    <mergeCell ref="A8:C8"/>
    <mergeCell ref="D8:F8"/>
    <mergeCell ref="H8:K9"/>
    <mergeCell ref="M8:O8"/>
    <mergeCell ref="P8:R8"/>
    <mergeCell ref="A9:C9"/>
    <mergeCell ref="D9:E9"/>
    <mergeCell ref="A6:D6"/>
    <mergeCell ref="G6:I6"/>
    <mergeCell ref="J6:K6"/>
    <mergeCell ref="M6:P6"/>
    <mergeCell ref="B7:C7"/>
    <mergeCell ref="E7:F7"/>
    <mergeCell ref="N7:O7"/>
    <mergeCell ref="H4:I4"/>
    <mergeCell ref="K4:L4"/>
    <mergeCell ref="M4:O4"/>
    <mergeCell ref="P4:Q4"/>
    <mergeCell ref="G5:I5"/>
    <mergeCell ref="J5:L5"/>
    <mergeCell ref="Q2:R2"/>
    <mergeCell ref="BS2:BS6"/>
    <mergeCell ref="BX2:BX6"/>
    <mergeCell ref="A3:C3"/>
    <mergeCell ref="D3:F3"/>
    <mergeCell ref="G3:J3"/>
    <mergeCell ref="M3:O3"/>
    <mergeCell ref="P3:R3"/>
    <mergeCell ref="A4:C4"/>
    <mergeCell ref="D4:E4"/>
    <mergeCell ref="A1:D1"/>
    <mergeCell ref="H1:K1"/>
    <mergeCell ref="M1:P1"/>
    <mergeCell ref="B2:C2"/>
    <mergeCell ref="E2:F2"/>
    <mergeCell ref="N2:O2"/>
  </mergeCells>
  <conditionalFormatting sqref="H30:K31">
    <cfRule type="cellIs" dxfId="48" priority="8" stopIfTrue="1" operator="equal">
      <formula>"OTR"</formula>
    </cfRule>
    <cfRule type="cellIs" dxfId="47" priority="9" stopIfTrue="1" operator="equal">
      <formula>"PAR"</formula>
    </cfRule>
    <cfRule type="cellIs" dxfId="46" priority="10" stopIfTrue="1" operator="equal">
      <formula>"CLP"</formula>
    </cfRule>
    <cfRule type="cellIs" dxfId="45" priority="11" stopIfTrue="1" operator="equal">
      <formula>"HAT"</formula>
    </cfRule>
    <cfRule type="cellIs" dxfId="44" priority="12" stopIfTrue="1" operator="equal">
      <formula>"LIB"</formula>
    </cfRule>
    <cfRule type="cellIs" dxfId="43" priority="13" stopIfTrue="1" operator="equal">
      <formula>"BA"</formula>
    </cfRule>
    <cfRule type="cellIs" dxfId="42" priority="14" stopIfTrue="1" operator="equal">
      <formula>"SPA"</formula>
    </cfRule>
    <cfRule type="cellIs" dxfId="41" priority="15" stopIfTrue="1" operator="equal">
      <formula>"OST"</formula>
    </cfRule>
    <cfRule type="cellIs" dxfId="40" priority="16" stopIfTrue="1" operator="equal">
      <formula>"BOH"</formula>
    </cfRule>
    <cfRule type="cellIs" dxfId="39" priority="17" stopIfTrue="1" operator="equal">
      <formula>"TAT"</formula>
    </cfRule>
    <cfRule type="cellIs" dxfId="38" priority="18" stopIfTrue="1" operator="equal">
      <formula>"MB"</formula>
    </cfRule>
    <cfRule type="cellIs" dxfId="37" priority="19" stopIfTrue="1" operator="equal">
      <formula>"VIT"</formula>
    </cfRule>
    <cfRule type="cellIs" dxfId="36" priority="20" stopIfTrue="1" operator="equal">
      <formula>"CHO"</formula>
    </cfRule>
    <cfRule type="cellIs" dxfId="35" priority="21" stopIfTrue="1" operator="equal">
      <formula>"SKV"</formula>
    </cfRule>
  </conditionalFormatting>
  <conditionalFormatting sqref="H19:K20">
    <cfRule type="cellIs" dxfId="34" priority="36" stopIfTrue="1" operator="equal">
      <formula>"OTR"</formula>
    </cfRule>
    <cfRule type="cellIs" dxfId="33" priority="37" stopIfTrue="1" operator="equal">
      <formula>"PAR"</formula>
    </cfRule>
    <cfRule type="cellIs" dxfId="32" priority="38" stopIfTrue="1" operator="equal">
      <formula>"CLP"</formula>
    </cfRule>
    <cfRule type="cellIs" dxfId="31" priority="39" stopIfTrue="1" operator="equal">
      <formula>"HAT"</formula>
    </cfRule>
    <cfRule type="cellIs" dxfId="30" priority="40" stopIfTrue="1" operator="equal">
      <formula>"LIB"</formula>
    </cfRule>
    <cfRule type="cellIs" dxfId="29" priority="41" stopIfTrue="1" operator="equal">
      <formula>"BA"</formula>
    </cfRule>
    <cfRule type="cellIs" dxfId="28" priority="42" stopIfTrue="1" operator="equal">
      <formula>"SPA"</formula>
    </cfRule>
    <cfRule type="cellIs" dxfId="27" priority="43" stopIfTrue="1" operator="equal">
      <formula>"OST"</formula>
    </cfRule>
    <cfRule type="cellIs" dxfId="26" priority="44" stopIfTrue="1" operator="equal">
      <formula>"BOH"</formula>
    </cfRule>
    <cfRule type="cellIs" dxfId="25" priority="45" stopIfTrue="1" operator="equal">
      <formula>"TAT"</formula>
    </cfRule>
    <cfRule type="cellIs" dxfId="24" priority="46" stopIfTrue="1" operator="equal">
      <formula>"MB"</formula>
    </cfRule>
    <cfRule type="cellIs" dxfId="23" priority="47" stopIfTrue="1" operator="equal">
      <formula>"VIT"</formula>
    </cfRule>
    <cfRule type="cellIs" dxfId="22" priority="48" stopIfTrue="1" operator="equal">
      <formula>"CHO"</formula>
    </cfRule>
    <cfRule type="cellIs" dxfId="21" priority="49" stopIfTrue="1" operator="equal">
      <formula>"SKV"</formula>
    </cfRule>
  </conditionalFormatting>
  <conditionalFormatting sqref="H8:K9">
    <cfRule type="cellIs" dxfId="20" priority="22" stopIfTrue="1" operator="equal">
      <formula>"OTR"</formula>
    </cfRule>
    <cfRule type="cellIs" dxfId="19" priority="23" stopIfTrue="1" operator="equal">
      <formula>"PAR"</formula>
    </cfRule>
    <cfRule type="cellIs" dxfId="18" priority="24" stopIfTrue="1" operator="equal">
      <formula>"CLP"</formula>
    </cfRule>
    <cfRule type="cellIs" dxfId="17" priority="25" stopIfTrue="1" operator="equal">
      <formula>"HAT"</formula>
    </cfRule>
    <cfRule type="cellIs" dxfId="16" priority="26" stopIfTrue="1" operator="equal">
      <formula>"LIB"</formula>
    </cfRule>
    <cfRule type="cellIs" dxfId="15" priority="27" stopIfTrue="1" operator="equal">
      <formula>"BA"</formula>
    </cfRule>
    <cfRule type="cellIs" dxfId="14" priority="28" stopIfTrue="1" operator="equal">
      <formula>"SPA"</formula>
    </cfRule>
    <cfRule type="cellIs" dxfId="13" priority="29" stopIfTrue="1" operator="equal">
      <formula>"OST"</formula>
    </cfRule>
    <cfRule type="cellIs" dxfId="12" priority="30" stopIfTrue="1" operator="equal">
      <formula>"BOH"</formula>
    </cfRule>
    <cfRule type="cellIs" dxfId="11" priority="31" stopIfTrue="1" operator="equal">
      <formula>"TAT"</formula>
    </cfRule>
    <cfRule type="cellIs" dxfId="10" priority="32" stopIfTrue="1" operator="equal">
      <formula>"MB"</formula>
    </cfRule>
    <cfRule type="cellIs" dxfId="9" priority="33" stopIfTrue="1" operator="equal">
      <formula>"VIT"</formula>
    </cfRule>
    <cfRule type="cellIs" dxfId="8" priority="34" stopIfTrue="1" operator="equal">
      <formula>"CHO"</formula>
    </cfRule>
    <cfRule type="cellIs" dxfId="7" priority="35" stopIfTrue="1" operator="equal">
      <formula>"SKV"</formula>
    </cfRule>
  </conditionalFormatting>
  <conditionalFormatting sqref="S2:S42">
    <cfRule type="expression" dxfId="6" priority="6" stopIfTrue="1">
      <formula>IFERROR(IF(VLOOKUP($S2,OFFSET($AG$2,,,COUNTIF($AG$2:$AG$50,"?*")),1,FALSE)&lt;&gt;0,1,0),0)&gt;0</formula>
    </cfRule>
  </conditionalFormatting>
  <conditionalFormatting sqref="S2:S42">
    <cfRule type="expression" dxfId="5" priority="7">
      <formula>IFERROR(IF(VLOOKUP($S2,OFFSET($AG$2,,,COUNTIF($AG$2:$AG$50,"?*")),1,FALSE)&lt;&gt;0,1,0),0)=0</formula>
    </cfRule>
  </conditionalFormatting>
  <conditionalFormatting sqref="S45:S50">
    <cfRule type="expression" dxfId="4" priority="5">
      <formula>IFERROR(IF(VLOOKUP($S45,OFFSET($AG$2,,,COUNTIF($AG$2:$AG$50,"?*")),1,FALSE)&lt;&gt;0,1,0),0)&gt;0</formula>
    </cfRule>
  </conditionalFormatting>
  <conditionalFormatting sqref="S45:S50">
    <cfRule type="expression" dxfId="3" priority="4">
      <formula>IFERROR(IF(VLOOKUP($S45,OFFSET($AG$2,,,COUNTIF($AG$2:$AG$50,"?*")),1,FALSE)&lt;&gt;0,1,0),0)=0</formula>
    </cfRule>
  </conditionalFormatting>
  <conditionalFormatting sqref="AG2:AG50">
    <cfRule type="expression" dxfId="2" priority="1" stopIfTrue="1">
      <formula>IFERROR(IF(VLOOKUP($AG2,OFFSET($S$2,,,COUNTIF($S$2:$S$42,"?*")),1,FALSE)&lt;&gt;0,1,0),0)=0</formula>
    </cfRule>
    <cfRule type="expression" dxfId="1" priority="2" stopIfTrue="1">
      <formula>AND(IFERROR(IF(VLOOKUP($AG2,OFFSET($S$2,,,COUNTIF($S$2:$S$42,"?*")),1,FALSE)&lt;&gt;0,1,0),0)&gt;0,OR($AH2="",$AI2="",$AJ2="",$AK2="",$AL2="",$AM2="",$AN2="",$AQ2="",$AR2="",$AS2="",$AT2=""))</formula>
    </cfRule>
    <cfRule type="expression" dxfId="0" priority="3">
      <formula>IFERROR(IF(VLOOKUP($AG2,OFFSET($S$2,,,COUNTIF($S$2:$S$42,"?*")),1,FALSE)&lt;&gt;0,1,0),0)&gt;0</formula>
    </cfRule>
  </conditionalFormatting>
  <dataValidations count="4">
    <dataValidation errorStyle="warning" allowBlank="1" showErrorMessage="1" errorTitle="Chybějící hráč!" error="Vámi zadaný hráč chybí na soupisce týmu." sqref="Q23 E1 E6 K3 Q1 Q6 Q12 Q17 E12 K14 K25 E17 Q28 Q34 E28 Q38 E23 Q42 E34 E40"/>
    <dataValidation type="list" errorStyle="warning" allowBlank="1" showInputMessage="1" showErrorMessage="1" errorTitle="Chybějící člen realizačního týmu" error="Vámi zadaný člen realizačního týmu není na soupisce týmu." sqref="A47:D47 J47:M47 J49:M49">
      <formula1>OFFSET($BN$2,,,COUNTIF($BN$2:$BN$11,"?*"))</formula1>
    </dataValidation>
    <dataValidation type="list" errorStyle="warning" allowBlank="1" showInputMessage="1" showErrorMessage="1" errorTitle="Chybějící brankář" error="Vámi zadaný brankář není na soupisce týmu." sqref="A34:D34 A40:D40">
      <formula1>OFFSET($S$45,,,COUNTIF($S$45:$S$50,"?*"))</formula1>
    </dataValidation>
    <dataValidation type="list" errorStyle="warning" allowBlank="1" showErrorMessage="1" errorTitle="Chybějící hráč" error="Vámi zadaný hráč není na soupisce týmu." sqref="A1:D1 J42:P42 G3:J3 A6:D6 M6:P6 M12:P12 A12:D12 G14:J14 M17:P17 A17:D17 A23:D23 M23:P23 G25:J25 A28:D28 M28:P28 J34:P34 J38:P38 M1:P1">
      <formula1>OFFSET($AG$2,,,COUNTIF($AG$2:$AG$50,"?*"))</formula1>
    </dataValidation>
  </dataValidations>
  <pageMargins left="0.25" right="0.25" top="0.75" bottom="0.75" header="0.3" footer="0.3"/>
  <pageSetup paperSize="9" orientation="portrait" r:id="rId1"/>
  <headerFooter differentFirst="1"/>
  <rowBreaks count="1" manualBreakCount="1">
    <brk id="50" max="16383" man="1"/>
  </rowBreaks>
  <colBreaks count="3" manualBreakCount="3">
    <brk id="18" max="1048575" man="1"/>
    <brk id="32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4</vt:i4>
      </vt:variant>
      <vt:variant>
        <vt:lpstr>Pojmenované oblasti</vt:lpstr>
      </vt:variant>
      <vt:variant>
        <vt:i4>15</vt:i4>
      </vt:variant>
    </vt:vector>
  </HeadingPairs>
  <TitlesOfParts>
    <vt:vector size="19" baseType="lpstr">
      <vt:lpstr>tabulka</vt:lpstr>
      <vt:lpstr>prehled</vt:lpstr>
      <vt:lpstr>priprava_SKV</vt:lpstr>
      <vt:lpstr>priprava_LIB</vt:lpstr>
      <vt:lpstr>tabulka!league_table</vt:lpstr>
      <vt:lpstr>priprava_LIB!LIB_bestof</vt:lpstr>
      <vt:lpstr>priprava_LIB!LIB_goalies</vt:lpstr>
      <vt:lpstr>priprava_LIB!LIB_matches</vt:lpstr>
      <vt:lpstr>priprava_LIB!LIB_players</vt:lpstr>
      <vt:lpstr>prehled!Oblast_tisku</vt:lpstr>
      <vt:lpstr>priprava_LIB!Oblast_tisku</vt:lpstr>
      <vt:lpstr>priprava_SKV!Oblast_tisku</vt:lpstr>
      <vt:lpstr>tabulka!Oblast_tisku</vt:lpstr>
      <vt:lpstr>priprava_LIB!player_names</vt:lpstr>
      <vt:lpstr>priprava_SKV!player_names</vt:lpstr>
      <vt:lpstr>priprava_SKV!SKV_bestof_1</vt:lpstr>
      <vt:lpstr>priprava_SKV!SKV_goalies</vt:lpstr>
      <vt:lpstr>priprava_SKV!SKV_matches</vt:lpstr>
      <vt:lpstr>priprava_SKV!SKV_players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Klíma</dc:creator>
  <cp:lastModifiedBy>Richard Klíma</cp:lastModifiedBy>
  <cp:lastPrinted>2021-09-14T12:26:57Z</cp:lastPrinted>
  <dcterms:created xsi:type="dcterms:W3CDTF">2021-09-13T20:56:50Z</dcterms:created>
  <dcterms:modified xsi:type="dcterms:W3CDTF">2021-09-14T13:11:27Z</dcterms:modified>
</cp:coreProperties>
</file>