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24.xml" ContentType="application/vnd.openxmlformats-officedocument.spreadsheetml.queryTable+xml"/>
  <Override PartName="/xl/queryTables/queryTable2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klima\Documents\SKV\pripravy\"/>
    </mc:Choice>
  </mc:AlternateContent>
  <bookViews>
    <workbookView xWindow="0" yWindow="0" windowWidth="28800" windowHeight="12435" activeTab="4"/>
  </bookViews>
  <sheets>
    <sheet name="Přípravy" sheetId="1" r:id="rId1"/>
    <sheet name="Tabulka" sheetId="4" r:id="rId2"/>
    <sheet name="SKV" sheetId="2" r:id="rId3"/>
    <sheet name="CHO" sheetId="6" r:id="rId4"/>
    <sheet name="VIT" sheetId="7" r:id="rId5"/>
  </sheets>
  <definedNames>
    <definedName name="chodov" localSheetId="3">CHO!$A$2:$N$28</definedName>
    <definedName name="chodov" localSheetId="4">VIT!$A$2:$N$28</definedName>
    <definedName name="chodov_asistence" localSheetId="3">CHO!$B$84:$C$88</definedName>
    <definedName name="chodov_asistence" localSheetId="4">VIT!$B$84:$C$88</definedName>
    <definedName name="chodov_body" localSheetId="3">CHO!$B$74:$C$78</definedName>
    <definedName name="chodov_body" localSheetId="4">VIT!$B$74:$C$78</definedName>
    <definedName name="chodov_goalies" localSheetId="3">CHO!$A$31:$O$34</definedName>
    <definedName name="chodov_goalies" localSheetId="4">VIT!$A$31:$O$34</definedName>
    <definedName name="chodov_goly" localSheetId="3">CHO!$B$79:$C$83</definedName>
    <definedName name="chodov_goly" localSheetId="4">VIT!$B$79:$C$83</definedName>
    <definedName name="chodov_prumer" localSheetId="3">CHO!$B$94:$C$97</definedName>
    <definedName name="chodov_prumer" localSheetId="4">VIT!$B$94:$C$97</definedName>
    <definedName name="chodov_tm" localSheetId="3">CHO!$B$89:$C$93</definedName>
    <definedName name="chodov_tm" localSheetId="4">VIT!$B$89:$C$93</definedName>
    <definedName name="chodov_vyhry" localSheetId="3">CHO!$B$99:$C$102</definedName>
    <definedName name="chodov_vyhry" localSheetId="4">VIT!$B$99:$C$102</definedName>
    <definedName name="skv_1" localSheetId="2">SKV!$A$2:$N$28</definedName>
    <definedName name="skv_asistence" localSheetId="2">SKV!$B$84:$C$88</definedName>
    <definedName name="skv_body_1" localSheetId="2">SKV!$B$74:$C$78</definedName>
    <definedName name="skv_goalies" localSheetId="2">SKV!$A$31:$O$34</definedName>
    <definedName name="skv_goly" localSheetId="2">SKV!$B$79:$C$83</definedName>
    <definedName name="skv_prumer" localSheetId="2">SKV!$B$94:$C$97</definedName>
    <definedName name="skv_tm" localSheetId="2">SKV!$B$89:$C$93</definedName>
    <definedName name="skv_vyhry" localSheetId="2">SKV!$B$99:$C$102</definedName>
    <definedName name="tabulka" localSheetId="1">Tabulka!$A$26:$AG$39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3" i="7" l="1"/>
  <c r="D103" i="7"/>
  <c r="F102" i="7"/>
  <c r="D102" i="7"/>
  <c r="F101" i="7"/>
  <c r="D101" i="7"/>
  <c r="F100" i="7"/>
  <c r="D100" i="7"/>
  <c r="F99" i="7"/>
  <c r="D99" i="7"/>
  <c r="F98" i="7"/>
  <c r="D98" i="7"/>
  <c r="F97" i="7"/>
  <c r="D97" i="7"/>
  <c r="F96" i="7"/>
  <c r="D96" i="7"/>
  <c r="F95" i="7"/>
  <c r="D95" i="7"/>
  <c r="F94" i="7"/>
  <c r="D94" i="7"/>
  <c r="D93" i="7"/>
  <c r="D92" i="7"/>
  <c r="D91" i="7"/>
  <c r="D90" i="7"/>
  <c r="D89" i="7"/>
  <c r="D88" i="7"/>
  <c r="D87" i="7"/>
  <c r="D86" i="7"/>
  <c r="D85" i="7"/>
  <c r="D84" i="7"/>
  <c r="D83" i="7"/>
  <c r="D82" i="7"/>
  <c r="D81" i="7"/>
  <c r="D80" i="7"/>
  <c r="D79" i="7"/>
  <c r="D78" i="7"/>
  <c r="D77" i="7"/>
  <c r="D76" i="7"/>
  <c r="D75" i="7"/>
  <c r="D74" i="7"/>
  <c r="A66" i="7"/>
  <c r="D71" i="7" s="1"/>
  <c r="S64" i="7"/>
  <c r="P64" i="7"/>
  <c r="H64" i="7"/>
  <c r="O64" i="7" s="1"/>
  <c r="P63" i="7"/>
  <c r="H63" i="7"/>
  <c r="O63" i="7" s="1"/>
  <c r="P62" i="7"/>
  <c r="H62" i="7"/>
  <c r="O62" i="7" s="1"/>
  <c r="P61" i="7"/>
  <c r="H61" i="7"/>
  <c r="O61" i="7" s="1"/>
  <c r="P60" i="7"/>
  <c r="H60" i="7"/>
  <c r="O60" i="7" s="1"/>
  <c r="P59" i="7"/>
  <c r="H59" i="7"/>
  <c r="O59" i="7" s="1"/>
  <c r="P58" i="7"/>
  <c r="O58" i="7"/>
  <c r="H58" i="7"/>
  <c r="P57" i="7"/>
  <c r="H57" i="7"/>
  <c r="O57" i="7" s="1"/>
  <c r="P56" i="7"/>
  <c r="O56" i="7"/>
  <c r="H56" i="7"/>
  <c r="P55" i="7"/>
  <c r="H55" i="7"/>
  <c r="O55" i="7" s="1"/>
  <c r="P54" i="7"/>
  <c r="O54" i="7"/>
  <c r="H54" i="7"/>
  <c r="S53" i="7"/>
  <c r="P53" i="7"/>
  <c r="O53" i="7"/>
  <c r="H53" i="7"/>
  <c r="P52" i="7"/>
  <c r="O52" i="7"/>
  <c r="H52" i="7"/>
  <c r="P51" i="7"/>
  <c r="O51" i="7"/>
  <c r="H51" i="7"/>
  <c r="P50" i="7"/>
  <c r="O50" i="7"/>
  <c r="H50" i="7"/>
  <c r="P49" i="7"/>
  <c r="O49" i="7"/>
  <c r="H49" i="7"/>
  <c r="S48" i="7"/>
  <c r="P48" i="7"/>
  <c r="H48" i="7"/>
  <c r="O48" i="7" s="1"/>
  <c r="S47" i="7"/>
  <c r="P47" i="7"/>
  <c r="H47" i="7"/>
  <c r="O47" i="7" s="1"/>
  <c r="P46" i="7"/>
  <c r="O46" i="7"/>
  <c r="H46" i="7"/>
  <c r="P45" i="7"/>
  <c r="H45" i="7"/>
  <c r="O45" i="7" s="1"/>
  <c r="P44" i="7"/>
  <c r="O44" i="7"/>
  <c r="H44" i="7"/>
  <c r="P43" i="7"/>
  <c r="H43" i="7"/>
  <c r="O43" i="7" s="1"/>
  <c r="P42" i="7"/>
  <c r="O42" i="7"/>
  <c r="H42" i="7"/>
  <c r="P41" i="7"/>
  <c r="H41" i="7"/>
  <c r="O41" i="7" s="1"/>
  <c r="P40" i="7"/>
  <c r="O40" i="7"/>
  <c r="H40" i="7"/>
  <c r="P39" i="7"/>
  <c r="H39" i="7"/>
  <c r="O39" i="7" s="1"/>
  <c r="P38" i="7"/>
  <c r="O38" i="7"/>
  <c r="H38" i="7"/>
  <c r="A37" i="7"/>
  <c r="D64" i="7" s="1"/>
  <c r="R34" i="7"/>
  <c r="Q34" i="7"/>
  <c r="P34" i="7"/>
  <c r="R33" i="7"/>
  <c r="Q33" i="7"/>
  <c r="P33" i="7"/>
  <c r="R32" i="7"/>
  <c r="Q32" i="7"/>
  <c r="P32" i="7"/>
  <c r="R31" i="7"/>
  <c r="Q31" i="7"/>
  <c r="P31" i="7"/>
  <c r="O28" i="7"/>
  <c r="O27" i="7"/>
  <c r="O26" i="7"/>
  <c r="O25" i="7"/>
  <c r="O24" i="7"/>
  <c r="O23" i="7"/>
  <c r="O22" i="7"/>
  <c r="O21" i="7"/>
  <c r="O20" i="7"/>
  <c r="O19" i="7"/>
  <c r="O18" i="7"/>
  <c r="O17" i="7"/>
  <c r="O16" i="7"/>
  <c r="O15" i="7"/>
  <c r="O14" i="7"/>
  <c r="O13" i="7"/>
  <c r="O12" i="7"/>
  <c r="O11" i="7"/>
  <c r="O10" i="7"/>
  <c r="O9" i="7"/>
  <c r="O8" i="7"/>
  <c r="O7" i="7"/>
  <c r="O6" i="7"/>
  <c r="O5" i="7"/>
  <c r="O4" i="7"/>
  <c r="O3" i="7"/>
  <c r="O2" i="7"/>
  <c r="D39" i="7" l="1"/>
  <c r="D40" i="7"/>
  <c r="D49" i="7"/>
  <c r="D47" i="7"/>
  <c r="D45" i="7"/>
  <c r="D44" i="7"/>
  <c r="D53" i="7"/>
  <c r="D42" i="7"/>
  <c r="D38" i="7"/>
  <c r="D43" i="7"/>
  <c r="D46" i="7"/>
  <c r="D51" i="7"/>
  <c r="D41" i="7"/>
  <c r="D55" i="7"/>
  <c r="D57" i="7"/>
  <c r="D59" i="7"/>
  <c r="D61" i="7"/>
  <c r="D63" i="7"/>
  <c r="D48" i="7"/>
  <c r="D67" i="7"/>
  <c r="D50" i="7"/>
  <c r="D52" i="7"/>
  <c r="D68" i="7"/>
  <c r="D54" i="7"/>
  <c r="D56" i="7"/>
  <c r="D58" i="7"/>
  <c r="D60" i="7"/>
  <c r="D62" i="7"/>
  <c r="D69" i="7"/>
  <c r="D70" i="7"/>
  <c r="F95" i="6"/>
  <c r="F96" i="6"/>
  <c r="F97" i="6"/>
  <c r="F98" i="6"/>
  <c r="F99" i="6"/>
  <c r="F100" i="6"/>
  <c r="F101" i="6"/>
  <c r="F102" i="6"/>
  <c r="F103" i="6"/>
  <c r="F94" i="6"/>
  <c r="F94" i="2"/>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74" i="6"/>
  <c r="D74" i="2"/>
  <c r="F100" i="2"/>
  <c r="F101" i="2"/>
  <c r="F102" i="2"/>
  <c r="F103" i="2"/>
  <c r="F99" i="2"/>
  <c r="F95" i="2"/>
  <c r="F96" i="2"/>
  <c r="F97" i="2"/>
  <c r="F98"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N87" i="1"/>
  <c r="L82" i="1"/>
  <c r="R81" i="1"/>
  <c r="M80" i="1"/>
  <c r="J80" i="1"/>
  <c r="L73" i="1"/>
  <c r="J72" i="1"/>
  <c r="M75" i="1"/>
  <c r="M72" i="1"/>
  <c r="I78" i="1"/>
  <c r="C80" i="1"/>
  <c r="F75" i="1"/>
  <c r="C72" i="1"/>
  <c r="G74" i="1"/>
  <c r="D78" i="1"/>
  <c r="A80" i="1"/>
  <c r="L72" i="1"/>
  <c r="G75" i="1"/>
  <c r="N86" i="1"/>
  <c r="R80" i="1"/>
  <c r="O80" i="1"/>
  <c r="J79" i="1"/>
  <c r="P78" i="1"/>
  <c r="R71" i="1"/>
  <c r="O75" i="1"/>
  <c r="J74" i="1"/>
  <c r="R74" i="1"/>
  <c r="F82" i="1"/>
  <c r="C79" i="1"/>
  <c r="F74" i="1"/>
  <c r="C71" i="1"/>
  <c r="G73" i="1"/>
  <c r="D75" i="1"/>
  <c r="A79" i="1"/>
  <c r="A86" i="1"/>
  <c r="O73" i="1"/>
  <c r="D79" i="1"/>
  <c r="J87" i="1"/>
  <c r="O79" i="1"/>
  <c r="L79" i="1"/>
  <c r="R82" i="1"/>
  <c r="O82" i="1"/>
  <c r="P75" i="1"/>
  <c r="L74" i="1"/>
  <c r="P72" i="1"/>
  <c r="P74" i="1"/>
  <c r="F81" i="1"/>
  <c r="C78" i="1"/>
  <c r="F73" i="1"/>
  <c r="G82" i="1"/>
  <c r="G72" i="1"/>
  <c r="D74" i="1"/>
  <c r="A78" i="1"/>
  <c r="P81" i="1"/>
  <c r="I79" i="1"/>
  <c r="J86" i="1"/>
  <c r="L78" i="1"/>
  <c r="L81" i="1"/>
  <c r="O81" i="1"/>
  <c r="R79" i="1"/>
  <c r="M74" i="1"/>
  <c r="R72" i="1"/>
  <c r="M71" i="1"/>
  <c r="M73" i="1"/>
  <c r="F80" i="1"/>
  <c r="I75" i="1"/>
  <c r="F72" i="1"/>
  <c r="G81" i="1"/>
  <c r="G71" i="1"/>
  <c r="D73" i="1"/>
  <c r="A75" i="1"/>
  <c r="I71" i="1"/>
  <c r="E87" i="1"/>
  <c r="J82" i="1"/>
  <c r="O78" i="1"/>
  <c r="L80" i="1"/>
  <c r="J81" i="1"/>
  <c r="J73" i="1"/>
  <c r="O71" i="1"/>
  <c r="L75" i="1"/>
  <c r="I82" i="1"/>
  <c r="F79" i="1"/>
  <c r="I74" i="1"/>
  <c r="F71" i="1"/>
  <c r="G80" i="1"/>
  <c r="D82" i="1"/>
  <c r="D72" i="1"/>
  <c r="A74" i="1"/>
  <c r="O74" i="1"/>
  <c r="C73" i="1"/>
  <c r="E86" i="1"/>
  <c r="P80" i="1"/>
  <c r="M82" i="1"/>
  <c r="R78" i="1"/>
  <c r="M78" i="1"/>
  <c r="P71" i="1"/>
  <c r="R73" i="1"/>
  <c r="O72" i="1"/>
  <c r="I81" i="1"/>
  <c r="F78" i="1"/>
  <c r="I73" i="1"/>
  <c r="C75" i="1"/>
  <c r="G79" i="1"/>
  <c r="D81" i="1"/>
  <c r="D71" i="1"/>
  <c r="A73" i="1"/>
  <c r="J78" i="1"/>
  <c r="P73" i="1"/>
  <c r="A81" i="1"/>
  <c r="A87" i="1"/>
  <c r="M79" i="1"/>
  <c r="P79" i="1"/>
  <c r="P82" i="1"/>
  <c r="R75" i="1"/>
  <c r="J71" i="1"/>
  <c r="J75" i="1"/>
  <c r="L71" i="1"/>
  <c r="I80" i="1"/>
  <c r="C82" i="1"/>
  <c r="I72" i="1"/>
  <c r="C74" i="1"/>
  <c r="G78" i="1"/>
  <c r="D80" i="1"/>
  <c r="A82" i="1"/>
  <c r="A72" i="1"/>
  <c r="M81" i="1"/>
  <c r="C81" i="1"/>
  <c r="A71" i="1"/>
  <c r="O2" i="6" l="1"/>
  <c r="O2" i="2"/>
  <c r="Z30" i="1"/>
  <c r="Z19" i="1"/>
  <c r="H30" i="1"/>
  <c r="H19" i="1"/>
  <c r="R55" i="1"/>
  <c r="Q55" i="1"/>
  <c r="P55" i="1"/>
  <c r="N55" i="1"/>
  <c r="M55" i="1"/>
  <c r="L55" i="1"/>
  <c r="C55" i="1"/>
  <c r="I55" i="1"/>
  <c r="H55" i="1"/>
  <c r="G55" i="1"/>
  <c r="E55" i="1"/>
  <c r="D55" i="1"/>
  <c r="AK27" i="4"/>
  <c r="AK28" i="4"/>
  <c r="AK29" i="4"/>
  <c r="AK30" i="4"/>
  <c r="AK31" i="4"/>
  <c r="AK32" i="4"/>
  <c r="AK33" i="4"/>
  <c r="AK34" i="4"/>
  <c r="AK35" i="4"/>
  <c r="AK36" i="4"/>
  <c r="AK37" i="4"/>
  <c r="AK38" i="4"/>
  <c r="AK39" i="4"/>
  <c r="AK26" i="4"/>
  <c r="AC50" i="1"/>
  <c r="AF49" i="1"/>
  <c r="AC48" i="1"/>
  <c r="AF47" i="1"/>
  <c r="T48" i="1"/>
  <c r="W47" i="1"/>
  <c r="AI44" i="1"/>
  <c r="AF44" i="1"/>
  <c r="AB44" i="1"/>
  <c r="AC43" i="1"/>
  <c r="AB43" i="1"/>
  <c r="AI40" i="1"/>
  <c r="AF40" i="1"/>
  <c r="AB40" i="1"/>
  <c r="AC39" i="1"/>
  <c r="AB39" i="1"/>
  <c r="AI36" i="1"/>
  <c r="AF36" i="1"/>
  <c r="AC35" i="1"/>
  <c r="AB36" i="1"/>
  <c r="AB35" i="1"/>
  <c r="X44" i="1"/>
  <c r="V44" i="1"/>
  <c r="S44" i="1"/>
  <c r="S43" i="1"/>
  <c r="V42" i="1"/>
  <c r="S42" i="1"/>
  <c r="T41" i="1"/>
  <c r="S41" i="1"/>
  <c r="X38" i="1"/>
  <c r="V38" i="1"/>
  <c r="V36" i="1"/>
  <c r="T35" i="1"/>
  <c r="S38" i="1"/>
  <c r="S37" i="1"/>
  <c r="S36" i="1"/>
  <c r="S35" i="1"/>
  <c r="AD25" i="1"/>
  <c r="AC25" i="1"/>
  <c r="AJ42" i="1"/>
  <c r="AI42" i="1"/>
  <c r="AJ38" i="1"/>
  <c r="AI38" i="1"/>
  <c r="AJ34" i="1"/>
  <c r="AI34" i="1"/>
  <c r="X40" i="1"/>
  <c r="W40" i="1"/>
  <c r="X34" i="1"/>
  <c r="W34" i="1"/>
  <c r="AJ28" i="1"/>
  <c r="AI28" i="1"/>
  <c r="X28" i="1"/>
  <c r="W28" i="1"/>
  <c r="X23" i="1"/>
  <c r="W23" i="1"/>
  <c r="AJ23" i="1"/>
  <c r="AI23" i="1"/>
  <c r="AJ17" i="1"/>
  <c r="AI17" i="1"/>
  <c r="X17" i="1"/>
  <c r="W17" i="1"/>
  <c r="AJ12" i="1"/>
  <c r="AI12" i="1"/>
  <c r="AD14" i="1"/>
  <c r="AC14" i="1"/>
  <c r="X12" i="1"/>
  <c r="W12" i="1"/>
  <c r="X6" i="1"/>
  <c r="W6" i="1"/>
  <c r="AJ6" i="1"/>
  <c r="AI6" i="1"/>
  <c r="AJ1" i="1"/>
  <c r="AI1" i="1"/>
  <c r="AD3" i="1"/>
  <c r="AC3" i="1"/>
  <c r="X31" i="1"/>
  <c r="V31" i="1"/>
  <c r="S31" i="1"/>
  <c r="T29" i="1"/>
  <c r="S29" i="1"/>
  <c r="AJ31" i="1"/>
  <c r="AH31" i="1"/>
  <c r="AE31" i="1"/>
  <c r="AF29" i="1"/>
  <c r="AE29" i="1"/>
  <c r="AJ26" i="1"/>
  <c r="AH26" i="1"/>
  <c r="AE26" i="1"/>
  <c r="AF24" i="1"/>
  <c r="AE24" i="1"/>
  <c r="AD28" i="1"/>
  <c r="AB28" i="1"/>
  <c r="Y28" i="1"/>
  <c r="Z26" i="1"/>
  <c r="Y26" i="1"/>
  <c r="X26" i="1"/>
  <c r="V26" i="1"/>
  <c r="S26" i="1"/>
  <c r="T24" i="1"/>
  <c r="S24" i="1"/>
  <c r="X20" i="1"/>
  <c r="V20" i="1"/>
  <c r="S20" i="1"/>
  <c r="T18" i="1"/>
  <c r="S18" i="1"/>
  <c r="AJ20" i="1"/>
  <c r="AH20" i="1"/>
  <c r="AE20" i="1"/>
  <c r="AF18" i="1"/>
  <c r="AE18" i="1"/>
  <c r="AJ15" i="1"/>
  <c r="AH15" i="1"/>
  <c r="AE15" i="1"/>
  <c r="AF13" i="1"/>
  <c r="AE13" i="1"/>
  <c r="AD17" i="1"/>
  <c r="AB17" i="1"/>
  <c r="Y17" i="1"/>
  <c r="Z15" i="1"/>
  <c r="Y15" i="1"/>
  <c r="X15" i="1"/>
  <c r="V15" i="1"/>
  <c r="S15" i="1"/>
  <c r="T13" i="1"/>
  <c r="S13" i="1"/>
  <c r="X9" i="1"/>
  <c r="V9" i="1"/>
  <c r="S9" i="1"/>
  <c r="T7" i="1"/>
  <c r="S7" i="1"/>
  <c r="AJ9" i="1"/>
  <c r="AH9" i="1"/>
  <c r="AE9" i="1"/>
  <c r="AF7" i="1"/>
  <c r="AE7" i="1"/>
  <c r="AJ4" i="1"/>
  <c r="AH4" i="1"/>
  <c r="AE4" i="1"/>
  <c r="AF2" i="1"/>
  <c r="AE2" i="1"/>
  <c r="AD6" i="1"/>
  <c r="AB6" i="1"/>
  <c r="Y6" i="1"/>
  <c r="Z4" i="1"/>
  <c r="Y4" i="1"/>
  <c r="X4" i="1"/>
  <c r="V4" i="1"/>
  <c r="W2" i="1"/>
  <c r="T2" i="1"/>
  <c r="S4" i="1"/>
  <c r="S2" i="1"/>
  <c r="X1" i="1"/>
  <c r="W1" i="1"/>
  <c r="Q44" i="1"/>
  <c r="N44" i="1"/>
  <c r="J44" i="1"/>
  <c r="N43" i="1"/>
  <c r="K43" i="1"/>
  <c r="J43" i="1"/>
  <c r="Q40" i="1"/>
  <c r="N40" i="1"/>
  <c r="J40" i="1"/>
  <c r="N39" i="1"/>
  <c r="K39" i="1"/>
  <c r="J39" i="1"/>
  <c r="Q36" i="1"/>
  <c r="N36" i="1"/>
  <c r="N35" i="1"/>
  <c r="K35" i="1"/>
  <c r="J36" i="1"/>
  <c r="J35" i="1"/>
  <c r="F44" i="1"/>
  <c r="D44" i="1"/>
  <c r="A44" i="1"/>
  <c r="A43" i="1"/>
  <c r="D42" i="1"/>
  <c r="A42" i="1"/>
  <c r="E41" i="1"/>
  <c r="B41" i="1"/>
  <c r="A41" i="1"/>
  <c r="F38" i="1"/>
  <c r="E35" i="1"/>
  <c r="D36" i="1"/>
  <c r="D38" i="1"/>
  <c r="B35" i="1"/>
  <c r="A38" i="1"/>
  <c r="A37" i="1"/>
  <c r="A36" i="1"/>
  <c r="A35" i="1"/>
  <c r="F40" i="1"/>
  <c r="E40" i="1"/>
  <c r="F34" i="1"/>
  <c r="E34" i="1"/>
  <c r="R42" i="1"/>
  <c r="Q42" i="1"/>
  <c r="R38" i="1"/>
  <c r="Q38" i="1"/>
  <c r="R34" i="1"/>
  <c r="Q34" i="1"/>
  <c r="F28" i="1"/>
  <c r="E28" i="1"/>
  <c r="R28" i="1"/>
  <c r="Q28" i="1"/>
  <c r="R23" i="1"/>
  <c r="Q23" i="1"/>
  <c r="L25" i="1"/>
  <c r="K25" i="1"/>
  <c r="F23" i="1"/>
  <c r="E23" i="1"/>
  <c r="F17" i="1"/>
  <c r="E17" i="1"/>
  <c r="R17" i="1"/>
  <c r="Q17" i="1"/>
  <c r="L14" i="1"/>
  <c r="K14" i="1"/>
  <c r="F12" i="1"/>
  <c r="E12" i="1"/>
  <c r="R12" i="1"/>
  <c r="Q12" i="1"/>
  <c r="R6" i="1"/>
  <c r="Q6" i="1"/>
  <c r="R1" i="1"/>
  <c r="Q1" i="1"/>
  <c r="L3" i="1"/>
  <c r="K3" i="1"/>
  <c r="F6" i="1"/>
  <c r="E6" i="1"/>
  <c r="F31" i="1"/>
  <c r="D31" i="1"/>
  <c r="A31" i="1"/>
  <c r="E29" i="1"/>
  <c r="B29" i="1"/>
  <c r="A29" i="1"/>
  <c r="R31" i="1"/>
  <c r="P31" i="1"/>
  <c r="M31" i="1"/>
  <c r="Q29" i="1"/>
  <c r="N29" i="1"/>
  <c r="M29" i="1"/>
  <c r="R26" i="1"/>
  <c r="P26" i="1"/>
  <c r="M26" i="1"/>
  <c r="Q24" i="1"/>
  <c r="N24" i="1"/>
  <c r="M24" i="1"/>
  <c r="L28" i="1"/>
  <c r="J28" i="1"/>
  <c r="G28" i="1"/>
  <c r="K26" i="1"/>
  <c r="H26" i="1"/>
  <c r="G26" i="1"/>
  <c r="F26" i="1"/>
  <c r="D26" i="1"/>
  <c r="A26" i="1"/>
  <c r="E24" i="1"/>
  <c r="B24" i="1"/>
  <c r="A24" i="1"/>
  <c r="F20" i="1"/>
  <c r="D20" i="1"/>
  <c r="A20" i="1"/>
  <c r="E18" i="1"/>
  <c r="B18" i="1"/>
  <c r="A18" i="1"/>
  <c r="R20" i="1"/>
  <c r="P20" i="1"/>
  <c r="M20" i="1"/>
  <c r="Q18" i="1"/>
  <c r="N18" i="1"/>
  <c r="M18" i="1"/>
  <c r="R15" i="1"/>
  <c r="P15" i="1"/>
  <c r="M15" i="1"/>
  <c r="Q13" i="1"/>
  <c r="N13" i="1"/>
  <c r="M13" i="1"/>
  <c r="L17" i="1"/>
  <c r="J17" i="1"/>
  <c r="G17" i="1"/>
  <c r="K15" i="1"/>
  <c r="H15" i="1"/>
  <c r="G15" i="1"/>
  <c r="F15" i="1"/>
  <c r="D15" i="1"/>
  <c r="A15" i="1"/>
  <c r="E13" i="1"/>
  <c r="B13" i="1"/>
  <c r="A13" i="1"/>
  <c r="F9" i="1"/>
  <c r="D9" i="1"/>
  <c r="A9" i="1"/>
  <c r="E7" i="1"/>
  <c r="B7" i="1"/>
  <c r="A7" i="1"/>
  <c r="R9" i="1"/>
  <c r="P9" i="1"/>
  <c r="M9" i="1"/>
  <c r="Q7" i="1"/>
  <c r="N7" i="1"/>
  <c r="M7" i="1"/>
  <c r="R4" i="1"/>
  <c r="P4" i="1"/>
  <c r="M4" i="1"/>
  <c r="Q2" i="1"/>
  <c r="N2" i="1"/>
  <c r="M2" i="1"/>
  <c r="L6" i="1"/>
  <c r="J6" i="1"/>
  <c r="G6" i="1"/>
  <c r="K4" i="1"/>
  <c r="H4" i="1"/>
  <c r="G4" i="1"/>
  <c r="F4" i="1"/>
  <c r="D4" i="1"/>
  <c r="A4" i="1"/>
  <c r="E2" i="1"/>
  <c r="B2" i="1"/>
  <c r="A2" i="1"/>
  <c r="F1" i="1"/>
  <c r="E1" i="1"/>
  <c r="S48" i="6"/>
  <c r="S47" i="6"/>
  <c r="W43" i="1" s="1"/>
  <c r="S64" i="6"/>
  <c r="W37" i="1" s="1"/>
  <c r="H39" i="6"/>
  <c r="H40" i="6"/>
  <c r="O40" i="6" s="1"/>
  <c r="V30" i="1" s="1"/>
  <c r="H41" i="6"/>
  <c r="O41" i="6" s="1"/>
  <c r="AH19" i="1" s="1"/>
  <c r="H42" i="6"/>
  <c r="O42" i="6" s="1"/>
  <c r="H43" i="6"/>
  <c r="H44" i="6"/>
  <c r="O44" i="6" s="1"/>
  <c r="V19" i="1" s="1"/>
  <c r="H45" i="6"/>
  <c r="O45" i="6" s="1"/>
  <c r="AB16" i="1" s="1"/>
  <c r="H46" i="6"/>
  <c r="H47" i="6"/>
  <c r="H48" i="6"/>
  <c r="O48" i="6" s="1"/>
  <c r="H49" i="6"/>
  <c r="H50" i="6"/>
  <c r="O50" i="6" s="1"/>
  <c r="AH14" i="1" s="1"/>
  <c r="H51" i="6"/>
  <c r="H52" i="6"/>
  <c r="H53" i="6"/>
  <c r="O53" i="6" s="1"/>
  <c r="H54" i="6"/>
  <c r="H55" i="6"/>
  <c r="H56" i="6"/>
  <c r="O56" i="6" s="1"/>
  <c r="AC40" i="1" s="1"/>
  <c r="H57" i="6"/>
  <c r="O57" i="6" s="1"/>
  <c r="AB27" i="1" s="1"/>
  <c r="H58" i="6"/>
  <c r="O58" i="6" s="1"/>
  <c r="V14" i="1" s="1"/>
  <c r="H59" i="6"/>
  <c r="O59" i="6" s="1"/>
  <c r="H60" i="6"/>
  <c r="H61" i="6"/>
  <c r="O61" i="6" s="1"/>
  <c r="V3" i="1" s="1"/>
  <c r="H62" i="6"/>
  <c r="H63" i="6"/>
  <c r="O63" i="6" s="1"/>
  <c r="AH30" i="1" s="1"/>
  <c r="H64" i="6"/>
  <c r="O64" i="6" s="1"/>
  <c r="H38" i="6"/>
  <c r="A66" i="6"/>
  <c r="D67" i="6" s="1"/>
  <c r="P64" i="6"/>
  <c r="W35" i="1" s="1"/>
  <c r="P63" i="6"/>
  <c r="AI29" i="1" s="1"/>
  <c r="S53" i="6"/>
  <c r="P53" i="6"/>
  <c r="P47" i="6"/>
  <c r="W41" i="1" s="1"/>
  <c r="O47" i="6"/>
  <c r="P43" i="6"/>
  <c r="O43" i="6"/>
  <c r="P46" i="6"/>
  <c r="O46" i="6"/>
  <c r="P59" i="6"/>
  <c r="P42" i="6"/>
  <c r="P48" i="6"/>
  <c r="P38" i="6"/>
  <c r="O38" i="6"/>
  <c r="P56" i="6"/>
  <c r="AF39" i="1" s="1"/>
  <c r="P60" i="6"/>
  <c r="AF35" i="1" s="1"/>
  <c r="O60" i="6"/>
  <c r="AC36" i="1" s="1"/>
  <c r="P50" i="6"/>
  <c r="AI13" i="1" s="1"/>
  <c r="P54" i="6"/>
  <c r="AF43" i="1" s="1"/>
  <c r="O54" i="6"/>
  <c r="AC44" i="1" s="1"/>
  <c r="P41" i="6"/>
  <c r="AI18" i="1" s="1"/>
  <c r="P51" i="6"/>
  <c r="W24" i="1" s="1"/>
  <c r="O51" i="6"/>
  <c r="V25" i="1" s="1"/>
  <c r="P40" i="6"/>
  <c r="W29" i="1" s="1"/>
  <c r="P39" i="6"/>
  <c r="AI24" i="1" s="1"/>
  <c r="O39" i="6"/>
  <c r="AH25" i="1" s="1"/>
  <c r="P57" i="6"/>
  <c r="AC26" i="1" s="1"/>
  <c r="P44" i="6"/>
  <c r="W18" i="1" s="1"/>
  <c r="P45" i="6"/>
  <c r="AC15" i="1" s="1"/>
  <c r="P52" i="6"/>
  <c r="W7" i="1" s="1"/>
  <c r="O52" i="6"/>
  <c r="V8" i="1" s="1"/>
  <c r="P62" i="6"/>
  <c r="AI7" i="1" s="1"/>
  <c r="O62" i="6"/>
  <c r="AH8" i="1" s="1"/>
  <c r="P58" i="6"/>
  <c r="W13" i="1" s="1"/>
  <c r="P55" i="6"/>
  <c r="AC4" i="1" s="1"/>
  <c r="O55" i="6"/>
  <c r="AB5" i="1" s="1"/>
  <c r="P61" i="6"/>
  <c r="P49" i="6"/>
  <c r="AI2" i="1" s="1"/>
  <c r="O49" i="6"/>
  <c r="AH3" i="1" s="1"/>
  <c r="A37" i="6"/>
  <c r="D38" i="6" s="1"/>
  <c r="R34" i="6"/>
  <c r="Q34" i="6"/>
  <c r="P34" i="6"/>
  <c r="R33" i="6"/>
  <c r="T42" i="1" s="1"/>
  <c r="Q33" i="6"/>
  <c r="X42" i="1" s="1"/>
  <c r="P33" i="6"/>
  <c r="U43" i="1" s="1"/>
  <c r="R32" i="6"/>
  <c r="T36" i="1" s="1"/>
  <c r="Q32" i="6"/>
  <c r="X36" i="1" s="1"/>
  <c r="P32" i="6"/>
  <c r="U37" i="1" s="1"/>
  <c r="R31" i="6"/>
  <c r="Q31" i="6"/>
  <c r="P31" i="6"/>
  <c r="O28" i="6"/>
  <c r="O27" i="6"/>
  <c r="AE30" i="1" s="1"/>
  <c r="O26" i="6"/>
  <c r="O25" i="6"/>
  <c r="O24" i="6"/>
  <c r="O23" i="6"/>
  <c r="O22" i="6"/>
  <c r="O21" i="6"/>
  <c r="O20" i="6"/>
  <c r="O19" i="6"/>
  <c r="O18" i="6"/>
  <c r="O17" i="6"/>
  <c r="O16" i="6"/>
  <c r="O15" i="6"/>
  <c r="AH43" i="1" s="1"/>
  <c r="O14" i="6"/>
  <c r="AE19" i="1" s="1"/>
  <c r="O13" i="6"/>
  <c r="S25" i="1" s="1"/>
  <c r="O12" i="6"/>
  <c r="O11" i="6"/>
  <c r="O10" i="6"/>
  <c r="O9" i="6"/>
  <c r="O8" i="6"/>
  <c r="O7" i="6"/>
  <c r="S8" i="1" s="1"/>
  <c r="O6" i="6"/>
  <c r="AE8" i="1" s="1"/>
  <c r="O5" i="6"/>
  <c r="S14" i="1" s="1"/>
  <c r="O4" i="6"/>
  <c r="O3" i="6"/>
  <c r="A55" i="1" l="1"/>
  <c r="J55" i="1"/>
  <c r="Y27" i="1"/>
  <c r="AH39" i="1"/>
  <c r="Y16" i="1"/>
  <c r="AH35" i="1"/>
  <c r="AE25" i="1"/>
  <c r="AE14" i="1"/>
  <c r="S19" i="1"/>
  <c r="S3" i="1"/>
  <c r="Y5" i="1"/>
  <c r="S30" i="1"/>
  <c r="AE3" i="1"/>
  <c r="S48" i="1"/>
  <c r="D71" i="6"/>
  <c r="D70" i="6"/>
  <c r="D69" i="6"/>
  <c r="D68" i="6"/>
  <c r="D60" i="6"/>
  <c r="D52" i="6"/>
  <c r="V7" i="1" s="1"/>
  <c r="D44" i="6"/>
  <c r="V18" i="1" s="1"/>
  <c r="D62" i="6"/>
  <c r="AH7" i="1" s="1"/>
  <c r="D45" i="6"/>
  <c r="D59" i="6"/>
  <c r="D51" i="6"/>
  <c r="V24" i="1" s="1"/>
  <c r="D43" i="6"/>
  <c r="D61" i="6"/>
  <c r="V2" i="1" s="1"/>
  <c r="D53" i="6"/>
  <c r="D58" i="6"/>
  <c r="V13" i="1" s="1"/>
  <c r="D50" i="6"/>
  <c r="D42" i="6"/>
  <c r="D57" i="6"/>
  <c r="AB26" i="1" s="1"/>
  <c r="D49" i="6"/>
  <c r="AH2" i="1" s="1"/>
  <c r="D41" i="6"/>
  <c r="AH18" i="1" s="1"/>
  <c r="D46" i="6"/>
  <c r="D64" i="6"/>
  <c r="V35" i="1" s="1"/>
  <c r="D56" i="6"/>
  <c r="AE39" i="1" s="1"/>
  <c r="D48" i="6"/>
  <c r="D40" i="6"/>
  <c r="V29" i="1" s="1"/>
  <c r="D54" i="6"/>
  <c r="D63" i="6"/>
  <c r="D55" i="6"/>
  <c r="AB4" i="1" s="1"/>
  <c r="D47" i="6"/>
  <c r="V41" i="1" s="1"/>
  <c r="D39" i="6"/>
  <c r="AJ27" i="4"/>
  <c r="AJ28" i="4"/>
  <c r="AJ29" i="4"/>
  <c r="AJ30" i="4"/>
  <c r="AJ31" i="4"/>
  <c r="AJ32" i="4"/>
  <c r="AJ33" i="4"/>
  <c r="AJ34" i="4"/>
  <c r="AJ35" i="4"/>
  <c r="AJ36" i="4"/>
  <c r="AJ37" i="4"/>
  <c r="AJ38" i="4"/>
  <c r="AJ39" i="4"/>
  <c r="I56" i="1" s="1"/>
  <c r="AJ26" i="4"/>
  <c r="AI27" i="4"/>
  <c r="AI28" i="4"/>
  <c r="AI29" i="4"/>
  <c r="AI30" i="4"/>
  <c r="Q56" i="1" s="1"/>
  <c r="AI31" i="4"/>
  <c r="AI32" i="4"/>
  <c r="AI33" i="4"/>
  <c r="AI34" i="4"/>
  <c r="AI35" i="4"/>
  <c r="AI36" i="4"/>
  <c r="AI37" i="4"/>
  <c r="AI38" i="4"/>
  <c r="AI39" i="4"/>
  <c r="AI26" i="4"/>
  <c r="AH27" i="4"/>
  <c r="AH28" i="4"/>
  <c r="AH29" i="4"/>
  <c r="AH30" i="4"/>
  <c r="P56" i="1" s="1"/>
  <c r="AH31" i="4"/>
  <c r="AH32" i="4"/>
  <c r="AH33" i="4"/>
  <c r="AH34" i="4"/>
  <c r="AH35" i="4"/>
  <c r="AH36" i="4"/>
  <c r="AH37" i="4"/>
  <c r="AH38" i="4"/>
  <c r="AH39" i="4"/>
  <c r="AH26" i="4"/>
  <c r="O3" i="2"/>
  <c r="M25" i="1" s="1"/>
  <c r="O4" i="2"/>
  <c r="G16" i="1" s="1"/>
  <c r="O5" i="2"/>
  <c r="G5" i="1" s="1"/>
  <c r="O6" i="2"/>
  <c r="M3" i="1" s="1"/>
  <c r="O7" i="2"/>
  <c r="A25" i="1" s="1"/>
  <c r="O8" i="2"/>
  <c r="A19" i="1" s="1"/>
  <c r="O9" i="2"/>
  <c r="P43" i="1" s="1"/>
  <c r="O10" i="2"/>
  <c r="G27" i="1" s="1"/>
  <c r="O11" i="2"/>
  <c r="M8" i="1" s="1"/>
  <c r="O12" i="2"/>
  <c r="A14" i="1" s="1"/>
  <c r="O13" i="2"/>
  <c r="M19" i="1" s="1"/>
  <c r="O14" i="2"/>
  <c r="A3" i="1" s="1"/>
  <c r="O15" i="2"/>
  <c r="O16" i="2"/>
  <c r="P35" i="1" s="1"/>
  <c r="O17" i="2"/>
  <c r="A8" i="1" s="1"/>
  <c r="O18" i="2"/>
  <c r="O19" i="2"/>
  <c r="O20" i="2"/>
  <c r="O21" i="2"/>
  <c r="O22" i="2"/>
  <c r="O23" i="2"/>
  <c r="O24" i="2"/>
  <c r="O25" i="2"/>
  <c r="A30" i="1" s="1"/>
  <c r="O26" i="2"/>
  <c r="P39" i="1" s="1"/>
  <c r="O27" i="2"/>
  <c r="O28" i="2"/>
  <c r="M14" i="1"/>
  <c r="T3" i="4"/>
  <c r="U3" i="4"/>
  <c r="V3" i="4"/>
  <c r="T4" i="4"/>
  <c r="U4" i="4"/>
  <c r="V4" i="4"/>
  <c r="T5" i="4"/>
  <c r="U5" i="4"/>
  <c r="V5" i="4"/>
  <c r="T6" i="4"/>
  <c r="U6" i="4"/>
  <c r="V6" i="4"/>
  <c r="T7" i="4"/>
  <c r="U7" i="4"/>
  <c r="V7" i="4"/>
  <c r="T8" i="4"/>
  <c r="U8" i="4"/>
  <c r="V8" i="4"/>
  <c r="T9" i="4"/>
  <c r="U9" i="4"/>
  <c r="V9" i="4"/>
  <c r="T10" i="4"/>
  <c r="U10" i="4"/>
  <c r="V10" i="4"/>
  <c r="T11" i="4"/>
  <c r="U11" i="4"/>
  <c r="V11" i="4"/>
  <c r="T12" i="4"/>
  <c r="U12" i="4"/>
  <c r="V12" i="4"/>
  <c r="T13" i="4"/>
  <c r="U13" i="4"/>
  <c r="V13" i="4"/>
  <c r="T14" i="4"/>
  <c r="U14" i="4"/>
  <c r="V14" i="4"/>
  <c r="T15" i="4"/>
  <c r="U15" i="4"/>
  <c r="V15" i="4"/>
  <c r="U2" i="4"/>
  <c r="V2" i="4"/>
  <c r="T2" i="4"/>
  <c r="L2" i="4"/>
  <c r="M2" i="4"/>
  <c r="N2" i="4"/>
  <c r="O2" i="4"/>
  <c r="P2" i="4"/>
  <c r="Q2" i="4"/>
  <c r="R2" i="4"/>
  <c r="S2" i="4"/>
  <c r="L3" i="4"/>
  <c r="M3" i="4"/>
  <c r="N3" i="4"/>
  <c r="O3" i="4"/>
  <c r="P3" i="4"/>
  <c r="Q3" i="4"/>
  <c r="R3" i="4"/>
  <c r="S3" i="4"/>
  <c r="L4" i="4"/>
  <c r="M4" i="4"/>
  <c r="N4" i="4"/>
  <c r="O4" i="4"/>
  <c r="P4" i="4"/>
  <c r="Q4" i="4"/>
  <c r="R4" i="4"/>
  <c r="S4" i="4"/>
  <c r="L5" i="4"/>
  <c r="M5" i="4"/>
  <c r="N5" i="4"/>
  <c r="O5" i="4"/>
  <c r="P5" i="4"/>
  <c r="Q5" i="4"/>
  <c r="R5" i="4"/>
  <c r="S5" i="4"/>
  <c r="L6" i="4"/>
  <c r="M6" i="4"/>
  <c r="N6" i="4"/>
  <c r="O6" i="4"/>
  <c r="P6" i="4"/>
  <c r="Q6" i="4"/>
  <c r="R6" i="4"/>
  <c r="S6" i="4"/>
  <c r="L7" i="4"/>
  <c r="M7" i="4"/>
  <c r="N7" i="4"/>
  <c r="O7" i="4"/>
  <c r="P7" i="4"/>
  <c r="Q7" i="4"/>
  <c r="R7" i="4"/>
  <c r="S7" i="4"/>
  <c r="L8" i="4"/>
  <c r="M8" i="4"/>
  <c r="N8" i="4"/>
  <c r="O8" i="4"/>
  <c r="P8" i="4"/>
  <c r="Q8" i="4"/>
  <c r="R8" i="4"/>
  <c r="S8" i="4"/>
  <c r="L9" i="4"/>
  <c r="M9" i="4"/>
  <c r="N9" i="4"/>
  <c r="O9" i="4"/>
  <c r="P9" i="4"/>
  <c r="Q9" i="4"/>
  <c r="R9" i="4"/>
  <c r="S9" i="4"/>
  <c r="L10" i="4"/>
  <c r="M10" i="4"/>
  <c r="N10" i="4"/>
  <c r="O10" i="4"/>
  <c r="P10" i="4"/>
  <c r="Q10" i="4"/>
  <c r="R10" i="4"/>
  <c r="S10" i="4"/>
  <c r="L11" i="4"/>
  <c r="M11" i="4"/>
  <c r="N11" i="4"/>
  <c r="O11" i="4"/>
  <c r="P11" i="4"/>
  <c r="Q11" i="4"/>
  <c r="R11" i="4"/>
  <c r="S11" i="4"/>
  <c r="L12" i="4"/>
  <c r="M12" i="4"/>
  <c r="N12" i="4"/>
  <c r="O12" i="4"/>
  <c r="P12" i="4"/>
  <c r="Q12" i="4"/>
  <c r="R12" i="4"/>
  <c r="S12" i="4"/>
  <c r="L13" i="4"/>
  <c r="M13" i="4"/>
  <c r="N13" i="4"/>
  <c r="O13" i="4"/>
  <c r="P13" i="4"/>
  <c r="Q13" i="4"/>
  <c r="R13" i="4"/>
  <c r="S13" i="4"/>
  <c r="L14" i="4"/>
  <c r="M14" i="4"/>
  <c r="N14" i="4"/>
  <c r="O14" i="4"/>
  <c r="P14" i="4"/>
  <c r="Q14" i="4"/>
  <c r="R14" i="4"/>
  <c r="S14" i="4"/>
  <c r="L15" i="4"/>
  <c r="M15" i="4"/>
  <c r="N15" i="4"/>
  <c r="O15" i="4"/>
  <c r="P15" i="4"/>
  <c r="Q15" i="4"/>
  <c r="R15" i="4"/>
  <c r="S15" i="4"/>
  <c r="B3" i="4"/>
  <c r="C3" i="4"/>
  <c r="D3" i="4"/>
  <c r="E3" i="4"/>
  <c r="F3" i="4"/>
  <c r="G3" i="4"/>
  <c r="H3" i="4"/>
  <c r="I3" i="4"/>
  <c r="J3" i="4"/>
  <c r="K3" i="4"/>
  <c r="B4" i="4"/>
  <c r="C4" i="4"/>
  <c r="D4" i="4"/>
  <c r="E4" i="4"/>
  <c r="F4" i="4"/>
  <c r="G4" i="4"/>
  <c r="H4" i="4"/>
  <c r="I4" i="4"/>
  <c r="J4" i="4"/>
  <c r="K4" i="4"/>
  <c r="B5" i="4"/>
  <c r="C5" i="4"/>
  <c r="D5" i="4"/>
  <c r="E5" i="4"/>
  <c r="F5" i="4"/>
  <c r="G5" i="4"/>
  <c r="H5" i="4"/>
  <c r="I5" i="4"/>
  <c r="J5" i="4"/>
  <c r="K5" i="4"/>
  <c r="B6" i="4"/>
  <c r="C6" i="4"/>
  <c r="D6" i="4"/>
  <c r="E6" i="4"/>
  <c r="F6" i="4"/>
  <c r="G6" i="4"/>
  <c r="H6" i="4"/>
  <c r="I6" i="4"/>
  <c r="J6" i="4"/>
  <c r="K6" i="4"/>
  <c r="B7" i="4"/>
  <c r="C7" i="4"/>
  <c r="D7" i="4"/>
  <c r="E7" i="4"/>
  <c r="F7" i="4"/>
  <c r="G7" i="4"/>
  <c r="H7" i="4"/>
  <c r="I7" i="4"/>
  <c r="J7" i="4"/>
  <c r="K7" i="4"/>
  <c r="B8" i="4"/>
  <c r="C8" i="4"/>
  <c r="D8" i="4"/>
  <c r="E8" i="4"/>
  <c r="F8" i="4"/>
  <c r="G8" i="4"/>
  <c r="H8" i="4"/>
  <c r="I8" i="4"/>
  <c r="J8" i="4"/>
  <c r="K8" i="4"/>
  <c r="B9" i="4"/>
  <c r="C9" i="4"/>
  <c r="D9" i="4"/>
  <c r="E9" i="4"/>
  <c r="F9" i="4"/>
  <c r="G9" i="4"/>
  <c r="H9" i="4"/>
  <c r="I9" i="4"/>
  <c r="J9" i="4"/>
  <c r="K9" i="4"/>
  <c r="B10" i="4"/>
  <c r="C10" i="4"/>
  <c r="D10" i="4"/>
  <c r="E10" i="4"/>
  <c r="F10" i="4"/>
  <c r="G10" i="4"/>
  <c r="H10" i="4"/>
  <c r="I10" i="4"/>
  <c r="J10" i="4"/>
  <c r="K10" i="4"/>
  <c r="B11" i="4"/>
  <c r="C11" i="4"/>
  <c r="D11" i="4"/>
  <c r="E11" i="4"/>
  <c r="F11" i="4"/>
  <c r="G11" i="4"/>
  <c r="H11" i="4"/>
  <c r="I11" i="4"/>
  <c r="J11" i="4"/>
  <c r="K11" i="4"/>
  <c r="B12" i="4"/>
  <c r="C12" i="4"/>
  <c r="D12" i="4"/>
  <c r="E12" i="4"/>
  <c r="F12" i="4"/>
  <c r="G12" i="4"/>
  <c r="H12" i="4"/>
  <c r="I12" i="4"/>
  <c r="J12" i="4"/>
  <c r="K12" i="4"/>
  <c r="B13" i="4"/>
  <c r="C13" i="4"/>
  <c r="D13" i="4"/>
  <c r="E13" i="4"/>
  <c r="F13" i="4"/>
  <c r="G13" i="4"/>
  <c r="H13" i="4"/>
  <c r="I13" i="4"/>
  <c r="J13" i="4"/>
  <c r="K13" i="4"/>
  <c r="B14" i="4"/>
  <c r="C14" i="4"/>
  <c r="D14" i="4"/>
  <c r="E14" i="4"/>
  <c r="F14" i="4"/>
  <c r="G14" i="4"/>
  <c r="H14" i="4"/>
  <c r="I14" i="4"/>
  <c r="J14" i="4"/>
  <c r="K14" i="4"/>
  <c r="B15" i="4"/>
  <c r="C15" i="4"/>
  <c r="D15" i="4"/>
  <c r="E15" i="4"/>
  <c r="F15" i="4"/>
  <c r="G15" i="4"/>
  <c r="H15" i="4"/>
  <c r="I15" i="4"/>
  <c r="J15" i="4"/>
  <c r="K15" i="4"/>
  <c r="I2" i="4"/>
  <c r="J2" i="4"/>
  <c r="K2" i="4"/>
  <c r="C2" i="4"/>
  <c r="D2" i="4"/>
  <c r="E2" i="4"/>
  <c r="F2" i="4"/>
  <c r="G2" i="4"/>
  <c r="H2" i="4"/>
  <c r="B2" i="4"/>
  <c r="N47" i="1"/>
  <c r="N49" i="1"/>
  <c r="K48" i="1"/>
  <c r="K50" i="1"/>
  <c r="J50" i="1"/>
  <c r="B48" i="1"/>
  <c r="E47" i="1"/>
  <c r="A66" i="2"/>
  <c r="D67" i="2" s="1"/>
  <c r="R32" i="2"/>
  <c r="B42" i="1" s="1"/>
  <c r="R33" i="2"/>
  <c r="R34" i="2"/>
  <c r="R31" i="2"/>
  <c r="B36" i="1" s="1"/>
  <c r="S54" i="2"/>
  <c r="S62" i="2"/>
  <c r="S46" i="2"/>
  <c r="E37" i="1" s="1"/>
  <c r="S45" i="2"/>
  <c r="E43" i="1" s="1"/>
  <c r="Q32" i="2"/>
  <c r="F42" i="1" s="1"/>
  <c r="Q33" i="2"/>
  <c r="Q34" i="2"/>
  <c r="Q31" i="2"/>
  <c r="F36" i="1" s="1"/>
  <c r="P32" i="2"/>
  <c r="C43" i="1" s="1"/>
  <c r="P33" i="2"/>
  <c r="P34" i="2"/>
  <c r="P31" i="2"/>
  <c r="C37" i="1" s="1"/>
  <c r="P39" i="2"/>
  <c r="P40" i="2"/>
  <c r="P41" i="2"/>
  <c r="P42" i="2"/>
  <c r="P43" i="2"/>
  <c r="P44" i="2"/>
  <c r="P45" i="2"/>
  <c r="P46" i="2"/>
  <c r="P47" i="2"/>
  <c r="P48" i="2"/>
  <c r="P49" i="2"/>
  <c r="P50" i="2"/>
  <c r="P51" i="2"/>
  <c r="P52" i="2"/>
  <c r="P53" i="2"/>
  <c r="P54" i="2"/>
  <c r="P55" i="2"/>
  <c r="P56" i="2"/>
  <c r="P57" i="2"/>
  <c r="P58" i="2"/>
  <c r="P59" i="2"/>
  <c r="P60" i="2"/>
  <c r="P61" i="2"/>
  <c r="P62" i="2"/>
  <c r="P63" i="2"/>
  <c r="P64" i="2"/>
  <c r="P38" i="2"/>
  <c r="A37" i="2"/>
  <c r="D55" i="2" s="1"/>
  <c r="H47" i="2"/>
  <c r="O47" i="2" s="1"/>
  <c r="P25" i="1" s="1"/>
  <c r="H56" i="2"/>
  <c r="O56" i="2" s="1"/>
  <c r="J16" i="1" s="1"/>
  <c r="H51" i="2"/>
  <c r="O51" i="2" s="1"/>
  <c r="J5" i="1" s="1"/>
  <c r="H60" i="2"/>
  <c r="O60" i="2" s="1"/>
  <c r="P3" i="1" s="1"/>
  <c r="H43" i="2"/>
  <c r="O43" i="2" s="1"/>
  <c r="D25" i="1" s="1"/>
  <c r="H58" i="2"/>
  <c r="O58" i="2" s="1"/>
  <c r="D19" i="1" s="1"/>
  <c r="H59" i="2"/>
  <c r="O59" i="2" s="1"/>
  <c r="K44" i="1" s="1"/>
  <c r="H64" i="2"/>
  <c r="O64" i="2" s="1"/>
  <c r="J27" i="1" s="1"/>
  <c r="H48" i="2"/>
  <c r="O48" i="2" s="1"/>
  <c r="P8" i="1" s="1"/>
  <c r="H44" i="2"/>
  <c r="O44" i="2" s="1"/>
  <c r="D14" i="1" s="1"/>
  <c r="H61" i="2"/>
  <c r="O61" i="2" s="1"/>
  <c r="P19" i="1" s="1"/>
  <c r="H38" i="2"/>
  <c r="O38" i="2" s="1"/>
  <c r="D3" i="1" s="1"/>
  <c r="H41" i="2"/>
  <c r="O41" i="2" s="1"/>
  <c r="H57" i="2"/>
  <c r="O57" i="2" s="1"/>
  <c r="K36" i="1" s="1"/>
  <c r="H40" i="2"/>
  <c r="O40" i="2" s="1"/>
  <c r="D8" i="1" s="1"/>
  <c r="H54" i="2"/>
  <c r="O54" i="2" s="1"/>
  <c r="H52" i="2"/>
  <c r="O52" i="2" s="1"/>
  <c r="H53" i="2"/>
  <c r="O53" i="2" s="1"/>
  <c r="H62" i="2"/>
  <c r="O62" i="2" s="1"/>
  <c r="H39" i="2"/>
  <c r="O39" i="2" s="1"/>
  <c r="H49" i="2"/>
  <c r="O49" i="2" s="1"/>
  <c r="H45" i="2"/>
  <c r="O45" i="2" s="1"/>
  <c r="H50" i="2"/>
  <c r="O50" i="2" s="1"/>
  <c r="D30" i="1" s="1"/>
  <c r="H42" i="2"/>
  <c r="O42" i="2" s="1"/>
  <c r="K40" i="1" s="1"/>
  <c r="H46" i="2"/>
  <c r="O46" i="2" s="1"/>
  <c r="H63" i="2"/>
  <c r="O63" i="2" s="1"/>
  <c r="P30" i="1" s="1"/>
  <c r="H55" i="2"/>
  <c r="O55" i="2" s="1"/>
  <c r="P14" i="1" s="1"/>
  <c r="H56" i="1" l="1"/>
  <c r="G56" i="1"/>
  <c r="R56" i="1"/>
  <c r="M30" i="1"/>
  <c r="AB50" i="1"/>
  <c r="AH29" i="1"/>
  <c r="AE35" i="1"/>
  <c r="AH24" i="1"/>
  <c r="AE43" i="1"/>
  <c r="AB15" i="1"/>
  <c r="AH13" i="1"/>
  <c r="AB48" i="1"/>
  <c r="P13" i="1"/>
  <c r="A48" i="1"/>
  <c r="D70" i="2"/>
  <c r="D69" i="2"/>
  <c r="D68" i="2"/>
  <c r="D49" i="2"/>
  <c r="D38" i="2"/>
  <c r="D2" i="1" s="1"/>
  <c r="D56" i="2"/>
  <c r="D39" i="2"/>
  <c r="D44" i="2"/>
  <c r="D47" i="2"/>
  <c r="D53" i="2"/>
  <c r="D48" i="2"/>
  <c r="D63" i="2"/>
  <c r="D52" i="2"/>
  <c r="D64" i="2"/>
  <c r="D46" i="2"/>
  <c r="D54" i="2"/>
  <c r="D59" i="2"/>
  <c r="D42" i="2"/>
  <c r="D40" i="2"/>
  <c r="D58" i="2"/>
  <c r="D50" i="2"/>
  <c r="D57" i="2"/>
  <c r="D43" i="2"/>
  <c r="D45" i="2"/>
  <c r="D41" i="2"/>
  <c r="D60" i="2"/>
  <c r="D62" i="2"/>
  <c r="D61" i="2"/>
  <c r="D51" i="2"/>
  <c r="M43" i="1" l="1"/>
  <c r="M39" i="1"/>
  <c r="M35" i="1"/>
  <c r="D41" i="1"/>
  <c r="D35" i="1"/>
  <c r="D29" i="1"/>
  <c r="P29" i="1"/>
  <c r="P24" i="1"/>
  <c r="J26" i="1"/>
  <c r="D24" i="1"/>
  <c r="D18" i="1"/>
  <c r="P18" i="1"/>
  <c r="J15" i="1"/>
  <c r="D13" i="1"/>
  <c r="D7" i="1"/>
  <c r="P7" i="1"/>
  <c r="P2" i="1"/>
  <c r="J4" i="1"/>
  <c r="J48" i="1"/>
</calcChain>
</file>

<file path=xl/connections.xml><?xml version="1.0" encoding="utf-8"?>
<connections xmlns="http://schemas.openxmlformats.org/spreadsheetml/2006/main">
  <connection id="1" name="chodov" type="6" refreshedVersion="5" background="1" saveData="1">
    <textPr prompt="0" codePage="65001" firstRow="6" sourceFile="D:\klima\Documents\SKV\pripravy\csv_2021\chodov_players.csv" thousands=" " tab="0" comma="1">
      <textFields count="13">
        <textField/>
        <textField/>
        <textField/>
        <textField/>
        <textField/>
        <textField/>
        <textField/>
        <textField/>
        <textField/>
        <textField/>
        <textField/>
        <textField/>
        <textField/>
      </textFields>
    </textPr>
  </connection>
  <connection id="2" name="chodov_asistence" type="6" refreshedVersion="5" background="1" refreshOnLoad="1" saveData="1">
    <textPr prompt="0" codePage="65001" sourceFile="D:\klima\Documents\SKV\pripravy\csv_2021\chodov_asistence.csv" thousands=" " tab="0" comma="1" consecutive="1">
      <textFields count="3">
        <textField type="skip"/>
        <textField/>
        <textField/>
      </textFields>
    </textPr>
  </connection>
  <connection id="3" name="chodov_asistence1" type="6" refreshedVersion="5" background="1" refreshOnLoad="1" saveData="1">
    <textPr prompt="0" codePage="65001" sourceFile="D:\klima\Documents\SKV\pripravy\csv_2021\chodov_asistence.csv" thousands=" " tab="0" comma="1" consecutive="1">
      <textFields count="3">
        <textField type="skip"/>
        <textField/>
        <textField/>
      </textFields>
    </textPr>
  </connection>
  <connection id="4" name="chodov_body" type="6" refreshedVersion="5" background="1" refreshOnLoad="1" saveData="1">
    <textPr prompt="0" codePage="65001" sourceFile="D:\klima\Documents\SKV\pripravy\csv_2021\chodov_body.csv" thousands=" " tab="0" comma="1" consecutive="1">
      <textFields count="3">
        <textField type="skip"/>
        <textField/>
        <textField/>
      </textFields>
    </textPr>
  </connection>
  <connection id="5" name="chodov_body1" type="6" refreshedVersion="5" background="1" refreshOnLoad="1" saveData="1">
    <textPr prompt="0" codePage="65001" sourceFile="D:\klima\Documents\SKV\pripravy\csv_2021\chodov_body.csv" thousands=" " tab="0" comma="1" consecutive="1">
      <textFields count="3">
        <textField type="skip"/>
        <textField/>
        <textField/>
      </textFields>
    </textPr>
  </connection>
  <connection id="6" name="chodov_goalies" type="6" refreshedVersion="5" background="1" refreshOnLoad="1" saveData="1">
    <textPr prompt="0" codePage="65001" firstRow="6" sourceFile="D:\klima\Documents\SKV\pripravy\csv_2021\chodov_goalies.csv" thousands=" " tab="0" comma="1">
      <textFields count="15">
        <textField/>
        <textField/>
        <textField/>
        <textField/>
        <textField/>
        <textField/>
        <textField/>
        <textField/>
        <textField/>
        <textField/>
        <textField/>
        <textField/>
        <textField/>
        <textField/>
        <textField/>
      </textFields>
    </textPr>
  </connection>
  <connection id="7" name="chodov_goalies1" type="6" refreshedVersion="5" background="1" refreshOnLoad="1" saveData="1">
    <textPr prompt="0" codePage="65001" firstRow="6" sourceFile="D:\klima\Documents\SKV\pripravy\csv_2021\chodov_goalies.csv" thousands=" " tab="0" comma="1">
      <textFields count="15">
        <textField/>
        <textField/>
        <textField/>
        <textField/>
        <textField/>
        <textField/>
        <textField/>
        <textField/>
        <textField/>
        <textField/>
        <textField/>
        <textField/>
        <textField/>
        <textField/>
        <textField/>
      </textFields>
    </textPr>
  </connection>
  <connection id="8" name="chodov_goly" type="6" refreshedVersion="5" background="1" refreshOnLoad="1" saveData="1">
    <textPr prompt="0" codePage="65001" sourceFile="D:\klima\Documents\SKV\pripravy\csv_2021\chodov_goly.csv" thousands=" " tab="0" comma="1" consecutive="1">
      <textFields count="3">
        <textField type="skip"/>
        <textField/>
        <textField/>
      </textFields>
    </textPr>
  </connection>
  <connection id="9" name="chodov_goly1" type="6" refreshedVersion="5" background="1" refreshOnLoad="1" saveData="1">
    <textPr prompt="0" codePage="65001" sourceFile="D:\klima\Documents\SKV\pripravy\csv_2021\chodov_goly.csv" thousands=" " tab="0" comma="1" consecutive="1">
      <textFields count="3">
        <textField type="skip"/>
        <textField/>
        <textField/>
      </textFields>
    </textPr>
  </connection>
  <connection id="10" name="chodov_prumer" type="6" refreshedVersion="5" background="1" refreshOnLoad="1" saveData="1">
    <textPr prompt="0" codePage="65001" sourceFile="D:\klima\Documents\SKV\pripravy\csv_2021\chodov_prumer.csv" thousands=" " tab="0" comma="1" consecutive="1">
      <textFields count="3">
        <textField type="skip"/>
        <textField/>
        <textField/>
      </textFields>
    </textPr>
  </connection>
  <connection id="11" name="chodov_prumer1" type="6" refreshedVersion="5" background="1" refreshOnLoad="1" saveData="1">
    <textPr prompt="0" codePage="65001" sourceFile="D:\klima\Documents\SKV\pripravy\csv_2021\chodov_prumer.csv" thousands=" " tab="0" comma="1" consecutive="1">
      <textFields count="3">
        <textField type="skip"/>
        <textField/>
        <textField/>
      </textFields>
    </textPr>
  </connection>
  <connection id="12" name="chodov_tm" type="6" refreshedVersion="5" background="1" refreshOnLoad="1" saveData="1">
    <textPr prompt="0" codePage="65001" sourceFile="D:\klima\Documents\SKV\pripravy\csv_2021\chodov_tm.csv" thousands=" " tab="0" comma="1" consecutive="1">
      <textFields count="3">
        <textField type="skip"/>
        <textField/>
        <textField/>
      </textFields>
    </textPr>
  </connection>
  <connection id="13" name="chodov_tm1" type="6" refreshedVersion="5" background="1" refreshOnLoad="1" saveData="1">
    <textPr prompt="0" codePage="65001" sourceFile="D:\klima\Documents\SKV\pripravy\csv_2021\chodov_tm.csv" thousands=" " tab="0" comma="1" consecutive="1">
      <textFields count="3">
        <textField type="skip"/>
        <textField/>
        <textField/>
      </textFields>
    </textPr>
  </connection>
  <connection id="14" name="chodov_vyhry" type="6" refreshedVersion="5" background="1" refreshOnLoad="1" saveData="1">
    <textPr prompt="0" codePage="65001" sourceFile="D:\klima\Documents\SKV\pripravy\csv_2021\chodov_vyhry.csv" thousands=" " tab="0" comma="1" consecutive="1">
      <textFields count="3">
        <textField type="skip"/>
        <textField/>
        <textField/>
      </textFields>
    </textPr>
  </connection>
  <connection id="15" name="chodov_vyhry1" type="6" refreshedVersion="5" background="1" refreshOnLoad="1" saveData="1">
    <textPr prompt="0" codePage="65001" sourceFile="D:\klima\Documents\SKV\pripravy\csv_2021\chodov_vyhry.csv" thousands=" " tab="0" comma="1" consecutive="1">
      <textFields count="3">
        <textField type="skip"/>
        <textField/>
        <textField/>
      </textFields>
    </textPr>
  </connection>
  <connection id="16" name="chodov1" type="6" refreshedVersion="5" background="1" saveData="1">
    <textPr prompt="0" codePage="65001" firstRow="6" sourceFile="D:\klima\Documents\SKV\pripravy\csv_2021\chodov_players.csv" thousands=" " tab="0" comma="1">
      <textFields count="13">
        <textField/>
        <textField/>
        <textField/>
        <textField/>
        <textField/>
        <textField/>
        <textField/>
        <textField/>
        <textField/>
        <textField/>
        <textField/>
        <textField/>
        <textField/>
      </textFields>
    </textPr>
  </connection>
  <connection id="17" name="skv" type="6" refreshedVersion="5" background="1" saveData="1">
    <textPr prompt="0" codePage="65001" firstRow="6" sourceFile="D:\klima\Documents\SKV\pripravy\csv_2021\skv_players.csv" thousands=" " tab="0" comma="1">
      <textFields count="13">
        <textField/>
        <textField/>
        <textField/>
        <textField/>
        <textField/>
        <textField/>
        <textField/>
        <textField/>
        <textField/>
        <textField/>
        <textField/>
        <textField/>
        <textField/>
      </textFields>
    </textPr>
  </connection>
  <connection id="18" name="skv_asistence" type="6" refreshedVersion="5" background="1" refreshOnLoad="1" saveData="1">
    <textPr prompt="0" codePage="65001" sourceFile="D:\klima\Documents\SKV\pripravy\csv_2021\skv_asistence.csv" thousands=" " tab="0" comma="1" consecutive="1">
      <textFields count="3">
        <textField type="skip"/>
        <textField/>
        <textField/>
      </textFields>
    </textPr>
  </connection>
  <connection id="19" name="skv_body" type="6" refreshedVersion="5" background="1" refreshOnLoad="1" saveData="1">
    <textPr prompt="0" codePage="65001" sourceFile="D:\klima\Documents\SKV\pripravy\csv_2021\skv_body.csv" thousands=" " tab="0" comma="1" consecutive="1">
      <textFields count="3">
        <textField type="skip"/>
        <textField/>
        <textField/>
      </textFields>
    </textPr>
  </connection>
  <connection id="20" name="skv_goalies" type="6" refreshedVersion="5" background="1" refreshOnLoad="1" saveData="1">
    <textPr prompt="0" codePage="65001" firstRow="6" sourceFile="D:\klima\Documents\SKV\pripravy\csv_2021\skv_goalies.csv" decimal="," thousands=" " tab="0" comma="1">
      <textFields count="14">
        <textField/>
        <textField/>
        <textField/>
        <textField/>
        <textField/>
        <textField/>
        <textField/>
        <textField/>
        <textField/>
        <textField/>
        <textField/>
        <textField/>
        <textField/>
        <textField/>
      </textFields>
    </textPr>
  </connection>
  <connection id="21" name="skv_goly" type="6" refreshedVersion="5" background="1" refreshOnLoad="1" saveData="1">
    <textPr prompt="0" codePage="65001" sourceFile="D:\klima\Documents\SKV\pripravy\csv_2021\skv_goly.csv" thousands=" " tab="0" comma="1" consecutive="1">
      <textFields count="3">
        <textField type="skip"/>
        <textField/>
        <textField/>
      </textFields>
    </textPr>
  </connection>
  <connection id="22" name="skv_prumer" type="6" refreshedVersion="5" background="1" refreshOnLoad="1" saveData="1">
    <textPr prompt="0" codePage="65001" sourceFile="D:\klima\Documents\SKV\pripravy\csv_2021\skv_prumer.csv" thousands=" " comma="1" consecutive="1">
      <textFields count="3">
        <textField type="skip"/>
        <textField/>
        <textField/>
      </textFields>
    </textPr>
  </connection>
  <connection id="23" name="skv_tm" type="6" refreshedVersion="5" background="1" refreshOnLoad="1" saveData="1">
    <textPr prompt="0" codePage="65001" sourceFile="D:\klima\Documents\SKV\pripravy\csv_2021\skv_tm.csv" thousands=" " tab="0" comma="1" consecutive="1">
      <textFields count="3">
        <textField type="skip"/>
        <textField/>
        <textField/>
      </textFields>
    </textPr>
  </connection>
  <connection id="24" name="skv_vyhry" type="6" refreshedVersion="5" background="1" refreshOnLoad="1" saveData="1">
    <textPr prompt="0" codePage="65001" sourceFile="D:\klima\Documents\SKV\pripravy\csv_2021\skv_vyhry.csv" thousands=" " tab="0" comma="1" consecutive="1">
      <textFields count="3">
        <textField type="skip"/>
        <textField/>
        <textField/>
      </textFields>
    </textPr>
  </connection>
  <connection id="25" name="tabulka" type="6" refreshedVersion="5" background="1" refreshOnLoad="1" saveData="1">
    <textPr prompt="0" codePage="65001" firstRow="3" sourceFile="D:\klima\Documents\SKV\pripravy\csv_2021\tabulka.csv" thousands=" " tab="0" comma="1" consecutive="1">
      <textFields count="3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<sst xmlns="http://schemas.openxmlformats.org/spreadsheetml/2006/main" count="1039" uniqueCount="376">
  <si>
    <t>Daniel Cabejšek</t>
  </si>
  <si>
    <t>Black Angels</t>
  </si>
  <si>
    <t>Martin Skřivánek</t>
  </si>
  <si>
    <t>Petr Hartman</t>
  </si>
  <si>
    <t>Jan Fiala</t>
  </si>
  <si>
    <t>Lukáš Lanc</t>
  </si>
  <si>
    <t>Future</t>
  </si>
  <si>
    <t>FBK Kunovští Orli</t>
  </si>
  <si>
    <t>Chodov</t>
  </si>
  <si>
    <t>SC Sportcentrum</t>
  </si>
  <si>
    <t>Jan Svoboda</t>
  </si>
  <si>
    <t>RKČF</t>
  </si>
  <si>
    <t>Milan Bína</t>
  </si>
  <si>
    <t>Pelhřimov</t>
  </si>
  <si>
    <t>Michal Strachota</t>
  </si>
  <si>
    <t>FC Vlci</t>
  </si>
  <si>
    <t>Lhokamo</t>
  </si>
  <si>
    <t>Radovan Vnuk</t>
  </si>
  <si>
    <t>Česká Lípa</t>
  </si>
  <si>
    <t>Jan Procházka</t>
  </si>
  <si>
    <t>Zbyněk Stuchlík</t>
  </si>
  <si>
    <t>Lukáš Gregor</t>
  </si>
  <si>
    <t>ASP Hr. Králové</t>
  </si>
  <si>
    <t>Marian Jelínek</t>
  </si>
  <si>
    <t>Štěpán Čuda</t>
  </si>
  <si>
    <t>Bohemians</t>
  </si>
  <si>
    <t>Oliver Gold</t>
  </si>
  <si>
    <t>Bulldogs Brno</t>
  </si>
  <si>
    <t>Jan Pinkas</t>
  </si>
  <si>
    <t>SKV</t>
  </si>
  <si>
    <t>-</t>
  </si>
  <si>
    <t>Pavel Hájek</t>
  </si>
  <si>
    <t>Karel Šantora</t>
  </si>
  <si>
    <t>Jiří Buchta</t>
  </si>
  <si>
    <t>FBK Atlas Sloup</t>
  </si>
  <si>
    <t>G</t>
  </si>
  <si>
    <t>B</t>
  </si>
  <si>
    <t>A</t>
  </si>
  <si>
    <t>Gregor</t>
  </si>
  <si>
    <t>Skřivánek</t>
  </si>
  <si>
    <t>Strachota</t>
  </si>
  <si>
    <t>Bína</t>
  </si>
  <si>
    <t>Procházka</t>
  </si>
  <si>
    <t>Stuchlík O.</t>
  </si>
  <si>
    <t>Hartman</t>
  </si>
  <si>
    <t>TM</t>
  </si>
  <si>
    <t>Svoboda</t>
  </si>
  <si>
    <t>Stuchlík Z.</t>
  </si>
  <si>
    <t>5:8</t>
  </si>
  <si>
    <t>Série:</t>
  </si>
  <si>
    <t>V</t>
  </si>
  <si>
    <t>P</t>
  </si>
  <si>
    <t>Skóre</t>
  </si>
  <si>
    <t>%P</t>
  </si>
  <si>
    <t>%O</t>
  </si>
  <si>
    <t>Vzájemné zápasy</t>
  </si>
  <si>
    <t>Sezona</t>
  </si>
  <si>
    <t>CHO - SKV</t>
  </si>
  <si>
    <t>Zajímavosti</t>
  </si>
  <si>
    <t>2.</t>
  </si>
  <si>
    <t>1.</t>
  </si>
  <si>
    <t>O</t>
  </si>
  <si>
    <t>Dominik Záň</t>
  </si>
  <si>
    <t>3.</t>
  </si>
  <si>
    <t>4.</t>
  </si>
  <si>
    <t>Jan Linhart</t>
  </si>
  <si>
    <t>U</t>
  </si>
  <si>
    <t>Marek Paštika</t>
  </si>
  <si>
    <t>Martin Šolaja</t>
  </si>
  <si>
    <t>Matyáš Lorenc</t>
  </si>
  <si>
    <t>Matěj Šaroch</t>
  </si>
  <si>
    <t>Ondřej Stuchlík</t>
  </si>
  <si>
    <t>Rastislav Mazák</t>
  </si>
  <si>
    <t>#</t>
  </si>
  <si>
    <t>Jméno</t>
  </si>
  <si>
    <t>Post</t>
  </si>
  <si>
    <t>OZ</t>
  </si>
  <si>
    <t>GP</t>
  </si>
  <si>
    <t>GO</t>
  </si>
  <si>
    <t>+</t>
  </si>
  <si>
    <t>±</t>
  </si>
  <si>
    <t>DN</t>
  </si>
  <si>
    <t>Věk</t>
  </si>
  <si>
    <t>Výška</t>
  </si>
  <si>
    <t>Váha</t>
  </si>
  <si>
    <t>HOZ</t>
  </si>
  <si>
    <t>HG</t>
  </si>
  <si>
    <t>HA</t>
  </si>
  <si>
    <t>HB</t>
  </si>
  <si>
    <t>1. klub</t>
  </si>
  <si>
    <t>1. sezona</t>
  </si>
  <si>
    <t>Slovan J. Hradec</t>
  </si>
  <si>
    <t>Hůl</t>
  </si>
  <si>
    <t>L</t>
  </si>
  <si>
    <t>R</t>
  </si>
  <si>
    <t>Sez. STR</t>
  </si>
  <si>
    <t>His. STR</t>
  </si>
  <si>
    <t>V/V STR</t>
  </si>
  <si>
    <t>Z</t>
  </si>
  <si>
    <t>ZCh</t>
  </si>
  <si>
    <t>Minuty</t>
  </si>
  <si>
    <t>OG</t>
  </si>
  <si>
    <t>ČK</t>
  </si>
  <si>
    <t>S</t>
  </si>
  <si>
    <t>Zákroky</t>
  </si>
  <si>
    <t>532.26</t>
  </si>
  <si>
    <t>117.50</t>
  </si>
  <si>
    <t>58.48</t>
  </si>
  <si>
    <t>0.00</t>
  </si>
  <si>
    <t>OG/Z</t>
  </si>
  <si>
    <t>%Z</t>
  </si>
  <si>
    <t>V-P STR</t>
  </si>
  <si>
    <t>Golm. STR</t>
  </si>
  <si>
    <t>pozice</t>
  </si>
  <si>
    <t>Michal Kotlas</t>
  </si>
  <si>
    <t>David Bouša</t>
  </si>
  <si>
    <t>David Pálek</t>
  </si>
  <si>
    <t>Miroslav Purkrábek</t>
  </si>
  <si>
    <t>trenér</t>
  </si>
  <si>
    <t>úspěchy</t>
  </si>
  <si>
    <t>kondiční trenér</t>
  </si>
  <si>
    <t>video konzultant</t>
  </si>
  <si>
    <t>postup do Tipsport superligy (trenér)</t>
  </si>
  <si>
    <t>1. SC TEMPISH Vítkovice</t>
  </si>
  <si>
    <t>Předvýběr.CZ Florbal MB</t>
  </si>
  <si>
    <t>Tatran Teka Střešovice</t>
  </si>
  <si>
    <t>FbŠ Bohemians</t>
  </si>
  <si>
    <t>FAT PIPE FLORBAL CHODOV</t>
  </si>
  <si>
    <t>FBC ČPP OSTRAVA</t>
  </si>
  <si>
    <t>ACEMA Sparta Praha</t>
  </si>
  <si>
    <t>BLACK ANGELS</t>
  </si>
  <si>
    <t>FBC Liberec</t>
  </si>
  <si>
    <t>FBŠ Hummel Hattrick Brno</t>
  </si>
  <si>
    <t>FBC 4CLEAN Česká Lípa</t>
  </si>
  <si>
    <t>SOKOLI Pardubice</t>
  </si>
  <si>
    <t>Hu-Fa PANTHERS OTROKOVICE</t>
  </si>
  <si>
    <t>TJ Sokol Královské Vinohrady</t>
  </si>
  <si>
    <t>Družstvo</t>
  </si>
  <si>
    <t>VP</t>
  </si>
  <si>
    <t>PP</t>
  </si>
  <si>
    <t>GV</t>
  </si>
  <si>
    <t>GR</t>
  </si>
  <si>
    <t>PP%</t>
  </si>
  <si>
    <t>GOO</t>
  </si>
  <si>
    <t>GVP</t>
  </si>
  <si>
    <t>GOP</t>
  </si>
  <si>
    <t>GVO</t>
  </si>
  <si>
    <t>O%</t>
  </si>
  <si>
    <t>ČK1</t>
  </si>
  <si>
    <t>ČK2</t>
  </si>
  <si>
    <t>ČK3</t>
  </si>
  <si>
    <t>S%</t>
  </si>
  <si>
    <t>DD</t>
  </si>
  <si>
    <t>DV</t>
  </si>
  <si>
    <t>ØDD</t>
  </si>
  <si>
    <t>ØDV</t>
  </si>
  <si>
    <t>ØD</t>
  </si>
  <si>
    <t>Rank P</t>
  </si>
  <si>
    <t>Rank O</t>
  </si>
  <si>
    <t>Rank TM</t>
  </si>
  <si>
    <t>VIT</t>
  </si>
  <si>
    <t>TAT</t>
  </si>
  <si>
    <t>BOH</t>
  </si>
  <si>
    <t>LIB</t>
  </si>
  <si>
    <t>CHO</t>
  </si>
  <si>
    <t>OST</t>
  </si>
  <si>
    <t>PAR</t>
  </si>
  <si>
    <t>SPA</t>
  </si>
  <si>
    <t>BA</t>
  </si>
  <si>
    <t>MB</t>
  </si>
  <si>
    <t>HAT</t>
  </si>
  <si>
    <t>CLP</t>
  </si>
  <si>
    <t>OTR</t>
  </si>
  <si>
    <t>1. řada</t>
  </si>
  <si>
    <t>2. řada</t>
  </si>
  <si>
    <t>3. řada</t>
  </si>
  <si>
    <t>Brankáři a náhradníci</t>
  </si>
  <si>
    <t>Kr. STR</t>
  </si>
  <si>
    <t>Cabejšek</t>
  </si>
  <si>
    <t>Záň</t>
  </si>
  <si>
    <t>Fiala</t>
  </si>
  <si>
    <t>Linhart</t>
  </si>
  <si>
    <t>Pinkas</t>
  </si>
  <si>
    <t>Buchta</t>
  </si>
  <si>
    <t>Šantora</t>
  </si>
  <si>
    <t>Lanc</t>
  </si>
  <si>
    <t>Paštika</t>
  </si>
  <si>
    <t>Jelínek</t>
  </si>
  <si>
    <t>Šolaja</t>
  </si>
  <si>
    <t>Šaroch</t>
  </si>
  <si>
    <t>Lorenc</t>
  </si>
  <si>
    <t>Gold</t>
  </si>
  <si>
    <t>Hájek</t>
  </si>
  <si>
    <t>Vnuk</t>
  </si>
  <si>
    <t>Mazák</t>
  </si>
  <si>
    <t>Čuda</t>
  </si>
  <si>
    <t>Pozn.</t>
  </si>
  <si>
    <t>Marek Vávra</t>
  </si>
  <si>
    <t>Tom Ondrušek</t>
  </si>
  <si>
    <t>Ondřej Mikeš</t>
  </si>
  <si>
    <t>Petr Majer</t>
  </si>
  <si>
    <t>Tomáš Sýkora</t>
  </si>
  <si>
    <t>Michal Podhráský</t>
  </si>
  <si>
    <t>Jiří Koutný</t>
  </si>
  <si>
    <t>Jiří Bauer</t>
  </si>
  <si>
    <t>Ondřej Vošta</t>
  </si>
  <si>
    <t>Daniel Eremiáš</t>
  </si>
  <si>
    <t>Daniel Maxa</t>
  </si>
  <si>
    <t>Martin Řezáč</t>
  </si>
  <si>
    <t>David Horký</t>
  </si>
  <si>
    <t>Michal Strnad</t>
  </si>
  <si>
    <t>Martin Koutný</t>
  </si>
  <si>
    <t>Šimon Doubek</t>
  </si>
  <si>
    <t>Ondřej Plíhal</t>
  </si>
  <si>
    <t>Dan Kašovský</t>
  </si>
  <si>
    <t>Karel Pergler</t>
  </si>
  <si>
    <t>Ivan Pergler</t>
  </si>
  <si>
    <t>Radim Slunečko</t>
  </si>
  <si>
    <t>Jiří Lebeda</t>
  </si>
  <si>
    <t>Jakub Dufek</t>
  </si>
  <si>
    <t>Karel Hodík</t>
  </si>
  <si>
    <t>Michal Rebro</t>
  </si>
  <si>
    <t>Tomáš Vávra</t>
  </si>
  <si>
    <t>Vojtěch Šimůnek</t>
  </si>
  <si>
    <t>Kašovský</t>
  </si>
  <si>
    <t>Eremiáš</t>
  </si>
  <si>
    <t>Maxa</t>
  </si>
  <si>
    <t>Horký</t>
  </si>
  <si>
    <t>Dufek</t>
  </si>
  <si>
    <t>Bauer</t>
  </si>
  <si>
    <t>Koutný</t>
  </si>
  <si>
    <t>Lebeda</t>
  </si>
  <si>
    <t>Hodík</t>
  </si>
  <si>
    <t>Řezáč</t>
  </si>
  <si>
    <t>Podhráský</t>
  </si>
  <si>
    <t>Rebro</t>
  </si>
  <si>
    <t>Strnad</t>
  </si>
  <si>
    <t>Mikeš</t>
  </si>
  <si>
    <t>Plíhal</t>
  </si>
  <si>
    <t>Vošta</t>
  </si>
  <si>
    <t>Majer</t>
  </si>
  <si>
    <t>Slunečko</t>
  </si>
  <si>
    <t>Doubek</t>
  </si>
  <si>
    <t>Ondrušek</t>
  </si>
  <si>
    <t>Sýkora</t>
  </si>
  <si>
    <t>Šimůnek</t>
  </si>
  <si>
    <t>Vávra T.</t>
  </si>
  <si>
    <t>Vávra M.</t>
  </si>
  <si>
    <t>Pergler I.</t>
  </si>
  <si>
    <t>Pergler K.</t>
  </si>
  <si>
    <t>David Podhráský</t>
  </si>
  <si>
    <t>hlavní trenér</t>
  </si>
  <si>
    <t>mistr české ligy (Tatran), 2x vítěz Poháru (Tatran, Chodov), 2x mistr ligy (trenér)</t>
  </si>
  <si>
    <t>Milan Šindelář</t>
  </si>
  <si>
    <t>asistent trenéra</t>
  </si>
  <si>
    <t>2x mistr české ligy (Tatran), 4x mistr české ligy (trenér), mistr juniorské ligy (trenér)</t>
  </si>
  <si>
    <t>Adam Štegl</t>
  </si>
  <si>
    <t>mistr české ligy (Chodov)</t>
  </si>
  <si>
    <t>vicemistr světa (2004), all-star tým juniorského MS, 2x mistr české ligy (Chodov)</t>
  </si>
  <si>
    <t>mistr české ligy, stříbro z MS juniorů</t>
  </si>
  <si>
    <t>Karel Myšák</t>
  </si>
  <si>
    <t>vedoucí týmu</t>
  </si>
  <si>
    <t>2x mistr české ligy</t>
  </si>
  <si>
    <t>Jan Barák</t>
  </si>
  <si>
    <t>manažer týmu</t>
  </si>
  <si>
    <t>2x mistr české ligy (Chodov), vítěz poháru, vítěz AMS, stříbro z MS juniorů, bronz z MS</t>
  </si>
  <si>
    <t>Florbal Benešov</t>
  </si>
  <si>
    <t>TJ Sokol Rokycany</t>
  </si>
  <si>
    <t>Wizards DDM</t>
  </si>
  <si>
    <t>Tatran Střešovice</t>
  </si>
  <si>
    <t>FBC Ostrava</t>
  </si>
  <si>
    <t>SK Juvenis Přibyslav</t>
  </si>
  <si>
    <t>SK JeMoBu</t>
  </si>
  <si>
    <t>SK Dvojka Praha</t>
  </si>
  <si>
    <t>Faraos Praha</t>
  </si>
  <si>
    <t>FBK Vosy Praha</t>
  </si>
  <si>
    <t>TJ Znojmo</t>
  </si>
  <si>
    <t>Florbal Chodov</t>
  </si>
  <si>
    <t>FBC Plzeň</t>
  </si>
  <si>
    <t>SPA Sokol Brno I.</t>
  </si>
  <si>
    <t>Sokol Brno III</t>
  </si>
  <si>
    <t>FC Bučis Team</t>
  </si>
  <si>
    <t>FBC Falcon</t>
  </si>
  <si>
    <t>FbC Hr. Králové</t>
  </si>
  <si>
    <t>SKV 2013</t>
  </si>
  <si>
    <t>Rank</t>
  </si>
  <si>
    <t>Tabulka</t>
  </si>
  <si>
    <t>C</t>
  </si>
  <si>
    <t>P - V - P - P - P - P - P - V - PP - P</t>
  </si>
  <si>
    <t>V - P - V - V - V - PP - P - V - V - V</t>
  </si>
  <si>
    <t>Následující zápasy:</t>
  </si>
  <si>
    <t>Posledních 5 zápasů:</t>
  </si>
  <si>
    <t>BOL</t>
  </si>
  <si>
    <t>2:7</t>
  </si>
  <si>
    <t>3:4p</t>
  </si>
  <si>
    <t>3:0</t>
  </si>
  <si>
    <t>5:10</t>
  </si>
  <si>
    <t>8:6</t>
  </si>
  <si>
    <t>11:7</t>
  </si>
  <si>
    <t>8:9</t>
  </si>
  <si>
    <t>3:4sn</t>
  </si>
  <si>
    <t>STATISTIKY</t>
  </si>
  <si>
    <t>Body</t>
  </si>
  <si>
    <t>Góly</t>
  </si>
  <si>
    <t>Asistence</t>
  </si>
  <si>
    <t>Trestné minuty</t>
  </si>
  <si>
    <t>Výhry</t>
  </si>
  <si>
    <t>Gregor - 4 GP</t>
  </si>
  <si>
    <t>Stuchlík O. - 3 GP</t>
  </si>
  <si>
    <t>Lanc -    -13 ±</t>
  </si>
  <si>
    <t>vs. CLP 8:9</t>
  </si>
  <si>
    <t>vs. OST 5:9</t>
  </si>
  <si>
    <t>úmrtí Rebra</t>
  </si>
  <si>
    <t>Sýkora -    +15 ±</t>
  </si>
  <si>
    <t>Šantora - nula vs. OTR</t>
  </si>
  <si>
    <t>7:8p</t>
  </si>
  <si>
    <t>SKV - CHO</t>
  </si>
  <si>
    <t>2:10</t>
  </si>
  <si>
    <t>13:4</t>
  </si>
  <si>
    <t>5:6</t>
  </si>
  <si>
    <t>2:14</t>
  </si>
  <si>
    <t>10:7</t>
  </si>
  <si>
    <t>4:9</t>
  </si>
  <si>
    <t>7:5</t>
  </si>
  <si>
    <t>FBC GT12 Košice</t>
  </si>
  <si>
    <t>1. Michal Strachota</t>
  </si>
  <si>
    <t>2. Lukáš Gregor</t>
  </si>
  <si>
    <t>3. Milan Bína</t>
  </si>
  <si>
    <t>4. Martin Skřivánek</t>
  </si>
  <si>
    <t>5. Petr Hartman</t>
  </si>
  <si>
    <t>G/Z</t>
  </si>
  <si>
    <t>1. Lukáš Gregor</t>
  </si>
  <si>
    <t>2. Michal Strachota</t>
  </si>
  <si>
    <t>4. Ondřej Stuchlík</t>
  </si>
  <si>
    <t>1. Martin Skřivánek</t>
  </si>
  <si>
    <t>4. Jan Procházka</t>
  </si>
  <si>
    <t>5. Pavel Hájek</t>
  </si>
  <si>
    <t>2. Jan Svoboda</t>
  </si>
  <si>
    <t>3. Zbyněk Stuchlík</t>
  </si>
  <si>
    <t>1. Karel Šantora</t>
  </si>
  <si>
    <t>5,97</t>
  </si>
  <si>
    <t>2. Matyáš Lorenc</t>
  </si>
  <si>
    <t>0,00</t>
  </si>
  <si>
    <t>3. Rastislav Mazák</t>
  </si>
  <si>
    <t>7,18</t>
  </si>
  <si>
    <t>4. Jiří Buchta</t>
  </si>
  <si>
    <t>7,66</t>
  </si>
  <si>
    <t>2. Jiří Buchta</t>
  </si>
  <si>
    <t>3. Matyáš Lorenc</t>
  </si>
  <si>
    <t>4. Rastislav Mazák</t>
  </si>
  <si>
    <t>1. Marek Vávra</t>
  </si>
  <si>
    <t>2. Tom Ondrušek</t>
  </si>
  <si>
    <t>3. Ondřej Mikeš</t>
  </si>
  <si>
    <t>4. Petr Majer</t>
  </si>
  <si>
    <t>5. Tomáš Sýkora</t>
  </si>
  <si>
    <t>3. Petr Majer</t>
  </si>
  <si>
    <t>4. Ondřej Mikeš</t>
  </si>
  <si>
    <t>5. Daniel Eremiáš</t>
  </si>
  <si>
    <t>1. Tom Ondrušek</t>
  </si>
  <si>
    <t>2. Tomáš Sýkora</t>
  </si>
  <si>
    <t>3. Marek Vávra</t>
  </si>
  <si>
    <t>5. Jiří Koutný</t>
  </si>
  <si>
    <t>1. Jiří Bauer</t>
  </si>
  <si>
    <t>2. Tomáš Vávra</t>
  </si>
  <si>
    <t>3. Michal Strnad</t>
  </si>
  <si>
    <t>4. David Horký</t>
  </si>
  <si>
    <t>5. Petr Majer</t>
  </si>
  <si>
    <t>1. Michal Rebro</t>
  </si>
  <si>
    <t>4,32</t>
  </si>
  <si>
    <t>2. Vojtěch Šimůnek</t>
  </si>
  <si>
    <t>6,31</t>
  </si>
  <si>
    <t>3. Karel Pergler</t>
  </si>
  <si>
    <t>4. Karel Hodík</t>
  </si>
  <si>
    <t>5,50</t>
  </si>
  <si>
    <t>3. Karel Hodík</t>
  </si>
  <si>
    <t>4. Karel Pergler</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</si>
</sst>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quot;#&quot;0"/>
    <numFmt numFmtId="165" formatCode="0."/>
    <numFmt numFmtId="166" formatCode="0&quot; OZ&quot;"/>
    <numFmt numFmtId="167" formatCode="0&quot; ČK&quot;"/>
    <numFmt numFmtId="168" formatCode="0.00&quot; G/Z&quot;"/>
    <numFmt numFmtId="169" formatCode="0&quot; OG&quot;"/>
    <numFmt numFmtId="170" formatCode="0.00&quot; min&quot;"/>
    <numFmt numFmtId="171" formatCode="0.0"/>
    <numFmt numFmtId="172" formatCode="d/m;@"/>
  </numFmts>
  <fonts count="11" x14ac:knownFonts="1">
    <font>
      <sz val="11"/>
      <color theme="1"/>
      <name val="Calibri"/>
      <family val="2"/>
      <charset val="238"/>
      <scheme val="minor"/>
    </font>
    <font>
      <b/>
      <sz val="11"/>
      <color theme="1"/>
      <name val="Calibri"/>
      <family val="2"/>
      <charset val="238"/>
      <scheme val="minor"/>
    </font>
    <font>
      <b/>
      <sz val="11"/>
      <color theme="1"/>
      <name val="Calibri"/>
      <family val="2"/>
      <charset val="238"/>
    </font>
    <font>
      <b/>
      <sz val="11"/>
      <color theme="1"/>
      <name val="Bahnschrift SemiLight Condensed"/>
      <family val="2"/>
      <charset val="238"/>
    </font>
    <font>
      <b/>
      <sz val="11"/>
      <color rgb="FF00B050"/>
      <name val="Bahnschrift SemiLight Condensed"/>
      <family val="2"/>
      <charset val="238"/>
    </font>
    <font>
      <sz val="11"/>
      <color theme="1"/>
      <name val="Bahnschrift SemiLight Condensed"/>
      <family val="2"/>
      <charset val="238"/>
    </font>
    <font>
      <b/>
      <sz val="11"/>
      <color rgb="FFFF0000"/>
      <name val="Bahnschrift SemiLight Condensed"/>
      <family val="2"/>
      <charset val="238"/>
    </font>
    <font>
      <b/>
      <i/>
      <sz val="11"/>
      <color theme="1"/>
      <name val="Bahnschrift SemiLight Condensed"/>
      <family val="2"/>
      <charset val="238"/>
    </font>
    <font>
      <i/>
      <sz val="11"/>
      <color theme="1"/>
      <name val="Bahnschrift SemiLight Condensed"/>
      <family val="2"/>
      <charset val="238"/>
    </font>
    <font>
      <b/>
      <sz val="20"/>
      <color theme="1"/>
      <name val="Bahnschrift SemiLight Condensed"/>
      <family val="2"/>
      <charset val="238"/>
    </font>
    <font>
      <b/>
      <i/>
      <sz val="10"/>
      <color theme="1"/>
      <name val="Bahnschrift SemiLight Condensed"/>
      <family val="2"/>
      <charset val="238"/>
    </font>
  </fonts>
  <fills count="5">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tint="-0.249977111117893"/>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style="thick">
        <color indexed="64"/>
      </top>
      <bottom style="medium">
        <color indexed="64"/>
      </bottom>
      <diagonal/>
    </border>
    <border>
      <left/>
      <right style="thin">
        <color indexed="64"/>
      </right>
      <top style="thick">
        <color indexed="64"/>
      </top>
      <bottom style="medium">
        <color indexed="64"/>
      </bottom>
      <diagonal/>
    </border>
    <border>
      <left style="thin">
        <color auto="1"/>
      </left>
      <right style="thick">
        <color auto="1"/>
      </right>
      <top style="thick">
        <color auto="1"/>
      </top>
      <bottom style="thin">
        <color auto="1"/>
      </bottom>
      <diagonal/>
    </border>
    <border>
      <left/>
      <right/>
      <top/>
      <bottom style="thick">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right style="thin">
        <color auto="1"/>
      </right>
      <top/>
      <bottom style="thin">
        <color auto="1"/>
      </bottom>
      <diagonal/>
    </border>
    <border>
      <left/>
      <right style="thin">
        <color auto="1"/>
      </right>
      <top style="thick">
        <color auto="1"/>
      </top>
      <bottom style="thin">
        <color auto="1"/>
      </bottom>
      <diagonal/>
    </border>
    <border>
      <left style="thin">
        <color indexed="64"/>
      </left>
      <right/>
      <top style="thin">
        <color indexed="64"/>
      </top>
      <bottom style="thick">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style="thin">
        <color indexed="64"/>
      </left>
      <right/>
      <top style="thick">
        <color indexed="64"/>
      </top>
      <bottom style="medium">
        <color indexed="64"/>
      </bottom>
      <diagonal/>
    </border>
    <border>
      <left style="thin">
        <color indexed="64"/>
      </left>
      <right style="medium">
        <color indexed="64"/>
      </right>
      <top style="thin">
        <color indexed="64"/>
      </top>
      <bottom style="thick">
        <color indexed="64"/>
      </bottom>
      <diagonal/>
    </border>
    <border>
      <left style="medium">
        <color indexed="64"/>
      </left>
      <right style="thin">
        <color indexed="64"/>
      </right>
      <top style="thick">
        <color indexed="64"/>
      </top>
      <bottom style="medium">
        <color indexed="64"/>
      </bottom>
      <diagonal/>
    </border>
    <border>
      <left style="thin">
        <color indexed="64"/>
      </left>
      <right style="medium">
        <color indexed="64"/>
      </right>
      <top style="thick">
        <color indexed="64"/>
      </top>
      <bottom style="medium">
        <color indexed="64"/>
      </bottom>
      <diagonal/>
    </border>
    <border>
      <left/>
      <right/>
      <top style="thick">
        <color indexed="64"/>
      </top>
      <bottom style="medium">
        <color indexed="64"/>
      </bottom>
      <diagonal/>
    </border>
    <border>
      <left style="thick">
        <color indexed="64"/>
      </left>
      <right/>
      <top style="medium">
        <color indexed="64"/>
      </top>
      <bottom style="thin">
        <color indexed="64"/>
      </bottom>
      <diagonal/>
    </border>
    <border>
      <left style="thin">
        <color indexed="64"/>
      </left>
      <right style="thick">
        <color indexed="64"/>
      </right>
      <top style="medium">
        <color indexed="64"/>
      </top>
      <bottom style="thick">
        <color indexed="64"/>
      </bottom>
      <diagonal/>
    </border>
    <border>
      <left style="thin">
        <color indexed="64"/>
      </left>
      <right style="thick">
        <color indexed="64"/>
      </right>
      <top style="medium">
        <color indexed="64"/>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auto="1"/>
      </left>
      <right style="thin">
        <color auto="1"/>
      </right>
      <top style="medium">
        <color auto="1"/>
      </top>
      <bottom style="thick">
        <color indexed="64"/>
      </bottom>
      <diagonal/>
    </border>
    <border>
      <left style="thin">
        <color auto="1"/>
      </left>
      <right style="thin">
        <color auto="1"/>
      </right>
      <top style="medium">
        <color auto="1"/>
      </top>
      <bottom style="thick">
        <color indexed="64"/>
      </bottom>
      <diagonal/>
    </border>
    <border>
      <left style="thin">
        <color indexed="64"/>
      </left>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right style="thick">
        <color auto="1"/>
      </right>
      <top style="thick">
        <color auto="1"/>
      </top>
      <bottom style="medium">
        <color auto="1"/>
      </bottom>
      <diagonal/>
    </border>
    <border>
      <left/>
      <right style="thin">
        <color indexed="64"/>
      </right>
      <top style="medium">
        <color indexed="64"/>
      </top>
      <bottom style="thin">
        <color indexed="64"/>
      </bottom>
      <diagonal/>
    </border>
    <border>
      <left/>
      <right/>
      <top style="thick">
        <color indexed="64"/>
      </top>
      <bottom style="thick">
        <color indexed="64"/>
      </bottom>
      <diagonal/>
    </border>
    <border>
      <left style="thick">
        <color indexed="64"/>
      </left>
      <right/>
      <top/>
      <bottom style="thick">
        <color indexed="64"/>
      </bottom>
      <diagonal/>
    </border>
    <border>
      <left/>
      <right style="thick">
        <color indexed="64"/>
      </right>
      <top/>
      <bottom style="thick">
        <color indexed="64"/>
      </bottom>
      <diagonal/>
    </border>
    <border>
      <left style="thick">
        <color indexed="64"/>
      </left>
      <right style="medium">
        <color indexed="64"/>
      </right>
      <top style="thin">
        <color indexed="64"/>
      </top>
      <bottom style="medium">
        <color indexed="64"/>
      </bottom>
      <diagonal/>
    </border>
    <border>
      <left style="thick">
        <color auto="1"/>
      </left>
      <right/>
      <top/>
      <bottom/>
      <diagonal/>
    </border>
    <border>
      <left/>
      <right style="thick">
        <color auto="1"/>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medium">
        <color indexed="64"/>
      </left>
      <right style="thin">
        <color indexed="64"/>
      </right>
      <top style="thin">
        <color indexed="64"/>
      </top>
      <bottom style="thick">
        <color indexed="64"/>
      </bottom>
      <diagonal/>
    </border>
    <border>
      <left/>
      <right/>
      <top style="thin">
        <color indexed="64"/>
      </top>
      <bottom/>
      <diagonal/>
    </border>
  </borders>
  <cellStyleXfs count="1">
    <xf numFmtId="0" fontId="0" fillId="0" borderId="0"/>
  </cellStyleXfs>
  <cellXfs count="274">
    <xf numFmtId="0" fontId="0" fillId="0" borderId="0" xfId="0"/>
    <xf numFmtId="0" fontId="0" fillId="0" borderId="0" xfId="0" applyAlignment="1">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14" fontId="1" fillId="0" borderId="0" xfId="0" applyNumberFormat="1" applyFont="1" applyAlignment="1">
      <alignment horizontal="center" vertical="center"/>
    </xf>
    <xf numFmtId="0" fontId="0" fillId="0" borderId="0" xfId="0" applyAlignment="1">
      <alignment horizontal="right" vertical="center"/>
    </xf>
    <xf numFmtId="0" fontId="1" fillId="0" borderId="0" xfId="0" applyFont="1" applyAlignment="1">
      <alignment horizontal="right" vertical="center"/>
    </xf>
    <xf numFmtId="14" fontId="0" fillId="0" borderId="0" xfId="0" applyNumberFormat="1" applyAlignment="1">
      <alignment vertical="center"/>
    </xf>
    <xf numFmtId="0" fontId="1" fillId="0" borderId="0" xfId="0" applyFont="1" applyAlignment="1">
      <alignment horizontal="left" vertical="center"/>
    </xf>
    <xf numFmtId="0" fontId="0" fillId="0" borderId="0" xfId="0" applyAlignment="1">
      <alignment horizontal="left" vertical="center"/>
    </xf>
    <xf numFmtId="2" fontId="0" fillId="0" borderId="0" xfId="0" applyNumberFormat="1" applyAlignment="1">
      <alignment horizontal="center" vertical="center"/>
    </xf>
    <xf numFmtId="0" fontId="0" fillId="3" borderId="0" xfId="0" applyFill="1" applyAlignment="1">
      <alignment vertical="center"/>
    </xf>
    <xf numFmtId="0" fontId="1" fillId="4" borderId="0" xfId="0" applyFont="1" applyFill="1" applyAlignment="1">
      <alignment horizontal="center" vertical="center"/>
    </xf>
    <xf numFmtId="0" fontId="2" fillId="4" borderId="0" xfId="0" applyFont="1" applyFill="1" applyAlignment="1">
      <alignment horizontal="center" vertical="center"/>
    </xf>
    <xf numFmtId="0" fontId="3" fillId="4" borderId="17" xfId="0" applyFont="1" applyFill="1" applyBorder="1" applyAlignment="1">
      <alignment horizontal="right" vertical="center"/>
    </xf>
    <xf numFmtId="0" fontId="3" fillId="4" borderId="41" xfId="0" applyFont="1" applyFill="1" applyBorder="1" applyAlignment="1">
      <alignment horizontal="center" vertical="center"/>
    </xf>
    <xf numFmtId="0" fontId="3" fillId="2" borderId="41" xfId="0" applyFont="1" applyFill="1" applyBorder="1" applyAlignment="1">
      <alignment horizontal="center" vertical="center"/>
    </xf>
    <xf numFmtId="0" fontId="3" fillId="4" borderId="52" xfId="0" applyFont="1" applyFill="1" applyBorder="1" applyAlignment="1">
      <alignment horizontal="center" vertical="center"/>
    </xf>
    <xf numFmtId="165" fontId="4" fillId="0" borderId="58" xfId="0" applyNumberFormat="1" applyFont="1" applyBorder="1" applyAlignment="1">
      <alignment horizontal="right" vertical="center"/>
    </xf>
    <xf numFmtId="0" fontId="5" fillId="0" borderId="0" xfId="0" applyFont="1" applyBorder="1" applyAlignment="1">
      <alignment vertical="center"/>
    </xf>
    <xf numFmtId="0" fontId="5" fillId="0" borderId="0" xfId="0" applyFont="1" applyBorder="1" applyAlignment="1">
      <alignment horizontal="center" vertical="center"/>
    </xf>
    <xf numFmtId="0" fontId="3" fillId="2" borderId="0" xfId="0" applyFont="1" applyFill="1" applyBorder="1" applyAlignment="1">
      <alignment horizontal="center" vertical="center"/>
    </xf>
    <xf numFmtId="2" fontId="5" fillId="0" borderId="0" xfId="0" applyNumberFormat="1" applyFont="1" applyBorder="1" applyAlignment="1">
      <alignment horizontal="center" vertical="center"/>
    </xf>
    <xf numFmtId="2" fontId="5" fillId="0" borderId="59" xfId="0" applyNumberFormat="1" applyFont="1" applyBorder="1" applyAlignment="1">
      <alignment horizontal="center" vertical="center"/>
    </xf>
    <xf numFmtId="165" fontId="4" fillId="3" borderId="58" xfId="0" applyNumberFormat="1" applyFont="1" applyFill="1" applyBorder="1" applyAlignment="1">
      <alignment horizontal="right" vertical="center"/>
    </xf>
    <xf numFmtId="0" fontId="5" fillId="3" borderId="0" xfId="0" applyFont="1" applyFill="1" applyBorder="1" applyAlignment="1">
      <alignment vertical="center"/>
    </xf>
    <xf numFmtId="0" fontId="5" fillId="3" borderId="0" xfId="0" applyFont="1" applyFill="1" applyBorder="1" applyAlignment="1">
      <alignment horizontal="center" vertical="center"/>
    </xf>
    <xf numFmtId="2" fontId="5" fillId="3" borderId="0" xfId="0" applyNumberFormat="1" applyFont="1" applyFill="1" applyBorder="1" applyAlignment="1">
      <alignment horizontal="center" vertical="center"/>
    </xf>
    <xf numFmtId="2" fontId="5" fillId="3" borderId="59" xfId="0" applyNumberFormat="1" applyFont="1" applyFill="1" applyBorder="1" applyAlignment="1">
      <alignment horizontal="center" vertical="center"/>
    </xf>
    <xf numFmtId="165" fontId="3" fillId="0" borderId="58" xfId="0" applyNumberFormat="1" applyFont="1" applyBorder="1" applyAlignment="1">
      <alignment horizontal="right" vertical="center"/>
    </xf>
    <xf numFmtId="165" fontId="3" fillId="3" borderId="58" xfId="0" applyNumberFormat="1" applyFont="1" applyFill="1" applyBorder="1" applyAlignment="1">
      <alignment horizontal="right" vertical="center"/>
    </xf>
    <xf numFmtId="165" fontId="6" fillId="0" borderId="58" xfId="0" applyNumberFormat="1" applyFont="1" applyBorder="1" applyAlignment="1">
      <alignment horizontal="right" vertical="center"/>
    </xf>
    <xf numFmtId="165" fontId="6" fillId="3" borderId="58" xfId="0" applyNumberFormat="1" applyFont="1" applyFill="1" applyBorder="1" applyAlignment="1">
      <alignment horizontal="right" vertical="center"/>
    </xf>
    <xf numFmtId="165" fontId="6" fillId="3" borderId="55" xfId="0" applyNumberFormat="1" applyFont="1" applyFill="1" applyBorder="1" applyAlignment="1">
      <alignment horizontal="right" vertical="center"/>
    </xf>
    <xf numFmtId="0" fontId="5" fillId="3" borderId="20" xfId="0" applyFont="1" applyFill="1" applyBorder="1" applyAlignment="1">
      <alignment vertical="center"/>
    </xf>
    <xf numFmtId="0" fontId="5" fillId="3" borderId="20" xfId="0" applyFont="1" applyFill="1" applyBorder="1" applyAlignment="1">
      <alignment horizontal="center" vertical="center"/>
    </xf>
    <xf numFmtId="0" fontId="3" fillId="2" borderId="20" xfId="0" applyFont="1" applyFill="1" applyBorder="1" applyAlignment="1">
      <alignment horizontal="center" vertical="center"/>
    </xf>
    <xf numFmtId="2" fontId="5" fillId="3" borderId="20" xfId="0" applyNumberFormat="1" applyFont="1" applyFill="1" applyBorder="1" applyAlignment="1">
      <alignment horizontal="center" vertical="center"/>
    </xf>
    <xf numFmtId="2" fontId="5" fillId="3" borderId="56" xfId="0" applyNumberFormat="1" applyFont="1" applyFill="1" applyBorder="1" applyAlignment="1">
      <alignment horizontal="center" vertical="center"/>
    </xf>
    <xf numFmtId="0" fontId="3" fillId="0" borderId="18" xfId="0" applyFont="1" applyBorder="1" applyAlignment="1">
      <alignment horizontal="right" vertical="center"/>
    </xf>
    <xf numFmtId="0" fontId="5" fillId="0" borderId="0" xfId="0" applyFont="1" applyAlignment="1">
      <alignment vertical="center"/>
    </xf>
    <xf numFmtId="0" fontId="3" fillId="0" borderId="57" xfId="0" applyFont="1" applyBorder="1" applyAlignment="1">
      <alignment horizontal="center" vertical="center"/>
    </xf>
    <xf numFmtId="0" fontId="5" fillId="0" borderId="6" xfId="0" applyFont="1" applyBorder="1" applyAlignment="1">
      <alignment horizontal="center" vertical="center"/>
    </xf>
    <xf numFmtId="0" fontId="3" fillId="0" borderId="16" xfId="0" applyFont="1" applyBorder="1" applyAlignment="1">
      <alignment horizontal="center" vertical="center"/>
    </xf>
    <xf numFmtId="0" fontId="5" fillId="0" borderId="20" xfId="0" applyFont="1" applyBorder="1" applyAlignment="1">
      <alignment horizontal="left" vertical="center"/>
    </xf>
    <xf numFmtId="0" fontId="5" fillId="0" borderId="20" xfId="0" applyFont="1" applyBorder="1" applyAlignment="1">
      <alignment horizontal="center" vertical="center"/>
    </xf>
    <xf numFmtId="0" fontId="5" fillId="0" borderId="20" xfId="0" applyFont="1" applyBorder="1" applyAlignment="1">
      <alignment vertical="center"/>
    </xf>
    <xf numFmtId="0" fontId="5" fillId="0" borderId="36" xfId="0" applyFont="1" applyBorder="1" applyAlignment="1">
      <alignment vertical="center"/>
    </xf>
    <xf numFmtId="0" fontId="5" fillId="0" borderId="54" xfId="0" applyFont="1" applyBorder="1" applyAlignment="1">
      <alignment vertical="center"/>
    </xf>
    <xf numFmtId="165" fontId="3" fillId="0" borderId="57" xfId="0" applyNumberFormat="1" applyFont="1" applyBorder="1" applyAlignment="1">
      <alignment horizontal="center" vertical="center"/>
    </xf>
    <xf numFmtId="0" fontId="5" fillId="0" borderId="2" xfId="0" applyFont="1" applyBorder="1" applyAlignment="1">
      <alignment horizontal="center" vertical="center"/>
    </xf>
    <xf numFmtId="166" fontId="5" fillId="0" borderId="10" xfId="0" applyNumberFormat="1" applyFont="1" applyBorder="1" applyAlignment="1">
      <alignment horizontal="center" vertical="center"/>
    </xf>
    <xf numFmtId="171" fontId="5" fillId="0" borderId="13" xfId="0" applyNumberFormat="1" applyFont="1" applyBorder="1" applyAlignment="1">
      <alignment horizontal="center" vertical="center"/>
    </xf>
    <xf numFmtId="0" fontId="3" fillId="0" borderId="48" xfId="0" applyFont="1" applyBorder="1" applyAlignment="1">
      <alignment horizontal="center" vertical="center"/>
    </xf>
    <xf numFmtId="167" fontId="5" fillId="0" borderId="16" xfId="0" applyNumberFormat="1" applyFont="1" applyBorder="1" applyAlignment="1">
      <alignment horizontal="center" vertical="center"/>
    </xf>
    <xf numFmtId="0" fontId="3" fillId="0" borderId="0" xfId="0" applyFont="1" applyBorder="1" applyAlignment="1">
      <alignment vertical="center"/>
    </xf>
    <xf numFmtId="164" fontId="7" fillId="0" borderId="0" xfId="0" applyNumberFormat="1" applyFont="1" applyBorder="1" applyAlignment="1">
      <alignment horizontal="right" vertical="center"/>
    </xf>
    <xf numFmtId="0" fontId="3" fillId="0" borderId="54" xfId="0" applyFont="1" applyBorder="1" applyAlignment="1">
      <alignment vertical="center"/>
    </xf>
    <xf numFmtId="164" fontId="7" fillId="0" borderId="54" xfId="0" applyNumberFormat="1" applyFont="1" applyBorder="1" applyAlignment="1">
      <alignment horizontal="right" vertical="center"/>
    </xf>
    <xf numFmtId="0" fontId="5" fillId="0" borderId="14" xfId="0" applyFont="1" applyBorder="1" applyAlignment="1">
      <alignment horizontal="center" vertical="center"/>
    </xf>
    <xf numFmtId="164" fontId="3" fillId="0" borderId="9" xfId="0" applyNumberFormat="1" applyFont="1" applyBorder="1" applyAlignment="1">
      <alignment horizontal="center" vertical="center"/>
    </xf>
    <xf numFmtId="165" fontId="0" fillId="0" borderId="0" xfId="0" applyNumberFormat="1" applyAlignment="1">
      <alignment horizontal="right" vertical="center" wrapText="1"/>
    </xf>
    <xf numFmtId="165" fontId="0" fillId="0" borderId="0" xfId="0" applyNumberFormat="1" applyAlignment="1">
      <alignment horizontal="right" vertical="center"/>
    </xf>
    <xf numFmtId="0" fontId="8" fillId="0" borderId="0" xfId="0" applyFont="1" applyBorder="1" applyAlignment="1">
      <alignment vertical="center" wrapText="1"/>
    </xf>
    <xf numFmtId="0" fontId="8" fillId="0" borderId="0" xfId="0" applyFont="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right" vertical="center"/>
    </xf>
    <xf numFmtId="164" fontId="3" fillId="0" borderId="0" xfId="0" applyNumberFormat="1" applyFont="1" applyFill="1" applyBorder="1" applyAlignment="1">
      <alignment horizontal="center" vertical="center"/>
    </xf>
    <xf numFmtId="0" fontId="5" fillId="0" borderId="0" xfId="0" applyFont="1" applyFill="1" applyBorder="1" applyAlignment="1">
      <alignment vertical="center"/>
    </xf>
    <xf numFmtId="0" fontId="3"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3" fillId="0" borderId="0" xfId="0" applyFont="1" applyFill="1" applyBorder="1" applyAlignment="1">
      <alignment vertical="center" textRotation="90"/>
    </xf>
    <xf numFmtId="165" fontId="3" fillId="0" borderId="0" xfId="0" applyNumberFormat="1" applyFont="1" applyFill="1" applyBorder="1" applyAlignment="1">
      <alignment horizontal="center" vertical="center"/>
    </xf>
    <xf numFmtId="166" fontId="5" fillId="0" borderId="0" xfId="0" applyNumberFormat="1" applyFont="1" applyFill="1" applyBorder="1" applyAlignment="1">
      <alignment horizontal="center" vertical="center"/>
    </xf>
    <xf numFmtId="166" fontId="5" fillId="0" borderId="0" xfId="0" applyNumberFormat="1" applyFont="1" applyFill="1" applyBorder="1" applyAlignment="1">
      <alignment vertical="center"/>
    </xf>
    <xf numFmtId="169" fontId="5" fillId="0" borderId="0" xfId="0" applyNumberFormat="1" applyFont="1" applyFill="1" applyBorder="1" applyAlignment="1">
      <alignment vertical="center"/>
    </xf>
    <xf numFmtId="171" fontId="5" fillId="0" borderId="0" xfId="0" applyNumberFormat="1" applyFont="1" applyFill="1" applyBorder="1" applyAlignment="1">
      <alignment horizontal="center" vertical="center"/>
    </xf>
    <xf numFmtId="170" fontId="5" fillId="0" borderId="0" xfId="0" applyNumberFormat="1" applyFont="1" applyFill="1" applyBorder="1" applyAlignment="1">
      <alignment vertical="center"/>
    </xf>
    <xf numFmtId="168" fontId="5" fillId="0" borderId="0" xfId="0" applyNumberFormat="1" applyFont="1" applyFill="1" applyBorder="1" applyAlignment="1">
      <alignment vertical="center"/>
    </xf>
    <xf numFmtId="164" fontId="7" fillId="0" borderId="0" xfId="0" applyNumberFormat="1" applyFont="1" applyFill="1" applyBorder="1" applyAlignment="1">
      <alignment horizontal="right" vertical="center"/>
    </xf>
    <xf numFmtId="0" fontId="8" fillId="0" borderId="0" xfId="0" applyFont="1" applyFill="1" applyBorder="1" applyAlignment="1">
      <alignment vertical="center" wrapText="1"/>
    </xf>
    <xf numFmtId="0" fontId="8" fillId="0" borderId="0" xfId="0" applyFont="1" applyFill="1" applyBorder="1" applyAlignment="1">
      <alignment vertical="center"/>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5" fillId="0" borderId="49" xfId="0" applyFont="1" applyFill="1" applyBorder="1" applyAlignment="1">
      <alignment horizontal="center" vertical="center"/>
    </xf>
    <xf numFmtId="0" fontId="5" fillId="0" borderId="43" xfId="0" applyFont="1" applyFill="1" applyBorder="1" applyAlignment="1">
      <alignment horizontal="center" vertical="center"/>
    </xf>
    <xf numFmtId="0" fontId="5" fillId="0" borderId="50" xfId="0" applyFont="1" applyFill="1" applyBorder="1" applyAlignment="1">
      <alignment horizontal="center" vertical="center"/>
    </xf>
    <xf numFmtId="165" fontId="10" fillId="0" borderId="0" xfId="0" applyNumberFormat="1" applyFont="1" applyFill="1" applyBorder="1" applyAlignment="1">
      <alignment horizontal="center" vertical="center"/>
    </xf>
    <xf numFmtId="0" fontId="5" fillId="0" borderId="13" xfId="0" applyFont="1" applyFill="1" applyBorder="1" applyAlignment="1">
      <alignment horizontal="center" vertical="center"/>
    </xf>
    <xf numFmtId="0" fontId="5" fillId="0" borderId="16" xfId="0" applyFont="1" applyFill="1" applyBorder="1" applyAlignment="1">
      <alignment horizontal="center" vertical="center"/>
    </xf>
    <xf numFmtId="0" fontId="5" fillId="0" borderId="21" xfId="0" applyFont="1" applyFill="1" applyBorder="1" applyAlignment="1">
      <alignment horizontal="center" vertical="center"/>
    </xf>
    <xf numFmtId="0" fontId="5" fillId="0" borderId="28"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38" xfId="0" applyFont="1" applyFill="1" applyBorder="1" applyAlignment="1">
      <alignment horizontal="center" vertical="center"/>
    </xf>
    <xf numFmtId="0" fontId="5" fillId="3" borderId="21"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13"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38"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9" xfId="0" applyFont="1" applyFill="1" applyBorder="1" applyAlignment="1">
      <alignment horizontal="center" vertical="center"/>
    </xf>
    <xf numFmtId="0" fontId="5" fillId="3" borderId="49" xfId="0" applyFont="1" applyFill="1" applyBorder="1" applyAlignment="1">
      <alignment horizontal="center" vertical="center"/>
    </xf>
    <xf numFmtId="0" fontId="5" fillId="3" borderId="50" xfId="0" applyFont="1" applyFill="1" applyBorder="1" applyAlignment="1">
      <alignment horizontal="center" vertical="center"/>
    </xf>
    <xf numFmtId="0" fontId="5" fillId="3" borderId="43" xfId="0" applyFont="1" applyFill="1" applyBorder="1" applyAlignment="1">
      <alignment horizontal="center" vertical="center"/>
    </xf>
    <xf numFmtId="2" fontId="5" fillId="3" borderId="5" xfId="0" applyNumberFormat="1" applyFont="1" applyFill="1" applyBorder="1" applyAlignment="1">
      <alignment horizontal="center" vertical="center"/>
    </xf>
    <xf numFmtId="2" fontId="5" fillId="3" borderId="38" xfId="0" applyNumberFormat="1" applyFont="1" applyFill="1" applyBorder="1" applyAlignment="1">
      <alignment horizontal="center" vertical="center"/>
    </xf>
    <xf numFmtId="2" fontId="5" fillId="0" borderId="5" xfId="0" applyNumberFormat="1" applyFont="1" applyFill="1" applyBorder="1" applyAlignment="1">
      <alignment horizontal="center" vertical="center"/>
    </xf>
    <xf numFmtId="2" fontId="5" fillId="0" borderId="38" xfId="0" applyNumberFormat="1" applyFont="1" applyFill="1" applyBorder="1" applyAlignment="1">
      <alignment horizontal="center" vertical="center"/>
    </xf>
    <xf numFmtId="49" fontId="5" fillId="0" borderId="3" xfId="0" applyNumberFormat="1" applyFont="1" applyFill="1" applyBorder="1" applyAlignment="1">
      <alignment horizontal="center" vertical="center"/>
    </xf>
    <xf numFmtId="49" fontId="5" fillId="0" borderId="5" xfId="0" applyNumberFormat="1" applyFont="1" applyFill="1" applyBorder="1" applyAlignment="1">
      <alignment horizontal="center" vertical="center"/>
    </xf>
    <xf numFmtId="49" fontId="5" fillId="0" borderId="38" xfId="0" applyNumberFormat="1" applyFont="1" applyFill="1" applyBorder="1" applyAlignment="1">
      <alignment horizontal="center" vertical="center"/>
    </xf>
    <xf numFmtId="0" fontId="5" fillId="3" borderId="16" xfId="0" applyFont="1" applyFill="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5" fillId="0" borderId="3" xfId="0" applyFont="1" applyFill="1" applyBorder="1" applyAlignment="1">
      <alignment horizontal="center" vertical="center"/>
    </xf>
    <xf numFmtId="0" fontId="0" fillId="0" borderId="0" xfId="0" applyAlignment="1">
      <alignment horizontal="left" vertical="center"/>
    </xf>
    <xf numFmtId="49" fontId="5" fillId="0" borderId="0" xfId="0" applyNumberFormat="1" applyFont="1" applyFill="1" applyBorder="1" applyAlignment="1">
      <alignment vertical="center"/>
    </xf>
    <xf numFmtId="172" fontId="5" fillId="0" borderId="0" xfId="0" applyNumberFormat="1" applyFont="1" applyFill="1" applyBorder="1" applyAlignment="1">
      <alignment vertical="center"/>
    </xf>
    <xf numFmtId="0" fontId="5" fillId="3" borderId="3" xfId="0" applyFont="1" applyFill="1" applyBorder="1" applyAlignment="1">
      <alignment horizontal="center" vertical="center"/>
    </xf>
    <xf numFmtId="0" fontId="5" fillId="3" borderId="46" xfId="0" applyFont="1" applyFill="1" applyBorder="1" applyAlignment="1">
      <alignment horizontal="center" vertical="center"/>
    </xf>
    <xf numFmtId="0" fontId="5" fillId="3" borderId="47" xfId="0" applyFont="1" applyFill="1" applyBorder="1" applyAlignment="1">
      <alignment horizontal="center" vertical="center"/>
    </xf>
    <xf numFmtId="14" fontId="5" fillId="0" borderId="63" xfId="0" applyNumberFormat="1" applyFont="1" applyFill="1" applyBorder="1" applyAlignment="1">
      <alignment horizontal="center" vertical="center"/>
    </xf>
    <xf numFmtId="0" fontId="5" fillId="0" borderId="63"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37" xfId="0" applyFont="1" applyFill="1" applyBorder="1" applyAlignment="1">
      <alignment horizontal="center" vertical="center"/>
    </xf>
    <xf numFmtId="0" fontId="5" fillId="3" borderId="10" xfId="0" applyFont="1" applyFill="1" applyBorder="1" applyAlignment="1">
      <alignment horizontal="left" vertical="center"/>
    </xf>
    <xf numFmtId="0" fontId="5" fillId="3" borderId="6" xfId="0" applyFont="1" applyFill="1" applyBorder="1" applyAlignment="1">
      <alignment horizontal="left" vertical="center"/>
    </xf>
    <xf numFmtId="0" fontId="5" fillId="3" borderId="26" xfId="0" applyFont="1" applyFill="1" applyBorder="1" applyAlignment="1">
      <alignment horizontal="left" vertical="center"/>
    </xf>
    <xf numFmtId="0" fontId="5" fillId="3" borderId="12" xfId="0" applyFont="1" applyFill="1" applyBorder="1" applyAlignment="1">
      <alignment horizontal="left" vertical="center"/>
    </xf>
    <xf numFmtId="0" fontId="5" fillId="3" borderId="1" xfId="0" applyFont="1" applyFill="1" applyBorder="1" applyAlignment="1">
      <alignment horizontal="left" vertical="center"/>
    </xf>
    <xf numFmtId="0" fontId="5" fillId="3" borderId="4" xfId="0" applyFont="1" applyFill="1" applyBorder="1" applyAlignment="1">
      <alignment horizontal="left" vertical="center"/>
    </xf>
    <xf numFmtId="0" fontId="5" fillId="3" borderId="22" xfId="0" applyFont="1" applyFill="1" applyBorder="1" applyAlignment="1">
      <alignment horizontal="left" vertical="center"/>
    </xf>
    <xf numFmtId="0" fontId="3" fillId="3" borderId="39" xfId="0" applyFont="1" applyFill="1" applyBorder="1" applyAlignment="1">
      <alignment horizontal="center" vertical="center"/>
    </xf>
    <xf numFmtId="0" fontId="3" fillId="3" borderId="40"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9"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5" fillId="0" borderId="10" xfId="0" applyFont="1" applyFill="1" applyBorder="1" applyAlignment="1">
      <alignment horizontal="left" vertical="center"/>
    </xf>
    <xf numFmtId="0" fontId="5" fillId="0" borderId="6" xfId="0" applyFont="1" applyFill="1" applyBorder="1" applyAlignment="1">
      <alignment horizontal="left" vertical="center"/>
    </xf>
    <xf numFmtId="0" fontId="5" fillId="0" borderId="26" xfId="0" applyFont="1" applyFill="1" applyBorder="1" applyAlignment="1">
      <alignment horizontal="left" vertical="center"/>
    </xf>
    <xf numFmtId="0" fontId="5" fillId="0" borderId="12" xfId="0" applyFont="1" applyFill="1" applyBorder="1" applyAlignment="1">
      <alignment horizontal="left" vertical="center"/>
    </xf>
    <xf numFmtId="0" fontId="5" fillId="0" borderId="1" xfId="0" applyFont="1" applyFill="1" applyBorder="1" applyAlignment="1">
      <alignment horizontal="left" vertical="center"/>
    </xf>
    <xf numFmtId="0" fontId="5" fillId="0" borderId="4" xfId="0" applyFont="1" applyFill="1" applyBorder="1" applyAlignment="1">
      <alignment horizontal="left" vertical="center"/>
    </xf>
    <xf numFmtId="0" fontId="5" fillId="0" borderId="22" xfId="0" applyFont="1" applyFill="1" applyBorder="1" applyAlignment="1">
      <alignment horizontal="left" vertical="center"/>
    </xf>
    <xf numFmtId="0" fontId="3" fillId="0" borderId="7" xfId="0" applyFont="1" applyFill="1" applyBorder="1" applyAlignment="1">
      <alignment horizontal="center" vertical="center"/>
    </xf>
    <xf numFmtId="0" fontId="3" fillId="0" borderId="37" xfId="0" applyFont="1" applyFill="1" applyBorder="1" applyAlignment="1">
      <alignment horizontal="center" vertical="center"/>
    </xf>
    <xf numFmtId="0" fontId="3" fillId="0" borderId="39" xfId="0" applyFont="1" applyFill="1" applyBorder="1" applyAlignment="1">
      <alignment horizontal="center" vertical="center"/>
    </xf>
    <xf numFmtId="0" fontId="3" fillId="0" borderId="40" xfId="0" applyFont="1" applyFill="1" applyBorder="1" applyAlignment="1">
      <alignment horizontal="center" vertical="center"/>
    </xf>
    <xf numFmtId="0" fontId="5" fillId="3" borderId="22" xfId="0" applyFont="1" applyFill="1" applyBorder="1" applyAlignment="1">
      <alignment horizontal="center" vertical="center"/>
    </xf>
    <xf numFmtId="0" fontId="5" fillId="3" borderId="1" xfId="0" applyFont="1" applyFill="1" applyBorder="1" applyAlignment="1">
      <alignment horizontal="center" vertical="center"/>
    </xf>
    <xf numFmtId="172" fontId="5" fillId="3" borderId="1" xfId="0" applyNumberFormat="1" applyFont="1" applyFill="1" applyBorder="1" applyAlignment="1">
      <alignment horizontal="center" vertical="center"/>
    </xf>
    <xf numFmtId="172" fontId="5" fillId="3" borderId="13" xfId="0" applyNumberFormat="1" applyFont="1" applyFill="1" applyBorder="1" applyAlignment="1">
      <alignment horizontal="center" vertical="center"/>
    </xf>
    <xf numFmtId="0" fontId="5" fillId="0" borderId="31" xfId="0" applyFont="1" applyFill="1" applyBorder="1" applyAlignment="1">
      <alignment horizontal="center" vertical="center"/>
    </xf>
    <xf numFmtId="0" fontId="5" fillId="0" borderId="15" xfId="0" applyFont="1" applyFill="1" applyBorder="1" applyAlignment="1">
      <alignment horizontal="center" vertical="center"/>
    </xf>
    <xf numFmtId="172" fontId="5" fillId="0" borderId="15" xfId="0" applyNumberFormat="1" applyFont="1" applyFill="1" applyBorder="1" applyAlignment="1">
      <alignment horizontal="center" vertical="center"/>
    </xf>
    <xf numFmtId="172" fontId="5" fillId="0" borderId="16" xfId="0" applyNumberFormat="1" applyFont="1" applyFill="1" applyBorder="1" applyAlignment="1">
      <alignment horizontal="center" vertical="center"/>
    </xf>
    <xf numFmtId="0" fontId="5" fillId="0" borderId="42" xfId="0" applyFont="1" applyFill="1" applyBorder="1" applyAlignment="1">
      <alignment horizontal="center" vertical="center"/>
    </xf>
    <xf numFmtId="0" fontId="5" fillId="0" borderId="53" xfId="0" applyFont="1" applyFill="1" applyBorder="1" applyAlignment="1">
      <alignment horizontal="center" vertical="center"/>
    </xf>
    <xf numFmtId="49" fontId="5" fillId="0" borderId="6" xfId="0" applyNumberFormat="1" applyFont="1" applyFill="1" applyBorder="1" applyAlignment="1">
      <alignment horizontal="center" vertical="center"/>
    </xf>
    <xf numFmtId="49" fontId="5" fillId="0" borderId="11" xfId="0" applyNumberFormat="1" applyFont="1" applyFill="1" applyBorder="1" applyAlignment="1">
      <alignment horizontal="center" vertical="center"/>
    </xf>
    <xf numFmtId="0" fontId="5" fillId="0" borderId="26" xfId="0" applyFont="1" applyFill="1" applyBorder="1" applyAlignment="1">
      <alignment horizontal="center" vertical="center"/>
    </xf>
    <xf numFmtId="0" fontId="5" fillId="0" borderId="6" xfId="0" applyFont="1" applyFill="1" applyBorder="1" applyAlignment="1">
      <alignment horizontal="center" vertical="center"/>
    </xf>
    <xf numFmtId="172" fontId="5" fillId="0" borderId="6" xfId="0" applyNumberFormat="1" applyFont="1" applyFill="1" applyBorder="1" applyAlignment="1">
      <alignment horizontal="center" vertical="center"/>
    </xf>
    <xf numFmtId="172" fontId="5" fillId="0" borderId="11" xfId="0" applyNumberFormat="1" applyFont="1" applyFill="1" applyBorder="1" applyAlignment="1">
      <alignment horizontal="center" vertical="center"/>
    </xf>
    <xf numFmtId="0" fontId="5" fillId="3" borderId="12" xfId="0" applyFont="1" applyFill="1" applyBorder="1" applyAlignment="1">
      <alignment horizontal="center" vertical="center"/>
    </xf>
    <xf numFmtId="49" fontId="5" fillId="3" borderId="1" xfId="0" applyNumberFormat="1" applyFont="1" applyFill="1" applyBorder="1" applyAlignment="1">
      <alignment horizontal="center" vertical="center"/>
    </xf>
    <xf numFmtId="49" fontId="5" fillId="3" borderId="13" xfId="0" applyNumberFormat="1" applyFont="1" applyFill="1" applyBorder="1" applyAlignment="1">
      <alignment horizontal="center" vertical="center"/>
    </xf>
    <xf numFmtId="0" fontId="5" fillId="0" borderId="12" xfId="0" applyFont="1" applyFill="1" applyBorder="1" applyAlignment="1">
      <alignment horizontal="center" vertical="center"/>
    </xf>
    <xf numFmtId="0" fontId="5" fillId="0" borderId="1" xfId="0" applyFont="1" applyFill="1" applyBorder="1" applyAlignment="1">
      <alignment horizontal="center" vertical="center"/>
    </xf>
    <xf numFmtId="49" fontId="5" fillId="0" borderId="1" xfId="0" applyNumberFormat="1" applyFont="1" applyFill="1" applyBorder="1" applyAlignment="1">
      <alignment horizontal="center" vertical="center"/>
    </xf>
    <xf numFmtId="49" fontId="5" fillId="0" borderId="13" xfId="0" applyNumberFormat="1" applyFont="1" applyFill="1" applyBorder="1" applyAlignment="1">
      <alignment horizontal="center" vertical="center"/>
    </xf>
    <xf numFmtId="172" fontId="5" fillId="0" borderId="1" xfId="0" applyNumberFormat="1" applyFont="1" applyFill="1" applyBorder="1" applyAlignment="1">
      <alignment horizontal="center" vertical="center"/>
    </xf>
    <xf numFmtId="172" fontId="5" fillId="0" borderId="13" xfId="0" applyNumberFormat="1" applyFont="1" applyFill="1" applyBorder="1" applyAlignment="1">
      <alignment horizontal="center" vertical="center"/>
    </xf>
    <xf numFmtId="0" fontId="5" fillId="0" borderId="14" xfId="0" applyFont="1" applyFill="1" applyBorder="1" applyAlignment="1">
      <alignment horizontal="center" vertical="center"/>
    </xf>
    <xf numFmtId="49" fontId="5" fillId="0" borderId="15" xfId="0" applyNumberFormat="1" applyFont="1" applyFill="1" applyBorder="1" applyAlignment="1">
      <alignment horizontal="center" vertical="center"/>
    </xf>
    <xf numFmtId="49" fontId="5" fillId="0" borderId="16" xfId="0" applyNumberFormat="1" applyFont="1" applyFill="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8" fillId="0" borderId="1"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6" xfId="0" applyFont="1" applyBorder="1" applyAlignment="1">
      <alignment horizontal="center" vertical="center"/>
    </xf>
    <xf numFmtId="0" fontId="3" fillId="0" borderId="6" xfId="0" applyFont="1" applyBorder="1" applyAlignment="1">
      <alignment horizontal="center" vertical="center"/>
    </xf>
    <xf numFmtId="0" fontId="5" fillId="0" borderId="61" xfId="0" applyFont="1" applyBorder="1" applyAlignment="1">
      <alignment horizontal="center" vertical="center"/>
    </xf>
    <xf numFmtId="0" fontId="5" fillId="0" borderId="19" xfId="0" applyFont="1" applyBorder="1" applyAlignment="1">
      <alignment horizontal="center" vertical="center"/>
    </xf>
    <xf numFmtId="0" fontId="9" fillId="0" borderId="33" xfId="0" applyFont="1" applyFill="1" applyBorder="1" applyAlignment="1">
      <alignment horizontal="center" vertical="center"/>
    </xf>
    <xf numFmtId="0" fontId="9" fillId="0" borderId="34" xfId="0" applyFont="1" applyFill="1" applyBorder="1" applyAlignment="1">
      <alignment horizontal="center" vertical="center"/>
    </xf>
    <xf numFmtId="0" fontId="5" fillId="0" borderId="15" xfId="0" applyFont="1" applyBorder="1" applyAlignment="1">
      <alignment horizontal="center" vertical="center"/>
    </xf>
    <xf numFmtId="0" fontId="5" fillId="0" borderId="16" xfId="0" applyFont="1" applyBorder="1" applyAlignment="1">
      <alignment horizontal="center" vertical="center"/>
    </xf>
    <xf numFmtId="170" fontId="5" fillId="0" borderId="12" xfId="0" applyNumberFormat="1" applyFont="1" applyBorder="1" applyAlignment="1">
      <alignment horizontal="center" vertical="center"/>
    </xf>
    <xf numFmtId="170" fontId="5" fillId="0" borderId="1" xfId="0" applyNumberFormat="1" applyFont="1" applyBorder="1" applyAlignment="1">
      <alignment horizontal="center" vertical="center"/>
    </xf>
    <xf numFmtId="168" fontId="5" fillId="0" borderId="21" xfId="0" applyNumberFormat="1" applyFont="1" applyBorder="1" applyAlignment="1">
      <alignment horizontal="center" vertical="center"/>
    </xf>
    <xf numFmtId="168" fontId="5" fillId="0" borderId="22" xfId="0" applyNumberFormat="1" applyFont="1" applyBorder="1" applyAlignment="1">
      <alignment horizontal="center" vertical="center"/>
    </xf>
    <xf numFmtId="0" fontId="5" fillId="0" borderId="29" xfId="0" applyFont="1" applyBorder="1" applyAlignment="1">
      <alignment horizontal="left" vertical="center"/>
    </xf>
    <xf numFmtId="0" fontId="5" fillId="0" borderId="30" xfId="0" applyFont="1" applyBorder="1" applyAlignment="1">
      <alignment horizontal="left" vertical="center"/>
    </xf>
    <xf numFmtId="0" fontId="5" fillId="0" borderId="31" xfId="0" applyFont="1" applyBorder="1" applyAlignment="1">
      <alignment horizontal="left" vertical="center"/>
    </xf>
    <xf numFmtId="0" fontId="5" fillId="0" borderId="28" xfId="0" applyFont="1" applyBorder="1" applyAlignment="1">
      <alignment horizontal="center" vertical="center"/>
    </xf>
    <xf numFmtId="0" fontId="5" fillId="0" borderId="31" xfId="0" applyFont="1" applyBorder="1" applyAlignment="1">
      <alignment horizontal="center" vertical="center"/>
    </xf>
    <xf numFmtId="0" fontId="5" fillId="0" borderId="15" xfId="0" applyFont="1" applyBorder="1" applyAlignment="1">
      <alignment horizontal="left"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3" fillId="0" borderId="27" xfId="0" applyFont="1" applyBorder="1" applyAlignment="1">
      <alignment horizontal="center" vertical="center"/>
    </xf>
    <xf numFmtId="0" fontId="5" fillId="0" borderId="53" xfId="0" applyFont="1" applyBorder="1" applyAlignment="1">
      <alignment horizontal="center" vertical="center"/>
    </xf>
    <xf numFmtId="0" fontId="5" fillId="0" borderId="2" xfId="0" applyFont="1" applyBorder="1" applyAlignment="1">
      <alignment horizontal="center" vertical="center"/>
    </xf>
    <xf numFmtId="0" fontId="5" fillId="0" borderId="24" xfId="0" applyFont="1" applyBorder="1" applyAlignment="1">
      <alignment horizontal="center" vertical="center"/>
    </xf>
    <xf numFmtId="0" fontId="5" fillId="0" borderId="23" xfId="0" applyFont="1" applyBorder="1" applyAlignment="1">
      <alignment horizontal="center" vertical="center"/>
    </xf>
    <xf numFmtId="0" fontId="5" fillId="0" borderId="25" xfId="0" applyFont="1" applyBorder="1" applyAlignment="1">
      <alignment horizontal="center" vertical="center"/>
    </xf>
    <xf numFmtId="166" fontId="5" fillId="0" borderId="1" xfId="0" applyNumberFormat="1" applyFont="1" applyBorder="1" applyAlignment="1">
      <alignment horizontal="center" vertical="center"/>
    </xf>
    <xf numFmtId="169" fontId="5" fillId="0" borderId="21" xfId="0" applyNumberFormat="1" applyFont="1" applyBorder="1" applyAlignment="1">
      <alignment horizontal="center" vertical="center"/>
    </xf>
    <xf numFmtId="169" fontId="5" fillId="0" borderId="22" xfId="0" applyNumberFormat="1" applyFont="1" applyBorder="1" applyAlignment="1">
      <alignment horizontal="center" vertical="center"/>
    </xf>
    <xf numFmtId="0" fontId="3" fillId="0" borderId="35" xfId="0" applyFont="1" applyBorder="1" applyAlignment="1">
      <alignment horizontal="left" vertical="center"/>
    </xf>
    <xf numFmtId="0" fontId="3" fillId="0" borderId="41" xfId="0" applyFont="1" applyBorder="1" applyAlignment="1">
      <alignment horizontal="left" vertical="center"/>
    </xf>
    <xf numFmtId="0" fontId="5" fillId="0" borderId="21" xfId="0" applyFont="1" applyBorder="1" applyAlignment="1">
      <alignment horizontal="center" vertical="center"/>
    </xf>
    <xf numFmtId="0" fontId="5" fillId="0" borderId="32" xfId="0" applyFont="1" applyBorder="1" applyAlignment="1">
      <alignment horizontal="center" vertical="center"/>
    </xf>
    <xf numFmtId="0" fontId="5" fillId="0" borderId="44" xfId="0" applyFont="1" applyBorder="1" applyAlignment="1">
      <alignment horizontal="center" vertical="center"/>
    </xf>
    <xf numFmtId="0" fontId="3" fillId="3" borderId="0" xfId="0" applyFont="1" applyFill="1" applyAlignment="1">
      <alignment horizontal="center" vertical="center" textRotation="90"/>
    </xf>
    <xf numFmtId="0" fontId="5" fillId="0" borderId="1" xfId="0" applyFont="1" applyBorder="1" applyAlignment="1">
      <alignment horizontal="center" vertical="center"/>
    </xf>
    <xf numFmtId="0" fontId="5" fillId="0" borderId="13" xfId="0" applyFont="1" applyBorder="1" applyAlignment="1">
      <alignment horizontal="center" vertical="center"/>
    </xf>
    <xf numFmtId="0" fontId="9" fillId="0" borderId="0" xfId="0" applyFont="1" applyFill="1" applyBorder="1" applyAlignment="1">
      <alignment horizontal="center" vertical="center"/>
    </xf>
    <xf numFmtId="0" fontId="5" fillId="0" borderId="10" xfId="0" applyFont="1" applyBorder="1" applyAlignment="1">
      <alignment horizontal="center" vertical="center"/>
    </xf>
    <xf numFmtId="0" fontId="5" fillId="0" borderId="6" xfId="0" applyFont="1" applyBorder="1" applyAlignment="1">
      <alignment horizontal="center" vertical="center"/>
    </xf>
    <xf numFmtId="0" fontId="3" fillId="3" borderId="0" xfId="0" applyFont="1" applyFill="1" applyAlignment="1">
      <alignment horizontal="center" vertical="center"/>
    </xf>
    <xf numFmtId="167" fontId="5" fillId="0" borderId="51" xfId="0" applyNumberFormat="1" applyFont="1" applyFill="1" applyBorder="1" applyAlignment="1">
      <alignment horizontal="center" vertical="center"/>
    </xf>
    <xf numFmtId="167" fontId="5" fillId="0" borderId="2" xfId="0" applyNumberFormat="1" applyFont="1" applyFill="1" applyBorder="1" applyAlignment="1">
      <alignment horizontal="center" vertical="center"/>
    </xf>
    <xf numFmtId="14" fontId="5" fillId="0" borderId="26" xfId="0" applyNumberFormat="1" applyFont="1" applyFill="1" applyBorder="1" applyAlignment="1">
      <alignment horizontal="center" vertical="center"/>
    </xf>
    <xf numFmtId="0" fontId="5" fillId="0" borderId="11" xfId="0" applyFont="1" applyFill="1" applyBorder="1" applyAlignment="1">
      <alignment horizontal="center" vertical="center"/>
    </xf>
    <xf numFmtId="167" fontId="5" fillId="0" borderId="12" xfId="0" applyNumberFormat="1" applyFont="1" applyFill="1" applyBorder="1" applyAlignment="1">
      <alignment horizontal="center" vertical="center"/>
    </xf>
    <xf numFmtId="167" fontId="5" fillId="0" borderId="1" xfId="0" applyNumberFormat="1" applyFont="1" applyFill="1" applyBorder="1" applyAlignment="1">
      <alignment horizontal="center" vertical="center"/>
    </xf>
    <xf numFmtId="14" fontId="5" fillId="0" borderId="22" xfId="0" applyNumberFormat="1" applyFont="1" applyFill="1" applyBorder="1" applyAlignment="1">
      <alignment horizontal="center" vertical="center"/>
    </xf>
    <xf numFmtId="0" fontId="5" fillId="0" borderId="13" xfId="0" applyFont="1" applyFill="1" applyBorder="1" applyAlignment="1">
      <alignment horizontal="center" vertical="center"/>
    </xf>
    <xf numFmtId="0" fontId="5" fillId="0" borderId="14" xfId="0" applyFont="1" applyFill="1" applyBorder="1" applyAlignment="1">
      <alignment horizontal="left" vertical="center"/>
    </xf>
    <xf numFmtId="0" fontId="5" fillId="0" borderId="15" xfId="0" applyFont="1" applyFill="1" applyBorder="1" applyAlignment="1">
      <alignment horizontal="left" vertical="center"/>
    </xf>
    <xf numFmtId="0" fontId="5" fillId="0" borderId="62" xfId="0" applyFont="1" applyFill="1" applyBorder="1" applyAlignment="1">
      <alignment horizontal="left" vertical="center"/>
    </xf>
    <xf numFmtId="0" fontId="5" fillId="0" borderId="31" xfId="0" applyFont="1" applyFill="1" applyBorder="1" applyAlignment="1">
      <alignment horizontal="left" vertical="center"/>
    </xf>
    <xf numFmtId="0" fontId="5" fillId="0" borderId="10" xfId="0" applyFont="1" applyFill="1" applyBorder="1" applyAlignment="1">
      <alignment horizontal="center" vertical="center"/>
    </xf>
    <xf numFmtId="0" fontId="5" fillId="0" borderId="16"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167" fontId="5" fillId="0" borderId="14" xfId="0" applyNumberFormat="1" applyFont="1" applyFill="1" applyBorder="1" applyAlignment="1">
      <alignment horizontal="center" vertical="center"/>
    </xf>
    <xf numFmtId="167" fontId="5" fillId="0" borderId="15" xfId="0" applyNumberFormat="1" applyFont="1" applyFill="1" applyBorder="1" applyAlignment="1">
      <alignment horizontal="center" vertical="center"/>
    </xf>
    <xf numFmtId="14" fontId="5" fillId="0" borderId="31" xfId="0" applyNumberFormat="1" applyFont="1" applyFill="1" applyBorder="1" applyAlignment="1">
      <alignment horizontal="center" vertical="center"/>
    </xf>
    <xf numFmtId="0" fontId="3" fillId="0" borderId="0" xfId="0" applyFont="1" applyFill="1" applyBorder="1" applyAlignment="1">
      <alignment horizontal="center" vertical="center"/>
    </xf>
    <xf numFmtId="0" fontId="5" fillId="0" borderId="48" xfId="0" applyFont="1" applyFill="1" applyBorder="1" applyAlignment="1">
      <alignment horizontal="center" vertical="center"/>
    </xf>
    <xf numFmtId="0" fontId="5" fillId="0" borderId="49" xfId="0" applyFont="1" applyFill="1" applyBorder="1" applyAlignment="1">
      <alignment horizontal="center" vertical="center"/>
    </xf>
    <xf numFmtId="0" fontId="5" fillId="3" borderId="48" xfId="0" applyFont="1" applyFill="1" applyBorder="1" applyAlignment="1">
      <alignment horizontal="center" vertical="center"/>
    </xf>
    <xf numFmtId="0" fontId="5" fillId="3" borderId="49" xfId="0" applyFont="1" applyFill="1" applyBorder="1" applyAlignment="1">
      <alignment horizontal="center" vertical="center"/>
    </xf>
    <xf numFmtId="0" fontId="5" fillId="3" borderId="14" xfId="0" applyFont="1" applyFill="1" applyBorder="1" applyAlignment="1">
      <alignment horizontal="left" vertical="center"/>
    </xf>
    <xf numFmtId="0" fontId="5" fillId="3" borderId="15" xfId="0" applyFont="1" applyFill="1" applyBorder="1" applyAlignment="1">
      <alignment horizontal="left" vertical="center"/>
    </xf>
    <xf numFmtId="0" fontId="5" fillId="3" borderId="62" xfId="0" applyFont="1" applyFill="1" applyBorder="1" applyAlignment="1">
      <alignment horizontal="left" vertical="center"/>
    </xf>
    <xf numFmtId="0" fontId="5" fillId="3" borderId="31" xfId="0" applyFont="1" applyFill="1" applyBorder="1" applyAlignment="1">
      <alignment horizontal="left" vertical="center"/>
    </xf>
    <xf numFmtId="0" fontId="3" fillId="0" borderId="45" xfId="0" applyFont="1" applyFill="1" applyBorder="1" applyAlignment="1">
      <alignment horizontal="center" vertical="center"/>
    </xf>
    <xf numFmtId="0" fontId="3" fillId="0" borderId="46" xfId="0" applyFont="1" applyFill="1" applyBorder="1" applyAlignment="1">
      <alignment horizontal="center" vertical="center"/>
    </xf>
    <xf numFmtId="0" fontId="5" fillId="0" borderId="46" xfId="0" applyFont="1" applyFill="1" applyBorder="1" applyAlignment="1">
      <alignment horizontal="center" vertical="center"/>
    </xf>
    <xf numFmtId="0" fontId="5" fillId="0" borderId="47" xfId="0" applyFont="1" applyFill="1" applyBorder="1" applyAlignment="1">
      <alignment horizontal="center" vertical="center"/>
    </xf>
    <xf numFmtId="0" fontId="3" fillId="3" borderId="45" xfId="0" applyFont="1" applyFill="1" applyBorder="1" applyAlignment="1">
      <alignment horizontal="center" vertical="center"/>
    </xf>
    <xf numFmtId="0" fontId="3" fillId="3" borderId="46" xfId="0" applyFont="1" applyFill="1" applyBorder="1" applyAlignment="1">
      <alignment horizontal="center" vertical="center"/>
    </xf>
    <xf numFmtId="0" fontId="5" fillId="0" borderId="22"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Font="1" applyAlignment="1">
      <alignment horizontal="center" vertical="center" wrapText="1"/>
    </xf>
  </cellXfs>
  <cellStyles count="1">
    <cellStyle name="Normální" xfId="0" builtinId="0"/>
  </cellStyles>
  <dxfs count="98">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s>
  <tableStyles count="0" defaultTableStyle="TableStyleMedium2" defaultPivotStyle="PivotStyleLight16"/>
  <colors>
    <mruColors>
      <color rgb="FF0000FF"/>
      <color rgb="FF00CC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tabulka" refreshOnLoad="1" growShrinkType="insertClear" adjustColumnWidth="0" connectionId="25" autoFormatId="16" applyNumberFormats="0" applyBorderFormats="0" applyFontFormats="0" applyPatternFormats="0" applyAlignmentFormats="0" applyWidthHeightFormats="0"/>
</file>

<file path=xl/queryTables/queryTable10.xml><?xml version="1.0" encoding="utf-8"?>
<queryTable xmlns="http://schemas.openxmlformats.org/spreadsheetml/2006/main" name="chodov" growShrinkType="insertClear" adjustColumnWidth="0" connectionId="1" autoFormatId="16" applyNumberFormats="0" applyBorderFormats="0" applyFontFormats="0" applyPatternFormats="0" applyAlignmentFormats="0" applyWidthHeightFormats="0"/>
</file>

<file path=xl/queryTables/queryTable11.xml><?xml version="1.0" encoding="utf-8"?>
<queryTable xmlns="http://schemas.openxmlformats.org/spreadsheetml/2006/main" name="chodov_tm" refreshOnLoad="1" growShrinkType="insertClear" adjustColumnWidth="0" connectionId="12" autoFormatId="16" applyNumberFormats="0" applyBorderFormats="0" applyFontFormats="0" applyPatternFormats="0" applyAlignmentFormats="0" applyWidthHeightFormats="0"/>
</file>

<file path=xl/queryTables/queryTable12.xml><?xml version="1.0" encoding="utf-8"?>
<queryTable xmlns="http://schemas.openxmlformats.org/spreadsheetml/2006/main" name="chodov_asistence" refreshOnLoad="1" growShrinkType="insertClear" adjustColumnWidth="0" connectionId="2" autoFormatId="16" applyNumberFormats="0" applyBorderFormats="0" applyFontFormats="0" applyPatternFormats="0" applyAlignmentFormats="0" applyWidthHeightFormats="0"/>
</file>

<file path=xl/queryTables/queryTable13.xml><?xml version="1.0" encoding="utf-8"?>
<queryTable xmlns="http://schemas.openxmlformats.org/spreadsheetml/2006/main" name="chodov_goly" refreshOnLoad="1" growShrinkType="insertClear" adjustColumnWidth="0" connectionId="8" autoFormatId="16" applyNumberFormats="0" applyBorderFormats="0" applyFontFormats="0" applyPatternFormats="0" applyAlignmentFormats="0" applyWidthHeightFormats="0"/>
</file>

<file path=xl/queryTables/queryTable14.xml><?xml version="1.0" encoding="utf-8"?>
<queryTable xmlns="http://schemas.openxmlformats.org/spreadsheetml/2006/main" name="chodov_vyhry" refreshOnLoad="1" growShrinkType="insertClear" adjustColumnWidth="0" connectionId="14" autoFormatId="16" applyNumberFormats="0" applyBorderFormats="0" applyFontFormats="0" applyPatternFormats="0" applyAlignmentFormats="0" applyWidthHeightFormats="0"/>
</file>

<file path=xl/queryTables/queryTable15.xml><?xml version="1.0" encoding="utf-8"?>
<queryTable xmlns="http://schemas.openxmlformats.org/spreadsheetml/2006/main" name="chodov_body" refreshOnLoad="1" growShrinkType="insertClear" adjustColumnWidth="0" connectionId="4" autoFormatId="16" applyNumberFormats="0" applyBorderFormats="0" applyFontFormats="0" applyPatternFormats="0" applyAlignmentFormats="0" applyWidthHeightFormats="0"/>
</file>

<file path=xl/queryTables/queryTable16.xml><?xml version="1.0" encoding="utf-8"?>
<queryTable xmlns="http://schemas.openxmlformats.org/spreadsheetml/2006/main" name="chodov_prumer" refreshOnLoad="1" growShrinkType="insertClear" adjustColumnWidth="0" connectionId="10" autoFormatId="16" applyNumberFormats="0" applyBorderFormats="0" applyFontFormats="0" applyPatternFormats="0" applyAlignmentFormats="0" applyWidthHeightFormats="0"/>
</file>

<file path=xl/queryTables/queryTable17.xml><?xml version="1.0" encoding="utf-8"?>
<queryTable xmlns="http://schemas.openxmlformats.org/spreadsheetml/2006/main" name="chodov_goalies" refreshOnLoad="1" growShrinkType="insertClear" adjustColumnWidth="0" connectionId="6" autoFormatId="16" applyNumberFormats="0" applyBorderFormats="0" applyFontFormats="0" applyPatternFormats="0" applyAlignmentFormats="0" applyWidthHeightFormats="0"/>
</file>

<file path=xl/queryTables/queryTable18.xml><?xml version="1.0" encoding="utf-8"?>
<queryTable xmlns="http://schemas.openxmlformats.org/spreadsheetml/2006/main" name="chodov_goalies" refreshOnLoad="1" growShrinkType="insertClear" adjustColumnWidth="0" connectionId="7" autoFormatId="16" applyNumberFormats="0" applyBorderFormats="0" applyFontFormats="0" applyPatternFormats="0" applyAlignmentFormats="0" applyWidthHeightFormats="0"/>
</file>

<file path=xl/queryTables/queryTable19.xml><?xml version="1.0" encoding="utf-8"?>
<queryTable xmlns="http://schemas.openxmlformats.org/spreadsheetml/2006/main" name="chodov_prumer" refreshOnLoad="1" growShrinkType="insertClear" adjustColumnWidth="0" connectionId="1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skv_vyhry" refreshOnLoad="1" growShrinkType="insertClear" adjustColumnWidth="0" connectionId="24" autoFormatId="16" applyNumberFormats="0" applyBorderFormats="0" applyFontFormats="0" applyPatternFormats="0" applyAlignmentFormats="0" applyWidthHeightFormats="0"/>
</file>

<file path=xl/queryTables/queryTable20.xml><?xml version="1.0" encoding="utf-8"?>
<queryTable xmlns="http://schemas.openxmlformats.org/spreadsheetml/2006/main" name="chodov_body" refreshOnLoad="1" growShrinkType="insertClear" adjustColumnWidth="0" connectionId="5" autoFormatId="16" applyNumberFormats="0" applyBorderFormats="0" applyFontFormats="0" applyPatternFormats="0" applyAlignmentFormats="0" applyWidthHeightFormats="0"/>
</file>

<file path=xl/queryTables/queryTable21.xml><?xml version="1.0" encoding="utf-8"?>
<queryTable xmlns="http://schemas.openxmlformats.org/spreadsheetml/2006/main" name="chodov_vyhry" refreshOnLoad="1" growShrinkType="insertClear" adjustColumnWidth="0" connectionId="15" autoFormatId="16" applyNumberFormats="0" applyBorderFormats="0" applyFontFormats="0" applyPatternFormats="0" applyAlignmentFormats="0" applyWidthHeightFormats="0"/>
</file>

<file path=xl/queryTables/queryTable22.xml><?xml version="1.0" encoding="utf-8"?>
<queryTable xmlns="http://schemas.openxmlformats.org/spreadsheetml/2006/main" name="chodov_goly" refreshOnLoad="1" growShrinkType="insertClear" adjustColumnWidth="0" connectionId="9" autoFormatId="16" applyNumberFormats="0" applyBorderFormats="0" applyFontFormats="0" applyPatternFormats="0" applyAlignmentFormats="0" applyWidthHeightFormats="0"/>
</file>

<file path=xl/queryTables/queryTable23.xml><?xml version="1.0" encoding="utf-8"?>
<queryTable xmlns="http://schemas.openxmlformats.org/spreadsheetml/2006/main" name="chodov_asistence" refreshOnLoad="1" growShrinkType="insertClear" adjustColumnWidth="0" connectionId="3" autoFormatId="16" applyNumberFormats="0" applyBorderFormats="0" applyFontFormats="0" applyPatternFormats="0" applyAlignmentFormats="0" applyWidthHeightFormats="0"/>
</file>

<file path=xl/queryTables/queryTable24.xml><?xml version="1.0" encoding="utf-8"?>
<queryTable xmlns="http://schemas.openxmlformats.org/spreadsheetml/2006/main" name="chodov_tm" refreshOnLoad="1" growShrinkType="insertClear" adjustColumnWidth="0" connectionId="13" autoFormatId="16" applyNumberFormats="0" applyBorderFormats="0" applyFontFormats="0" applyPatternFormats="0" applyAlignmentFormats="0" applyWidthHeightFormats="0"/>
</file>

<file path=xl/queryTables/queryTable25.xml><?xml version="1.0" encoding="utf-8"?>
<queryTable xmlns="http://schemas.openxmlformats.org/spreadsheetml/2006/main" name="chodov" growShrinkType="insertClear" adjustColumnWidth="0" connectionId="16"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kv_body_1" refreshOnLoad="1" growShrinkType="insertClear" adjustColumnWidth="0" connectionId="19"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skv_prumer" refreshOnLoad="1" growShrinkType="insertClear" adjustColumnWidth="0" connectionId="22"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skv_goalies" refreshOnLoad="1" growShrinkType="insertClear" adjustColumnWidth="0" connectionId="20"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skv_1" growShrinkType="insertClear" adjustColumnWidth="0" connectionId="17"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skv_tm" refreshOnLoad="1" growShrinkType="insertClear" adjustColumnWidth="0" connectionId="23"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skv_asistence" refreshOnLoad="1" growShrinkType="insertClear" adjustColumnWidth="0" connectionId="18" autoFormatId="16" applyNumberFormats="0" applyBorderFormats="0" applyFontFormats="0" applyPatternFormats="0" applyAlignmentFormats="0" applyWidthHeightFormats="0"/>
</file>

<file path=xl/queryTables/queryTable9.xml><?xml version="1.0" encoding="utf-8"?>
<queryTable xmlns="http://schemas.openxmlformats.org/spreadsheetml/2006/main" name="skv_goly" refreshOnLoad="1" growShrinkType="insertClear" adjustColumnWidth="0" connectionId="21" autoFormatId="16" applyNumberFormats="0" applyBorderFormats="0" applyFontFormats="0" applyPatternFormats="0" applyAlignmentFormats="0" applyWidthHeightFormats="0"/>
</file>

<file path=xl/theme/theme1.xml><?xml version="1.0" encoding="utf-8"?>
<a:theme xmlns:a="http://schemas.openxmlformats.org/drawingml/2006/main" name="Motiv Office">
  <a:themeElements>
    <a:clrScheme name="Kancelář">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celář">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queryTable" Target="../queryTables/queryTable8.xml"/><Relationship Id="rId3" Type="http://schemas.openxmlformats.org/officeDocument/2006/relationships/queryTable" Target="../queryTables/queryTable3.xml"/><Relationship Id="rId7" Type="http://schemas.openxmlformats.org/officeDocument/2006/relationships/queryTable" Target="../queryTables/queryTable7.xml"/><Relationship Id="rId2" Type="http://schemas.openxmlformats.org/officeDocument/2006/relationships/queryTable" Target="../queryTables/queryTable2.xml"/><Relationship Id="rId1" Type="http://schemas.openxmlformats.org/officeDocument/2006/relationships/printerSettings" Target="../printerSettings/printerSettings3.bin"/><Relationship Id="rId6" Type="http://schemas.openxmlformats.org/officeDocument/2006/relationships/queryTable" Target="../queryTables/queryTable6.xml"/><Relationship Id="rId5" Type="http://schemas.openxmlformats.org/officeDocument/2006/relationships/queryTable" Target="../queryTables/queryTable5.xml"/><Relationship Id="rId4" Type="http://schemas.openxmlformats.org/officeDocument/2006/relationships/queryTable" Target="../queryTables/queryTable4.xml"/><Relationship Id="rId9" Type="http://schemas.openxmlformats.org/officeDocument/2006/relationships/queryTable" Target="../queryTables/queryTable9.xml"/></Relationships>
</file>

<file path=xl/worksheets/_rels/sheet4.xml.rels><?xml version="1.0" encoding="UTF-8" standalone="yes"?>
<Relationships xmlns="http://schemas.openxmlformats.org/package/2006/relationships"><Relationship Id="rId8" Type="http://schemas.openxmlformats.org/officeDocument/2006/relationships/queryTable" Target="../queryTables/queryTable16.xml"/><Relationship Id="rId3" Type="http://schemas.openxmlformats.org/officeDocument/2006/relationships/queryTable" Target="../queryTables/queryTable11.xml"/><Relationship Id="rId7" Type="http://schemas.openxmlformats.org/officeDocument/2006/relationships/queryTable" Target="../queryTables/queryTable15.xml"/><Relationship Id="rId2" Type="http://schemas.openxmlformats.org/officeDocument/2006/relationships/queryTable" Target="../queryTables/queryTable10.xml"/><Relationship Id="rId1" Type="http://schemas.openxmlformats.org/officeDocument/2006/relationships/printerSettings" Target="../printerSettings/printerSettings4.bin"/><Relationship Id="rId6" Type="http://schemas.openxmlformats.org/officeDocument/2006/relationships/queryTable" Target="../queryTables/queryTable14.xml"/><Relationship Id="rId5" Type="http://schemas.openxmlformats.org/officeDocument/2006/relationships/queryTable" Target="../queryTables/queryTable13.xml"/><Relationship Id="rId4" Type="http://schemas.openxmlformats.org/officeDocument/2006/relationships/queryTable" Target="../queryTables/queryTable12.xml"/><Relationship Id="rId9" Type="http://schemas.openxmlformats.org/officeDocument/2006/relationships/queryTable" Target="../queryTables/queryTable17.xml"/></Relationships>
</file>

<file path=xl/worksheets/_rels/sheet5.xml.rels><?xml version="1.0" encoding="UTF-8" standalone="yes"?>
<Relationships xmlns="http://schemas.openxmlformats.org/package/2006/relationships"><Relationship Id="rId8" Type="http://schemas.openxmlformats.org/officeDocument/2006/relationships/queryTable" Target="../queryTables/queryTable24.xml"/><Relationship Id="rId3" Type="http://schemas.openxmlformats.org/officeDocument/2006/relationships/queryTable" Target="../queryTables/queryTable19.xml"/><Relationship Id="rId7" Type="http://schemas.openxmlformats.org/officeDocument/2006/relationships/queryTable" Target="../queryTables/queryTable23.xml"/><Relationship Id="rId2" Type="http://schemas.openxmlformats.org/officeDocument/2006/relationships/queryTable" Target="../queryTables/queryTable18.xml"/><Relationship Id="rId1" Type="http://schemas.openxmlformats.org/officeDocument/2006/relationships/printerSettings" Target="../printerSettings/printerSettings5.bin"/><Relationship Id="rId6" Type="http://schemas.openxmlformats.org/officeDocument/2006/relationships/queryTable" Target="../queryTables/queryTable22.xml"/><Relationship Id="rId5" Type="http://schemas.openxmlformats.org/officeDocument/2006/relationships/queryTable" Target="../queryTables/queryTable21.xml"/><Relationship Id="rId4" Type="http://schemas.openxmlformats.org/officeDocument/2006/relationships/queryTable" Target="../queryTables/queryTable20.xml"/><Relationship Id="rId9" Type="http://schemas.openxmlformats.org/officeDocument/2006/relationships/queryTable" Target="../queryTables/queryTable2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3"/>
  <sheetViews>
    <sheetView view="pageLayout" zoomScaleNormal="100" workbookViewId="0">
      <selection activeCell="S1" sqref="S1:V1"/>
    </sheetView>
  </sheetViews>
  <sheetFormatPr defaultColWidth="5.28515625" defaultRowHeight="15" customHeight="1" x14ac:dyDescent="0.25"/>
  <cols>
    <col min="1" max="3" width="5.28515625" style="1"/>
    <col min="4" max="4" width="5.28515625" style="1" customWidth="1"/>
    <col min="5" max="18" width="5.28515625" style="1"/>
    <col min="19" max="24" width="5.28515625" style="1" customWidth="1"/>
    <col min="25" max="25" width="5.42578125" style="1" customWidth="1"/>
    <col min="26" max="16384" width="5.28515625" style="1"/>
  </cols>
  <sheetData>
    <row r="1" spans="1:36" ht="15.6" customHeight="1" thickTop="1" thickBot="1" x14ac:dyDescent="0.3">
      <c r="A1" s="219" t="s">
        <v>0</v>
      </c>
      <c r="B1" s="220"/>
      <c r="C1" s="220"/>
      <c r="D1" s="220"/>
      <c r="E1" s="42" t="str">
        <f>IFERROR(IF(VLOOKUP(A1,SKV!$B$38:$R$64,10,FALSE)=0,"",VLOOKUP(A1,SKV!$B$38:$R$64,10,FALSE)),"")</f>
        <v/>
      </c>
      <c r="F1" s="63">
        <f>IFERROR(VLOOKUP(A1,SKV!$B$38:$R$64,9,FALSE),"")</f>
        <v>77</v>
      </c>
      <c r="G1" s="43"/>
      <c r="H1" s="230" t="s">
        <v>173</v>
      </c>
      <c r="I1" s="230"/>
      <c r="J1" s="230"/>
      <c r="K1" s="230"/>
      <c r="L1" s="43"/>
      <c r="M1" s="219" t="s">
        <v>3</v>
      </c>
      <c r="N1" s="220"/>
      <c r="O1" s="220"/>
      <c r="P1" s="220"/>
      <c r="Q1" s="42" t="str">
        <f>IFERROR(IF(VLOOKUP(M1,SKV!$B$38:$R$64,10,FALSE)=0,"",VLOOKUP(M1,SKV!$B$38:$R$64,10,FALSE)),"")</f>
        <v/>
      </c>
      <c r="R1" s="63">
        <f>IFERROR(VLOOKUP(M1,SKV!$B$38:$R$64,9,FALSE),"")</f>
        <v>24</v>
      </c>
      <c r="S1" s="219" t="s">
        <v>198</v>
      </c>
      <c r="T1" s="220"/>
      <c r="U1" s="220"/>
      <c r="V1" s="220"/>
      <c r="W1" s="42" t="str">
        <f>IFERROR(IF(VLOOKUP(S1,CHO!$B$38:$R$64,10,FALSE)=0,"",VLOOKUP(S1,CHO!$B$38:$R$64,10,FALSE)),"")</f>
        <v/>
      </c>
      <c r="X1" s="63">
        <f>IFERROR(VLOOKUP(S1,CHO!$B$38:$R$64,9,FALSE),"")</f>
        <v>25</v>
      </c>
      <c r="Y1" s="43"/>
      <c r="Z1" s="230" t="s">
        <v>173</v>
      </c>
      <c r="AA1" s="230"/>
      <c r="AB1" s="230"/>
      <c r="AC1" s="230"/>
      <c r="AD1" s="43"/>
      <c r="AE1" s="219" t="s">
        <v>197</v>
      </c>
      <c r="AF1" s="220"/>
      <c r="AG1" s="220"/>
      <c r="AH1" s="220"/>
      <c r="AI1" s="42" t="str">
        <f>IFERROR(IF(VLOOKUP(AE1,CHO!$B$38:$R$64,10,FALSE)=0,"",VLOOKUP(AE1,CHO!$B$38:$R$64,10,FALSE)),"")</f>
        <v/>
      </c>
      <c r="AJ1" s="63">
        <f>IFERROR(VLOOKUP(AE1,CHO!$B$38:$R$64,9,FALSE),"")</f>
        <v>21</v>
      </c>
    </row>
    <row r="2" spans="1:36" ht="15.6" customHeight="1" thickBot="1" x14ac:dyDescent="0.3">
      <c r="A2" s="44" t="str">
        <f>IFERROR(VLOOKUP(A1,SKV!$B$38:$R$64,11,FALSE),"")</f>
        <v>L</v>
      </c>
      <c r="B2" s="213">
        <f>IFERROR(YEAR(VLOOKUP(A1,SKV!$B$38:$R$64,2,FALSE)),"")</f>
        <v>1999</v>
      </c>
      <c r="C2" s="211"/>
      <c r="D2" s="45">
        <f ca="1">IFERROR(VLOOKUP(A1,SKV!$B$38:$R$64,3,FALSE),"")</f>
        <v>21</v>
      </c>
      <c r="E2" s="214" t="str">
        <f>IFERROR(VLOOKUP(A1,SKV!$B$38:$R$64,15,FALSE),"")</f>
        <v>184/81</v>
      </c>
      <c r="F2" s="215"/>
      <c r="G2" s="43"/>
      <c r="H2" s="43"/>
      <c r="I2" s="43"/>
      <c r="J2" s="43"/>
      <c r="K2" s="43"/>
      <c r="L2" s="43"/>
      <c r="M2" s="44" t="str">
        <f>IFERROR(VLOOKUP(M1,SKV!$B$38:$R$64,11,FALSE),"")</f>
        <v>L</v>
      </c>
      <c r="N2" s="213">
        <f>IFERROR(YEAR(VLOOKUP(M1,SKV!$B$38:$R$64,2,FALSE)),"")</f>
        <v>1991</v>
      </c>
      <c r="O2" s="211"/>
      <c r="P2" s="45">
        <f ca="1">IFERROR(VLOOKUP(M1,SKV!$B$38:$R$64,3,FALSE),"")</f>
        <v>29</v>
      </c>
      <c r="Q2" s="214" t="str">
        <f>IFERROR(VLOOKUP(M1,SKV!$B$38:$R$64,15,FALSE),"")</f>
        <v>180/78</v>
      </c>
      <c r="R2" s="215"/>
      <c r="S2" s="44" t="str">
        <f>IFERROR(VLOOKUP(S1,CHO!$B$38:$R$64,11,FALSE),"")</f>
        <v>P</v>
      </c>
      <c r="T2" s="213">
        <f>IFERROR(YEAR(VLOOKUP(S1,CHO!$B$38:$R$64,2,FALSE)),"")</f>
        <v>1992</v>
      </c>
      <c r="U2" s="211"/>
      <c r="V2" s="45">
        <f ca="1">IFERROR(VLOOKUP(S1,CHO!$B$38:$R$64,3,FALSE),"")</f>
        <v>28</v>
      </c>
      <c r="W2" s="214" t="str">
        <f>IFERROR(VLOOKUP(S1,CHO!$B$38:$R$64,15,FALSE),"")</f>
        <v>186/82</v>
      </c>
      <c r="X2" s="215"/>
      <c r="Y2" s="43"/>
      <c r="Z2" s="43"/>
      <c r="AA2" s="43"/>
      <c r="AB2" s="43"/>
      <c r="AC2" s="43"/>
      <c r="AD2" s="43"/>
      <c r="AE2" s="44" t="str">
        <f>IFERROR(VLOOKUP(AE1,CHO!$B$38:$R$64,11,FALSE),"")</f>
        <v>L</v>
      </c>
      <c r="AF2" s="213">
        <f>IFERROR(YEAR(VLOOKUP(AE1,CHO!$B$38:$R$64,2,FALSE)),"")</f>
        <v>1993</v>
      </c>
      <c r="AG2" s="211"/>
      <c r="AH2" s="45">
        <f ca="1">IFERROR(VLOOKUP(AE1,CHO!$B$38:$R$64,3,FALSE),"")</f>
        <v>27</v>
      </c>
      <c r="AI2" s="214" t="str">
        <f>IFERROR(VLOOKUP(AE1,CHO!$B$38:$R$64,15,FALSE),"")</f>
        <v>178/72</v>
      </c>
      <c r="AJ2" s="215"/>
    </row>
    <row r="3" spans="1:36" ht="15.6" customHeight="1" thickTop="1" thickBot="1" x14ac:dyDescent="0.3">
      <c r="A3" s="228" t="str">
        <f>IFERROR(VLOOKUP(A1,SKV!$B$2:$O$28,14,FALSE),"")</f>
        <v>5 OZ , 2 (0+2), -5 ±</v>
      </c>
      <c r="B3" s="229"/>
      <c r="C3" s="229"/>
      <c r="D3" s="225" t="str">
        <f>IFERROR(VLOOKUP(A1,SKV!$B$38:$R$64,14,FALSE),"")</f>
        <v>115 OZ, 69 (38+31)</v>
      </c>
      <c r="E3" s="225"/>
      <c r="F3" s="226"/>
      <c r="G3" s="219" t="s">
        <v>2</v>
      </c>
      <c r="H3" s="220"/>
      <c r="I3" s="220"/>
      <c r="J3" s="220"/>
      <c r="K3" s="42" t="str">
        <f>IFERROR(IF(VLOOKUP(G3,SKV!$B$38:$R$64,10,FALSE)=0,"",VLOOKUP(G3,SKV!$B$38:$R$64,10,FALSE)),"")</f>
        <v/>
      </c>
      <c r="L3" s="63">
        <f>IFERROR(VLOOKUP(G3,SKV!$B$38:$R$64,9,FALSE),"")</f>
        <v>29</v>
      </c>
      <c r="M3" s="228" t="str">
        <f>IFERROR(VLOOKUP(M1,SKV!$B$2:$O$28,14,FALSE),"")</f>
        <v>12 OZ , 8 (5+3), 0 ±</v>
      </c>
      <c r="N3" s="229"/>
      <c r="O3" s="229"/>
      <c r="P3" s="225" t="str">
        <f>IFERROR(VLOOKUP(M1,SKV!$B$38:$R$64,14,FALSE),"")</f>
        <v>68 OZ, 60 (40+20)</v>
      </c>
      <c r="Q3" s="225"/>
      <c r="R3" s="226"/>
      <c r="S3" s="228" t="str">
        <f>IFERROR(VLOOKUP(S1,CHO!$B$2:$O$28,14,FALSE),"")</f>
        <v>12 OZ , 24 (14+10), +12 ±</v>
      </c>
      <c r="T3" s="229"/>
      <c r="U3" s="229"/>
      <c r="V3" s="225" t="str">
        <f>IFERROR(VLOOKUP(S1,CHO!$B$38:$R$64,14,FALSE),"")</f>
        <v>226 OZ, 502 (309+193)</v>
      </c>
      <c r="W3" s="225"/>
      <c r="X3" s="226"/>
      <c r="Y3" s="219" t="s">
        <v>199</v>
      </c>
      <c r="Z3" s="220"/>
      <c r="AA3" s="220"/>
      <c r="AB3" s="220"/>
      <c r="AC3" s="42" t="str">
        <f>IFERROR(IF(VLOOKUP(Y3,CHO!$B$38:$R$64,10,FALSE)=0,"",VLOOKUP(Y3,CHO!$B$38:$R$64,10,FALSE)),"")</f>
        <v/>
      </c>
      <c r="AD3" s="63">
        <f>IFERROR(VLOOKUP(Y3,CHO!$B$38:$R$64,9,FALSE),"")</f>
        <v>9</v>
      </c>
      <c r="AE3" s="228" t="str">
        <f>IFERROR(VLOOKUP(AE1,CHO!$B$2:$O$28,14,FALSE),"")</f>
        <v>12 OZ , 27 (18+9), +10 ±</v>
      </c>
      <c r="AF3" s="229"/>
      <c r="AG3" s="229"/>
      <c r="AH3" s="225" t="str">
        <f>IFERROR(VLOOKUP(AE1,CHO!$B$38:$R$64,14,FALSE),"")</f>
        <v>216 OZ, 426 (253+173)</v>
      </c>
      <c r="AI3" s="225"/>
      <c r="AJ3" s="226"/>
    </row>
    <row r="4" spans="1:36" ht="15.6" customHeight="1" thickBot="1" x14ac:dyDescent="0.3">
      <c r="A4" s="202" t="str">
        <f>IFERROR(VLOOKUP(A1,SKV!$B$38:$R$64,16,FALSE),"")</f>
        <v>Black Angels</v>
      </c>
      <c r="B4" s="203"/>
      <c r="C4" s="204"/>
      <c r="D4" s="205">
        <f>IFERROR(VLOOKUP(A1,SKV!$B$38:$R$64,17,FALSE),"")</f>
        <v>2008</v>
      </c>
      <c r="E4" s="206"/>
      <c r="F4" s="46">
        <f>IFERROR(VLOOKUP(A1,SKV!$B$38:$R$64,8,FALSE),"")</f>
        <v>5</v>
      </c>
      <c r="G4" s="44" t="str">
        <f>IFERROR(VLOOKUP(G3,SKV!$B$38:$R$64,11,FALSE),"")</f>
        <v>L</v>
      </c>
      <c r="H4" s="213">
        <f>IFERROR(YEAR(VLOOKUP(G3,SKV!$B$38:$R$64,2,FALSE)),"")</f>
        <v>1996</v>
      </c>
      <c r="I4" s="211"/>
      <c r="J4" s="45">
        <f ca="1">IFERROR(VLOOKUP(G3,SKV!$B$38:$R$64,3,FALSE),"")</f>
        <v>24</v>
      </c>
      <c r="K4" s="214" t="str">
        <f>IFERROR(VLOOKUP(G3,SKV!$B$38:$R$64,15,FALSE),"")</f>
        <v>192/94</v>
      </c>
      <c r="L4" s="215"/>
      <c r="M4" s="202" t="str">
        <f>IFERROR(VLOOKUP(M1,SKV!$B$38:$R$64,16,FALSE),"")</f>
        <v>FBK Kunovští Orli</v>
      </c>
      <c r="N4" s="203"/>
      <c r="O4" s="204"/>
      <c r="P4" s="205">
        <f>IFERROR(VLOOKUP(M1,SKV!$B$38:$R$64,17,FALSE),"")</f>
        <v>2008</v>
      </c>
      <c r="Q4" s="206"/>
      <c r="R4" s="46">
        <f>IFERROR(VLOOKUP(M1,SKV!$B$38:$R$64,8,FALSE),"")</f>
        <v>4</v>
      </c>
      <c r="S4" s="202" t="str">
        <f>IFERROR(VLOOKUP(S1,CHO!$B$38:$R$64,16,FALSE),"")</f>
        <v>SPA Sokol Brno I.</v>
      </c>
      <c r="T4" s="203"/>
      <c r="U4" s="204"/>
      <c r="V4" s="205">
        <f>IFERROR(VLOOKUP(S1,CHO!$B$38:$R$64,17,FALSE),"")</f>
        <v>1999</v>
      </c>
      <c r="W4" s="206"/>
      <c r="X4" s="46">
        <f>IFERROR(VLOOKUP(S1,CHO!$B$38:$R$64,8,FALSE),"")</f>
        <v>12</v>
      </c>
      <c r="Y4" s="44" t="str">
        <f>IFERROR(VLOOKUP(Y3,CHO!$B$38:$R$64,11,FALSE),"")</f>
        <v>L</v>
      </c>
      <c r="Z4" s="213">
        <f>IFERROR(YEAR(VLOOKUP(Y3,CHO!$B$38:$R$64,2,FALSE)),"")</f>
        <v>1989</v>
      </c>
      <c r="AA4" s="211"/>
      <c r="AB4" s="45">
        <f ca="1">IFERROR(VLOOKUP(Y3,CHO!$B$38:$R$64,3,FALSE),"")</f>
        <v>31</v>
      </c>
      <c r="AC4" s="214" t="str">
        <f>IFERROR(VLOOKUP(Y3,CHO!$B$38:$R$64,15,FALSE),"")</f>
        <v>182/82</v>
      </c>
      <c r="AD4" s="215"/>
      <c r="AE4" s="202" t="str">
        <f>IFERROR(VLOOKUP(AE1,CHO!$B$38:$R$64,16,FALSE),"")</f>
        <v>Tatran Střešovice</v>
      </c>
      <c r="AF4" s="203"/>
      <c r="AG4" s="204"/>
      <c r="AH4" s="205">
        <f>IFERROR(VLOOKUP(AE1,CHO!$B$38:$R$64,17,FALSE),"")</f>
        <v>2000</v>
      </c>
      <c r="AI4" s="206"/>
      <c r="AJ4" s="46">
        <f>IFERROR(VLOOKUP(AE1,CHO!$B$38:$R$64,8,FALSE),"")</f>
        <v>11</v>
      </c>
    </row>
    <row r="5" spans="1:36" ht="15.6" customHeight="1" thickTop="1" thickBot="1" x14ac:dyDescent="0.3">
      <c r="A5" s="22"/>
      <c r="B5" s="22"/>
      <c r="C5" s="22"/>
      <c r="D5" s="22"/>
      <c r="E5" s="43"/>
      <c r="F5" s="43"/>
      <c r="G5" s="228" t="str">
        <f>IFERROR(VLOOKUP(G3,SKV!$B$2:$O$28,14,FALSE),"")</f>
        <v>9 OZ , 10 (4+6), -14 ±</v>
      </c>
      <c r="H5" s="229"/>
      <c r="I5" s="229"/>
      <c r="J5" s="225" t="str">
        <f>IFERROR(VLOOKUP(G3,SKV!$B$38:$R$64,14,FALSE),"")</f>
        <v>74 OZ, 81 (41+40)</v>
      </c>
      <c r="K5" s="225"/>
      <c r="L5" s="226"/>
      <c r="M5" s="43"/>
      <c r="N5" s="43"/>
      <c r="O5" s="43"/>
      <c r="P5" s="43"/>
      <c r="Q5" s="43"/>
      <c r="R5" s="43"/>
      <c r="S5" s="22"/>
      <c r="T5" s="22"/>
      <c r="U5" s="22"/>
      <c r="V5" s="22"/>
      <c r="W5" s="43"/>
      <c r="X5" s="43"/>
      <c r="Y5" s="228" t="str">
        <f>IFERROR(VLOOKUP(Y3,CHO!$B$2:$O$28,14,FALSE),"")</f>
        <v>11 OZ , 15 (8+7), +10 ±</v>
      </c>
      <c r="Z5" s="229"/>
      <c r="AA5" s="229"/>
      <c r="AB5" s="225" t="str">
        <f>IFERROR(VLOOKUP(Y3,CHO!$B$38:$R$64,14,FALSE),"")</f>
        <v>219 OZ, 267 (133+134)</v>
      </c>
      <c r="AC5" s="225"/>
      <c r="AD5" s="226"/>
      <c r="AE5" s="43"/>
      <c r="AF5" s="43"/>
      <c r="AG5" s="43"/>
      <c r="AH5" s="43"/>
      <c r="AI5" s="43"/>
      <c r="AJ5" s="43"/>
    </row>
    <row r="6" spans="1:36" ht="15.6" customHeight="1" thickTop="1" thickBot="1" x14ac:dyDescent="0.3">
      <c r="A6" s="219" t="s">
        <v>4</v>
      </c>
      <c r="B6" s="220"/>
      <c r="C6" s="220"/>
      <c r="D6" s="220"/>
      <c r="E6" s="42" t="str">
        <f>IFERROR(IF(VLOOKUP(A6,SKV!$B$38:$R$64,10,FALSE)=0,"",VLOOKUP(A6,SKV!$B$38:$R$64,10,FALSE)),"")</f>
        <v/>
      </c>
      <c r="F6" s="63">
        <f>IFERROR(VLOOKUP(A6,SKV!$B$38:$R$64,9,FALSE),"")</f>
        <v>28</v>
      </c>
      <c r="G6" s="202" t="str">
        <f>IFERROR(VLOOKUP(G3,SKV!$B$38:$R$64,16,FALSE),"")</f>
        <v>Future</v>
      </c>
      <c r="H6" s="203"/>
      <c r="I6" s="204"/>
      <c r="J6" s="205">
        <f>IFERROR(VLOOKUP(G3,SKV!$B$38:$R$64,17,FALSE),"")</f>
        <v>2005</v>
      </c>
      <c r="K6" s="206"/>
      <c r="L6" s="46">
        <f>IFERROR(VLOOKUP(G3,SKV!$B$38:$R$64,8,FALSE),"")</f>
        <v>5</v>
      </c>
      <c r="M6" s="219" t="s">
        <v>5</v>
      </c>
      <c r="N6" s="220"/>
      <c r="O6" s="220"/>
      <c r="P6" s="220"/>
      <c r="Q6" s="42" t="str">
        <f>IFERROR(IF(VLOOKUP(M6,SKV!$B$38:$R$64,10,FALSE)=0,"",VLOOKUP(M6,SKV!$B$38:$R$64,10,FALSE)),"")</f>
        <v/>
      </c>
      <c r="R6" s="63">
        <f>IFERROR(VLOOKUP(M6,SKV!$B$38:$R$64,9,FALSE),"")</f>
        <v>19</v>
      </c>
      <c r="S6" s="219" t="s">
        <v>202</v>
      </c>
      <c r="T6" s="220"/>
      <c r="U6" s="220"/>
      <c r="V6" s="220"/>
      <c r="W6" s="42" t="str">
        <f>IFERROR(IF(VLOOKUP(S6,CHO!$B$38:$R$64,10,FALSE)=0,"",VLOOKUP(S6,CHO!$B$38:$R$64,10,FALSE)),"")</f>
        <v/>
      </c>
      <c r="X6" s="63">
        <f>IFERROR(VLOOKUP(S6,CHO!$B$38:$R$64,9,FALSE),"")</f>
        <v>95</v>
      </c>
      <c r="Y6" s="202" t="str">
        <f>IFERROR(VLOOKUP(Y3,CHO!$B$38:$R$64,16,FALSE),"")</f>
        <v>TJ Znojmo</v>
      </c>
      <c r="Z6" s="203"/>
      <c r="AA6" s="204"/>
      <c r="AB6" s="205">
        <f>IFERROR(VLOOKUP(Y3,CHO!$B$38:$R$64,17,FALSE),"")</f>
        <v>2004</v>
      </c>
      <c r="AC6" s="206"/>
      <c r="AD6" s="46">
        <f>IFERROR(VLOOKUP(Y3,CHO!$B$38:$R$64,8,FALSE),"")</f>
        <v>12</v>
      </c>
      <c r="AE6" s="219" t="s">
        <v>201</v>
      </c>
      <c r="AF6" s="220"/>
      <c r="AG6" s="220"/>
      <c r="AH6" s="220"/>
      <c r="AI6" s="42" t="str">
        <f>IFERROR(IF(VLOOKUP(AE6,CHO!$B$38:$R$64,10,FALSE)=0,"",VLOOKUP(AE6,CHO!$B$38:$R$64,10,FALSE)),"")</f>
        <v/>
      </c>
      <c r="AJ6" s="63">
        <f>IFERROR(VLOOKUP(AE6,CHO!$B$38:$R$64,9,FALSE),"")</f>
        <v>26</v>
      </c>
    </row>
    <row r="7" spans="1:36" ht="15.6" customHeight="1" thickBot="1" x14ac:dyDescent="0.3">
      <c r="A7" s="44" t="str">
        <f>IFERROR(VLOOKUP(A6,SKV!$B$38:$R$64,11,FALSE),"")</f>
        <v>P</v>
      </c>
      <c r="B7" s="213">
        <f>IFERROR(YEAR(VLOOKUP(A6,SKV!$B$38:$R$64,2,FALSE)),"")</f>
        <v>1995</v>
      </c>
      <c r="C7" s="211"/>
      <c r="D7" s="45">
        <f ca="1">IFERROR(VLOOKUP(A6,SKV!$B$38:$R$64,3,FALSE),"")</f>
        <v>25</v>
      </c>
      <c r="E7" s="214" t="str">
        <f>IFERROR(VLOOKUP(A6,SKV!$B$38:$R$64,15,FALSE),"")</f>
        <v>183/76</v>
      </c>
      <c r="F7" s="215"/>
      <c r="G7" s="43"/>
      <c r="H7" s="43"/>
      <c r="I7" s="43"/>
      <c r="J7" s="43"/>
      <c r="K7" s="43"/>
      <c r="L7" s="43"/>
      <c r="M7" s="44" t="str">
        <f>IFERROR(VLOOKUP(M6,SKV!$B$38:$R$64,11,FALSE),"")</f>
        <v>P</v>
      </c>
      <c r="N7" s="213">
        <f>IFERROR(YEAR(VLOOKUP(M6,SKV!$B$38:$R$64,2,FALSE)),"")</f>
        <v>1988</v>
      </c>
      <c r="O7" s="211"/>
      <c r="P7" s="45">
        <f ca="1">IFERROR(VLOOKUP(M6,SKV!$B$38:$R$64,3,FALSE),"")</f>
        <v>32</v>
      </c>
      <c r="Q7" s="214" t="str">
        <f>IFERROR(VLOOKUP(M6,SKV!$B$38:$R$64,15,FALSE),"")</f>
        <v>187/92</v>
      </c>
      <c r="R7" s="215"/>
      <c r="S7" s="44" t="str">
        <f>IFERROR(VLOOKUP(S6,CHO!$B$38:$R$64,11,FALSE),"")</f>
        <v>P</v>
      </c>
      <c r="T7" s="213">
        <f>IFERROR(YEAR(VLOOKUP(S6,CHO!$B$38:$R$64,2,FALSE)),"")</f>
        <v>1990</v>
      </c>
      <c r="U7" s="211"/>
      <c r="V7" s="45">
        <f ca="1">IFERROR(VLOOKUP(S6,CHO!$B$38:$R$64,3,FALSE),"")</f>
        <v>30</v>
      </c>
      <c r="W7" s="214" t="str">
        <f>IFERROR(VLOOKUP(S6,CHO!$B$38:$R$64,15,FALSE),"")</f>
        <v>173/82</v>
      </c>
      <c r="X7" s="215"/>
      <c r="Y7" s="43"/>
      <c r="Z7" s="43"/>
      <c r="AA7" s="43"/>
      <c r="AB7" s="43"/>
      <c r="AC7" s="43"/>
      <c r="AD7" s="43"/>
      <c r="AE7" s="44" t="str">
        <f>IFERROR(VLOOKUP(AE6,CHO!$B$38:$R$64,11,FALSE),"")</f>
        <v>P</v>
      </c>
      <c r="AF7" s="213">
        <f>IFERROR(YEAR(VLOOKUP(AE6,CHO!$B$38:$R$64,2,FALSE)),"")</f>
        <v>1988</v>
      </c>
      <c r="AG7" s="211"/>
      <c r="AH7" s="45">
        <f ca="1">IFERROR(VLOOKUP(AE6,CHO!$B$38:$R$64,3,FALSE),"")</f>
        <v>32</v>
      </c>
      <c r="AI7" s="214" t="str">
        <f>IFERROR(VLOOKUP(AE6,CHO!$B$38:$R$64,15,FALSE),"")</f>
        <v>180/74</v>
      </c>
      <c r="AJ7" s="215"/>
    </row>
    <row r="8" spans="1:36" ht="15.6" customHeight="1" x14ac:dyDescent="0.25">
      <c r="A8" s="228" t="str">
        <f>IFERROR(VLOOKUP(A6,SKV!$B$2:$O$28,14,FALSE),"")</f>
        <v>12 OZ , 1 (0+1), -8 ±</v>
      </c>
      <c r="B8" s="229"/>
      <c r="C8" s="229"/>
      <c r="D8" s="225" t="str">
        <f>IFERROR(VLOOKUP(A6,SKV!$B$38:$R$64,14,FALSE),"")</f>
        <v>89 OZ, 29 (18+11)</v>
      </c>
      <c r="E8" s="225"/>
      <c r="F8" s="226"/>
      <c r="G8" s="43"/>
      <c r="H8" s="227" t="s">
        <v>29</v>
      </c>
      <c r="I8" s="227"/>
      <c r="J8" s="227"/>
      <c r="K8" s="227"/>
      <c r="L8" s="43"/>
      <c r="M8" s="228" t="str">
        <f>IFERROR(VLOOKUP(M6,SKV!$B$2:$O$28,14,FALSE),"")</f>
        <v>12 OZ , 3 (3+0), -13 ±</v>
      </c>
      <c r="N8" s="229"/>
      <c r="O8" s="229"/>
      <c r="P8" s="225" t="str">
        <f>IFERROR(VLOOKUP(M6,SKV!$B$38:$R$64,14,FALSE),"")</f>
        <v>83 OZ, 15 (9+6)</v>
      </c>
      <c r="Q8" s="225"/>
      <c r="R8" s="226"/>
      <c r="S8" s="228" t="str">
        <f>IFERROR(VLOOKUP(S6,CHO!$B$2:$O$28,14,FALSE),"")</f>
        <v>12 OZ , 9 (4+5), +1 ±</v>
      </c>
      <c r="T8" s="229"/>
      <c r="U8" s="229"/>
      <c r="V8" s="225" t="str">
        <f>IFERROR(VLOOKUP(S6,CHO!$B$38:$R$64,14,FALSE),"")</f>
        <v>210 OZ, 148 (44+104)</v>
      </c>
      <c r="W8" s="225"/>
      <c r="X8" s="226"/>
      <c r="Y8" s="43"/>
      <c r="Z8" s="227" t="s">
        <v>164</v>
      </c>
      <c r="AA8" s="227"/>
      <c r="AB8" s="227"/>
      <c r="AC8" s="227"/>
      <c r="AD8" s="43"/>
      <c r="AE8" s="228" t="str">
        <f>IFERROR(VLOOKUP(AE6,CHO!$B$2:$O$28,14,FALSE),"")</f>
        <v>12 OZ , 12 (2+10), +15 ±</v>
      </c>
      <c r="AF8" s="229"/>
      <c r="AG8" s="229"/>
      <c r="AH8" s="225" t="str">
        <f>IFERROR(VLOOKUP(AE6,CHO!$B$38:$R$64,14,FALSE),"")</f>
        <v>216 OZ, 204 (56+148)</v>
      </c>
      <c r="AI8" s="225"/>
      <c r="AJ8" s="226"/>
    </row>
    <row r="9" spans="1:36" ht="15.6" customHeight="1" thickBot="1" x14ac:dyDescent="0.3">
      <c r="A9" s="202" t="str">
        <f>IFERROR(VLOOKUP(A6,SKV!$B$38:$R$64,16,FALSE),"")</f>
        <v>Chodov</v>
      </c>
      <c r="B9" s="203"/>
      <c r="C9" s="204"/>
      <c r="D9" s="205">
        <f>IFERROR(VLOOKUP(A6,SKV!$B$38:$R$64,17,FALSE),"")</f>
        <v>2006</v>
      </c>
      <c r="E9" s="206"/>
      <c r="F9" s="46">
        <f>IFERROR(VLOOKUP(A6,SKV!$B$38:$R$64,8,FALSE),"")</f>
        <v>5</v>
      </c>
      <c r="G9" s="43"/>
      <c r="H9" s="227"/>
      <c r="I9" s="227"/>
      <c r="J9" s="227"/>
      <c r="K9" s="227"/>
      <c r="L9" s="43"/>
      <c r="M9" s="202" t="str">
        <f>IFERROR(VLOOKUP(M6,SKV!$B$38:$R$64,16,FALSE),"")</f>
        <v>SC Sportcentrum</v>
      </c>
      <c r="N9" s="203"/>
      <c r="O9" s="204"/>
      <c r="P9" s="205">
        <f>IFERROR(VLOOKUP(M6,SKV!$B$38:$R$64,17,FALSE),"")</f>
        <v>2000</v>
      </c>
      <c r="Q9" s="206"/>
      <c r="R9" s="46">
        <f>IFERROR(VLOOKUP(M6,SKV!$B$38:$R$64,8,FALSE),"")</f>
        <v>6</v>
      </c>
      <c r="S9" s="202" t="str">
        <f>IFERROR(VLOOKUP(S6,CHO!$B$38:$R$64,16,FALSE),"")</f>
        <v>Faraos Praha</v>
      </c>
      <c r="T9" s="203"/>
      <c r="U9" s="204"/>
      <c r="V9" s="205">
        <f>IFERROR(VLOOKUP(S6,CHO!$B$38:$R$64,17,FALSE),"")</f>
        <v>1998</v>
      </c>
      <c r="W9" s="206"/>
      <c r="X9" s="46">
        <f>IFERROR(VLOOKUP(S6,CHO!$B$38:$R$64,8,FALSE),"")</f>
        <v>11</v>
      </c>
      <c r="Y9" s="43"/>
      <c r="Z9" s="227"/>
      <c r="AA9" s="227"/>
      <c r="AB9" s="227"/>
      <c r="AC9" s="227"/>
      <c r="AD9" s="43"/>
      <c r="AE9" s="202" t="str">
        <f>IFERROR(VLOOKUP(AE6,CHO!$B$38:$R$64,16,FALSE),"")</f>
        <v>SK Juvenis Přibyslav</v>
      </c>
      <c r="AF9" s="203"/>
      <c r="AG9" s="204"/>
      <c r="AH9" s="205">
        <f>IFERROR(VLOOKUP(AE6,CHO!$B$38:$R$64,17,FALSE),"")</f>
        <v>2004</v>
      </c>
      <c r="AI9" s="206"/>
      <c r="AJ9" s="46">
        <f>IFERROR(VLOOKUP(AE6,CHO!$B$38:$R$64,8,FALSE),"")</f>
        <v>11</v>
      </c>
    </row>
    <row r="10" spans="1:36" ht="15.6" customHeight="1" thickTop="1" thickBot="1" x14ac:dyDescent="0.3">
      <c r="A10" s="47"/>
      <c r="B10" s="47"/>
      <c r="C10" s="47"/>
      <c r="D10" s="47"/>
      <c r="E10" s="48"/>
      <c r="F10" s="48"/>
      <c r="G10" s="49"/>
      <c r="H10" s="49"/>
      <c r="I10" s="49"/>
      <c r="J10" s="49"/>
      <c r="K10" s="49"/>
      <c r="L10" s="49"/>
      <c r="M10" s="47"/>
      <c r="N10" s="47"/>
      <c r="O10" s="47"/>
      <c r="P10" s="47"/>
      <c r="Q10" s="48"/>
      <c r="R10" s="48"/>
      <c r="S10" s="47"/>
      <c r="T10" s="47"/>
      <c r="U10" s="47"/>
      <c r="V10" s="47"/>
      <c r="W10" s="48"/>
      <c r="X10" s="48"/>
      <c r="Y10" s="49"/>
      <c r="Z10" s="49"/>
      <c r="AA10" s="49"/>
      <c r="AB10" s="49"/>
      <c r="AC10" s="49"/>
      <c r="AD10" s="49"/>
      <c r="AE10" s="47"/>
      <c r="AF10" s="47"/>
      <c r="AG10" s="47"/>
      <c r="AH10" s="47"/>
      <c r="AI10" s="48"/>
      <c r="AJ10" s="48"/>
    </row>
    <row r="11" spans="1:36" ht="15.6" customHeight="1" thickTop="1" thickBot="1" x14ac:dyDescent="0.3">
      <c r="A11" s="43"/>
      <c r="B11" s="43"/>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row>
    <row r="12" spans="1:36" ht="15.6" customHeight="1" thickTop="1" thickBot="1" x14ac:dyDescent="0.3">
      <c r="A12" s="219" t="s">
        <v>10</v>
      </c>
      <c r="B12" s="220"/>
      <c r="C12" s="220"/>
      <c r="D12" s="220"/>
      <c r="E12" s="42" t="str">
        <f>IFERROR(IF(VLOOKUP(A12,SKV!$B$38:$R$64,10,FALSE)=0,"",VLOOKUP(A12,SKV!$B$38:$R$64,10,FALSE)),"")</f>
        <v/>
      </c>
      <c r="F12" s="63">
        <f>IFERROR(VLOOKUP(A12,SKV!$B$38:$R$64,9,FALSE),"")</f>
        <v>76</v>
      </c>
      <c r="G12" s="43"/>
      <c r="H12" s="230" t="s">
        <v>174</v>
      </c>
      <c r="I12" s="230"/>
      <c r="J12" s="230"/>
      <c r="K12" s="230"/>
      <c r="L12" s="43"/>
      <c r="M12" s="219" t="s">
        <v>14</v>
      </c>
      <c r="N12" s="220"/>
      <c r="O12" s="220"/>
      <c r="P12" s="220"/>
      <c r="Q12" s="42" t="str">
        <f>IFERROR(IF(VLOOKUP(M12,SKV!$B$38:$R$64,10,FALSE)=0,"",VLOOKUP(M12,SKV!$B$38:$R$64,10,FALSE)),"")</f>
        <v/>
      </c>
      <c r="R12" s="63">
        <f>IFERROR(VLOOKUP(M12,SKV!$B$38:$R$64,9,FALSE),"")</f>
        <v>78</v>
      </c>
      <c r="S12" s="219" t="s">
        <v>200</v>
      </c>
      <c r="T12" s="220"/>
      <c r="U12" s="220"/>
      <c r="V12" s="220"/>
      <c r="W12" s="42" t="str">
        <f>IFERROR(IF(VLOOKUP(S12,CHO!$B$38:$R$64,10,FALSE)=0,"",VLOOKUP(S12,CHO!$B$38:$R$64,10,FALSE)),"")</f>
        <v/>
      </c>
      <c r="X12" s="63">
        <f>IFERROR(VLOOKUP(S12,CHO!$B$38:$R$64,9,FALSE),"")</f>
        <v>84</v>
      </c>
      <c r="Y12" s="43"/>
      <c r="Z12" s="230" t="s">
        <v>174</v>
      </c>
      <c r="AA12" s="230"/>
      <c r="AB12" s="230"/>
      <c r="AC12" s="230"/>
      <c r="AD12" s="43"/>
      <c r="AE12" s="219" t="s">
        <v>211</v>
      </c>
      <c r="AF12" s="220"/>
      <c r="AG12" s="220"/>
      <c r="AH12" s="220"/>
      <c r="AI12" s="42" t="str">
        <f>IFERROR(IF(VLOOKUP(AE12,CHO!$B$38:$R$64,10,FALSE)=0,"",VLOOKUP(AE12,CHO!$B$38:$R$64,10,FALSE)),"")</f>
        <v>C</v>
      </c>
      <c r="AJ12" s="63">
        <f>IFERROR(VLOOKUP(AE12,CHO!$B$38:$R$64,9,FALSE),"")</f>
        <v>32</v>
      </c>
    </row>
    <row r="13" spans="1:36" ht="15.6" customHeight="1" thickBot="1" x14ac:dyDescent="0.3">
      <c r="A13" s="44" t="str">
        <f>IFERROR(VLOOKUP(A12,SKV!$B$38:$R$64,11,FALSE),"")</f>
        <v>L</v>
      </c>
      <c r="B13" s="213">
        <f>IFERROR(YEAR(VLOOKUP(A12,SKV!$B$38:$R$64,2,FALSE)),"")</f>
        <v>1989</v>
      </c>
      <c r="C13" s="211"/>
      <c r="D13" s="45">
        <f ca="1">IFERROR(VLOOKUP(A12,SKV!$B$38:$R$64,3,FALSE),"")</f>
        <v>31</v>
      </c>
      <c r="E13" s="214" t="str">
        <f>IFERROR(VLOOKUP(A12,SKV!$B$38:$R$64,15,FALSE),"")</f>
        <v>192/83</v>
      </c>
      <c r="F13" s="215"/>
      <c r="G13" s="43"/>
      <c r="H13" s="43"/>
      <c r="I13" s="43"/>
      <c r="J13" s="43"/>
      <c r="K13" s="43"/>
      <c r="L13" s="43"/>
      <c r="M13" s="44" t="str">
        <f>IFERROR(VLOOKUP(M12,SKV!$B$38:$R$64,11,FALSE),"")</f>
        <v>L</v>
      </c>
      <c r="N13" s="213">
        <f>IFERROR(YEAR(VLOOKUP(M12,SKV!$B$38:$R$64,2,FALSE)),"")</f>
        <v>1992</v>
      </c>
      <c r="O13" s="211"/>
      <c r="P13" s="45">
        <f ca="1">IFERROR(VLOOKUP(M12,SKV!$B$38:$R$64,3,FALSE),"")</f>
        <v>28</v>
      </c>
      <c r="Q13" s="214" t="str">
        <f>IFERROR(VLOOKUP(M12,SKV!$B$38:$R$64,15,FALSE),"")</f>
        <v>172/73</v>
      </c>
      <c r="R13" s="215"/>
      <c r="S13" s="44" t="str">
        <f>IFERROR(VLOOKUP(S12,CHO!$B$38:$R$64,11,FALSE),"")</f>
        <v>P</v>
      </c>
      <c r="T13" s="213">
        <f>IFERROR(YEAR(VLOOKUP(S12,CHO!$B$38:$R$64,2,FALSE)),"")</f>
        <v>2002</v>
      </c>
      <c r="U13" s="211"/>
      <c r="V13" s="45">
        <f ca="1">IFERROR(VLOOKUP(S12,CHO!$B$38:$R$64,3,FALSE),"")</f>
        <v>18</v>
      </c>
      <c r="W13" s="214" t="str">
        <f>IFERROR(VLOOKUP(S12,CHO!$B$38:$R$64,15,FALSE),"")</f>
        <v>183/72</v>
      </c>
      <c r="X13" s="215"/>
      <c r="Y13" s="43"/>
      <c r="Z13" s="43"/>
      <c r="AA13" s="43"/>
      <c r="AB13" s="43"/>
      <c r="AC13" s="43"/>
      <c r="AD13" s="43"/>
      <c r="AE13" s="44" t="str">
        <f>IFERROR(VLOOKUP(AE12,CHO!$B$38:$R$64,11,FALSE),"")</f>
        <v>L</v>
      </c>
      <c r="AF13" s="213">
        <f>IFERROR(YEAR(VLOOKUP(AE12,CHO!$B$38:$R$64,2,FALSE)),"")</f>
        <v>1986</v>
      </c>
      <c r="AG13" s="211"/>
      <c r="AH13" s="45">
        <f ca="1">IFERROR(VLOOKUP(AE12,CHO!$B$38:$R$64,3,FALSE),"")</f>
        <v>34</v>
      </c>
      <c r="AI13" s="214" t="str">
        <f>IFERROR(VLOOKUP(AE12,CHO!$B$38:$R$64,15,FALSE),"")</f>
        <v>186/84</v>
      </c>
      <c r="AJ13" s="215"/>
    </row>
    <row r="14" spans="1:36" ht="15.6" customHeight="1" thickTop="1" thickBot="1" x14ac:dyDescent="0.3">
      <c r="A14" s="228" t="str">
        <f>IFERROR(VLOOKUP(A12,SKV!$B$2:$O$28,14,FALSE),"")</f>
        <v>9 OZ , 3 (1+2), 0 ±</v>
      </c>
      <c r="B14" s="229"/>
      <c r="C14" s="229"/>
      <c r="D14" s="225" t="str">
        <f>IFERROR(VLOOKUP(A12,SKV!$B$38:$R$64,14,FALSE),"")</f>
        <v>195 OZ, 124 (64+60)</v>
      </c>
      <c r="E14" s="225"/>
      <c r="F14" s="226"/>
      <c r="G14" s="219" t="s">
        <v>12</v>
      </c>
      <c r="H14" s="220"/>
      <c r="I14" s="220"/>
      <c r="J14" s="220"/>
      <c r="K14" s="42" t="str">
        <f>IFERROR(IF(VLOOKUP(G14,SKV!$B$38:$R$64,10,FALSE)=0,"",VLOOKUP(G14,SKV!$B$38:$R$64,10,FALSE)),"")</f>
        <v/>
      </c>
      <c r="L14" s="63">
        <f>IFERROR(VLOOKUP(G14,SKV!$B$38:$R$64,9,FALSE),"")</f>
        <v>23</v>
      </c>
      <c r="M14" s="228" t="str">
        <f>IFERROR(VLOOKUP(M12,SKV!$B$2:$O$28,14,FALSE),"")</f>
        <v>12 OZ , 15 (9+6), -12 ±</v>
      </c>
      <c r="N14" s="229"/>
      <c r="O14" s="229"/>
      <c r="P14" s="225" t="str">
        <f>IFERROR(VLOOKUP(M12,SKV!$B$38:$R$64,14,FALSE),"")</f>
        <v>190 OZ, 179 (99+80)</v>
      </c>
      <c r="Q14" s="225"/>
      <c r="R14" s="226"/>
      <c r="S14" s="228" t="str">
        <f>IFERROR(VLOOKUP(S12,CHO!$B$2:$O$28,14,FALSE),"")</f>
        <v>11 OZ , 13 (10+3), -3 ±</v>
      </c>
      <c r="T14" s="229"/>
      <c r="U14" s="229"/>
      <c r="V14" s="225" t="str">
        <f>IFERROR(VLOOKUP(S12,CHO!$B$38:$R$64,14,FALSE),"")</f>
        <v>26 OZ, 28 (17+11)</v>
      </c>
      <c r="W14" s="225"/>
      <c r="X14" s="226"/>
      <c r="Y14" s="219" t="s">
        <v>203</v>
      </c>
      <c r="Z14" s="220"/>
      <c r="AA14" s="220"/>
      <c r="AB14" s="220"/>
      <c r="AC14" s="42" t="str">
        <f>IFERROR(IF(VLOOKUP(Y14,CHO!$B$38:$R$64,10,FALSE)=0,"",VLOOKUP(Y14,CHO!$B$38:$R$64,10,FALSE)),"")</f>
        <v/>
      </c>
      <c r="AD14" s="63">
        <f>IFERROR(VLOOKUP(Y14,CHO!$B$38:$R$64,9,FALSE),"")</f>
        <v>87</v>
      </c>
      <c r="AE14" s="228" t="str">
        <f>IFERROR(VLOOKUP(AE12,CHO!$B$2:$O$28,14,FALSE),"")</f>
        <v>10 OZ , 2 (1+1), -3 ±</v>
      </c>
      <c r="AF14" s="229"/>
      <c r="AG14" s="229"/>
      <c r="AH14" s="225" t="str">
        <f>IFERROR(VLOOKUP(AE12,CHO!$B$38:$R$64,14,FALSE),"")</f>
        <v>263 OZ, 311 (178+133)</v>
      </c>
      <c r="AI14" s="225"/>
      <c r="AJ14" s="226"/>
    </row>
    <row r="15" spans="1:36" ht="15.6" customHeight="1" thickBot="1" x14ac:dyDescent="0.3">
      <c r="A15" s="202" t="str">
        <f>IFERROR(VLOOKUP(A12,SKV!$B$38:$R$64,16,FALSE),"")</f>
        <v>RKČF</v>
      </c>
      <c r="B15" s="203"/>
      <c r="C15" s="204"/>
      <c r="D15" s="205">
        <f>IFERROR(VLOOKUP(A12,SKV!$B$38:$R$64,17,FALSE),"")</f>
        <v>2003</v>
      </c>
      <c r="E15" s="206"/>
      <c r="F15" s="46">
        <f>IFERROR(VLOOKUP(A12,SKV!$B$38:$R$64,8,FALSE),"")</f>
        <v>11</v>
      </c>
      <c r="G15" s="44" t="str">
        <f>IFERROR(VLOOKUP(G14,SKV!$B$38:$R$64,11,FALSE),"")</f>
        <v>L</v>
      </c>
      <c r="H15" s="213">
        <f>IFERROR(YEAR(VLOOKUP(G14,SKV!$B$38:$R$64,2,FALSE)),"")</f>
        <v>1992</v>
      </c>
      <c r="I15" s="211"/>
      <c r="J15" s="45">
        <f ca="1">IFERROR(VLOOKUP(G14,SKV!$B$38:$R$64,3,FALSE),"")</f>
        <v>28</v>
      </c>
      <c r="K15" s="214" t="str">
        <f>IFERROR(VLOOKUP(G14,SKV!$B$38:$R$64,15,FALSE),"")</f>
        <v>181/78</v>
      </c>
      <c r="L15" s="215"/>
      <c r="M15" s="202" t="str">
        <f>IFERROR(VLOOKUP(M12,SKV!$B$38:$R$64,16,FALSE),"")</f>
        <v>FC Vlci</v>
      </c>
      <c r="N15" s="203"/>
      <c r="O15" s="204"/>
      <c r="P15" s="205">
        <f>IFERROR(VLOOKUP(M12,SKV!$B$38:$R$64,17,FALSE),"")</f>
        <v>2000</v>
      </c>
      <c r="Q15" s="206"/>
      <c r="R15" s="46">
        <f>IFERROR(VLOOKUP(M12,SKV!$B$38:$R$64,8,FALSE),"")</f>
        <v>10</v>
      </c>
      <c r="S15" s="202" t="str">
        <f>IFERROR(VLOOKUP(S12,CHO!$B$38:$R$64,16,FALSE),"")</f>
        <v>FBC Plzeň</v>
      </c>
      <c r="T15" s="203"/>
      <c r="U15" s="204"/>
      <c r="V15" s="205">
        <f>IFERROR(VLOOKUP(S12,CHO!$B$38:$R$64,17,FALSE),"")</f>
        <v>2009</v>
      </c>
      <c r="W15" s="206"/>
      <c r="X15" s="46">
        <f>IFERROR(VLOOKUP(S12,CHO!$B$38:$R$64,8,FALSE),"")</f>
        <v>2</v>
      </c>
      <c r="Y15" s="44" t="str">
        <f>IFERROR(VLOOKUP(Y14,CHO!$B$38:$R$64,11,FALSE),"")</f>
        <v>L</v>
      </c>
      <c r="Z15" s="213">
        <f>IFERROR(YEAR(VLOOKUP(Y14,CHO!$B$38:$R$64,2,FALSE)),"")</f>
        <v>1992</v>
      </c>
      <c r="AA15" s="211"/>
      <c r="AB15" s="45">
        <f ca="1">IFERROR(VLOOKUP(Y14,CHO!$B$38:$R$64,3,FALSE),"")</f>
        <v>28</v>
      </c>
      <c r="AC15" s="214" t="str">
        <f>IFERROR(VLOOKUP(Y14,CHO!$B$38:$R$64,15,FALSE),"")</f>
        <v>176/73</v>
      </c>
      <c r="AD15" s="215"/>
      <c r="AE15" s="202" t="str">
        <f>IFERROR(VLOOKUP(AE12,CHO!$B$38:$R$64,16,FALSE),"")</f>
        <v>Sokol Brno III</v>
      </c>
      <c r="AF15" s="203"/>
      <c r="AG15" s="204"/>
      <c r="AH15" s="205">
        <f>IFERROR(VLOOKUP(AE12,CHO!$B$38:$R$64,17,FALSE),"")</f>
        <v>2000</v>
      </c>
      <c r="AI15" s="206"/>
      <c r="AJ15" s="46">
        <f>IFERROR(VLOOKUP(AE12,CHO!$B$38:$R$64,8,FALSE),"")</f>
        <v>15</v>
      </c>
    </row>
    <row r="16" spans="1:36" ht="15.6" customHeight="1" thickTop="1" thickBot="1" x14ac:dyDescent="0.3">
      <c r="A16" s="22"/>
      <c r="B16" s="22"/>
      <c r="C16" s="22"/>
      <c r="D16" s="22"/>
      <c r="E16" s="43"/>
      <c r="F16" s="43"/>
      <c r="G16" s="228" t="str">
        <f>IFERROR(VLOOKUP(G14,SKV!$B$2:$O$28,14,FALSE),"")</f>
        <v>11 OZ , 12 (6+6), +1 ±</v>
      </c>
      <c r="H16" s="229"/>
      <c r="I16" s="229"/>
      <c r="J16" s="225" t="str">
        <f>IFERROR(VLOOKUP(G14,SKV!$B$38:$R$64,14,FALSE),"")</f>
        <v>128 OZ, 141 (85+56)</v>
      </c>
      <c r="K16" s="225"/>
      <c r="L16" s="226"/>
      <c r="M16" s="43"/>
      <c r="N16" s="43"/>
      <c r="O16" s="43"/>
      <c r="P16" s="43"/>
      <c r="Q16" s="43"/>
      <c r="R16" s="43"/>
      <c r="S16" s="22"/>
      <c r="T16" s="22"/>
      <c r="U16" s="22"/>
      <c r="V16" s="22"/>
      <c r="W16" s="43"/>
      <c r="X16" s="43"/>
      <c r="Y16" s="228" t="str">
        <f>IFERROR(VLOOKUP(Y14,CHO!$B$2:$O$28,14,FALSE),"")</f>
        <v>12 OZ , 9 (3+6), -6 ±</v>
      </c>
      <c r="Z16" s="229"/>
      <c r="AA16" s="229"/>
      <c r="AB16" s="225" t="str">
        <f>IFERROR(VLOOKUP(Y14,CHO!$B$38:$R$64,14,FALSE),"")</f>
        <v>196 OZ, 207 (119+88)</v>
      </c>
      <c r="AC16" s="225"/>
      <c r="AD16" s="226"/>
      <c r="AE16" s="43"/>
      <c r="AF16" s="43"/>
      <c r="AG16" s="43"/>
      <c r="AH16" s="43"/>
      <c r="AI16" s="43"/>
      <c r="AJ16" s="43"/>
    </row>
    <row r="17" spans="1:36" ht="15.6" customHeight="1" thickTop="1" thickBot="1" x14ac:dyDescent="0.3">
      <c r="A17" s="219" t="s">
        <v>71</v>
      </c>
      <c r="B17" s="220"/>
      <c r="C17" s="220"/>
      <c r="D17" s="220"/>
      <c r="E17" s="42" t="str">
        <f>IFERROR(IF(VLOOKUP(A17,SKV!$B$38:$R$64,10,FALSE)=0,"",VLOOKUP(A17,SKV!$B$38:$R$64,10,FALSE)),"")</f>
        <v>C</v>
      </c>
      <c r="F17" s="63">
        <f>IFERROR(VLOOKUP(A17,SKV!$B$38:$R$64,9,FALSE),"")</f>
        <v>65</v>
      </c>
      <c r="G17" s="202" t="str">
        <f>IFERROR(VLOOKUP(G14,SKV!$B$38:$R$64,16,FALSE),"")</f>
        <v>Pelhřimov</v>
      </c>
      <c r="H17" s="203"/>
      <c r="I17" s="204"/>
      <c r="J17" s="205">
        <f>IFERROR(VLOOKUP(G14,SKV!$B$38:$R$64,17,FALSE),"")</f>
        <v>2003</v>
      </c>
      <c r="K17" s="206"/>
      <c r="L17" s="46">
        <f>IFERROR(VLOOKUP(G14,SKV!$B$38:$R$64,8,FALSE),"")</f>
        <v>9</v>
      </c>
      <c r="M17" s="219" t="s">
        <v>17</v>
      </c>
      <c r="N17" s="220"/>
      <c r="O17" s="220"/>
      <c r="P17" s="220"/>
      <c r="Q17" s="42" t="str">
        <f>IFERROR(IF(VLOOKUP(M17,SKV!$B$38:$R$64,10,FALSE)=0,"",VLOOKUP(M17,SKV!$B$38:$R$64,10,FALSE)),"")</f>
        <v/>
      </c>
      <c r="R17" s="63">
        <f>IFERROR(VLOOKUP(M17,SKV!$B$38:$R$64,9,FALSE),"")</f>
        <v>4</v>
      </c>
      <c r="S17" s="219" t="s">
        <v>204</v>
      </c>
      <c r="T17" s="220"/>
      <c r="U17" s="220"/>
      <c r="V17" s="220"/>
      <c r="W17" s="42" t="str">
        <f>IFERROR(IF(VLOOKUP(S17,CHO!$B$38:$R$64,10,FALSE)=0,"",VLOOKUP(S17,CHO!$B$38:$R$64,10,FALSE)),"")</f>
        <v/>
      </c>
      <c r="X17" s="63">
        <f>IFERROR(VLOOKUP(S17,CHO!$B$38:$R$64,9,FALSE),"")</f>
        <v>65</v>
      </c>
      <c r="Y17" s="202" t="str">
        <f>IFERROR(VLOOKUP(Y14,CHO!$B$38:$R$64,16,FALSE),"")</f>
        <v>Bulldogs Brno</v>
      </c>
      <c r="Z17" s="203"/>
      <c r="AA17" s="204"/>
      <c r="AB17" s="205">
        <f>IFERROR(VLOOKUP(Y14,CHO!$B$38:$R$64,17,FALSE),"")</f>
        <v>2004</v>
      </c>
      <c r="AC17" s="206"/>
      <c r="AD17" s="46">
        <f>IFERROR(VLOOKUP(Y14,CHO!$B$38:$R$64,8,FALSE),"")</f>
        <v>11</v>
      </c>
      <c r="AE17" s="219" t="s">
        <v>209</v>
      </c>
      <c r="AF17" s="220"/>
      <c r="AG17" s="220"/>
      <c r="AH17" s="220"/>
      <c r="AI17" s="42" t="str">
        <f>IFERROR(IF(VLOOKUP(AE17,CHO!$B$38:$R$64,10,FALSE)=0,"",VLOOKUP(AE17,CHO!$B$38:$R$64,10,FALSE)),"")</f>
        <v/>
      </c>
      <c r="AJ17" s="63">
        <f>IFERROR(VLOOKUP(AE17,CHO!$B$38:$R$64,9,FALSE),"")</f>
        <v>93</v>
      </c>
    </row>
    <row r="18" spans="1:36" ht="15.6" customHeight="1" thickBot="1" x14ac:dyDescent="0.3">
      <c r="A18" s="44" t="str">
        <f>IFERROR(VLOOKUP(A17,SKV!$B$38:$R$64,11,FALSE),"")</f>
        <v>P</v>
      </c>
      <c r="B18" s="213">
        <f>IFERROR(YEAR(VLOOKUP(A17,SKV!$B$38:$R$64,2,FALSE)),"")</f>
        <v>1993</v>
      </c>
      <c r="C18" s="211"/>
      <c r="D18" s="45">
        <f ca="1">IFERROR(VLOOKUP(A17,SKV!$B$38:$R$64,3,FALSE),"")</f>
        <v>27</v>
      </c>
      <c r="E18" s="214" t="str">
        <f>IFERROR(VLOOKUP(A17,SKV!$B$38:$R$64,15,FALSE),"")</f>
        <v>169/65</v>
      </c>
      <c r="F18" s="215"/>
      <c r="G18" s="43"/>
      <c r="H18" s="43"/>
      <c r="I18" s="43"/>
      <c r="J18" s="43"/>
      <c r="K18" s="43"/>
      <c r="L18" s="43"/>
      <c r="M18" s="44" t="str">
        <f>IFERROR(VLOOKUP(M17,SKV!$B$38:$R$64,11,FALSE),"")</f>
        <v>L</v>
      </c>
      <c r="N18" s="213">
        <f>IFERROR(YEAR(VLOOKUP(M17,SKV!$B$38:$R$64,2,FALSE)),"")</f>
        <v>1992</v>
      </c>
      <c r="O18" s="211"/>
      <c r="P18" s="45">
        <f ca="1">IFERROR(VLOOKUP(M17,SKV!$B$38:$R$64,3,FALSE),"")</f>
        <v>28</v>
      </c>
      <c r="Q18" s="214" t="str">
        <f>IFERROR(VLOOKUP(M17,SKV!$B$38:$R$64,15,FALSE),"")</f>
        <v>197/92</v>
      </c>
      <c r="R18" s="215"/>
      <c r="S18" s="44" t="str">
        <f>IFERROR(VLOOKUP(S17,CHO!$B$38:$R$64,11,FALSE),"")</f>
        <v>P</v>
      </c>
      <c r="T18" s="213">
        <f>IFERROR(YEAR(VLOOKUP(S17,CHO!$B$38:$R$64,2,FALSE)),"")</f>
        <v>1992</v>
      </c>
      <c r="U18" s="211"/>
      <c r="V18" s="45">
        <f ca="1">IFERROR(VLOOKUP(S17,CHO!$B$38:$R$64,3,FALSE),"")</f>
        <v>28</v>
      </c>
      <c r="W18" s="214" t="str">
        <f>IFERROR(VLOOKUP(S17,CHO!$B$38:$R$64,15,FALSE),"")</f>
        <v>195/86</v>
      </c>
      <c r="X18" s="215"/>
      <c r="Y18" s="43"/>
      <c r="Z18" s="43"/>
      <c r="AA18" s="43"/>
      <c r="AB18" s="43"/>
      <c r="AC18" s="43"/>
      <c r="AD18" s="43"/>
      <c r="AE18" s="44" t="str">
        <f>IFERROR(VLOOKUP(AE17,CHO!$B$38:$R$64,11,FALSE),"")</f>
        <v>L</v>
      </c>
      <c r="AF18" s="213">
        <f>IFERROR(YEAR(VLOOKUP(AE17,CHO!$B$38:$R$64,2,FALSE)),"")</f>
        <v>2003</v>
      </c>
      <c r="AG18" s="211"/>
      <c r="AH18" s="45">
        <f ca="1">IFERROR(VLOOKUP(AE17,CHO!$B$38:$R$64,3,FALSE),"")</f>
        <v>17</v>
      </c>
      <c r="AI18" s="214" t="str">
        <f>IFERROR(VLOOKUP(AE17,CHO!$B$38:$R$64,15,FALSE),"")</f>
        <v>175/67</v>
      </c>
      <c r="AJ18" s="215"/>
    </row>
    <row r="19" spans="1:36" ht="15.6" customHeight="1" x14ac:dyDescent="0.25">
      <c r="A19" s="228" t="str">
        <f>IFERROR(VLOOKUP(A17,SKV!$B$2:$O$28,14,FALSE),"")</f>
        <v>12 OZ , 7 (5+2), -12 ±</v>
      </c>
      <c r="B19" s="229"/>
      <c r="C19" s="229"/>
      <c r="D19" s="225" t="str">
        <f>IFERROR(VLOOKUP(A17,SKV!$B$38:$R$64,14,FALSE),"")</f>
        <v>95 OZ, 49 (29+20)</v>
      </c>
      <c r="E19" s="225"/>
      <c r="F19" s="226"/>
      <c r="G19" s="43"/>
      <c r="H19" s="227" t="str">
        <f>$H$8</f>
        <v>SKV</v>
      </c>
      <c r="I19" s="227"/>
      <c r="J19" s="227"/>
      <c r="K19" s="227"/>
      <c r="L19" s="43"/>
      <c r="M19" s="228" t="str">
        <f>IFERROR(VLOOKUP(M17,SKV!$B$2:$O$28,14,FALSE),"")</f>
        <v>11 OZ , 3 (1+2), -7 ±</v>
      </c>
      <c r="N19" s="229"/>
      <c r="O19" s="229"/>
      <c r="P19" s="225" t="str">
        <f>IFERROR(VLOOKUP(M17,SKV!$B$38:$R$64,14,FALSE),"")</f>
        <v>90 OZ, 22 (5+17)</v>
      </c>
      <c r="Q19" s="225"/>
      <c r="R19" s="226"/>
      <c r="S19" s="228" t="str">
        <f>IFERROR(VLOOKUP(S17,CHO!$B$2:$O$28,14,FALSE),"")</f>
        <v>12 OZ , 7 (2+5), -1 ±</v>
      </c>
      <c r="T19" s="229"/>
      <c r="U19" s="229"/>
      <c r="V19" s="225" t="str">
        <f>IFERROR(VLOOKUP(S17,CHO!$B$38:$R$64,14,FALSE),"")</f>
        <v>194 OZ, 161 (84+77)</v>
      </c>
      <c r="W19" s="225"/>
      <c r="X19" s="226"/>
      <c r="Y19" s="43"/>
      <c r="Z19" s="227" t="str">
        <f>$Z$8</f>
        <v>CHO</v>
      </c>
      <c r="AA19" s="227"/>
      <c r="AB19" s="227"/>
      <c r="AC19" s="227"/>
      <c r="AD19" s="43"/>
      <c r="AE19" s="228" t="str">
        <f>IFERROR(VLOOKUP(AE17,CHO!$B$2:$O$28,14,FALSE),"")</f>
        <v>9 OZ , 3 (2+1), -2 ±</v>
      </c>
      <c r="AF19" s="229"/>
      <c r="AG19" s="229"/>
      <c r="AH19" s="225" t="str">
        <f>IFERROR(VLOOKUP(AE17,CHO!$B$38:$R$64,14,FALSE),"")</f>
        <v>9 OZ, 3 (2+1)</v>
      </c>
      <c r="AI19" s="225"/>
      <c r="AJ19" s="226"/>
    </row>
    <row r="20" spans="1:36" ht="15.6" customHeight="1" thickBot="1" x14ac:dyDescent="0.3">
      <c r="A20" s="202" t="str">
        <f>IFERROR(VLOOKUP(A17,SKV!$B$38:$R$64,16,FALSE),"")</f>
        <v>Lhokamo</v>
      </c>
      <c r="B20" s="203"/>
      <c r="C20" s="204"/>
      <c r="D20" s="205">
        <f>IFERROR(VLOOKUP(A17,SKV!$B$38:$R$64,17,FALSE),"")</f>
        <v>2004</v>
      </c>
      <c r="E20" s="206"/>
      <c r="F20" s="46">
        <f>IFERROR(VLOOKUP(A17,SKV!$B$38:$R$64,8,FALSE),"")</f>
        <v>6</v>
      </c>
      <c r="G20" s="43"/>
      <c r="H20" s="227"/>
      <c r="I20" s="227"/>
      <c r="J20" s="227"/>
      <c r="K20" s="227"/>
      <c r="L20" s="43"/>
      <c r="M20" s="202" t="str">
        <f>IFERROR(VLOOKUP(M17,SKV!$B$38:$R$64,16,FALSE),"")</f>
        <v>Česká Lípa</v>
      </c>
      <c r="N20" s="203"/>
      <c r="O20" s="204"/>
      <c r="P20" s="205">
        <f>IFERROR(VLOOKUP(M17,SKV!$B$38:$R$64,17,FALSE),"")</f>
        <v>2007</v>
      </c>
      <c r="Q20" s="206"/>
      <c r="R20" s="46">
        <f>IFERROR(VLOOKUP(M17,SKV!$B$38:$R$64,8,FALSE),"")</f>
        <v>5</v>
      </c>
      <c r="S20" s="202" t="str">
        <f>IFERROR(VLOOKUP(S17,CHO!$B$38:$R$64,16,FALSE),"")</f>
        <v>SK JeMoBu</v>
      </c>
      <c r="T20" s="203"/>
      <c r="U20" s="204"/>
      <c r="V20" s="205">
        <f>IFERROR(VLOOKUP(S17,CHO!$B$38:$R$64,17,FALSE),"")</f>
        <v>2002</v>
      </c>
      <c r="W20" s="206"/>
      <c r="X20" s="46">
        <f>IFERROR(VLOOKUP(S17,CHO!$B$38:$R$64,8,FALSE),"")</f>
        <v>10</v>
      </c>
      <c r="Y20" s="43"/>
      <c r="Z20" s="227"/>
      <c r="AA20" s="227"/>
      <c r="AB20" s="227"/>
      <c r="AC20" s="227"/>
      <c r="AD20" s="43"/>
      <c r="AE20" s="202" t="str">
        <f>IFERROR(VLOOKUP(AE17,CHO!$B$38:$R$64,16,FALSE),"")</f>
        <v>SK Dvojka Praha</v>
      </c>
      <c r="AF20" s="203"/>
      <c r="AG20" s="204"/>
      <c r="AH20" s="205">
        <f>IFERROR(VLOOKUP(AE17,CHO!$B$38:$R$64,17,FALSE),"")</f>
        <v>2010</v>
      </c>
      <c r="AI20" s="206"/>
      <c r="AJ20" s="46">
        <f>IFERROR(VLOOKUP(AE17,CHO!$B$38:$R$64,8,FALSE),"")</f>
        <v>1</v>
      </c>
    </row>
    <row r="21" spans="1:36" ht="15.6" customHeight="1" thickTop="1" thickBot="1" x14ac:dyDescent="0.3">
      <c r="A21" s="47"/>
      <c r="B21" s="47"/>
      <c r="C21" s="47"/>
      <c r="D21" s="47"/>
      <c r="E21" s="48"/>
      <c r="F21" s="48"/>
      <c r="G21" s="49"/>
      <c r="H21" s="49"/>
      <c r="I21" s="49"/>
      <c r="J21" s="49"/>
      <c r="K21" s="49"/>
      <c r="L21" s="49"/>
      <c r="M21" s="47"/>
      <c r="N21" s="47"/>
      <c r="O21" s="47"/>
      <c r="P21" s="47"/>
      <c r="Q21" s="48"/>
      <c r="R21" s="48"/>
      <c r="S21" s="47"/>
      <c r="T21" s="47"/>
      <c r="U21" s="47"/>
      <c r="V21" s="47"/>
      <c r="W21" s="48"/>
      <c r="X21" s="48"/>
      <c r="Y21" s="49"/>
      <c r="Z21" s="49"/>
      <c r="AA21" s="49"/>
      <c r="AB21" s="49"/>
      <c r="AC21" s="49"/>
      <c r="AD21" s="49"/>
      <c r="AE21" s="47"/>
      <c r="AF21" s="47"/>
      <c r="AG21" s="47"/>
      <c r="AH21" s="47"/>
      <c r="AI21" s="48"/>
      <c r="AJ21" s="48"/>
    </row>
    <row r="22" spans="1:36" ht="15.6" customHeight="1" thickTop="1" thickBot="1" x14ac:dyDescent="0.3">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row>
    <row r="23" spans="1:36" ht="15.6" customHeight="1" thickTop="1" thickBot="1" x14ac:dyDescent="0.3">
      <c r="A23" s="219" t="s">
        <v>19</v>
      </c>
      <c r="B23" s="220"/>
      <c r="C23" s="220"/>
      <c r="D23" s="220"/>
      <c r="E23" s="42" t="str">
        <f>IFERROR(IF(VLOOKUP(A23,SKV!$B$38:$R$64,10,FALSE)=0,"",VLOOKUP(A23,SKV!$B$38:$R$64,10,FALSE)),"")</f>
        <v/>
      </c>
      <c r="F23" s="63">
        <f>IFERROR(VLOOKUP(A23,SKV!$B$38:$R$64,9,FALSE),"")</f>
        <v>99</v>
      </c>
      <c r="G23" s="43"/>
      <c r="H23" s="230" t="s">
        <v>175</v>
      </c>
      <c r="I23" s="230"/>
      <c r="J23" s="230"/>
      <c r="K23" s="230"/>
      <c r="L23" s="43"/>
      <c r="M23" s="219" t="s">
        <v>21</v>
      </c>
      <c r="N23" s="220"/>
      <c r="O23" s="220"/>
      <c r="P23" s="220"/>
      <c r="Q23" s="42" t="str">
        <f>IFERROR(IF(VLOOKUP(M23,SKV!$B$38:$R$64,10,FALSE)=0,"",VLOOKUP(M23,SKV!$B$38:$R$64,10,FALSE)),"")</f>
        <v/>
      </c>
      <c r="R23" s="63">
        <f>IFERROR(VLOOKUP(M23,SKV!$B$38:$R$64,9,FALSE),"")</f>
        <v>27</v>
      </c>
      <c r="S23" s="219" t="s">
        <v>208</v>
      </c>
      <c r="T23" s="220"/>
      <c r="U23" s="220"/>
      <c r="V23" s="220"/>
      <c r="W23" s="42" t="str">
        <f>IFERROR(IF(VLOOKUP(S23,CHO!$B$38:$R$64,10,FALSE)=0,"",VLOOKUP(S23,CHO!$B$38:$R$64,10,FALSE)),"")</f>
        <v/>
      </c>
      <c r="X23" s="63">
        <f>IFERROR(VLOOKUP(S23,CHO!$B$38:$R$64,9,FALSE),"")</f>
        <v>27</v>
      </c>
      <c r="Y23" s="43"/>
      <c r="Z23" s="230" t="s">
        <v>175</v>
      </c>
      <c r="AA23" s="230"/>
      <c r="AB23" s="230"/>
      <c r="AC23" s="230"/>
      <c r="AD23" s="43"/>
      <c r="AE23" s="219" t="s">
        <v>206</v>
      </c>
      <c r="AF23" s="220"/>
      <c r="AG23" s="220"/>
      <c r="AH23" s="220"/>
      <c r="AI23" s="42" t="str">
        <f>IFERROR(IF(VLOOKUP(AE23,CHO!$B$38:$R$64,10,FALSE)=0,"",VLOOKUP(AE23,CHO!$B$38:$R$64,10,FALSE)),"")</f>
        <v/>
      </c>
      <c r="AJ23" s="63">
        <f>IFERROR(VLOOKUP(AE23,CHO!$B$38:$R$64,9,FALSE),"")</f>
        <v>77</v>
      </c>
    </row>
    <row r="24" spans="1:36" ht="15.6" customHeight="1" thickBot="1" x14ac:dyDescent="0.3">
      <c r="A24" s="44" t="str">
        <f>IFERROR(VLOOKUP(A23,SKV!$B$38:$R$64,11,FALSE),"")</f>
        <v>L</v>
      </c>
      <c r="B24" s="213">
        <f>IFERROR(YEAR(VLOOKUP(A23,SKV!$B$38:$R$64,2,FALSE)),"")</f>
        <v>2000</v>
      </c>
      <c r="C24" s="211"/>
      <c r="D24" s="45">
        <f ca="1">IFERROR(VLOOKUP(A23,SKV!$B$38:$R$64,3,FALSE),"")</f>
        <v>20</v>
      </c>
      <c r="E24" s="214" t="str">
        <f>IFERROR(VLOOKUP(A23,SKV!$B$38:$R$64,15,FALSE),"")</f>
        <v>186/80</v>
      </c>
      <c r="F24" s="215"/>
      <c r="G24" s="43"/>
      <c r="H24" s="43"/>
      <c r="I24" s="43"/>
      <c r="J24" s="43"/>
      <c r="K24" s="43"/>
      <c r="L24" s="43"/>
      <c r="M24" s="44" t="str">
        <f>IFERROR(VLOOKUP(M23,SKV!$B$38:$R$64,11,FALSE),"")</f>
        <v>L</v>
      </c>
      <c r="N24" s="213">
        <f>IFERROR(YEAR(VLOOKUP(M23,SKV!$B$38:$R$64,2,FALSE)),"")</f>
        <v>1993</v>
      </c>
      <c r="O24" s="211"/>
      <c r="P24" s="45">
        <f ca="1">IFERROR(VLOOKUP(M23,SKV!$B$38:$R$64,3,FALSE),"")</f>
        <v>27</v>
      </c>
      <c r="Q24" s="214" t="str">
        <f>IFERROR(VLOOKUP(M23,SKV!$B$38:$R$64,15,FALSE),"")</f>
        <v>180/78</v>
      </c>
      <c r="R24" s="215"/>
      <c r="S24" s="44" t="str">
        <f>IFERROR(VLOOKUP(S23,CHO!$B$38:$R$64,11,FALSE),"")</f>
        <v>P</v>
      </c>
      <c r="T24" s="213">
        <f>IFERROR(YEAR(VLOOKUP(S23,CHO!$B$38:$R$64,2,FALSE)),"")</f>
        <v>2000</v>
      </c>
      <c r="U24" s="211"/>
      <c r="V24" s="45">
        <f ca="1">IFERROR(VLOOKUP(S23,CHO!$B$38:$R$64,3,FALSE),"")</f>
        <v>20</v>
      </c>
      <c r="W24" s="214" t="str">
        <f>IFERROR(VLOOKUP(S23,CHO!$B$38:$R$64,15,FALSE),"")</f>
        <v>186/90</v>
      </c>
      <c r="X24" s="215"/>
      <c r="Y24" s="43"/>
      <c r="Z24" s="43"/>
      <c r="AA24" s="43"/>
      <c r="AB24" s="43"/>
      <c r="AC24" s="43"/>
      <c r="AD24" s="43"/>
      <c r="AE24" s="44" t="str">
        <f>IFERROR(VLOOKUP(AE23,CHO!$B$38:$R$64,11,FALSE),"")</f>
        <v>L</v>
      </c>
      <c r="AF24" s="213">
        <f>IFERROR(YEAR(VLOOKUP(AE23,CHO!$B$38:$R$64,2,FALSE)),"")</f>
        <v>2000</v>
      </c>
      <c r="AG24" s="211"/>
      <c r="AH24" s="45">
        <f ca="1">IFERROR(VLOOKUP(AE23,CHO!$B$38:$R$64,3,FALSE),"")</f>
        <v>20</v>
      </c>
      <c r="AI24" s="214" t="str">
        <f>IFERROR(VLOOKUP(AE23,CHO!$B$38:$R$64,15,FALSE),"")</f>
        <v>183/92</v>
      </c>
      <c r="AJ24" s="215"/>
    </row>
    <row r="25" spans="1:36" ht="15.6" customHeight="1" thickTop="1" thickBot="1" x14ac:dyDescent="0.3">
      <c r="A25" s="228" t="str">
        <f>IFERROR(VLOOKUP(A23,SKV!$B$2:$O$28,14,FALSE),"")</f>
        <v>11 OZ , 8 (3+5), -3 ±</v>
      </c>
      <c r="B25" s="229"/>
      <c r="C25" s="229"/>
      <c r="D25" s="225" t="str">
        <f>IFERROR(VLOOKUP(A23,SKV!$B$38:$R$64,14,FALSE),"")</f>
        <v>11 OZ, 8 (3+5)</v>
      </c>
      <c r="E25" s="225"/>
      <c r="F25" s="226"/>
      <c r="G25" s="219" t="s">
        <v>20</v>
      </c>
      <c r="H25" s="220"/>
      <c r="I25" s="220"/>
      <c r="J25" s="220"/>
      <c r="K25" s="42" t="str">
        <f>IFERROR(IF(VLOOKUP(G25,SKV!$B$38:$R$64,10,FALSE)=0,"",VLOOKUP(G25,SKV!$B$38:$R$64,10,FALSE)),"")</f>
        <v/>
      </c>
      <c r="L25" s="63">
        <f>IFERROR(VLOOKUP(G25,SKV!$B$38:$R$64,9,FALSE),"")</f>
        <v>64</v>
      </c>
      <c r="M25" s="228" t="str">
        <f>IFERROR(VLOOKUP(M23,SKV!$B$2:$O$28,14,FALSE),"")</f>
        <v>12 OZ , 13 (11+2), -11 ±</v>
      </c>
      <c r="N25" s="229"/>
      <c r="O25" s="229"/>
      <c r="P25" s="225" t="str">
        <f>IFERROR(VLOOKUP(M23,SKV!$B$38:$R$64,14,FALSE),"")</f>
        <v>147 OZ, 126 (84+42)</v>
      </c>
      <c r="Q25" s="225"/>
      <c r="R25" s="226"/>
      <c r="S25" s="228" t="str">
        <f>IFERROR(VLOOKUP(S23,CHO!$B$2:$O$28,14,FALSE),"")</f>
        <v>12 OZ , 4 (1+3), -3 ±</v>
      </c>
      <c r="T25" s="229"/>
      <c r="U25" s="229"/>
      <c r="V25" s="225" t="str">
        <f>IFERROR(VLOOKUP(S23,CHO!$B$38:$R$64,14,FALSE),"")</f>
        <v>81 OZ, 47 (24+23)</v>
      </c>
      <c r="W25" s="225"/>
      <c r="X25" s="226"/>
      <c r="Y25" s="219" t="s">
        <v>205</v>
      </c>
      <c r="Z25" s="220"/>
      <c r="AA25" s="220"/>
      <c r="AB25" s="220"/>
      <c r="AC25" s="42" t="str">
        <f>IFERROR(IF(VLOOKUP(Y25,CHO!$B$38:$R$64,10,FALSE)=0,"",VLOOKUP(Y25,CHO!$B$38:$R$64,10,FALSE)),"")</f>
        <v/>
      </c>
      <c r="AD25" s="63">
        <f>IFERROR(VLOOKUP(Y25,CHO!$B$38:$R$64,9,FALSE),"")</f>
        <v>14</v>
      </c>
      <c r="AE25" s="228" t="str">
        <f>IFERROR(VLOOKUP(AE23,CHO!$B$2:$O$28,14,FALSE),"")</f>
        <v>12 OZ , 5 (4+1), 0 ±</v>
      </c>
      <c r="AF25" s="229"/>
      <c r="AG25" s="229"/>
      <c r="AH25" s="225" t="str">
        <f>IFERROR(VLOOKUP(AE23,CHO!$B$38:$R$64,14,FALSE),"")</f>
        <v>32 OZ, 12 (7+5)</v>
      </c>
      <c r="AI25" s="225"/>
      <c r="AJ25" s="226"/>
    </row>
    <row r="26" spans="1:36" ht="15.6" customHeight="1" thickBot="1" x14ac:dyDescent="0.3">
      <c r="A26" s="202" t="str">
        <f>IFERROR(VLOOKUP(A23,SKV!$B$38:$R$64,16,FALSE),"")</f>
        <v>Slovan J. Hradec</v>
      </c>
      <c r="B26" s="203"/>
      <c r="C26" s="204"/>
      <c r="D26" s="205">
        <f>IFERROR(VLOOKUP(A23,SKV!$B$38:$R$64,17,FALSE),"")</f>
        <v>2014</v>
      </c>
      <c r="E26" s="206"/>
      <c r="F26" s="46">
        <f>IFERROR(VLOOKUP(A23,SKV!$B$38:$R$64,8,FALSE),"")</f>
        <v>1</v>
      </c>
      <c r="G26" s="44" t="str">
        <f>IFERROR(VLOOKUP(G25,SKV!$B$38:$R$64,11,FALSE),"")</f>
        <v>L</v>
      </c>
      <c r="H26" s="213">
        <f>IFERROR(YEAR(VLOOKUP(G25,SKV!$B$38:$R$64,2,FALSE)),"")</f>
        <v>1993</v>
      </c>
      <c r="I26" s="211"/>
      <c r="J26" s="45">
        <f ca="1">IFERROR(VLOOKUP(G25,SKV!$B$38:$R$64,3,FALSE),"")</f>
        <v>27</v>
      </c>
      <c r="K26" s="214" t="str">
        <f>IFERROR(VLOOKUP(G25,SKV!$B$38:$R$64,15,FALSE),"")</f>
        <v>173/68</v>
      </c>
      <c r="L26" s="215"/>
      <c r="M26" s="202" t="str">
        <f>IFERROR(VLOOKUP(M23,SKV!$B$38:$R$64,16,FALSE),"")</f>
        <v>ASP Hr. Králové</v>
      </c>
      <c r="N26" s="203"/>
      <c r="O26" s="204"/>
      <c r="P26" s="205">
        <f>IFERROR(VLOOKUP(M23,SKV!$B$38:$R$64,17,FALSE),"")</f>
        <v>2007</v>
      </c>
      <c r="Q26" s="206"/>
      <c r="R26" s="46">
        <f>IFERROR(VLOOKUP(M23,SKV!$B$38:$R$64,8,FALSE),"")</f>
        <v>7</v>
      </c>
      <c r="S26" s="202" t="str">
        <f>IFERROR(VLOOKUP(S23,CHO!$B$38:$R$64,16,FALSE),"")</f>
        <v>FBK Vosy Praha</v>
      </c>
      <c r="T26" s="203"/>
      <c r="U26" s="204"/>
      <c r="V26" s="205">
        <f>IFERROR(VLOOKUP(S23,CHO!$B$38:$R$64,17,FALSE),"")</f>
        <v>2007</v>
      </c>
      <c r="W26" s="206"/>
      <c r="X26" s="46">
        <f>IFERROR(VLOOKUP(S23,CHO!$B$38:$R$64,8,FALSE),"")</f>
        <v>4</v>
      </c>
      <c r="Y26" s="44" t="str">
        <f>IFERROR(VLOOKUP(Y25,CHO!$B$38:$R$64,11,FALSE),"")</f>
        <v>L</v>
      </c>
      <c r="Z26" s="213">
        <f>IFERROR(YEAR(VLOOKUP(Y25,CHO!$B$38:$R$64,2,FALSE)),"")</f>
        <v>1997</v>
      </c>
      <c r="AA26" s="211"/>
      <c r="AB26" s="45">
        <f ca="1">IFERROR(VLOOKUP(Y25,CHO!$B$38:$R$64,3,FALSE),"")</f>
        <v>23</v>
      </c>
      <c r="AC26" s="214" t="str">
        <f>IFERROR(VLOOKUP(Y25,CHO!$B$38:$R$64,15,FALSE),"")</f>
        <v>184/78</v>
      </c>
      <c r="AD26" s="215"/>
      <c r="AE26" s="202" t="str">
        <f>IFERROR(VLOOKUP(AE23,CHO!$B$38:$R$64,16,FALSE),"")</f>
        <v>FC Bučis Team</v>
      </c>
      <c r="AF26" s="203"/>
      <c r="AG26" s="204"/>
      <c r="AH26" s="205">
        <f>IFERROR(VLOOKUP(AE23,CHO!$B$38:$R$64,17,FALSE),"")</f>
        <v>2007</v>
      </c>
      <c r="AI26" s="206"/>
      <c r="AJ26" s="46">
        <f>IFERROR(VLOOKUP(AE23,CHO!$B$38:$R$64,8,FALSE),"")</f>
        <v>3</v>
      </c>
    </row>
    <row r="27" spans="1:36" ht="15.6" customHeight="1" thickTop="1" thickBot="1" x14ac:dyDescent="0.3">
      <c r="A27" s="22"/>
      <c r="B27" s="22"/>
      <c r="C27" s="22"/>
      <c r="D27" s="22"/>
      <c r="E27" s="43"/>
      <c r="F27" s="43"/>
      <c r="G27" s="228" t="str">
        <f>IFERROR(VLOOKUP(G25,SKV!$B$2:$O$28,14,FALSE),"")</f>
        <v>12 OZ , 4 (2+2), -2 ±</v>
      </c>
      <c r="H27" s="229"/>
      <c r="I27" s="229"/>
      <c r="J27" s="225" t="str">
        <f>IFERROR(VLOOKUP(G25,SKV!$B$38:$R$64,14,FALSE),"")</f>
        <v>83 OZ, 69 (20+49)</v>
      </c>
      <c r="K27" s="225"/>
      <c r="L27" s="226"/>
      <c r="M27" s="43"/>
      <c r="N27" s="43"/>
      <c r="O27" s="43"/>
      <c r="P27" s="43"/>
      <c r="Q27" s="43"/>
      <c r="R27" s="43"/>
      <c r="S27" s="22"/>
      <c r="T27" s="22"/>
      <c r="U27" s="22"/>
      <c r="V27" s="22"/>
      <c r="W27" s="43"/>
      <c r="X27" s="43"/>
      <c r="Y27" s="228" t="str">
        <f>IFERROR(VLOOKUP(Y25,CHO!$B$2:$O$28,14,FALSE),"")</f>
        <v>12 OZ , 6 (4+2), -4 ±</v>
      </c>
      <c r="Z27" s="229"/>
      <c r="AA27" s="229"/>
      <c r="AB27" s="225" t="str">
        <f>IFERROR(VLOOKUP(Y25,CHO!$B$38:$R$64,14,FALSE),"")</f>
        <v>92 OZ, 53 (30+23)</v>
      </c>
      <c r="AC27" s="225"/>
      <c r="AD27" s="226"/>
      <c r="AE27" s="43"/>
      <c r="AF27" s="43"/>
      <c r="AG27" s="43"/>
      <c r="AH27" s="43"/>
      <c r="AI27" s="43"/>
      <c r="AJ27" s="43"/>
    </row>
    <row r="28" spans="1:36" ht="15.6" customHeight="1" thickTop="1" thickBot="1" x14ac:dyDescent="0.3">
      <c r="A28" s="219" t="s">
        <v>23</v>
      </c>
      <c r="B28" s="220"/>
      <c r="C28" s="220"/>
      <c r="D28" s="220"/>
      <c r="E28" s="42" t="str">
        <f>IFERROR(IF(VLOOKUP(A28,SKV!$B$38:$R$64,10,FALSE)=0,"",VLOOKUP(A28,SKV!$B$38:$R$64,10,FALSE)),"")</f>
        <v/>
      </c>
      <c r="F28" s="63">
        <f>IFERROR(VLOOKUP(A28,SKV!$B$38:$R$64,9,FALSE),"")</f>
        <v>2</v>
      </c>
      <c r="G28" s="202" t="str">
        <f>IFERROR(VLOOKUP(G25,SKV!$B$38:$R$64,16,FALSE),"")</f>
        <v>Future</v>
      </c>
      <c r="H28" s="203"/>
      <c r="I28" s="204"/>
      <c r="J28" s="205">
        <f>IFERROR(VLOOKUP(G25,SKV!$B$38:$R$64,17,FALSE),"")</f>
        <v>2003</v>
      </c>
      <c r="K28" s="206"/>
      <c r="L28" s="46">
        <f>IFERROR(VLOOKUP(G25,SKV!$B$38:$R$64,8,FALSE),"")</f>
        <v>5</v>
      </c>
      <c r="M28" s="219" t="s">
        <v>24</v>
      </c>
      <c r="N28" s="220"/>
      <c r="O28" s="220"/>
      <c r="P28" s="220"/>
      <c r="Q28" s="42" t="str">
        <f>IFERROR(IF(VLOOKUP(M28,SKV!$B$38:$R$64,10,FALSE)=0,"",VLOOKUP(M28,SKV!$B$38:$R$64,10,FALSE)),"")</f>
        <v/>
      </c>
      <c r="R28" s="63">
        <f>IFERROR(VLOOKUP(M28,SKV!$B$38:$R$64,9,FALSE),"")</f>
        <v>47</v>
      </c>
      <c r="S28" s="219" t="s">
        <v>207</v>
      </c>
      <c r="T28" s="220"/>
      <c r="U28" s="220"/>
      <c r="V28" s="220"/>
      <c r="W28" s="42" t="str">
        <f>IFERROR(IF(VLOOKUP(S28,CHO!$B$38:$R$64,10,FALSE)=0,"",VLOOKUP(S28,CHO!$B$38:$R$64,10,FALSE)),"")</f>
        <v/>
      </c>
      <c r="X28" s="63">
        <f>IFERROR(VLOOKUP(S28,CHO!$B$38:$R$64,9,FALSE),"")</f>
        <v>4</v>
      </c>
      <c r="Y28" s="202" t="str">
        <f>IFERROR(VLOOKUP(Y25,CHO!$B$38:$R$64,16,FALSE),"")</f>
        <v>FBC Plzeň</v>
      </c>
      <c r="Z28" s="203"/>
      <c r="AA28" s="204"/>
      <c r="AB28" s="205">
        <f>IFERROR(VLOOKUP(Y25,CHO!$B$38:$R$64,17,FALSE),"")</f>
        <v>2009</v>
      </c>
      <c r="AC28" s="206"/>
      <c r="AD28" s="46">
        <f>IFERROR(VLOOKUP(Y25,CHO!$B$38:$R$64,8,FALSE),"")</f>
        <v>6</v>
      </c>
      <c r="AE28" s="219" t="s">
        <v>222</v>
      </c>
      <c r="AF28" s="220"/>
      <c r="AG28" s="220"/>
      <c r="AH28" s="220"/>
      <c r="AI28" s="42" t="str">
        <f>IFERROR(IF(VLOOKUP(AE28,CHO!$B$38:$R$64,10,FALSE)=0,"",VLOOKUP(AE28,CHO!$B$38:$R$64,10,FALSE)),"")</f>
        <v/>
      </c>
      <c r="AJ28" s="63">
        <f>IFERROR(VLOOKUP(AE28,CHO!$B$38:$R$64,9,FALSE),"")</f>
        <v>15</v>
      </c>
    </row>
    <row r="29" spans="1:36" ht="15.6" customHeight="1" thickBot="1" x14ac:dyDescent="0.3">
      <c r="A29" s="44" t="str">
        <f>IFERROR(VLOOKUP(A28,SKV!$B$38:$R$64,11,FALSE),"")</f>
        <v>P</v>
      </c>
      <c r="B29" s="213">
        <f>IFERROR(YEAR(VLOOKUP(A28,SKV!$B$38:$R$64,2,FALSE)),"")</f>
        <v>1994</v>
      </c>
      <c r="C29" s="211"/>
      <c r="D29" s="45">
        <f ca="1">IFERROR(VLOOKUP(A28,SKV!$B$38:$R$64,3,FALSE),"")</f>
        <v>26</v>
      </c>
      <c r="E29" s="214" t="str">
        <f>IFERROR(VLOOKUP(A28,SKV!$B$38:$R$64,15,FALSE),"")</f>
        <v>187/93</v>
      </c>
      <c r="F29" s="215"/>
      <c r="G29" s="43"/>
      <c r="H29" s="43"/>
      <c r="I29" s="43"/>
      <c r="J29" s="43"/>
      <c r="K29" s="43"/>
      <c r="L29" s="43"/>
      <c r="M29" s="44" t="str">
        <f>IFERROR(VLOOKUP(M28,SKV!$B$38:$R$64,11,FALSE),"")</f>
        <v>L</v>
      </c>
      <c r="N29" s="213">
        <f>IFERROR(YEAR(VLOOKUP(M28,SKV!$B$38:$R$64,2,FALSE)),"")</f>
        <v>1999</v>
      </c>
      <c r="O29" s="211"/>
      <c r="P29" s="45">
        <f ca="1">IFERROR(VLOOKUP(M28,SKV!$B$38:$R$64,3,FALSE),"")</f>
        <v>21</v>
      </c>
      <c r="Q29" s="214" t="str">
        <f>IFERROR(VLOOKUP(M28,SKV!$B$38:$R$64,15,FALSE),"")</f>
        <v>181/82</v>
      </c>
      <c r="R29" s="215"/>
      <c r="S29" s="44" t="str">
        <f>IFERROR(VLOOKUP(S28,CHO!$B$38:$R$64,11,FALSE),"")</f>
        <v>L</v>
      </c>
      <c r="T29" s="213">
        <f>IFERROR(YEAR(VLOOKUP(S28,CHO!$B$38:$R$64,2,FALSE)),"")</f>
        <v>1999</v>
      </c>
      <c r="U29" s="211"/>
      <c r="V29" s="45">
        <f ca="1">IFERROR(VLOOKUP(S28,CHO!$B$38:$R$64,3,FALSE),"")</f>
        <v>21</v>
      </c>
      <c r="W29" s="214" t="str">
        <f>IFERROR(VLOOKUP(S28,CHO!$B$38:$R$64,15,FALSE),"")</f>
        <v>184/78</v>
      </c>
      <c r="X29" s="215"/>
      <c r="Y29" s="43"/>
      <c r="Z29" s="43"/>
      <c r="AA29" s="43"/>
      <c r="AB29" s="43"/>
      <c r="AC29" s="43"/>
      <c r="AD29" s="43"/>
      <c r="AE29" s="44" t="str">
        <f>IFERROR(VLOOKUP(AE28,CHO!$B$38:$R$64,11,FALSE),"")</f>
        <v>L</v>
      </c>
      <c r="AF29" s="213">
        <f>IFERROR(YEAR(VLOOKUP(AE28,CHO!$B$38:$R$64,2,FALSE)),"")</f>
        <v>1987</v>
      </c>
      <c r="AG29" s="211"/>
      <c r="AH29" s="45">
        <f ca="1">IFERROR(VLOOKUP(AE28,CHO!$B$38:$R$64,3,FALSE),"")</f>
        <v>33</v>
      </c>
      <c r="AI29" s="214" t="str">
        <f>IFERROR(VLOOKUP(AE28,CHO!$B$38:$R$64,15,FALSE),"")</f>
        <v>178/80</v>
      </c>
      <c r="AJ29" s="215"/>
    </row>
    <row r="30" spans="1:36" ht="15.6" customHeight="1" x14ac:dyDescent="0.25">
      <c r="A30" s="228" t="str">
        <f>IFERROR(VLOOKUP(A28,SKV!$B$2:$O$28,14,FALSE),"")</f>
        <v>9 OZ , 0 (0+0), +3 ±</v>
      </c>
      <c r="B30" s="229"/>
      <c r="C30" s="229"/>
      <c r="D30" s="225" t="str">
        <f>IFERROR(VLOOKUP(A28,SKV!$B$38:$R$64,14,FALSE),"")</f>
        <v>124 OZ, 27 (13+14)</v>
      </c>
      <c r="E30" s="225"/>
      <c r="F30" s="226"/>
      <c r="G30" s="43"/>
      <c r="H30" s="227" t="str">
        <f>$H$8</f>
        <v>SKV</v>
      </c>
      <c r="I30" s="227"/>
      <c r="J30" s="227"/>
      <c r="K30" s="227"/>
      <c r="L30" s="43"/>
      <c r="M30" s="228" t="str">
        <f>IFERROR(VLOOKUP(M28,SKV!$B$2:$O$28,14,FALSE),"")</f>
        <v>12 OZ , 0 (0+0), -5 ±</v>
      </c>
      <c r="N30" s="229"/>
      <c r="O30" s="229"/>
      <c r="P30" s="225" t="str">
        <f>IFERROR(VLOOKUP(M28,SKV!$B$38:$R$64,14,FALSE),"")</f>
        <v>12 OZ, 0 (0+0)</v>
      </c>
      <c r="Q30" s="225"/>
      <c r="R30" s="226"/>
      <c r="S30" s="228" t="str">
        <f>IFERROR(VLOOKUP(S28,CHO!$B$2:$O$28,14,FALSE),"")</f>
        <v>8 OZ , 5 (2+3), +4 ±</v>
      </c>
      <c r="T30" s="229"/>
      <c r="U30" s="229"/>
      <c r="V30" s="225" t="str">
        <f>IFERROR(VLOOKUP(S28,CHO!$B$38:$R$64,14,FALSE),"")</f>
        <v>86 OZ, 47 (33+14)</v>
      </c>
      <c r="W30" s="225"/>
      <c r="X30" s="226"/>
      <c r="Y30" s="43"/>
      <c r="Z30" s="227" t="str">
        <f>$Z$8</f>
        <v>CHO</v>
      </c>
      <c r="AA30" s="227"/>
      <c r="AB30" s="227"/>
      <c r="AC30" s="227"/>
      <c r="AD30" s="43"/>
      <c r="AE30" s="228" t="str">
        <f>IFERROR(VLOOKUP(AE28,CHO!$B$2:$O$28,14,FALSE),"")</f>
        <v>12 OZ , 0 (0+0), +1 ±</v>
      </c>
      <c r="AF30" s="229"/>
      <c r="AG30" s="229"/>
      <c r="AH30" s="225" t="str">
        <f>IFERROR(VLOOKUP(AE28,CHO!$B$38:$R$64,14,FALSE),"")</f>
        <v>305 OZ, 190 (95+95)</v>
      </c>
      <c r="AI30" s="225"/>
      <c r="AJ30" s="226"/>
    </row>
    <row r="31" spans="1:36" ht="15.6" customHeight="1" thickBot="1" x14ac:dyDescent="0.3">
      <c r="A31" s="202" t="str">
        <f>IFERROR(VLOOKUP(A28,SKV!$B$38:$R$64,16,FALSE),"")</f>
        <v>Florbal Chodov</v>
      </c>
      <c r="B31" s="203"/>
      <c r="C31" s="204"/>
      <c r="D31" s="205">
        <f>IFERROR(VLOOKUP(A28,SKV!$B$38:$R$64,17,FALSE),"")</f>
        <v>2001</v>
      </c>
      <c r="E31" s="206"/>
      <c r="F31" s="46">
        <f>IFERROR(VLOOKUP(A28,SKV!$B$38:$R$64,8,FALSE),"")</f>
        <v>8</v>
      </c>
      <c r="G31" s="43"/>
      <c r="H31" s="227"/>
      <c r="I31" s="227"/>
      <c r="J31" s="227"/>
      <c r="K31" s="227"/>
      <c r="L31" s="43"/>
      <c r="M31" s="202" t="str">
        <f>IFERROR(VLOOKUP(M28,SKV!$B$38:$R$64,16,FALSE),"")</f>
        <v>Bohemians</v>
      </c>
      <c r="N31" s="203"/>
      <c r="O31" s="204"/>
      <c r="P31" s="205">
        <f>IFERROR(VLOOKUP(M28,SKV!$B$38:$R$64,17,FALSE),"")</f>
        <v>2009</v>
      </c>
      <c r="Q31" s="206"/>
      <c r="R31" s="46">
        <f>IFERROR(VLOOKUP(M28,SKV!$B$38:$R$64,8,FALSE),"")</f>
        <v>1</v>
      </c>
      <c r="S31" s="202" t="str">
        <f>IFERROR(VLOOKUP(S28,CHO!$B$38:$R$64,16,FALSE),"")</f>
        <v>Wizards DDM</v>
      </c>
      <c r="T31" s="203"/>
      <c r="U31" s="204"/>
      <c r="V31" s="205">
        <f>IFERROR(VLOOKUP(S28,CHO!$B$38:$R$64,17,FALSE),"")</f>
        <v>2008</v>
      </c>
      <c r="W31" s="206"/>
      <c r="X31" s="46">
        <f>IFERROR(VLOOKUP(S28,CHO!$B$38:$R$64,8,FALSE),"")</f>
        <v>5</v>
      </c>
      <c r="Y31" s="43"/>
      <c r="Z31" s="227"/>
      <c r="AA31" s="227"/>
      <c r="AB31" s="227"/>
      <c r="AC31" s="227"/>
      <c r="AD31" s="43"/>
      <c r="AE31" s="202" t="str">
        <f>IFERROR(VLOOKUP(AE28,CHO!$B$38:$R$64,16,FALSE),"")</f>
        <v>Tatran Střešovice</v>
      </c>
      <c r="AF31" s="203"/>
      <c r="AG31" s="204"/>
      <c r="AH31" s="205">
        <f>IFERROR(VLOOKUP(AE28,CHO!$B$38:$R$64,17,FALSE),"")</f>
        <v>2002</v>
      </c>
      <c r="AI31" s="206"/>
      <c r="AJ31" s="46">
        <f>IFERROR(VLOOKUP(AE28,CHO!$B$38:$R$64,8,FALSE),"")</f>
        <v>17</v>
      </c>
    </row>
    <row r="32" spans="1:36" ht="7.35" customHeight="1" thickTop="1" thickBot="1" x14ac:dyDescent="0.3">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row>
    <row r="33" spans="1:36" ht="7.35" customHeight="1" thickTop="1" thickBot="1" x14ac:dyDescent="0.3">
      <c r="A33" s="50"/>
      <c r="B33" s="50"/>
      <c r="C33" s="50"/>
      <c r="D33" s="50"/>
      <c r="E33" s="50"/>
      <c r="F33" s="50"/>
      <c r="G33" s="50"/>
      <c r="H33" s="50"/>
      <c r="I33" s="50"/>
      <c r="J33" s="50"/>
      <c r="K33" s="50"/>
      <c r="L33" s="50"/>
      <c r="M33" s="50"/>
      <c r="N33" s="50"/>
      <c r="O33" s="50"/>
      <c r="P33" s="50"/>
      <c r="Q33" s="50"/>
      <c r="R33" s="51"/>
      <c r="S33" s="50"/>
      <c r="T33" s="50"/>
      <c r="U33" s="50"/>
      <c r="V33" s="50"/>
      <c r="W33" s="50"/>
      <c r="X33" s="50"/>
      <c r="Y33" s="50"/>
      <c r="Z33" s="50"/>
      <c r="AA33" s="50"/>
      <c r="AB33" s="50"/>
      <c r="AC33" s="50"/>
      <c r="AD33" s="50"/>
      <c r="AE33" s="50"/>
      <c r="AF33" s="50"/>
      <c r="AG33" s="50"/>
      <c r="AH33" s="50"/>
      <c r="AI33" s="50"/>
      <c r="AJ33" s="51"/>
    </row>
    <row r="34" spans="1:36" ht="15.6" customHeight="1" thickTop="1" thickBot="1" x14ac:dyDescent="0.3">
      <c r="A34" s="219" t="s">
        <v>32</v>
      </c>
      <c r="B34" s="220"/>
      <c r="C34" s="220"/>
      <c r="D34" s="220"/>
      <c r="E34" s="42" t="str">
        <f>IFERROR(IF(VLOOKUP(A34,SKV!$B$38:$R$64,10,FALSE)=0,"",VLOOKUP(A34,SKV!$B$38:$R$64,10,FALSE)),"")</f>
        <v/>
      </c>
      <c r="F34" s="63">
        <f>IFERROR(VLOOKUP(A34,SKV!$B$38:$R$64,9,FALSE),"")</f>
        <v>42</v>
      </c>
      <c r="G34" s="43"/>
      <c r="H34" s="224" t="s">
        <v>176</v>
      </c>
      <c r="I34" s="43"/>
      <c r="J34" s="219" t="s">
        <v>26</v>
      </c>
      <c r="K34" s="220"/>
      <c r="L34" s="220"/>
      <c r="M34" s="220"/>
      <c r="N34" s="220"/>
      <c r="O34" s="220"/>
      <c r="P34" s="220"/>
      <c r="Q34" s="42" t="str">
        <f>IFERROR(IF(VLOOKUP(J34,SKV!$B$38:$R$64,10,FALSE)=0,"",VLOOKUP(M34,SKV!$B$38:$R$64,10,FALSE)),"")</f>
        <v/>
      </c>
      <c r="R34" s="63">
        <f>IFERROR(VLOOKUP(J34,SKV!$B$38:$R$64,9,FALSE),"")</f>
        <v>11</v>
      </c>
      <c r="S34" s="219" t="s">
        <v>223</v>
      </c>
      <c r="T34" s="220"/>
      <c r="U34" s="220"/>
      <c r="V34" s="220"/>
      <c r="W34" s="42" t="str">
        <f>IFERROR(IF(VLOOKUP(S34,CHO!$B$38:$R$64,10,FALSE)=0,"",VLOOKUP(S34,CHO!$B$38:$R$64,10,FALSE)),"")</f>
        <v/>
      </c>
      <c r="X34" s="63">
        <f>IFERROR(VLOOKUP(S34,CHO!$B$38:$R$64,9,FALSE),"")</f>
        <v>31</v>
      </c>
      <c r="Y34" s="43"/>
      <c r="Z34" s="224" t="s">
        <v>176</v>
      </c>
      <c r="AA34" s="43"/>
      <c r="AB34" s="219" t="s">
        <v>212</v>
      </c>
      <c r="AC34" s="220"/>
      <c r="AD34" s="220"/>
      <c r="AE34" s="220"/>
      <c r="AF34" s="220"/>
      <c r="AG34" s="220"/>
      <c r="AH34" s="220"/>
      <c r="AI34" s="42" t="str">
        <f>IFERROR(IF(VLOOKUP(AB34,CHO!$B$38:$R$64,10,FALSE)=0,"",VLOOKUP(AB34,CHO!$B$38:$R$64,10,FALSE)),"")</f>
        <v/>
      </c>
      <c r="AJ34" s="63">
        <f>IFERROR(VLOOKUP(AB34,CHO!$B$38:$R$64,9,FALSE),"")</f>
        <v>11</v>
      </c>
    </row>
    <row r="35" spans="1:36" ht="15.6" customHeight="1" thickBot="1" x14ac:dyDescent="0.3">
      <c r="A35" s="52">
        <f>IFERROR(VLOOKUP(A34,SKV!$B$38:$S$64,8,FALSE),"")</f>
        <v>6</v>
      </c>
      <c r="B35" s="213">
        <f>IFERROR(YEAR(VLOOKUP(A34,SKV!$B$38:$S$64,2,FALSE)),"")</f>
        <v>1996</v>
      </c>
      <c r="C35" s="211"/>
      <c r="D35" s="45">
        <f ca="1">IFERROR(VLOOKUP(A34,SKV!$B$38:$S$64,3,FALSE),"")</f>
        <v>24</v>
      </c>
      <c r="E35" s="214" t="str">
        <f>IFERROR(VLOOKUP(A34,SKV!$B$38:$S$64,15,FALSE),"")</f>
        <v>187/88</v>
      </c>
      <c r="F35" s="215"/>
      <c r="G35" s="43"/>
      <c r="H35" s="224"/>
      <c r="I35" s="43"/>
      <c r="J35" s="44" t="str">
        <f>IFERROR(VLOOKUP(J34,SKV!$B$38:$R$64,11,FALSE),"")</f>
        <v>L</v>
      </c>
      <c r="K35" s="211">
        <f>IFERROR(YEAR(VLOOKUP(J34,SKV!$B$38:$R$64,2,FALSE)),"")</f>
        <v>2001</v>
      </c>
      <c r="L35" s="212"/>
      <c r="M35" s="53">
        <f ca="1">IFERROR(VLOOKUP(J34,SKV!$B$38:$R$64,3,FALSE),"")</f>
        <v>19</v>
      </c>
      <c r="N35" s="212" t="str">
        <f>IFERROR(VLOOKUP(J34,SKV!$B$38:$R$64,15,FALSE),"")</f>
        <v>181/80</v>
      </c>
      <c r="O35" s="212"/>
      <c r="P35" s="212" t="str">
        <f>IFERROR(VLOOKUP(J34,SKV!$B$2:$O$28,14,FALSE),"")</f>
        <v>11 OZ , 1 (1+0), -3 ±</v>
      </c>
      <c r="Q35" s="212"/>
      <c r="R35" s="223"/>
      <c r="S35" s="52">
        <f>IFERROR(VLOOKUP(S34,CHO!$B$38:$S$64,8,FALSE),"")</f>
        <v>4</v>
      </c>
      <c r="T35" s="213">
        <f>IFERROR(YEAR(VLOOKUP(S34,CHO!$B$38:$S$64,2,FALSE)),"")</f>
        <v>2000</v>
      </c>
      <c r="U35" s="211"/>
      <c r="V35" s="45">
        <f ca="1">IFERROR(VLOOKUP(S34,CHO!$B$38:$S$64,3,FALSE),"")</f>
        <v>20</v>
      </c>
      <c r="W35" s="214" t="str">
        <f>IFERROR(VLOOKUP(S34,CHO!$B$38:$S$64,15,FALSE),"")</f>
        <v>175/76</v>
      </c>
      <c r="X35" s="215"/>
      <c r="Y35" s="43"/>
      <c r="Z35" s="224"/>
      <c r="AA35" s="43"/>
      <c r="AB35" s="44" t="str">
        <f>IFERROR(VLOOKUP(AB34,CHO!$B$38:$R$64,11,FALSE),"")</f>
        <v>L</v>
      </c>
      <c r="AC35" s="211">
        <f>IFERROR(YEAR(VLOOKUP(AB34,CHO!$B$38:$R$64,2,FALSE)),"")</f>
        <v>2000</v>
      </c>
      <c r="AD35" s="212"/>
      <c r="AE35" s="53">
        <f ca="1">IFERROR(VLOOKUP(AB34,CHO!$B$38:$R$64,3,FALSE),"")</f>
        <v>20</v>
      </c>
      <c r="AF35" s="212" t="str">
        <f>IFERROR(VLOOKUP(AB34,CHO!$B$38:$R$64,15,FALSE),"")</f>
        <v>182/76</v>
      </c>
      <c r="AG35" s="212"/>
      <c r="AH35" s="212" t="str">
        <f>IFERROR(VLOOKUP(AB34,CHO!$B$2:$O$28,14,FALSE),"")</f>
        <v>6 OZ , 2 (0+2), +5 ±</v>
      </c>
      <c r="AI35" s="212"/>
      <c r="AJ35" s="223"/>
    </row>
    <row r="36" spans="1:36" ht="15.6" customHeight="1" thickBot="1" x14ac:dyDescent="0.3">
      <c r="A36" s="54">
        <f>IFERROR(VLOOKUP(A34,SKV!$B$31:$R$34,4,FALSE),"")</f>
        <v>9</v>
      </c>
      <c r="B36" s="216" t="str">
        <f>IFERROR(VLOOKUP(A34,SKV!$B$31:$S$34,17,FALSE),"")</f>
        <v>2 V, 7 P</v>
      </c>
      <c r="C36" s="216"/>
      <c r="D36" s="217">
        <f>IFERROR(VLOOKUP(A34,SKV!$B$31:$R$34,7,FALSE),"")</f>
        <v>53</v>
      </c>
      <c r="E36" s="218"/>
      <c r="F36" s="55">
        <f>IFERROR(ROUND(VLOOKUP(A34,SKV!$B$31:$R$34,16,FALSE),2),"")</f>
        <v>74.400000000000006</v>
      </c>
      <c r="G36" s="43"/>
      <c r="H36" s="224"/>
      <c r="I36" s="43"/>
      <c r="J36" s="56">
        <f>IFERROR(VLOOKUP(J34,SKV!$B$38:$R$64,8,FALSE),"")</f>
        <v>3</v>
      </c>
      <c r="K36" s="196" t="str">
        <f>IFERROR(VLOOKUP(J34,SKV!$B$38:$R$64,14,FALSE),"")</f>
        <v>44 OZ, 9 (4+5)</v>
      </c>
      <c r="L36" s="196"/>
      <c r="M36" s="196"/>
      <c r="N36" s="207" t="str">
        <f>IFERROR(VLOOKUP(J34,SKV!$B$38:$R$64,16,FALSE),"")</f>
        <v>Bulldogs Brno</v>
      </c>
      <c r="O36" s="207"/>
      <c r="P36" s="207"/>
      <c r="Q36" s="196">
        <f>IFERROR(VLOOKUP(J34,SKV!$B$38:$R$64,17,FALSE),"")</f>
        <v>2013</v>
      </c>
      <c r="R36" s="197"/>
      <c r="S36" s="54">
        <f>IFERROR(VLOOKUP(S34,CHO!$B$31:$R$34,4,FALSE),"")</f>
        <v>4</v>
      </c>
      <c r="T36" s="216" t="str">
        <f>IFERROR(VLOOKUP(S34,CHO!$B$31:$S$34,17,FALSE),"")</f>
        <v>3 V, 1 P</v>
      </c>
      <c r="U36" s="216"/>
      <c r="V36" s="217">
        <f>IFERROR(VLOOKUP(S34,CHO!$B$31:$R$34,7,FALSE),"")</f>
        <v>25</v>
      </c>
      <c r="W36" s="218"/>
      <c r="X36" s="55">
        <f>IFERROR(ROUND(VLOOKUP(S34,CHO!$B$31:$R$34,16,FALSE),2),"")</f>
        <v>71.260000000000005</v>
      </c>
      <c r="Y36" s="43"/>
      <c r="Z36" s="224"/>
      <c r="AA36" s="43"/>
      <c r="AB36" s="56">
        <f>IFERROR(VLOOKUP(AB34,CHO!$B$38:$R$64,8,FALSE),"")</f>
        <v>4</v>
      </c>
      <c r="AC36" s="196" t="str">
        <f>IFERROR(VLOOKUP(AB34,CHO!$B$38:$R$64,14,FALSE),"")</f>
        <v>59 OZ, 9 (1+8)</v>
      </c>
      <c r="AD36" s="196"/>
      <c r="AE36" s="196"/>
      <c r="AF36" s="207" t="str">
        <f>IFERROR(VLOOKUP(AB34,CHO!$B$38:$R$64,16,FALSE),"")</f>
        <v>Tatran Střešovice</v>
      </c>
      <c r="AG36" s="207"/>
      <c r="AH36" s="207"/>
      <c r="AI36" s="196">
        <f>IFERROR(VLOOKUP(AB34,CHO!$B$38:$R$64,17,FALSE),"")</f>
        <v>2008</v>
      </c>
      <c r="AJ36" s="197"/>
    </row>
    <row r="37" spans="1:36" ht="15.6" customHeight="1" thickTop="1" thickBot="1" x14ac:dyDescent="0.3">
      <c r="A37" s="198">
        <f>IFERROR(ROUND(VLOOKUP(A34,SKV!$B$31:$R$34,5,FALSE),2),"")</f>
        <v>532.26</v>
      </c>
      <c r="B37" s="199"/>
      <c r="C37" s="200">
        <f>IFERROR(VLOOKUP(A34,SKV!$B$31:$R$34,15,FALSE),"")</f>
        <v>5.9745237290046216</v>
      </c>
      <c r="D37" s="201"/>
      <c r="E37" s="221" t="str">
        <f>IFERROR(VLOOKUP(A34,SKV!$B$38:$S$64,18,FALSE),"")</f>
        <v>29 OZ, 2 A</v>
      </c>
      <c r="F37" s="222"/>
      <c r="G37" s="43"/>
      <c r="H37" s="224"/>
      <c r="I37" s="43"/>
      <c r="J37" s="43"/>
      <c r="K37" s="43"/>
      <c r="L37" s="43"/>
      <c r="M37" s="43"/>
      <c r="N37" s="43"/>
      <c r="O37" s="43"/>
      <c r="P37" s="43"/>
      <c r="Q37" s="43"/>
      <c r="R37" s="43"/>
      <c r="S37" s="198">
        <f>IFERROR(ROUND(VLOOKUP(S34,CHO!$B$31:$R$34,5,FALSE),2),"")</f>
        <v>237.77</v>
      </c>
      <c r="T37" s="199"/>
      <c r="U37" s="200">
        <f>IFERROR(VLOOKUP(S34,CHO!$B$31:$R$34,15,FALSE),"")</f>
        <v>6.3086175716028086</v>
      </c>
      <c r="V37" s="201"/>
      <c r="W37" s="221" t="str">
        <f>IFERROR(VLOOKUP(S34,CHO!$B$38:$S$64,18,FALSE),"")</f>
        <v>9 OZ, 0 A</v>
      </c>
      <c r="X37" s="222"/>
      <c r="Y37" s="43"/>
      <c r="Z37" s="224"/>
      <c r="AA37" s="43"/>
      <c r="AB37" s="43"/>
      <c r="AC37" s="43"/>
      <c r="AD37" s="43"/>
      <c r="AE37" s="43"/>
      <c r="AF37" s="43"/>
      <c r="AG37" s="43"/>
      <c r="AH37" s="43"/>
      <c r="AI37" s="43"/>
      <c r="AJ37" s="43"/>
    </row>
    <row r="38" spans="1:36" ht="15.6" customHeight="1" thickTop="1" thickBot="1" x14ac:dyDescent="0.3">
      <c r="A38" s="202" t="str">
        <f>IFERROR(VLOOKUP(A34,SKV!$B$38:$R$64,16,FALSE),"")</f>
        <v>Chodov</v>
      </c>
      <c r="B38" s="203"/>
      <c r="C38" s="204"/>
      <c r="D38" s="205">
        <f>IFERROR(VLOOKUP(A34,SKV!$B$38:$R$64,17,FALSE),"")</f>
        <v>2008</v>
      </c>
      <c r="E38" s="206"/>
      <c r="F38" s="57">
        <f>IFERROR(VLOOKUP(A34,SKV!$B$31:$R$34,8,FALSE),"")</f>
        <v>1</v>
      </c>
      <c r="G38" s="43"/>
      <c r="H38" s="224"/>
      <c r="I38" s="43"/>
      <c r="J38" s="219" t="s">
        <v>28</v>
      </c>
      <c r="K38" s="220"/>
      <c r="L38" s="220"/>
      <c r="M38" s="220"/>
      <c r="N38" s="220"/>
      <c r="O38" s="220"/>
      <c r="P38" s="220"/>
      <c r="Q38" s="42" t="str">
        <f>IFERROR(IF(VLOOKUP(J38,SKV!$B$38:$R$64,10,FALSE)=0,"",VLOOKUP(M38,SKV!$B$38:$R$64,10,FALSE)),"")</f>
        <v/>
      </c>
      <c r="R38" s="63">
        <f>IFERROR(VLOOKUP(J38,SKV!$B$38:$R$64,9,FALSE),"")</f>
        <v>26</v>
      </c>
      <c r="S38" s="202" t="str">
        <f>IFERROR(VLOOKUP(S34,CHO!$B$38:$R$64,16,FALSE),"")</f>
        <v>TJ Sokol Rokycany</v>
      </c>
      <c r="T38" s="203"/>
      <c r="U38" s="204"/>
      <c r="V38" s="205">
        <f>IFERROR(VLOOKUP(S34,CHO!$B$38:$R$64,17,FALSE),"")</f>
        <v>2010</v>
      </c>
      <c r="W38" s="206"/>
      <c r="X38" s="57">
        <f>IFERROR(VLOOKUP(S34,CHO!$B$31:$R$34,8,FALSE),"")</f>
        <v>0</v>
      </c>
      <c r="Y38" s="43"/>
      <c r="Z38" s="224"/>
      <c r="AA38" s="43"/>
      <c r="AB38" s="219" t="s">
        <v>213</v>
      </c>
      <c r="AC38" s="220"/>
      <c r="AD38" s="220"/>
      <c r="AE38" s="220"/>
      <c r="AF38" s="220"/>
      <c r="AG38" s="220"/>
      <c r="AH38" s="220"/>
      <c r="AI38" s="42" t="str">
        <f>IFERROR(IF(VLOOKUP(AB38,CHO!$B$38:$R$64,10,FALSE)=0,"",VLOOKUP(AB38,CHO!$B$38:$R$64,10,FALSE)),"")</f>
        <v/>
      </c>
      <c r="AJ38" s="63">
        <f>IFERROR(VLOOKUP(AB38,CHO!$B$38:$R$64,9,FALSE),"")</f>
        <v>10</v>
      </c>
    </row>
    <row r="39" spans="1:36" ht="15.6" customHeight="1" thickTop="1" thickBot="1" x14ac:dyDescent="0.3">
      <c r="A39" s="43"/>
      <c r="B39" s="43"/>
      <c r="C39" s="43"/>
      <c r="D39" s="43"/>
      <c r="E39" s="43"/>
      <c r="F39" s="43"/>
      <c r="G39" s="43"/>
      <c r="H39" s="224"/>
      <c r="I39" s="43"/>
      <c r="J39" s="44" t="str">
        <f>IFERROR(VLOOKUP(J38,SKV!$B$38:$R$64,11,FALSE),"")</f>
        <v>L</v>
      </c>
      <c r="K39" s="211">
        <f>IFERROR(YEAR(VLOOKUP(J38,SKV!$B$38:$R$64,2,FALSE)),"")</f>
        <v>2002</v>
      </c>
      <c r="L39" s="212"/>
      <c r="M39" s="53">
        <f ca="1">IFERROR(VLOOKUP(J38,SKV!$B$38:$R$64,3,FALSE),"")</f>
        <v>18</v>
      </c>
      <c r="N39" s="212" t="str">
        <f>IFERROR(VLOOKUP(J38,SKV!$B$38:$R$64,15,FALSE),"")</f>
        <v>181/66</v>
      </c>
      <c r="O39" s="212"/>
      <c r="P39" s="212" t="str">
        <f>IFERROR(VLOOKUP(J38,SKV!$B$2:$O$28,14,FALSE),"")</f>
        <v>9 OZ , 0 (0+0), -2 ±</v>
      </c>
      <c r="Q39" s="212"/>
      <c r="R39" s="223"/>
      <c r="S39" s="43"/>
      <c r="T39" s="43"/>
      <c r="U39" s="43"/>
      <c r="V39" s="43"/>
      <c r="W39" s="43"/>
      <c r="X39" s="43"/>
      <c r="Y39" s="43"/>
      <c r="Z39" s="224"/>
      <c r="AA39" s="43"/>
      <c r="AB39" s="44" t="str">
        <f>IFERROR(VLOOKUP(AB38,CHO!$B$38:$R$64,11,FALSE),"")</f>
        <v>L</v>
      </c>
      <c r="AC39" s="211">
        <f>IFERROR(YEAR(VLOOKUP(AB38,CHO!$B$38:$R$64,2,FALSE)),"")</f>
        <v>1997</v>
      </c>
      <c r="AD39" s="212"/>
      <c r="AE39" s="53">
        <f ca="1">IFERROR(VLOOKUP(AB38,CHO!$B$38:$R$64,3,FALSE),"")</f>
        <v>23</v>
      </c>
      <c r="AF39" s="212" t="str">
        <f>IFERROR(VLOOKUP(AB38,CHO!$B$38:$R$64,15,FALSE),"")</f>
        <v>172/73</v>
      </c>
      <c r="AG39" s="212"/>
      <c r="AH39" s="212" t="str">
        <f>IFERROR(VLOOKUP(AB38,CHO!$B$2:$O$28,14,FALSE),"")</f>
        <v>12 OZ , 1 (0+1), -4 ±</v>
      </c>
      <c r="AI39" s="212"/>
      <c r="AJ39" s="223"/>
    </row>
    <row r="40" spans="1:36" ht="15.6" customHeight="1" thickTop="1" thickBot="1" x14ac:dyDescent="0.3">
      <c r="A40" s="219" t="s">
        <v>33</v>
      </c>
      <c r="B40" s="220"/>
      <c r="C40" s="220"/>
      <c r="D40" s="220"/>
      <c r="E40" s="42" t="str">
        <f>IFERROR(IF(VLOOKUP(A40,SKV!$B$38:$R$64,10,FALSE)=0,"",VLOOKUP(A40,SKV!$B$38:$R$64,10,FALSE)),"")</f>
        <v/>
      </c>
      <c r="F40" s="63">
        <f>IFERROR(VLOOKUP(A40,SKV!$B$38:$R$64,9,FALSE),"")</f>
        <v>13</v>
      </c>
      <c r="G40" s="43"/>
      <c r="H40" s="224"/>
      <c r="I40" s="43"/>
      <c r="J40" s="56">
        <f>IFERROR(VLOOKUP(J38,SKV!$B$38:$R$64,8,FALSE),"")</f>
        <v>1</v>
      </c>
      <c r="K40" s="196" t="str">
        <f>IFERROR(VLOOKUP(J38,SKV!$B$38:$R$64,14,FALSE),"")</f>
        <v>9 OZ, 0 (0+0)</v>
      </c>
      <c r="L40" s="196"/>
      <c r="M40" s="196"/>
      <c r="N40" s="207" t="str">
        <f>IFERROR(VLOOKUP(J38,SKV!$B$38:$R$64,16,FALSE),"")</f>
        <v>SKV</v>
      </c>
      <c r="O40" s="207"/>
      <c r="P40" s="207"/>
      <c r="Q40" s="196" t="str">
        <f>IFERROR(VLOOKUP(J38,SKV!$B$38:$R$64,17,FALSE),"")</f>
        <v>-</v>
      </c>
      <c r="R40" s="197"/>
      <c r="S40" s="219" t="s">
        <v>220</v>
      </c>
      <c r="T40" s="220"/>
      <c r="U40" s="220"/>
      <c r="V40" s="220"/>
      <c r="W40" s="42" t="str">
        <f>IFERROR(IF(VLOOKUP(S40,CHO!$B$38:$R$64,10,FALSE)=0,"",VLOOKUP(S40,CHO!$B$38:$R$64,10,FALSE)),"")</f>
        <v/>
      </c>
      <c r="X40" s="63">
        <f>IFERROR(VLOOKUP(S40,CHO!$B$38:$R$64,9,FALSE),"")</f>
        <v>30</v>
      </c>
      <c r="Y40" s="43"/>
      <c r="Z40" s="224"/>
      <c r="AA40" s="43"/>
      <c r="AB40" s="56">
        <f>IFERROR(VLOOKUP(AB38,CHO!$B$38:$R$64,8,FALSE),"")</f>
        <v>7</v>
      </c>
      <c r="AC40" s="196" t="str">
        <f>IFERROR(VLOOKUP(AB38,CHO!$B$38:$R$64,14,FALSE),"")</f>
        <v>104 OZ, 47 (29+18)</v>
      </c>
      <c r="AD40" s="196"/>
      <c r="AE40" s="196"/>
      <c r="AF40" s="207" t="str">
        <f>IFERROR(VLOOKUP(AB38,CHO!$B$38:$R$64,16,FALSE),"")</f>
        <v>Florbal Chodov</v>
      </c>
      <c r="AG40" s="207"/>
      <c r="AH40" s="207"/>
      <c r="AI40" s="196">
        <f>IFERROR(VLOOKUP(AB38,CHO!$B$38:$R$64,17,FALSE),"")</f>
        <v>2006</v>
      </c>
      <c r="AJ40" s="197"/>
    </row>
    <row r="41" spans="1:36" ht="15.6" customHeight="1" thickBot="1" x14ac:dyDescent="0.3">
      <c r="A41" s="52">
        <f>IFERROR(VLOOKUP(A40,SKV!$B$38:$S$64,8,FALSE),"")</f>
        <v>4</v>
      </c>
      <c r="B41" s="213">
        <f>IFERROR(YEAR(VLOOKUP(A40,SKV!$B$38:$S$64,2,FALSE)),"")</f>
        <v>1988</v>
      </c>
      <c r="C41" s="211"/>
      <c r="D41" s="45">
        <f ca="1">IFERROR(VLOOKUP(A40,SKV!$B$38:$S$64,3,FALSE),"")</f>
        <v>32</v>
      </c>
      <c r="E41" s="214" t="str">
        <f>IFERROR(VLOOKUP(A40,SKV!$B$38:$S$64,15,FALSE),"")</f>
        <v>177/87</v>
      </c>
      <c r="F41" s="215"/>
      <c r="G41" s="43"/>
      <c r="H41" s="224"/>
      <c r="I41" s="43"/>
      <c r="J41" s="43"/>
      <c r="K41" s="43"/>
      <c r="L41" s="43"/>
      <c r="M41" s="22"/>
      <c r="N41" s="22"/>
      <c r="O41" s="22"/>
      <c r="P41" s="22"/>
      <c r="Q41" s="22"/>
      <c r="R41" s="22"/>
      <c r="S41" s="52">
        <f>IFERROR(VLOOKUP(S40,CHO!$B$38:$S$64,8,FALSE),"")</f>
        <v>1</v>
      </c>
      <c r="T41" s="213">
        <f>IFERROR(YEAR(VLOOKUP(S40,CHO!$B$38:$S$64,2,FALSE)),"")</f>
        <v>2003</v>
      </c>
      <c r="U41" s="211"/>
      <c r="V41" s="45">
        <f ca="1">IFERROR(VLOOKUP(S40,CHO!$B$38:$S$64,3,FALSE),"")</f>
        <v>17</v>
      </c>
      <c r="W41" s="214" t="str">
        <f>IFERROR(VLOOKUP(S40,CHO!$B$38:$S$64,15,FALSE),"")</f>
        <v>198/98</v>
      </c>
      <c r="X41" s="215"/>
      <c r="Y41" s="43"/>
      <c r="Z41" s="224"/>
      <c r="AA41" s="43"/>
      <c r="AB41" s="43"/>
      <c r="AC41" s="43"/>
      <c r="AD41" s="43"/>
      <c r="AE41" s="22"/>
      <c r="AF41" s="22"/>
      <c r="AG41" s="22"/>
      <c r="AH41" s="22"/>
      <c r="AI41" s="22"/>
      <c r="AJ41" s="22"/>
    </row>
    <row r="42" spans="1:36" ht="15.6" customHeight="1" thickTop="1" thickBot="1" x14ac:dyDescent="0.3">
      <c r="A42" s="54">
        <f>IFERROR(VLOOKUP(A40,SKV!$B$31:$R$34,4,FALSE),"")</f>
        <v>2</v>
      </c>
      <c r="B42" s="216" t="str">
        <f>IFERROR(VLOOKUP(A40,SKV!$B$31:$S$34,17,FALSE),"")</f>
        <v>0 V, 2 P</v>
      </c>
      <c r="C42" s="216"/>
      <c r="D42" s="217">
        <f>IFERROR(VLOOKUP(A40,SKV!$B$31:$R$34,7,FALSE),"")</f>
        <v>15</v>
      </c>
      <c r="E42" s="218"/>
      <c r="F42" s="55">
        <f>IFERROR(ROUND(VLOOKUP(A40,SKV!$B$31:$R$34,16,FALSE),2),"")</f>
        <v>74.14</v>
      </c>
      <c r="G42" s="43"/>
      <c r="H42" s="224"/>
      <c r="I42" s="43"/>
      <c r="J42" s="219" t="s">
        <v>31</v>
      </c>
      <c r="K42" s="220"/>
      <c r="L42" s="220"/>
      <c r="M42" s="220"/>
      <c r="N42" s="220"/>
      <c r="O42" s="220"/>
      <c r="P42" s="220"/>
      <c r="Q42" s="42" t="str">
        <f>IFERROR(IF(VLOOKUP(J42,SKV!$B$38:$R$64,10,FALSE)=0,"",VLOOKUP(M42,SKV!$B$38:$R$64,10,FALSE)),"")</f>
        <v/>
      </c>
      <c r="R42" s="63">
        <f>IFERROR(VLOOKUP(J42,SKV!$B$38:$R$64,9,FALSE),"")</f>
        <v>32</v>
      </c>
      <c r="S42" s="54">
        <f>IFERROR(VLOOKUP(S40,CHO!$B$31:$R$34,4,FALSE),"")</f>
        <v>2</v>
      </c>
      <c r="T42" s="216" t="str">
        <f>IFERROR(VLOOKUP(S40,CHO!$B$31:$S$34,17,FALSE),"")</f>
        <v>2 V, 0 P</v>
      </c>
      <c r="U42" s="216"/>
      <c r="V42" s="217">
        <f>IFERROR(VLOOKUP(S40,CHO!$B$31:$R$34,7,FALSE),"")</f>
        <v>11</v>
      </c>
      <c r="W42" s="218"/>
      <c r="X42" s="55">
        <f>IFERROR(ROUND(VLOOKUP(S40,CHO!$B$31:$R$34,16,FALSE),2),"")</f>
        <v>75</v>
      </c>
      <c r="Y42" s="43"/>
      <c r="Z42" s="224"/>
      <c r="AA42" s="43"/>
      <c r="AB42" s="219" t="s">
        <v>210</v>
      </c>
      <c r="AC42" s="220"/>
      <c r="AD42" s="220"/>
      <c r="AE42" s="220"/>
      <c r="AF42" s="220"/>
      <c r="AG42" s="220"/>
      <c r="AH42" s="220"/>
      <c r="AI42" s="42" t="str">
        <f>IFERROR(IF(VLOOKUP(AB42,CHO!$B$38:$R$64,10,FALSE)=0,"",VLOOKUP(AB42,CHO!$B$38:$R$64,10,FALSE)),"")</f>
        <v/>
      </c>
      <c r="AJ42" s="63">
        <f>IFERROR(VLOOKUP(AB42,CHO!$B$38:$R$64,9,FALSE),"")</f>
        <v>99</v>
      </c>
    </row>
    <row r="43" spans="1:36" ht="15.6" customHeight="1" thickBot="1" x14ac:dyDescent="0.3">
      <c r="A43" s="198">
        <f>IFERROR(ROUND(VLOOKUP(A40,SKV!$B$31:$R$34,5,FALSE),2),"")</f>
        <v>117.5</v>
      </c>
      <c r="B43" s="199"/>
      <c r="C43" s="200">
        <f>IFERROR(VLOOKUP(A40,SKV!$B$31:$R$34,15,FALSE),"")</f>
        <v>7.6595744680851068</v>
      </c>
      <c r="D43" s="201"/>
      <c r="E43" s="221" t="str">
        <f>IFERROR(VLOOKUP(A40,SKV!$B$38:$S$64,18,FALSE),"")</f>
        <v>16 OZ, 0 A</v>
      </c>
      <c r="F43" s="222"/>
      <c r="G43" s="43"/>
      <c r="H43" s="224"/>
      <c r="I43" s="43"/>
      <c r="J43" s="44" t="str">
        <f>IFERROR(VLOOKUP(J42,SKV!$B$38:$R$64,11,FALSE),"")</f>
        <v>L</v>
      </c>
      <c r="K43" s="211">
        <f>IFERROR(YEAR(VLOOKUP(J42,SKV!$B$38:$R$64,2,FALSE)),"")</f>
        <v>2000</v>
      </c>
      <c r="L43" s="212"/>
      <c r="M43" s="53">
        <f ca="1">IFERROR(VLOOKUP(J42,SKV!$B$38:$R$64,3,FALSE),"")</f>
        <v>20</v>
      </c>
      <c r="N43" s="212" t="str">
        <f>IFERROR(VLOOKUP(J42,SKV!$B$38:$R$64,15,FALSE),"")</f>
        <v>175/70</v>
      </c>
      <c r="O43" s="212"/>
      <c r="P43" s="212" t="str">
        <f>IFERROR(VLOOKUP(J42,SKV!$B$2:$O$28,14,FALSE),"")</f>
        <v>9 OZ , 5 (0+5), 0 ±</v>
      </c>
      <c r="Q43" s="212"/>
      <c r="R43" s="223"/>
      <c r="S43" s="198">
        <f>IFERROR(ROUND(VLOOKUP(S40,CHO!$B$31:$R$34,5,FALSE),2),"")</f>
        <v>120</v>
      </c>
      <c r="T43" s="199"/>
      <c r="U43" s="200">
        <f>IFERROR(VLOOKUP(S40,CHO!$B$31:$R$34,15,FALSE),"")</f>
        <v>5.5</v>
      </c>
      <c r="V43" s="201"/>
      <c r="W43" s="221" t="str">
        <f>IFERROR(VLOOKUP(S40,CHO!$B$38:$S$64,18,FALSE),"")</f>
        <v>2 OZ, 0 A</v>
      </c>
      <c r="X43" s="222"/>
      <c r="Y43" s="43"/>
      <c r="Z43" s="224"/>
      <c r="AA43" s="43"/>
      <c r="AB43" s="44" t="str">
        <f>IFERROR(VLOOKUP(AB42,CHO!$B$38:$R$64,11,FALSE),"")</f>
        <v>L</v>
      </c>
      <c r="AC43" s="211">
        <f>IFERROR(YEAR(VLOOKUP(AB42,CHO!$B$38:$R$64,2,FALSE)),"")</f>
        <v>2000</v>
      </c>
      <c r="AD43" s="212"/>
      <c r="AE43" s="53">
        <f ca="1">IFERROR(VLOOKUP(AB42,CHO!$B$38:$R$64,3,FALSE),"")</f>
        <v>20</v>
      </c>
      <c r="AF43" s="212" t="str">
        <f>IFERROR(VLOOKUP(AB42,CHO!$B$38:$R$64,15,FALSE),"")</f>
        <v>182/75</v>
      </c>
      <c r="AG43" s="212"/>
      <c r="AH43" s="212" t="str">
        <f>IFERROR(VLOOKUP(AB42,CHO!$B$2:$O$28,14,FALSE),"")</f>
        <v>12 OZ , 2 (2+0), -4 ±</v>
      </c>
      <c r="AI43" s="212"/>
      <c r="AJ43" s="223"/>
    </row>
    <row r="44" spans="1:36" ht="15.6" customHeight="1" thickBot="1" x14ac:dyDescent="0.3">
      <c r="A44" s="202" t="str">
        <f>IFERROR(VLOOKUP(A40,SKV!$B$38:$R$64,16,FALSE),"")</f>
        <v>FBK Atlas Sloup</v>
      </c>
      <c r="B44" s="203"/>
      <c r="C44" s="204"/>
      <c r="D44" s="205">
        <f>IFERROR(VLOOKUP(A40,SKV!$B$38:$R$64,17,FALSE),"")</f>
        <v>1999</v>
      </c>
      <c r="E44" s="206"/>
      <c r="F44" s="57">
        <f>IFERROR(VLOOKUP(A40,SKV!$B$31:$R$34,8,FALSE),"")</f>
        <v>0</v>
      </c>
      <c r="G44" s="43"/>
      <c r="H44" s="224"/>
      <c r="I44" s="43"/>
      <c r="J44" s="56">
        <f>IFERROR(VLOOKUP(J42,SKV!$B$38:$R$64,8,FALSE),"")</f>
        <v>3</v>
      </c>
      <c r="K44" s="196" t="str">
        <f>IFERROR(VLOOKUP(J42,SKV!$B$38:$R$64,14,FALSE),"")</f>
        <v>42 OZ, 13 (2+11)</v>
      </c>
      <c r="L44" s="196"/>
      <c r="M44" s="196"/>
      <c r="N44" s="207" t="str">
        <f>IFERROR(VLOOKUP(J42,SKV!$B$38:$R$64,16,FALSE),"")</f>
        <v>SKV</v>
      </c>
      <c r="O44" s="207"/>
      <c r="P44" s="207"/>
      <c r="Q44" s="196">
        <f>IFERROR(VLOOKUP(J42,SKV!$B$38:$R$64,17,FALSE),"")</f>
        <v>2015</v>
      </c>
      <c r="R44" s="197"/>
      <c r="S44" s="202" t="str">
        <f>IFERROR(VLOOKUP(S40,CHO!$B$38:$R$64,16,FALSE),"")</f>
        <v>Florbal Benešov</v>
      </c>
      <c r="T44" s="203"/>
      <c r="U44" s="204"/>
      <c r="V44" s="205">
        <f>IFERROR(VLOOKUP(S40,CHO!$B$38:$R$64,17,FALSE),"")</f>
        <v>2009</v>
      </c>
      <c r="W44" s="206"/>
      <c r="X44" s="57">
        <f>IFERROR(VLOOKUP(S40,CHO!$B$31:$R$34,8,FALSE),"")</f>
        <v>0</v>
      </c>
      <c r="Y44" s="43"/>
      <c r="Z44" s="224"/>
      <c r="AA44" s="43"/>
      <c r="AB44" s="56">
        <f>IFERROR(VLOOKUP(AB42,CHO!$B$38:$R$64,8,FALSE),"")</f>
        <v>4</v>
      </c>
      <c r="AC44" s="196" t="str">
        <f>IFERROR(VLOOKUP(AB42,CHO!$B$38:$R$64,14,FALSE),"")</f>
        <v>78 OZ, 4 (4+0)</v>
      </c>
      <c r="AD44" s="196"/>
      <c r="AE44" s="196"/>
      <c r="AF44" s="207" t="str">
        <f>IFERROR(VLOOKUP(AB42,CHO!$B$38:$R$64,16,FALSE),"")</f>
        <v>FBK Vosy Praha</v>
      </c>
      <c r="AG44" s="207"/>
      <c r="AH44" s="207"/>
      <c r="AI44" s="196">
        <f>IFERROR(VLOOKUP(AB42,CHO!$B$38:$R$64,17,FALSE),"")</f>
        <v>2007</v>
      </c>
      <c r="AJ44" s="197"/>
    </row>
    <row r="45" spans="1:36" ht="7.35" customHeight="1" thickTop="1" thickBot="1" x14ac:dyDescent="0.3">
      <c r="A45" s="43"/>
      <c r="B45" s="43"/>
      <c r="C45" s="43"/>
      <c r="D45" s="43"/>
      <c r="E45" s="43"/>
      <c r="F45" s="43"/>
      <c r="G45" s="22"/>
      <c r="H45" s="22"/>
      <c r="I45" s="22"/>
      <c r="J45" s="22"/>
      <c r="K45" s="22"/>
      <c r="L45" s="22"/>
      <c r="M45" s="58"/>
      <c r="N45" s="58"/>
      <c r="O45" s="58"/>
      <c r="P45" s="58"/>
      <c r="Q45" s="58"/>
      <c r="R45" s="59"/>
      <c r="S45" s="43"/>
      <c r="T45" s="43"/>
      <c r="U45" s="43"/>
      <c r="V45" s="43"/>
      <c r="W45" s="43"/>
      <c r="X45" s="43"/>
      <c r="Y45" s="22"/>
      <c r="Z45" s="22"/>
      <c r="AA45" s="22"/>
      <c r="AB45" s="22"/>
      <c r="AC45" s="22"/>
      <c r="AD45" s="22"/>
      <c r="AE45" s="58"/>
      <c r="AF45" s="58"/>
      <c r="AG45" s="58"/>
      <c r="AH45" s="58"/>
      <c r="AI45" s="58"/>
      <c r="AJ45" s="59"/>
    </row>
    <row r="46" spans="1:36" ht="7.35" customHeight="1" thickTop="1" thickBot="1" x14ac:dyDescent="0.3">
      <c r="A46" s="51"/>
      <c r="B46" s="51"/>
      <c r="C46" s="51"/>
      <c r="D46" s="51"/>
      <c r="E46" s="51"/>
      <c r="F46" s="51"/>
      <c r="G46" s="51"/>
      <c r="H46" s="51"/>
      <c r="I46" s="51"/>
      <c r="J46" s="51"/>
      <c r="K46" s="51"/>
      <c r="L46" s="51"/>
      <c r="M46" s="60"/>
      <c r="N46" s="60"/>
      <c r="O46" s="60"/>
      <c r="P46" s="60"/>
      <c r="Q46" s="60"/>
      <c r="R46" s="61"/>
      <c r="S46" s="51"/>
      <c r="T46" s="51"/>
      <c r="U46" s="51"/>
      <c r="V46" s="51"/>
      <c r="W46" s="51"/>
      <c r="X46" s="51"/>
      <c r="Y46" s="51"/>
      <c r="Z46" s="51"/>
      <c r="AA46" s="51"/>
      <c r="AB46" s="51"/>
      <c r="AC46" s="51"/>
      <c r="AD46" s="51"/>
      <c r="AE46" s="60"/>
      <c r="AF46" s="60"/>
      <c r="AG46" s="60"/>
      <c r="AH46" s="60"/>
      <c r="AI46" s="60"/>
      <c r="AJ46" s="61"/>
    </row>
    <row r="47" spans="1:36" ht="15.6" customHeight="1" thickTop="1" x14ac:dyDescent="0.25">
      <c r="A47" s="208" t="s">
        <v>114</v>
      </c>
      <c r="B47" s="209"/>
      <c r="C47" s="209"/>
      <c r="D47" s="209"/>
      <c r="E47" s="192" t="str">
        <f>IFERROR(VLOOKUP(A47,SKV!$B$67:$K$70,4,FALSE),"")</f>
        <v>trenér</v>
      </c>
      <c r="F47" s="192"/>
      <c r="G47" s="192"/>
      <c r="H47" s="192"/>
      <c r="I47" s="193"/>
      <c r="J47" s="210" t="s">
        <v>115</v>
      </c>
      <c r="K47" s="209"/>
      <c r="L47" s="209"/>
      <c r="M47" s="209"/>
      <c r="N47" s="192" t="str">
        <f>IFERROR(VLOOKUP(J47,SKV!$B$67:$K$70,4,FALSE),"")</f>
        <v>trenér</v>
      </c>
      <c r="O47" s="192"/>
      <c r="P47" s="192"/>
      <c r="Q47" s="192"/>
      <c r="R47" s="193"/>
      <c r="S47" s="208" t="s">
        <v>250</v>
      </c>
      <c r="T47" s="209"/>
      <c r="U47" s="209"/>
      <c r="V47" s="209"/>
      <c r="W47" s="192" t="str">
        <f>IFERROR(VLOOKUP(S47,CHO!$B$67:$K$71,4,FALSE),"")</f>
        <v>hlavní trenér</v>
      </c>
      <c r="X47" s="192"/>
      <c r="Y47" s="192"/>
      <c r="Z47" s="192"/>
      <c r="AA47" s="193"/>
      <c r="AB47" s="210" t="s">
        <v>256</v>
      </c>
      <c r="AC47" s="209"/>
      <c r="AD47" s="209"/>
      <c r="AE47" s="209"/>
      <c r="AF47" s="192" t="str">
        <f>IFERROR(VLOOKUP(AB47,CHO!$B$67:$K$71,4,FALSE),"")</f>
        <v>asistent trenéra</v>
      </c>
      <c r="AG47" s="192"/>
      <c r="AH47" s="192"/>
      <c r="AI47" s="192"/>
      <c r="AJ47" s="193"/>
    </row>
    <row r="48" spans="1:36" ht="15.6" customHeight="1" thickBot="1" x14ac:dyDescent="0.3">
      <c r="A48" s="182">
        <f ca="1">IFERROR(VLOOKUP(A47,SKV!$B$67:$K$70,3,FALSE),"")</f>
        <v>37</v>
      </c>
      <c r="B48" s="184" t="str">
        <f>IFERROR(VLOOKUP(A47,SKV!$B$67:$K$70,6,FALSE),"")</f>
        <v>vicemistr světa (2004), all-star tým juniorského MS, 2x mistr české ligy (Chodov)</v>
      </c>
      <c r="C48" s="184"/>
      <c r="D48" s="184"/>
      <c r="E48" s="184"/>
      <c r="F48" s="184"/>
      <c r="G48" s="184"/>
      <c r="H48" s="184"/>
      <c r="I48" s="185"/>
      <c r="J48" s="62">
        <f ca="1">IFERROR(VLOOKUP(J47,SKV!$B$67:$K$70,3,FALSE),"")</f>
        <v>35</v>
      </c>
      <c r="K48" s="188" t="str">
        <f>IFERROR(VLOOKUP(J47,SKV!$B$67:$K$70,6,FALSE),"")</f>
        <v>mistr české ligy (Chodov)</v>
      </c>
      <c r="L48" s="188"/>
      <c r="M48" s="188"/>
      <c r="N48" s="188"/>
      <c r="O48" s="188"/>
      <c r="P48" s="188"/>
      <c r="Q48" s="188"/>
      <c r="R48" s="189"/>
      <c r="S48" s="182">
        <f ca="1">IFERROR(VLOOKUP(S47,CHO!$B$67:$K$71,3,FALSE),"")</f>
        <v>34</v>
      </c>
      <c r="T48" s="184" t="str">
        <f>IFERROR(VLOOKUP(S47,CHO!$B$67:$K$71,6,FALSE),"")</f>
        <v>mistr české ligy (Tatran), 2x vítěz Poháru (Tatran, Chodov), 2x mistr ligy (trenér)</v>
      </c>
      <c r="U48" s="184"/>
      <c r="V48" s="184"/>
      <c r="W48" s="184"/>
      <c r="X48" s="184"/>
      <c r="Y48" s="184"/>
      <c r="Z48" s="184"/>
      <c r="AA48" s="185"/>
      <c r="AB48" s="62">
        <f ca="1">IFERROR(VLOOKUP(AB47,CHO!$B$67:$K$71,3,FALSE),"")</f>
        <v>41</v>
      </c>
      <c r="AC48" s="188" t="str">
        <f>IFERROR(VLOOKUP(AB47,CHO!$B$67:$K$71,6,FALSE),"")</f>
        <v>mistr české ligy, stříbro z MS juniorů</v>
      </c>
      <c r="AD48" s="188"/>
      <c r="AE48" s="188"/>
      <c r="AF48" s="188"/>
      <c r="AG48" s="188"/>
      <c r="AH48" s="188"/>
      <c r="AI48" s="188"/>
      <c r="AJ48" s="189"/>
    </row>
    <row r="49" spans="1:36" ht="15.6" customHeight="1" thickTop="1" x14ac:dyDescent="0.25">
      <c r="A49" s="182"/>
      <c r="B49" s="184"/>
      <c r="C49" s="184"/>
      <c r="D49" s="184"/>
      <c r="E49" s="184"/>
      <c r="F49" s="184"/>
      <c r="G49" s="184"/>
      <c r="H49" s="184"/>
      <c r="I49" s="185"/>
      <c r="J49" s="190"/>
      <c r="K49" s="191"/>
      <c r="L49" s="191"/>
      <c r="M49" s="191"/>
      <c r="N49" s="192" t="str">
        <f>IFERROR(VLOOKUP(J49,SKV!$B$67:$K$70,4,FALSE),"")</f>
        <v/>
      </c>
      <c r="O49" s="192"/>
      <c r="P49" s="192"/>
      <c r="Q49" s="192"/>
      <c r="R49" s="193"/>
      <c r="S49" s="182"/>
      <c r="T49" s="184"/>
      <c r="U49" s="184"/>
      <c r="V49" s="184"/>
      <c r="W49" s="184"/>
      <c r="X49" s="184"/>
      <c r="Y49" s="184"/>
      <c r="Z49" s="184"/>
      <c r="AA49" s="185"/>
      <c r="AB49" s="190" t="s">
        <v>260</v>
      </c>
      <c r="AC49" s="191"/>
      <c r="AD49" s="191"/>
      <c r="AE49" s="191"/>
      <c r="AF49" s="192" t="str">
        <f>IFERROR(VLOOKUP(AB49,CHO!$B$67:$K$71,4,FALSE),"")</f>
        <v>vedoucí týmu</v>
      </c>
      <c r="AG49" s="192"/>
      <c r="AH49" s="192"/>
      <c r="AI49" s="192"/>
      <c r="AJ49" s="193"/>
    </row>
    <row r="50" spans="1:36" ht="15.6" customHeight="1" thickBot="1" x14ac:dyDescent="0.3">
      <c r="A50" s="183"/>
      <c r="B50" s="186"/>
      <c r="C50" s="186"/>
      <c r="D50" s="186"/>
      <c r="E50" s="186"/>
      <c r="F50" s="186"/>
      <c r="G50" s="186"/>
      <c r="H50" s="186"/>
      <c r="I50" s="187"/>
      <c r="J50" s="62" t="str">
        <f>IFERROR(VLOOKUP(J49,SKV!$B$67:$K$70,3,FALSE),"")</f>
        <v/>
      </c>
      <c r="K50" s="188" t="str">
        <f>IFERROR(VLOOKUP(J49,SKV!$B$67:$K$70,6,FALSE),"")</f>
        <v/>
      </c>
      <c r="L50" s="188"/>
      <c r="M50" s="188"/>
      <c r="N50" s="188"/>
      <c r="O50" s="188"/>
      <c r="P50" s="188"/>
      <c r="Q50" s="188"/>
      <c r="R50" s="189"/>
      <c r="S50" s="183"/>
      <c r="T50" s="186"/>
      <c r="U50" s="186"/>
      <c r="V50" s="186"/>
      <c r="W50" s="186"/>
      <c r="X50" s="186"/>
      <c r="Y50" s="186"/>
      <c r="Z50" s="186"/>
      <c r="AA50" s="187"/>
      <c r="AB50" s="62">
        <f ca="1">IFERROR(VLOOKUP(AB49,CHO!$B$67:$K$71,3,FALSE),"")</f>
        <v>35</v>
      </c>
      <c r="AC50" s="188" t="str">
        <f>IFERROR(VLOOKUP(AB49,CHO!$B$67:$K$71,6,FALSE),"")</f>
        <v>2x mistr české ligy</v>
      </c>
      <c r="AD50" s="188"/>
      <c r="AE50" s="188"/>
      <c r="AF50" s="188"/>
      <c r="AG50" s="188"/>
      <c r="AH50" s="188"/>
      <c r="AI50" s="188"/>
      <c r="AJ50" s="189"/>
    </row>
    <row r="51" spans="1:36" ht="15.6" customHeight="1" thickTop="1" x14ac:dyDescent="0.25">
      <c r="A51" s="194" t="s">
        <v>164</v>
      </c>
      <c r="B51" s="194"/>
      <c r="C51" s="194"/>
      <c r="D51" s="194"/>
      <c r="E51" s="194"/>
      <c r="F51" s="194"/>
      <c r="G51" s="194"/>
      <c r="H51" s="194"/>
      <c r="I51" s="194"/>
      <c r="J51" s="194" t="s">
        <v>29</v>
      </c>
      <c r="K51" s="194"/>
      <c r="L51" s="194"/>
      <c r="M51" s="194"/>
      <c r="N51" s="194"/>
      <c r="O51" s="194"/>
      <c r="P51" s="194"/>
      <c r="Q51" s="194"/>
      <c r="R51" s="194"/>
    </row>
    <row r="52" spans="1:36" ht="15.6" customHeight="1" thickBot="1" x14ac:dyDescent="0.3">
      <c r="A52" s="195"/>
      <c r="B52" s="195"/>
      <c r="C52" s="195"/>
      <c r="D52" s="195"/>
      <c r="E52" s="195"/>
      <c r="F52" s="195"/>
      <c r="G52" s="195"/>
      <c r="H52" s="195"/>
      <c r="I52" s="195"/>
      <c r="J52" s="195"/>
      <c r="K52" s="195"/>
      <c r="L52" s="195"/>
      <c r="M52" s="195"/>
      <c r="N52" s="195"/>
      <c r="O52" s="195"/>
      <c r="P52" s="195"/>
      <c r="Q52" s="195"/>
      <c r="R52" s="195"/>
    </row>
    <row r="53" spans="1:36" ht="15" customHeight="1" thickTop="1" thickBot="1" x14ac:dyDescent="0.3">
      <c r="A53" s="71"/>
      <c r="B53" s="71"/>
      <c r="C53" s="71"/>
      <c r="D53" s="71"/>
      <c r="E53" s="71"/>
      <c r="F53" s="71"/>
      <c r="G53" s="68"/>
      <c r="H53" s="68"/>
      <c r="I53" s="68"/>
      <c r="J53" s="68"/>
      <c r="K53" s="69"/>
      <c r="L53" s="70"/>
      <c r="M53" s="71"/>
      <c r="N53" s="71"/>
      <c r="O53" s="71"/>
      <c r="P53" s="71"/>
      <c r="Q53" s="71"/>
      <c r="R53" s="71"/>
    </row>
    <row r="54" spans="1:36" ht="15" customHeight="1" thickTop="1" thickBot="1" x14ac:dyDescent="0.3">
      <c r="A54" s="150" t="s">
        <v>286</v>
      </c>
      <c r="B54" s="141"/>
      <c r="C54" s="85" t="s">
        <v>50</v>
      </c>
      <c r="D54" s="85" t="s">
        <v>51</v>
      </c>
      <c r="E54" s="141" t="s">
        <v>52</v>
      </c>
      <c r="F54" s="141"/>
      <c r="G54" s="85" t="s">
        <v>53</v>
      </c>
      <c r="H54" s="85" t="s">
        <v>54</v>
      </c>
      <c r="I54" s="86" t="s">
        <v>45</v>
      </c>
      <c r="J54" s="126" t="s">
        <v>286</v>
      </c>
      <c r="K54" s="127"/>
      <c r="L54" s="102" t="s">
        <v>50</v>
      </c>
      <c r="M54" s="102" t="s">
        <v>51</v>
      </c>
      <c r="N54" s="127" t="s">
        <v>52</v>
      </c>
      <c r="O54" s="127"/>
      <c r="P54" s="102" t="s">
        <v>53</v>
      </c>
      <c r="Q54" s="102" t="s">
        <v>54</v>
      </c>
      <c r="R54" s="103" t="s">
        <v>45</v>
      </c>
    </row>
    <row r="55" spans="1:36" ht="15" customHeight="1" thickBot="1" x14ac:dyDescent="0.3">
      <c r="A55" s="255" t="str">
        <f>CONCATENATE(IFERROR(VLOOKUP(VLOOKUP($A$51,Tabulka!$A$41:$B$54,2,FALSE),Tabulka!$B$26:$AK$39,36,FALSE),""), ". místo")</f>
        <v>5. místo</v>
      </c>
      <c r="B55" s="256"/>
      <c r="C55" s="87">
        <f>IFERROR(VLOOKUP(VLOOKUP($A$51,Tabulka!$A$41:$B$54,2,FALSE),Tabulka!$B$26:$AK$39,3,FALSE),"") +IFERROR(VLOOKUP(VLOOKUP($A$51,Tabulka!$A$41:$B$54,2,FALSE),Tabulka!$B$26:$AK$39,4,FALSE),"")</f>
        <v>8</v>
      </c>
      <c r="D55" s="89">
        <f>IFERROR(VLOOKUP(VLOOKUP($A$51,Tabulka!$A$41:$B$54,2,FALSE),Tabulka!$B$26:$AK$39,5,FALSE),"") +IFERROR(VLOOKUP(VLOOKUP($A$51,Tabulka!$A$41:$B$54,2,FALSE),Tabulka!$B$26:$AK$39,6,FALSE),"")</f>
        <v>4</v>
      </c>
      <c r="E55" s="256" t="str">
        <f>CONCATENATE(IFERROR(VLOOKUP(VLOOKUP($A$51,Tabulka!$A$41:$B$54,2,FALSE),Tabulka!$B$26:$AK$39,8,FALSE),""), ":",IFERROR(VLOOKUP(VLOOKUP($A$51,Tabulka!$A$41:$B$54,2,FALSE),Tabulka!$B$26:$AK$39,9,FALSE),""))</f>
        <v>78:72</v>
      </c>
      <c r="F55" s="256"/>
      <c r="G55" s="89">
        <f>ROUND(IFERROR(VLOOKUP(VLOOKUP($A$51,Tabulka!$A$41:$B$54,2,FALSE),Tabulka!$B$26:$AK$39,14,FALSE),""),1)</f>
        <v>34.799999999999997</v>
      </c>
      <c r="H55" s="89">
        <f>ROUND(IFERROR(VLOOKUP(VLOOKUP($A$51,Tabulka!$A$41:$B$54,2,FALSE),Tabulka!$B$26:$AK$39,18,FALSE),""),1)</f>
        <v>56.5</v>
      </c>
      <c r="I55" s="88">
        <f>IFERROR(VLOOKUP(VLOOKUP($A$51,Tabulka!$A$41:$B$54,2,FALSE),Tabulka!$B$26:$AK$39,25,FALSE),"")</f>
        <v>58</v>
      </c>
      <c r="J55" s="257" t="str">
        <f>CONCATENATE(IFERROR(VLOOKUP(VLOOKUP($J$51,Tabulka!$A$41:$B$54,2,FALSE),Tabulka!$B$26:$AK$39,36,FALSE),""), ". místo")</f>
        <v>14. místo</v>
      </c>
      <c r="K55" s="258"/>
      <c r="L55" s="104">
        <f>IFERROR(VLOOKUP(VLOOKUP($J$51,Tabulka!$A$41:$B$54,2,FALSE),Tabulka!$B$26:$AK$39,3,FALSE),"") +IFERROR(VLOOKUP(VLOOKUP($J$51,Tabulka!$A$41:$B$54,2,FALSE),Tabulka!$B$26:$AK$39,4,FALSE),"")</f>
        <v>2</v>
      </c>
      <c r="M55" s="105">
        <f>IFERROR(VLOOKUP(VLOOKUP($J$51,Tabulka!$A$41:$B$54,2,FALSE),Tabulka!$B$26:$AK$39,5,FALSE),"") +IFERROR(VLOOKUP(VLOOKUP($J$51,Tabulka!$A$41:$B$54,2,FALSE),Tabulka!$B$26:$AK$39,6,FALSE),"")</f>
        <v>10</v>
      </c>
      <c r="N55" s="258" t="str">
        <f>CONCATENATE(IFERROR(VLOOKUP(VLOOKUP($J$51,Tabulka!$A$41:$B$54,2,FALSE),Tabulka!$B$26:$AK$39,8,FALSE),""), ":",IFERROR(VLOOKUP(VLOOKUP($J$51,Tabulka!$A$41:$B$54,2,FALSE),Tabulka!$B$26:$AK$39,9,FALSE),""))</f>
        <v>52:78</v>
      </c>
      <c r="O55" s="258"/>
      <c r="P55" s="105">
        <f>ROUND(IFERROR(VLOOKUP(VLOOKUP($J$51,Tabulka!$A$41:$B$54,2,FALSE),Tabulka!$B$26:$AK$39,14,FALSE),""),1)</f>
        <v>42.9</v>
      </c>
      <c r="Q55" s="105">
        <f>ROUND(IFERROR(VLOOKUP(VLOOKUP($J$51,Tabulka!$A$41:$B$54,2,FALSE),Tabulka!$B$26:$AK$39,18,FALSE),""),1)</f>
        <v>33.299999999999997</v>
      </c>
      <c r="R55" s="106">
        <f>IFERROR(VLOOKUP(VLOOKUP($J$51,Tabulka!$A$41:$B$54,2,FALSE),Tabulka!$B$26:$AK$39,25,FALSE),"")</f>
        <v>43</v>
      </c>
    </row>
    <row r="56" spans="1:36" ht="15" customHeight="1" thickTop="1" x14ac:dyDescent="0.25">
      <c r="A56" s="68"/>
      <c r="B56" s="68"/>
      <c r="C56" s="68"/>
      <c r="D56" s="68"/>
      <c r="E56" s="69"/>
      <c r="F56" s="70"/>
      <c r="G56" s="90">
        <f>IFERROR(VLOOKUP(VLOOKUP($A$51,Tabulka!$A$41:$B$54,2,FALSE),Tabulka!$B$26:$AK$39,33,FALSE),"")</f>
        <v>9</v>
      </c>
      <c r="H56" s="90">
        <f>IFERROR(VLOOKUP(VLOOKUP($A$51,Tabulka!$A$41:$B$54,2,FALSE),Tabulka!$B$26:$AK$39,34,FALSE),"")</f>
        <v>11</v>
      </c>
      <c r="I56" s="90">
        <f>IFERROR(VLOOKUP(VLOOKUP($A$51,Tabulka!$A$41:$B$54,2,FALSE),Tabulka!$B$26:$AK$39,35,FALSE),"")</f>
        <v>8</v>
      </c>
      <c r="J56" s="68"/>
      <c r="K56" s="68"/>
      <c r="L56" s="68"/>
      <c r="M56" s="68"/>
      <c r="N56" s="69"/>
      <c r="O56" s="70"/>
      <c r="P56" s="90">
        <f>IFERROR(VLOOKUP(VLOOKUP($J$51,Tabulka!$A$41:$B$54,2,FALSE),Tabulka!$B$26:$AK$39,33,FALSE),"")</f>
        <v>5</v>
      </c>
      <c r="Q56" s="90">
        <f>IFERROR(VLOOKUP(VLOOKUP($J$51,Tabulka!$A$41:$B$54,2,FALSE),Tabulka!$B$26:$AK$39,34,FALSE),"")</f>
        <v>14</v>
      </c>
      <c r="R56" s="90">
        <f>IFERROR(VLOOKUP(VLOOKUP($J$51,Tabulka!$A$41:$B$54,2,FALSE),Tabulka!$B$26:$AK$39,35,FALSE),"")</f>
        <v>13</v>
      </c>
    </row>
    <row r="57" spans="1:36" ht="15" customHeight="1" x14ac:dyDescent="0.25">
      <c r="A57" s="72"/>
      <c r="B57" s="71"/>
      <c r="C57" s="71"/>
      <c r="D57" s="73"/>
      <c r="E57" s="71"/>
      <c r="F57" s="71"/>
      <c r="G57" s="71"/>
      <c r="H57" s="71"/>
      <c r="I57" s="71"/>
      <c r="J57" s="71"/>
      <c r="K57" s="71"/>
      <c r="L57" s="71"/>
      <c r="M57" s="72"/>
      <c r="N57" s="71"/>
      <c r="O57" s="71"/>
      <c r="P57" s="73"/>
      <c r="Q57" s="71"/>
      <c r="R57" s="71"/>
    </row>
    <row r="58" spans="1:36" ht="15" customHeight="1" thickBot="1" x14ac:dyDescent="0.3">
      <c r="A58" s="72"/>
      <c r="B58" s="71"/>
      <c r="C58" s="71"/>
      <c r="D58" s="73"/>
      <c r="E58" s="71"/>
      <c r="F58" s="71"/>
      <c r="G58" s="71"/>
      <c r="H58" s="71"/>
      <c r="I58" s="71"/>
      <c r="J58" s="71"/>
      <c r="K58" s="71"/>
      <c r="L58" s="71"/>
      <c r="M58" s="72"/>
      <c r="N58" s="71"/>
      <c r="O58" s="71"/>
      <c r="P58" s="73"/>
      <c r="Q58" s="71"/>
      <c r="R58" s="71"/>
    </row>
    <row r="59" spans="1:36" ht="15" customHeight="1" thickTop="1" thickBot="1" x14ac:dyDescent="0.3">
      <c r="A59" s="263" t="s">
        <v>49</v>
      </c>
      <c r="B59" s="264"/>
      <c r="C59" s="265" t="s">
        <v>289</v>
      </c>
      <c r="D59" s="265"/>
      <c r="E59" s="265"/>
      <c r="F59" s="265"/>
      <c r="G59" s="265"/>
      <c r="H59" s="266"/>
      <c r="I59" s="71"/>
      <c r="J59" s="267" t="s">
        <v>49</v>
      </c>
      <c r="K59" s="268"/>
      <c r="L59" s="122" t="s">
        <v>288</v>
      </c>
      <c r="M59" s="122"/>
      <c r="N59" s="122"/>
      <c r="O59" s="122"/>
      <c r="P59" s="122"/>
      <c r="Q59" s="123"/>
      <c r="R59" s="71"/>
    </row>
    <row r="60" spans="1:36" ht="15" customHeight="1" thickTop="1" thickBot="1" x14ac:dyDescent="0.3">
      <c r="A60" s="71"/>
      <c r="B60" s="71"/>
      <c r="C60" s="71"/>
      <c r="D60" s="71"/>
      <c r="E60" s="71"/>
      <c r="F60" s="72"/>
      <c r="G60" s="71"/>
      <c r="H60" s="71"/>
      <c r="I60" s="71"/>
      <c r="J60" s="71"/>
      <c r="K60" s="71"/>
      <c r="L60" s="71"/>
      <c r="M60" s="71"/>
      <c r="N60" s="71"/>
      <c r="O60" s="71"/>
      <c r="P60" s="71"/>
      <c r="Q60" s="71"/>
      <c r="R60" s="72"/>
    </row>
    <row r="61" spans="1:36" ht="15" customHeight="1" thickTop="1" thickBot="1" x14ac:dyDescent="0.3">
      <c r="A61" s="150" t="s">
        <v>291</v>
      </c>
      <c r="B61" s="141"/>
      <c r="C61" s="141"/>
      <c r="D61" s="142"/>
      <c r="E61" s="140" t="s">
        <v>290</v>
      </c>
      <c r="F61" s="141"/>
      <c r="G61" s="141"/>
      <c r="H61" s="142"/>
      <c r="I61" s="71"/>
      <c r="J61" s="150" t="s">
        <v>291</v>
      </c>
      <c r="K61" s="141"/>
      <c r="L61" s="141"/>
      <c r="M61" s="142"/>
      <c r="N61" s="140" t="s">
        <v>290</v>
      </c>
      <c r="O61" s="141"/>
      <c r="P61" s="141"/>
      <c r="Q61" s="142"/>
      <c r="R61" s="73"/>
      <c r="T61" s="71"/>
      <c r="U61" s="71"/>
      <c r="V61" s="119"/>
      <c r="W61" s="119"/>
      <c r="X61" s="71"/>
      <c r="Y61" s="71"/>
      <c r="Z61" s="120"/>
      <c r="AA61" s="120"/>
    </row>
    <row r="62" spans="1:36" ht="15" customHeight="1" x14ac:dyDescent="0.25">
      <c r="A62" s="243" t="s">
        <v>161</v>
      </c>
      <c r="B62" s="167"/>
      <c r="C62" s="164" t="s">
        <v>297</v>
      </c>
      <c r="D62" s="165"/>
      <c r="E62" s="166" t="s">
        <v>162</v>
      </c>
      <c r="F62" s="167"/>
      <c r="G62" s="168">
        <v>44206</v>
      </c>
      <c r="H62" s="169"/>
      <c r="I62" s="71"/>
      <c r="J62" s="162" t="s">
        <v>292</v>
      </c>
      <c r="K62" s="163"/>
      <c r="L62" s="164" t="s">
        <v>293</v>
      </c>
      <c r="M62" s="165"/>
      <c r="N62" s="166" t="s">
        <v>163</v>
      </c>
      <c r="O62" s="167"/>
      <c r="P62" s="168">
        <v>44206</v>
      </c>
      <c r="Q62" s="169"/>
      <c r="R62" s="71"/>
      <c r="T62" s="71"/>
      <c r="U62" s="71"/>
      <c r="V62" s="119"/>
      <c r="W62" s="119"/>
      <c r="X62" s="71"/>
      <c r="Y62" s="71"/>
      <c r="Z62" s="120"/>
      <c r="AA62" s="120"/>
    </row>
    <row r="63" spans="1:36" ht="15" customHeight="1" x14ac:dyDescent="0.25">
      <c r="A63" s="170" t="s">
        <v>167</v>
      </c>
      <c r="B63" s="155"/>
      <c r="C63" s="171" t="s">
        <v>297</v>
      </c>
      <c r="D63" s="172"/>
      <c r="E63" s="154" t="s">
        <v>29</v>
      </c>
      <c r="F63" s="155"/>
      <c r="G63" s="156">
        <v>44209</v>
      </c>
      <c r="H63" s="157"/>
      <c r="I63" s="68"/>
      <c r="J63" s="170" t="s">
        <v>171</v>
      </c>
      <c r="K63" s="155"/>
      <c r="L63" s="171" t="s">
        <v>294</v>
      </c>
      <c r="M63" s="172"/>
      <c r="N63" s="154" t="s">
        <v>164</v>
      </c>
      <c r="O63" s="155"/>
      <c r="P63" s="156">
        <v>44209</v>
      </c>
      <c r="Q63" s="157"/>
      <c r="R63" s="70"/>
      <c r="T63" s="71"/>
      <c r="U63" s="71"/>
      <c r="V63" s="119"/>
      <c r="W63" s="119"/>
      <c r="X63" s="71"/>
      <c r="Y63" s="71"/>
      <c r="Z63" s="120"/>
      <c r="AA63" s="120"/>
    </row>
    <row r="64" spans="1:36" ht="15" customHeight="1" x14ac:dyDescent="0.25">
      <c r="A64" s="173" t="s">
        <v>166</v>
      </c>
      <c r="B64" s="174"/>
      <c r="C64" s="175" t="s">
        <v>298</v>
      </c>
      <c r="D64" s="176"/>
      <c r="E64" s="269" t="s">
        <v>160</v>
      </c>
      <c r="F64" s="174"/>
      <c r="G64" s="177">
        <v>44212</v>
      </c>
      <c r="H64" s="178"/>
      <c r="I64" s="71"/>
      <c r="J64" s="173" t="s">
        <v>172</v>
      </c>
      <c r="K64" s="174"/>
      <c r="L64" s="175" t="s">
        <v>295</v>
      </c>
      <c r="M64" s="176"/>
      <c r="N64" s="269" t="s">
        <v>165</v>
      </c>
      <c r="O64" s="174"/>
      <c r="P64" s="177">
        <v>44212</v>
      </c>
      <c r="Q64" s="178"/>
      <c r="R64" s="71"/>
      <c r="T64" s="71"/>
      <c r="U64" s="71"/>
      <c r="V64" s="119"/>
      <c r="W64" s="119"/>
      <c r="X64" s="71"/>
      <c r="Y64" s="71"/>
      <c r="Z64" s="120"/>
      <c r="AA64" s="120"/>
    </row>
    <row r="65" spans="1:27" ht="15" customHeight="1" x14ac:dyDescent="0.25">
      <c r="A65" s="170" t="s">
        <v>171</v>
      </c>
      <c r="B65" s="155"/>
      <c r="C65" s="171" t="s">
        <v>299</v>
      </c>
      <c r="D65" s="172"/>
      <c r="E65" s="154" t="s">
        <v>163</v>
      </c>
      <c r="F65" s="155"/>
      <c r="G65" s="156">
        <v>44213</v>
      </c>
      <c r="H65" s="157"/>
      <c r="I65" s="68"/>
      <c r="J65" s="170" t="s">
        <v>160</v>
      </c>
      <c r="K65" s="155"/>
      <c r="L65" s="171" t="s">
        <v>296</v>
      </c>
      <c r="M65" s="172"/>
      <c r="N65" s="154" t="s">
        <v>172</v>
      </c>
      <c r="O65" s="155"/>
      <c r="P65" s="156">
        <v>44213</v>
      </c>
      <c r="Q65" s="157"/>
      <c r="R65" s="71"/>
      <c r="T65" s="71"/>
      <c r="U65" s="71"/>
      <c r="V65" s="119"/>
      <c r="W65" s="119"/>
      <c r="X65" s="71"/>
      <c r="Y65" s="71"/>
      <c r="Z65" s="120"/>
      <c r="AA65" s="120"/>
    </row>
    <row r="66" spans="1:27" ht="15" customHeight="1" thickBot="1" x14ac:dyDescent="0.3">
      <c r="A66" s="179" t="s">
        <v>169</v>
      </c>
      <c r="B66" s="159"/>
      <c r="C66" s="180" t="s">
        <v>300</v>
      </c>
      <c r="D66" s="181"/>
      <c r="E66" s="158" t="s">
        <v>168</v>
      </c>
      <c r="F66" s="159"/>
      <c r="G66" s="160">
        <v>44219</v>
      </c>
      <c r="H66" s="161"/>
      <c r="I66" s="71"/>
      <c r="J66" s="179" t="s">
        <v>161</v>
      </c>
      <c r="K66" s="159"/>
      <c r="L66" s="180" t="s">
        <v>48</v>
      </c>
      <c r="M66" s="181"/>
      <c r="N66" s="158" t="s">
        <v>162</v>
      </c>
      <c r="O66" s="159"/>
      <c r="P66" s="160">
        <v>44219</v>
      </c>
      <c r="Q66" s="161"/>
      <c r="R66" s="72"/>
    </row>
    <row r="67" spans="1:27" ht="15" customHeight="1" thickTop="1" x14ac:dyDescent="0.25">
      <c r="A67" s="71"/>
      <c r="B67" s="71"/>
      <c r="C67" s="71"/>
      <c r="D67" s="71"/>
      <c r="E67" s="71"/>
      <c r="F67" s="71"/>
      <c r="G67" s="71"/>
      <c r="H67" s="71"/>
      <c r="I67" s="71"/>
      <c r="J67" s="71"/>
      <c r="K67" s="71"/>
      <c r="L67" s="71"/>
      <c r="M67" s="71"/>
      <c r="N67" s="71"/>
      <c r="O67" s="71"/>
      <c r="P67" s="71"/>
      <c r="Q67" s="71"/>
      <c r="R67" s="71"/>
    </row>
    <row r="68" spans="1:27" ht="15" customHeight="1" x14ac:dyDescent="0.25">
      <c r="A68" s="71"/>
      <c r="B68" s="71"/>
      <c r="C68" s="71"/>
      <c r="D68" s="71"/>
      <c r="E68" s="71"/>
      <c r="F68" s="71"/>
      <c r="G68" s="71"/>
      <c r="H68" s="71"/>
      <c r="I68" s="71"/>
      <c r="J68" s="71"/>
      <c r="K68" s="71"/>
      <c r="L68" s="71"/>
      <c r="M68" s="71"/>
      <c r="N68" s="71"/>
      <c r="O68" s="71"/>
      <c r="P68" s="71"/>
      <c r="Q68" s="71"/>
      <c r="R68" s="71"/>
    </row>
    <row r="69" spans="1:27" ht="15" customHeight="1" thickBot="1" x14ac:dyDescent="0.3">
      <c r="A69" s="254" t="s">
        <v>301</v>
      </c>
      <c r="B69" s="254"/>
      <c r="C69" s="254"/>
      <c r="D69" s="254"/>
      <c r="E69" s="254"/>
      <c r="F69" s="254"/>
      <c r="G69" s="254"/>
      <c r="H69" s="254"/>
      <c r="I69" s="254"/>
      <c r="J69" s="254"/>
      <c r="K69" s="254"/>
      <c r="L69" s="254"/>
      <c r="M69" s="254"/>
      <c r="N69" s="254"/>
      <c r="O69" s="254"/>
      <c r="P69" s="254"/>
      <c r="Q69" s="254"/>
      <c r="R69" s="254"/>
    </row>
    <row r="70" spans="1:27" ht="15" customHeight="1" thickTop="1" thickBot="1" x14ac:dyDescent="0.3">
      <c r="A70" s="150" t="s">
        <v>302</v>
      </c>
      <c r="B70" s="141"/>
      <c r="C70" s="151"/>
      <c r="D70" s="152" t="s">
        <v>303</v>
      </c>
      <c r="E70" s="141"/>
      <c r="F70" s="153"/>
      <c r="G70" s="140" t="s">
        <v>304</v>
      </c>
      <c r="H70" s="141"/>
      <c r="I70" s="142"/>
      <c r="J70" s="126" t="s">
        <v>302</v>
      </c>
      <c r="K70" s="127"/>
      <c r="L70" s="128"/>
      <c r="M70" s="136" t="s">
        <v>303</v>
      </c>
      <c r="N70" s="127"/>
      <c r="O70" s="137"/>
      <c r="P70" s="138" t="s">
        <v>304</v>
      </c>
      <c r="Q70" s="127"/>
      <c r="R70" s="139"/>
    </row>
    <row r="71" spans="1:27" ht="15" customHeight="1" x14ac:dyDescent="0.25">
      <c r="A71" s="143" t="str">
        <f ca="1">IFERROR(VLOOKUP(INDIRECT(A$51 &amp; "!D74"), INDIRECT(A$51 &amp; "!B38:T64"),19,FALSE),"")</f>
        <v>Vávra M.</v>
      </c>
      <c r="B71" s="144"/>
      <c r="C71" s="117">
        <f ca="1">IFERROR(INDIRECT(A$51 &amp; "!C74"),"")</f>
        <v>27</v>
      </c>
      <c r="D71" s="145" t="str">
        <f ca="1">IFERROR(VLOOKUP(INDIRECT(A$51 &amp; "!D79"), INDIRECT(A$51 &amp; "!B38:T64"),19,FALSE),"")</f>
        <v>Vávra M.</v>
      </c>
      <c r="E71" s="144"/>
      <c r="F71" s="117">
        <f ca="1">IFERROR(INDIRECT(A$51 &amp; "!C79"),"")</f>
        <v>18</v>
      </c>
      <c r="G71" s="145" t="str">
        <f ca="1">IFERROR(VLOOKUP(INDIRECT(A$51 &amp; "!D84"), INDIRECT(A$51 &amp; "!B38:T64"),19,FALSE),"")</f>
        <v>Ondrušek</v>
      </c>
      <c r="H71" s="144"/>
      <c r="I71" s="117">
        <f ca="1">IFERROR(INDIRECT(A$51 &amp; "!C84"),"")</f>
        <v>10</v>
      </c>
      <c r="J71" s="129" t="str">
        <f ca="1">IFERROR(VLOOKUP(INDIRECT(J$51 &amp; "!D74"), INDIRECT(J$51 &amp; "!B38:T64"),19,FALSE),"")</f>
        <v>Strachota</v>
      </c>
      <c r="K71" s="130"/>
      <c r="L71" s="121">
        <f ca="1">IFERROR(INDIRECT(J$51 &amp; "!C74"),"")</f>
        <v>15</v>
      </c>
      <c r="M71" s="131" t="str">
        <f ca="1">IFERROR(VLOOKUP(INDIRECT(J$51 &amp; "!D79"), INDIRECT(J$51 &amp; "!B38:T64"),19,FALSE),"")</f>
        <v>Gregor</v>
      </c>
      <c r="N71" s="130"/>
      <c r="O71" s="121">
        <f ca="1">IFERROR(INDIRECT(J$51 &amp; "!C79"),"")</f>
        <v>11</v>
      </c>
      <c r="P71" s="131" t="str">
        <f ca="1">IFERROR(VLOOKUP(INDIRECT(J$51 &amp; "!D84"), INDIRECT(J$51 &amp; "!B38:T64"),19,FALSE),"")</f>
        <v>Skřivánek</v>
      </c>
      <c r="Q71" s="130"/>
      <c r="R71" s="121">
        <f ca="1">IFERROR(INDIRECT(J$51 &amp; "!C84"),"")</f>
        <v>6</v>
      </c>
    </row>
    <row r="72" spans="1:27" ht="15" customHeight="1" x14ac:dyDescent="0.25">
      <c r="A72" s="146" t="str">
        <f ca="1">IFERROR(VLOOKUP(INDIRECT(A$51 &amp; "!D75"), INDIRECT(A$51 &amp; "!B38:T64"),19,FALSE),"")</f>
        <v>Ondrušek</v>
      </c>
      <c r="B72" s="147"/>
      <c r="C72" s="93">
        <f ca="1">IFERROR(INDIRECT(A$51 &amp; "!C75"),"")</f>
        <v>24</v>
      </c>
      <c r="D72" s="148" t="str">
        <f ca="1">IFERROR(VLOOKUP(INDIRECT(A$51 &amp; "!D80"), INDIRECT(A$51 &amp; "!B38:T64"),19,FALSE),"")</f>
        <v>Ondrušek</v>
      </c>
      <c r="E72" s="147"/>
      <c r="F72" s="95">
        <f ca="1">IFERROR(INDIRECT(A$51 &amp; "!C80"),"")</f>
        <v>14</v>
      </c>
      <c r="G72" s="149" t="str">
        <f ca="1">IFERROR(VLOOKUP(INDIRECT(A$51 &amp; "!D85"), INDIRECT(A$51 &amp; "!B38:T64"),19,FALSE),"")</f>
        <v>Sýkora</v>
      </c>
      <c r="H72" s="147"/>
      <c r="I72" s="91">
        <f ca="1">IFERROR(INDIRECT(A$51 &amp; "!C85"),"")</f>
        <v>10</v>
      </c>
      <c r="J72" s="132" t="str">
        <f ca="1">IFERROR(VLOOKUP(INDIRECT(J$51 &amp; "!D75"), INDIRECT(J$51 &amp; "!B38:T64"),19,FALSE),"")</f>
        <v>Gregor</v>
      </c>
      <c r="K72" s="133"/>
      <c r="L72" s="97">
        <f ca="1">IFERROR(INDIRECT(J$51 &amp; "!C75"),"")</f>
        <v>13</v>
      </c>
      <c r="M72" s="134" t="str">
        <f ca="1">IFERROR(VLOOKUP(INDIRECT(J$51 &amp; "!D80"), INDIRECT(J$51 &amp; "!B38:T64"),19,FALSE),"")</f>
        <v>Strachota</v>
      </c>
      <c r="N72" s="133"/>
      <c r="O72" s="98">
        <f ca="1">IFERROR(INDIRECT(J$51 &amp; "!C80"),"")</f>
        <v>9</v>
      </c>
      <c r="P72" s="135" t="str">
        <f ca="1">IFERROR(VLOOKUP(INDIRECT(J$51 &amp; "!D85"), INDIRECT(J$51 &amp; "!B38:T64"),19,FALSE),"")</f>
        <v>Strachota</v>
      </c>
      <c r="Q72" s="133"/>
      <c r="R72" s="99">
        <f ca="1">IFERROR(INDIRECT(J$51 &amp; "!C85"),"")</f>
        <v>6</v>
      </c>
    </row>
    <row r="73" spans="1:27" ht="15" customHeight="1" x14ac:dyDescent="0.25">
      <c r="A73" s="146" t="str">
        <f ca="1">IFERROR(VLOOKUP(INDIRECT(A$51 &amp; "!D76"), INDIRECT(A$51 &amp; "!B38:T64"),19,FALSE),"")</f>
        <v>Mikeš</v>
      </c>
      <c r="B73" s="147"/>
      <c r="C73" s="93">
        <f ca="1">IFERROR(INDIRECT(A$51 &amp; "!C76"),"")</f>
        <v>15</v>
      </c>
      <c r="D73" s="148" t="str">
        <f ca="1">IFERROR(VLOOKUP(INDIRECT(A$51 &amp; "!D81"), INDIRECT(A$51 &amp; "!B38:T64"),19,FALSE),"")</f>
        <v>Majer</v>
      </c>
      <c r="E73" s="147"/>
      <c r="F73" s="95">
        <f ca="1">IFERROR(INDIRECT(A$51 &amp; "!C81"),"")</f>
        <v>10</v>
      </c>
      <c r="G73" s="149" t="str">
        <f ca="1">IFERROR(VLOOKUP(INDIRECT(A$51 &amp; "!D86"), INDIRECT(A$51 &amp; "!B38:T64"),19,FALSE),"")</f>
        <v>Vávra M.</v>
      </c>
      <c r="H73" s="147"/>
      <c r="I73" s="91">
        <f ca="1">IFERROR(INDIRECT(A$51 &amp; "!C86"),"")</f>
        <v>9</v>
      </c>
      <c r="J73" s="132" t="str">
        <f ca="1">IFERROR(VLOOKUP(INDIRECT(J$51 &amp; "!D76"), INDIRECT(J$51 &amp; "!B38:T64"),19,FALSE),"")</f>
        <v>Bína</v>
      </c>
      <c r="K73" s="133"/>
      <c r="L73" s="97">
        <f ca="1">IFERROR(INDIRECT(J$51 &amp; "!C76"),"")</f>
        <v>12</v>
      </c>
      <c r="M73" s="134" t="str">
        <f ca="1">IFERROR(VLOOKUP(INDIRECT(J$51 &amp; "!D81"), INDIRECT(J$51 &amp; "!B38:T64"),19,FALSE),"")</f>
        <v>Bína</v>
      </c>
      <c r="N73" s="133"/>
      <c r="O73" s="98">
        <f ca="1">IFERROR(INDIRECT(J$51 &amp; "!C81"),"")</f>
        <v>6</v>
      </c>
      <c r="P73" s="135" t="str">
        <f ca="1">IFERROR(VLOOKUP(INDIRECT(J$51 &amp; "!D86"), INDIRECT(J$51 &amp; "!B38:T64"),19,FALSE),"")</f>
        <v>Bína</v>
      </c>
      <c r="Q73" s="133"/>
      <c r="R73" s="99">
        <f ca="1">IFERROR(INDIRECT(J$51 &amp; "!C86"),"")</f>
        <v>6</v>
      </c>
    </row>
    <row r="74" spans="1:27" ht="15" customHeight="1" x14ac:dyDescent="0.25">
      <c r="A74" s="146" t="str">
        <f ca="1">IFERROR(VLOOKUP(INDIRECT(A$51 &amp; "!D77"), INDIRECT(A$51 &amp; "!B38:T64"),19,FALSE),"")</f>
        <v>Majer</v>
      </c>
      <c r="B74" s="147"/>
      <c r="C74" s="93">
        <f ca="1">IFERROR(INDIRECT(A$51 &amp; "!C77"),"")</f>
        <v>13</v>
      </c>
      <c r="D74" s="148" t="str">
        <f ca="1">IFERROR(VLOOKUP(INDIRECT(A$51 &amp; "!D82"), INDIRECT(A$51 &amp; "!B38:T64"),19,FALSE),"")</f>
        <v>Mikeš</v>
      </c>
      <c r="E74" s="147"/>
      <c r="F74" s="95">
        <f ca="1">IFERROR(INDIRECT(A$51 &amp; "!C82"),"")</f>
        <v>8</v>
      </c>
      <c r="G74" s="149" t="str">
        <f ca="1">IFERROR(VLOOKUP(INDIRECT(A$51 &amp; "!D87"), INDIRECT(A$51 &amp; "!B38:T64"),19,FALSE),"")</f>
        <v>Mikeš</v>
      </c>
      <c r="H74" s="147"/>
      <c r="I74" s="91">
        <f ca="1">IFERROR(INDIRECT(A$51 &amp; "!C87"),"")</f>
        <v>7</v>
      </c>
      <c r="J74" s="132" t="str">
        <f ca="1">IFERROR(VLOOKUP(INDIRECT(J$51 &amp; "!D77"), INDIRECT(J$51 &amp; "!B38:T64"),19,FALSE),"")</f>
        <v>Skřivánek</v>
      </c>
      <c r="K74" s="133"/>
      <c r="L74" s="97">
        <f ca="1">IFERROR(INDIRECT(J$51 &amp; "!C77"),"")</f>
        <v>10</v>
      </c>
      <c r="M74" s="134" t="str">
        <f ca="1">IFERROR(VLOOKUP(INDIRECT(J$51 &amp; "!D82"), INDIRECT(J$51 &amp; "!B38:T64"),19,FALSE),"")</f>
        <v>Stuchlík O.</v>
      </c>
      <c r="N74" s="133"/>
      <c r="O74" s="98">
        <f ca="1">IFERROR(INDIRECT(J$51 &amp; "!C82"),"")</f>
        <v>5</v>
      </c>
      <c r="P74" s="135" t="str">
        <f ca="1">IFERROR(VLOOKUP(INDIRECT(J$51 &amp; "!D87"), INDIRECT(J$51 &amp; "!B38:T64"),19,FALSE),"")</f>
        <v>Procházka</v>
      </c>
      <c r="Q74" s="133"/>
      <c r="R74" s="99">
        <f ca="1">IFERROR(INDIRECT(J$51 &amp; "!C87"),"")</f>
        <v>5</v>
      </c>
    </row>
    <row r="75" spans="1:27" ht="15" customHeight="1" thickBot="1" x14ac:dyDescent="0.3">
      <c r="A75" s="239" t="str">
        <f ca="1">IFERROR(VLOOKUP(INDIRECT(A$51 &amp; "!D78"), INDIRECT(A$51 &amp; "!B38:T64"),19,FALSE),"")</f>
        <v>Sýkora</v>
      </c>
      <c r="B75" s="240"/>
      <c r="C75" s="94">
        <f ca="1">IFERROR(INDIRECT(A$51 &amp; "!C78"),"")</f>
        <v>12</v>
      </c>
      <c r="D75" s="241" t="str">
        <f ca="1">IFERROR(VLOOKUP(INDIRECT(A$51 &amp; "!D83"), INDIRECT(A$51 &amp; "!B38:T64"),19,FALSE),"")</f>
        <v>Eremiáš</v>
      </c>
      <c r="E75" s="240"/>
      <c r="F75" s="96">
        <f ca="1">IFERROR(INDIRECT(A$51 &amp; "!C83"),"")</f>
        <v>4</v>
      </c>
      <c r="G75" s="242" t="str">
        <f ca="1">IFERROR(VLOOKUP(INDIRECT(A$51 &amp; "!D88"), INDIRECT(A$51 &amp; "!B38:T64"),19,FALSE),"")</f>
        <v>Koutný</v>
      </c>
      <c r="H75" s="240"/>
      <c r="I75" s="92">
        <f ca="1">IFERROR(INDIRECT(A$51 &amp; "!C88"),"")</f>
        <v>6</v>
      </c>
      <c r="J75" s="259" t="str">
        <f ca="1">IFERROR(VLOOKUP(INDIRECT(J$51 &amp; "!D78"), INDIRECT(J$51 &amp; "!B38:T64"),19,FALSE),"")</f>
        <v>Hartman</v>
      </c>
      <c r="K75" s="260"/>
      <c r="L75" s="100">
        <f ca="1">IFERROR(INDIRECT(J$51 &amp; "!C78"),"")</f>
        <v>8</v>
      </c>
      <c r="M75" s="261" t="str">
        <f ca="1">IFERROR(VLOOKUP(INDIRECT(J$51 &amp; "!D83"), INDIRECT(J$51 &amp; "!B38:T64"),19,FALSE),"")</f>
        <v>Hartman</v>
      </c>
      <c r="N75" s="260"/>
      <c r="O75" s="101">
        <f ca="1">IFERROR(INDIRECT(J$51 &amp; "!C83"),"")</f>
        <v>5</v>
      </c>
      <c r="P75" s="262" t="str">
        <f ca="1">IFERROR(VLOOKUP(INDIRECT(J$51 &amp; "!D88"), INDIRECT(J$51 &amp; "!B38:T64"),19,FALSE),"")</f>
        <v>Hájek</v>
      </c>
      <c r="Q75" s="260"/>
      <c r="R75" s="114">
        <f ca="1">IFERROR(INDIRECT(J$51 &amp; "!C88"),"")</f>
        <v>5</v>
      </c>
    </row>
    <row r="76" spans="1:27" ht="15" customHeight="1" thickTop="1" thickBot="1" x14ac:dyDescent="0.3">
      <c r="A76" s="72"/>
      <c r="B76" s="71"/>
      <c r="C76" s="71"/>
      <c r="D76" s="73"/>
      <c r="E76" s="71"/>
      <c r="F76" s="71"/>
      <c r="G76" s="71"/>
      <c r="H76" s="71"/>
      <c r="I76" s="71"/>
      <c r="J76" s="71"/>
      <c r="K76" s="71"/>
      <c r="L76" s="71"/>
      <c r="M76" s="72"/>
      <c r="N76" s="71"/>
      <c r="O76" s="71"/>
      <c r="P76" s="73"/>
      <c r="Q76" s="71"/>
      <c r="R76" s="71"/>
    </row>
    <row r="77" spans="1:27" ht="15" customHeight="1" thickTop="1" thickBot="1" x14ac:dyDescent="0.3">
      <c r="A77" s="150" t="s">
        <v>305</v>
      </c>
      <c r="B77" s="141"/>
      <c r="C77" s="151"/>
      <c r="D77" s="152" t="s">
        <v>109</v>
      </c>
      <c r="E77" s="141"/>
      <c r="F77" s="153"/>
      <c r="G77" s="140" t="s">
        <v>306</v>
      </c>
      <c r="H77" s="141"/>
      <c r="I77" s="142"/>
      <c r="J77" s="126" t="s">
        <v>305</v>
      </c>
      <c r="K77" s="127"/>
      <c r="L77" s="128"/>
      <c r="M77" s="136" t="s">
        <v>109</v>
      </c>
      <c r="N77" s="127"/>
      <c r="O77" s="137"/>
      <c r="P77" s="138" t="s">
        <v>306</v>
      </c>
      <c r="Q77" s="127"/>
      <c r="R77" s="139"/>
    </row>
    <row r="78" spans="1:27" ht="15" customHeight="1" x14ac:dyDescent="0.25">
      <c r="A78" s="143" t="str">
        <f ca="1">IFERROR(VLOOKUP(INDIRECT(A$51 &amp; "!D89"), INDIRECT(A$51 &amp; "!B38:T64"),19,FALSE),"")</f>
        <v>Bauer</v>
      </c>
      <c r="B78" s="144"/>
      <c r="C78" s="117">
        <f ca="1">IFERROR(INDIRECT(A$51 &amp; "!C89"),"")</f>
        <v>18</v>
      </c>
      <c r="D78" s="145" t="str">
        <f ca="1">IFERROR(VLOOKUP(INDIRECT(A$51 &amp; "!D94"), INDIRECT(A$51 &amp; "!B38:T64"),19,FALSE),"")</f>
        <v>Rebro</v>
      </c>
      <c r="E78" s="144"/>
      <c r="F78" s="117">
        <f ca="1">IFERROR(INDIRECT(A$51 &amp; "!F94"),"")</f>
        <v>4.32</v>
      </c>
      <c r="G78" s="145" t="str">
        <f ca="1">IFERROR(VLOOKUP(INDIRECT(A$51 &amp; "!D99"), INDIRECT(A$51 &amp; "!B38:T64"),19,FALSE),"")</f>
        <v>Rebro</v>
      </c>
      <c r="H78" s="144"/>
      <c r="I78" s="117">
        <f ca="1">IFERROR(INDIRECT(A$51 &amp; "!F99"),"")</f>
        <v>3</v>
      </c>
      <c r="J78" s="129" t="str">
        <f ca="1">IFERROR(VLOOKUP(INDIRECT(J$51 &amp; "!D89"), INDIRECT(J$51 &amp; "!B38:T64"),19,FALSE),"")</f>
        <v>Strachota</v>
      </c>
      <c r="K78" s="130"/>
      <c r="L78" s="121">
        <f ca="1">IFERROR(INDIRECT(J$51 &amp; "!C89"),"")</f>
        <v>10</v>
      </c>
      <c r="M78" s="131" t="str">
        <f ca="1">IFERROR(VLOOKUP(INDIRECT(J$51 &amp; "!D94"), INDIRECT(J$51 &amp; "!B38:T64"),19,FALSE),"")</f>
        <v>Šantora</v>
      </c>
      <c r="N78" s="130"/>
      <c r="O78" s="121">
        <f ca="1">IFERROR(INDIRECT(J$51 &amp; "!F94"),"")</f>
        <v>5.97</v>
      </c>
      <c r="P78" s="131" t="str">
        <f ca="1">IFERROR(VLOOKUP(INDIRECT(J$51 &amp; "!D99"), INDIRECT(J$51 &amp; "!B38:T64"),19,FALSE),"")</f>
        <v>Šantora</v>
      </c>
      <c r="Q78" s="130"/>
      <c r="R78" s="121">
        <f ca="1">IFERROR(INDIRECT(J$51 &amp; "!F99"),"")</f>
        <v>2</v>
      </c>
    </row>
    <row r="79" spans="1:27" ht="15" customHeight="1" x14ac:dyDescent="0.25">
      <c r="A79" s="146" t="str">
        <f ca="1">IFERROR(VLOOKUP(INDIRECT(A$51 &amp; "!D90"), INDIRECT(A$51 &amp; "!B38:T64"),19,FALSE),"")</f>
        <v>Vávra T.</v>
      </c>
      <c r="B79" s="147"/>
      <c r="C79" s="93">
        <f ca="1">IFERROR(INDIRECT(A$51 &amp; "!C90"),"")</f>
        <v>8</v>
      </c>
      <c r="D79" s="148" t="str">
        <f ca="1">IFERROR(VLOOKUP(INDIRECT(A$51 &amp; "!D95"), INDIRECT(A$51 &amp; "!B38:T64"),19,FALSE),"")</f>
        <v>Šimůnek</v>
      </c>
      <c r="E79" s="147"/>
      <c r="F79" s="109">
        <f ca="1">IFERROR(INDIRECT(A$51 &amp; "!F95"),"")</f>
        <v>6.31</v>
      </c>
      <c r="G79" s="149" t="str">
        <f ca="1">IFERROR(VLOOKUP(INDIRECT(A$51 &amp; "!D100"), INDIRECT(A$51 &amp; "!B38:T64"),19,FALSE),"")</f>
        <v>Šimůnek</v>
      </c>
      <c r="H79" s="147"/>
      <c r="I79" s="91">
        <f ca="1">IFERROR(INDIRECT(A$51 &amp; "!F100"),"")</f>
        <v>3</v>
      </c>
      <c r="J79" s="132" t="str">
        <f ca="1">IFERROR(VLOOKUP(INDIRECT(J$51 &amp; "!D90"), INDIRECT(J$51 &amp; "!B38:T64"),19,FALSE),"")</f>
        <v>Svoboda</v>
      </c>
      <c r="K79" s="133"/>
      <c r="L79" s="97">
        <f ca="1">IFERROR(INDIRECT(J$51 &amp; "!C90"),"")</f>
        <v>8</v>
      </c>
      <c r="M79" s="134" t="str">
        <f ca="1">IFERROR(VLOOKUP(INDIRECT(J$51 &amp; "!D95"), INDIRECT(J$51 &amp; "!B38:T64"),19,FALSE),"")</f>
        <v>Lorenc</v>
      </c>
      <c r="N79" s="133"/>
      <c r="O79" s="107">
        <f ca="1">IFERROR(INDIRECT(J$51 &amp; "!F95"),"")</f>
        <v>0</v>
      </c>
      <c r="P79" s="135" t="str">
        <f ca="1">IFERROR(VLOOKUP(INDIRECT(J$51 &amp; "!D100"), INDIRECT(J$51 &amp; "!B38:T64"),19,FALSE),"")</f>
        <v>Buchta</v>
      </c>
      <c r="Q79" s="133"/>
      <c r="R79" s="99">
        <f ca="1">IFERROR(INDIRECT(J$51 &amp; "!F100"),"")</f>
        <v>0</v>
      </c>
    </row>
    <row r="80" spans="1:27" ht="15" customHeight="1" x14ac:dyDescent="0.25">
      <c r="A80" s="146" t="str">
        <f ca="1">IFERROR(VLOOKUP(INDIRECT(A$51 &amp; "!D91"), INDIRECT(A$51 &amp; "!B38:T64"),19,FALSE),"")</f>
        <v>Strnad</v>
      </c>
      <c r="B80" s="147"/>
      <c r="C80" s="93">
        <f ca="1">IFERROR(INDIRECT(A$51 &amp; "!C91"),"")</f>
        <v>6</v>
      </c>
      <c r="D80" s="148" t="str">
        <f ca="1">IFERROR(VLOOKUP(INDIRECT(A$51 &amp; "!D96"), INDIRECT(A$51 &amp; "!B38:T64"),19,FALSE),"")</f>
        <v>Pergler K.</v>
      </c>
      <c r="E80" s="147"/>
      <c r="F80" s="109">
        <f ca="1">IFERROR(INDIRECT(A$51 &amp; "!F96"),"")</f>
        <v>0</v>
      </c>
      <c r="G80" s="149" t="str">
        <f ca="1">IFERROR(VLOOKUP(INDIRECT(A$51 &amp; "!D101"), INDIRECT(A$51 &amp; "!B38:T64"),19,FALSE),"")</f>
        <v>Hodík</v>
      </c>
      <c r="H80" s="147"/>
      <c r="I80" s="91">
        <f ca="1">IFERROR(INDIRECT(A$51 &amp; "!F101"),"")</f>
        <v>2</v>
      </c>
      <c r="J80" s="132" t="str">
        <f ca="1">IFERROR(VLOOKUP(INDIRECT(J$51 &amp; "!D91"), INDIRECT(J$51 &amp; "!B38:T64"),19,FALSE),"")</f>
        <v>Stuchlík Z.</v>
      </c>
      <c r="K80" s="133"/>
      <c r="L80" s="97">
        <f ca="1">IFERROR(INDIRECT(J$51 &amp; "!C91"),"")</f>
        <v>7</v>
      </c>
      <c r="M80" s="134" t="str">
        <f ca="1">IFERROR(VLOOKUP(INDIRECT(J$51 &amp; "!D96"), INDIRECT(J$51 &amp; "!B38:T64"),19,FALSE),"")</f>
        <v>Mazák</v>
      </c>
      <c r="N80" s="133"/>
      <c r="O80" s="107">
        <f ca="1">IFERROR(INDIRECT(J$51 &amp; "!F96"),"")</f>
        <v>7.18</v>
      </c>
      <c r="P80" s="135" t="str">
        <f ca="1">IFERROR(VLOOKUP(INDIRECT(J$51 &amp; "!D101"), INDIRECT(J$51 &amp; "!B38:T64"),19,FALSE),"")</f>
        <v>Lorenc</v>
      </c>
      <c r="Q80" s="133"/>
      <c r="R80" s="99">
        <f ca="1">IFERROR(INDIRECT(J$51 &amp; "!F101"),"")</f>
        <v>0</v>
      </c>
    </row>
    <row r="81" spans="1:18" ht="15" customHeight="1" x14ac:dyDescent="0.25">
      <c r="A81" s="146" t="str">
        <f ca="1">IFERROR(VLOOKUP(INDIRECT(A$51 &amp; "!D92"), INDIRECT(A$51 &amp; "!B38:T64"),19,FALSE),"")</f>
        <v>Horký</v>
      </c>
      <c r="B81" s="147"/>
      <c r="C81" s="93">
        <f ca="1">IFERROR(INDIRECT(A$51 &amp; "!C92"),"")</f>
        <v>4</v>
      </c>
      <c r="D81" s="148" t="str">
        <f ca="1">IFERROR(VLOOKUP(INDIRECT(A$51 &amp; "!D97"), INDIRECT(A$51 &amp; "!B38:T64"),19,FALSE),"")</f>
        <v>Hodík</v>
      </c>
      <c r="E81" s="147"/>
      <c r="F81" s="109">
        <f ca="1">IFERROR(INDIRECT(A$51 &amp; "!F97"),"")</f>
        <v>5.5</v>
      </c>
      <c r="G81" s="149" t="str">
        <f ca="1">IFERROR(VLOOKUP(INDIRECT(A$51 &amp; "!D102"), INDIRECT(A$51 &amp; "!B38:T64"),19,FALSE),"")</f>
        <v>Pergler K.</v>
      </c>
      <c r="H81" s="147"/>
      <c r="I81" s="91">
        <f ca="1">IFERROR(INDIRECT(A$51 &amp; "!F102"),"")</f>
        <v>0</v>
      </c>
      <c r="J81" s="132" t="str">
        <f ca="1">IFERROR(VLOOKUP(INDIRECT(J$51 &amp; "!D92"), INDIRECT(J$51 &amp; "!B38:T64"),19,FALSE),"")</f>
        <v>Stuchlík O.</v>
      </c>
      <c r="K81" s="133"/>
      <c r="L81" s="97">
        <f ca="1">IFERROR(INDIRECT(J$51 &amp; "!C92"),"")</f>
        <v>4</v>
      </c>
      <c r="M81" s="134" t="str">
        <f ca="1">IFERROR(VLOOKUP(INDIRECT(J$51 &amp; "!D97"), INDIRECT(J$51 &amp; "!B38:T64"),19,FALSE),"")</f>
        <v>Buchta</v>
      </c>
      <c r="N81" s="133"/>
      <c r="O81" s="107">
        <f ca="1">IFERROR(INDIRECT(J$51 &amp; "!F97"),"")</f>
        <v>7.66</v>
      </c>
      <c r="P81" s="135" t="str">
        <f ca="1">IFERROR(VLOOKUP(INDIRECT(J$51 &amp; "!D102"), INDIRECT(J$51 &amp; "!B38:T64"),19,FALSE),"")</f>
        <v>Mazák</v>
      </c>
      <c r="Q81" s="133"/>
      <c r="R81" s="99">
        <f ca="1">IFERROR(INDIRECT(J$51 &amp; "!F102"),"")</f>
        <v>0</v>
      </c>
    </row>
    <row r="82" spans="1:18" ht="15" customHeight="1" thickBot="1" x14ac:dyDescent="0.3">
      <c r="A82" s="239" t="str">
        <f ca="1">IFERROR(VLOOKUP(INDIRECT(A$51 &amp; "!D93"), INDIRECT(A$51 &amp; "!B38:T64"),19,FALSE),"")</f>
        <v>Majer</v>
      </c>
      <c r="B82" s="240"/>
      <c r="C82" s="94">
        <f ca="1">IFERROR(INDIRECT(A$51 &amp; "!C93"),"")</f>
        <v>4</v>
      </c>
      <c r="D82" s="241" t="str">
        <f ca="1">IFERROR(VLOOKUP(INDIRECT(A$51 &amp; "!D98"), INDIRECT(A$51 &amp; "!B38:T64"),19,FALSE),"")</f>
        <v/>
      </c>
      <c r="E82" s="240"/>
      <c r="F82" s="110" t="str">
        <f ca="1">IFERROR(INDIRECT(A$51 &amp; "!F98"),"")</f>
        <v/>
      </c>
      <c r="G82" s="242" t="str">
        <f ca="1">IFERROR(VLOOKUP(INDIRECT(A$51 &amp; "!D103"), INDIRECT(A$51 &amp; "!B38:T64"),19,FALSE),"")</f>
        <v/>
      </c>
      <c r="H82" s="240"/>
      <c r="I82" s="92" t="str">
        <f ca="1">IFERROR(INDIRECT(A$51 &amp; "!F103"),"")</f>
        <v/>
      </c>
      <c r="J82" s="259" t="str">
        <f ca="1">IFERROR(VLOOKUP(INDIRECT(J$51 &amp; "!D93"), INDIRECT(J$51 &amp; "!B38:T64"),19,FALSE),"")</f>
        <v>Hartman</v>
      </c>
      <c r="K82" s="260"/>
      <c r="L82" s="100">
        <f ca="1">IFERROR(INDIRECT(J$51 &amp; "!C93"),"")</f>
        <v>4</v>
      </c>
      <c r="M82" s="261" t="str">
        <f ca="1">IFERROR(VLOOKUP(INDIRECT(J$51 &amp; "!D98"), INDIRECT(J$51 &amp; "!B38:T64"),19,FALSE),"")</f>
        <v/>
      </c>
      <c r="N82" s="260"/>
      <c r="O82" s="108" t="str">
        <f ca="1">IFERROR(INDIRECT(J$51 &amp; "!F98"),"")</f>
        <v/>
      </c>
      <c r="P82" s="262" t="str">
        <f ca="1">IFERROR(VLOOKUP(INDIRECT(J$51 &amp; "!D103"), INDIRECT(J$51 &amp; "!B38:T64"),19,FALSE),"")</f>
        <v/>
      </c>
      <c r="Q82" s="260"/>
      <c r="R82" s="114" t="str">
        <f ca="1">IFERROR(INDIRECT(J$51 &amp; "!F103"),"")</f>
        <v/>
      </c>
    </row>
    <row r="83" spans="1:18" ht="15" customHeight="1" thickTop="1" x14ac:dyDescent="0.25">
      <c r="A83" s="71"/>
      <c r="B83" s="71"/>
      <c r="C83" s="71"/>
      <c r="D83" s="71"/>
      <c r="E83" s="71"/>
      <c r="F83" s="72"/>
      <c r="G83" s="71"/>
      <c r="H83" s="71"/>
      <c r="I83" s="71"/>
      <c r="J83" s="71"/>
      <c r="K83" s="71"/>
      <c r="L83" s="71"/>
      <c r="M83" s="71"/>
      <c r="N83" s="71"/>
      <c r="O83" s="71"/>
      <c r="P83" s="71"/>
      <c r="Q83" s="71"/>
      <c r="R83" s="72"/>
    </row>
    <row r="84" spans="1:18" ht="15" customHeight="1" thickBot="1" x14ac:dyDescent="0.3">
      <c r="A84" s="71"/>
      <c r="B84" s="71"/>
      <c r="C84" s="71"/>
      <c r="D84" s="71"/>
      <c r="E84" s="71"/>
      <c r="F84" s="72"/>
      <c r="G84" s="71"/>
      <c r="H84" s="71"/>
      <c r="I84" s="71"/>
      <c r="J84" s="71"/>
      <c r="K84" s="71"/>
      <c r="L84" s="71"/>
      <c r="M84" s="71"/>
      <c r="N84" s="71"/>
      <c r="O84" s="71"/>
      <c r="P84" s="71"/>
      <c r="Q84" s="71"/>
      <c r="R84" s="72"/>
    </row>
    <row r="85" spans="1:18" ht="15" customHeight="1" thickTop="1" thickBot="1" x14ac:dyDescent="0.3">
      <c r="A85" s="150" t="s">
        <v>58</v>
      </c>
      <c r="B85" s="141"/>
      <c r="C85" s="141"/>
      <c r="D85" s="141"/>
      <c r="E85" s="141"/>
      <c r="F85" s="141"/>
      <c r="G85" s="141"/>
      <c r="H85" s="142"/>
      <c r="I85" s="71"/>
      <c r="J85" s="126" t="s">
        <v>58</v>
      </c>
      <c r="K85" s="127"/>
      <c r="L85" s="127"/>
      <c r="M85" s="127"/>
      <c r="N85" s="127"/>
      <c r="O85" s="127"/>
      <c r="P85" s="127"/>
      <c r="Q85" s="139"/>
      <c r="R85" s="71"/>
    </row>
    <row r="86" spans="1:18" ht="15" customHeight="1" x14ac:dyDescent="0.25">
      <c r="A86" s="243" t="str">
        <f ca="1">IFERROR(INDIRECT($A$51 &amp; "!Q2"),"")</f>
        <v>Sýkora -    +15 ±</v>
      </c>
      <c r="B86" s="167"/>
      <c r="C86" s="167"/>
      <c r="D86" s="167"/>
      <c r="E86" s="167" t="str">
        <f ca="1">IFERROR(INDIRECT($A$51 &amp; "!Q4"),"")</f>
        <v>vs. OST 5:9</v>
      </c>
      <c r="F86" s="167"/>
      <c r="G86" s="167"/>
      <c r="H86" s="234"/>
      <c r="I86" s="71"/>
      <c r="J86" s="245" t="str">
        <f ca="1">IFERROR(INDIRECT($J$51 &amp; "!Q2"),"")</f>
        <v>Gregor - 4 GP</v>
      </c>
      <c r="K86" s="246"/>
      <c r="L86" s="246"/>
      <c r="M86" s="246"/>
      <c r="N86" s="246" t="str">
        <f ca="1">IFERROR(INDIRECT($J$51 &amp; "!Q4"),"")</f>
        <v>Šantora - nula vs. OTR</v>
      </c>
      <c r="O86" s="246"/>
      <c r="P86" s="246"/>
      <c r="Q86" s="247"/>
      <c r="R86" s="71"/>
    </row>
    <row r="87" spans="1:18" ht="15" customHeight="1" thickBot="1" x14ac:dyDescent="0.3">
      <c r="A87" s="179" t="str">
        <f ca="1">IFERROR(INDIRECT($A$51 &amp; "!Q3"),"")</f>
        <v>vs. CLP 8:9</v>
      </c>
      <c r="B87" s="159"/>
      <c r="C87" s="159"/>
      <c r="D87" s="159"/>
      <c r="E87" s="159" t="str">
        <f ca="1">IFERROR(INDIRECT($A$51 &amp; "!Q5"),"")</f>
        <v>úmrtí Rebra</v>
      </c>
      <c r="F87" s="159"/>
      <c r="G87" s="159"/>
      <c r="H87" s="244"/>
      <c r="I87" s="71"/>
      <c r="J87" s="248" t="str">
        <f ca="1">IFERROR(INDIRECT($J$51 &amp; "!Q3"),"")</f>
        <v>Stuchlík O. - 3 GP</v>
      </c>
      <c r="K87" s="249"/>
      <c r="L87" s="249"/>
      <c r="M87" s="249"/>
      <c r="N87" s="249" t="str">
        <f ca="1">IFERROR(INDIRECT($J$51 &amp; "!Q5"),"")</f>
        <v>Lanc -    -13 ±</v>
      </c>
      <c r="O87" s="249"/>
      <c r="P87" s="249"/>
      <c r="Q87" s="250"/>
      <c r="R87" s="70"/>
    </row>
    <row r="88" spans="1:18" ht="15" customHeight="1" thickTop="1" x14ac:dyDescent="0.25">
      <c r="A88" s="75"/>
      <c r="B88" s="71"/>
      <c r="C88" s="71"/>
      <c r="D88" s="73"/>
      <c r="E88" s="71"/>
      <c r="F88" s="71"/>
      <c r="G88" s="71"/>
      <c r="H88" s="74"/>
      <c r="I88" s="71"/>
      <c r="J88" s="72"/>
      <c r="K88" s="71"/>
      <c r="L88" s="71"/>
      <c r="M88" s="73"/>
      <c r="N88" s="71"/>
      <c r="O88" s="71"/>
      <c r="P88" s="71"/>
      <c r="Q88" s="71"/>
      <c r="R88" s="71"/>
    </row>
    <row r="89" spans="1:18" ht="15" customHeight="1" thickBot="1" x14ac:dyDescent="0.3">
      <c r="A89" s="76"/>
      <c r="B89" s="77"/>
      <c r="C89" s="77"/>
      <c r="D89" s="78"/>
      <c r="E89" s="78"/>
      <c r="F89" s="79"/>
      <c r="G89" s="71"/>
      <c r="H89" s="74"/>
      <c r="I89" s="71"/>
      <c r="J89" s="72"/>
      <c r="K89" s="71"/>
      <c r="L89" s="71"/>
      <c r="M89" s="71"/>
      <c r="N89" s="71"/>
      <c r="O89" s="71"/>
      <c r="P89" s="71"/>
      <c r="Q89" s="71"/>
      <c r="R89" s="71"/>
    </row>
    <row r="90" spans="1:18" ht="15" customHeight="1" thickTop="1" thickBot="1" x14ac:dyDescent="0.3">
      <c r="A90" s="80"/>
      <c r="B90" s="80"/>
      <c r="C90" s="81"/>
      <c r="D90" s="81"/>
      <c r="E90" s="71"/>
      <c r="F90" s="150" t="s">
        <v>55</v>
      </c>
      <c r="G90" s="141"/>
      <c r="H90" s="141"/>
      <c r="I90" s="141"/>
      <c r="J90" s="141"/>
      <c r="K90" s="141"/>
      <c r="L90" s="141"/>
      <c r="M90" s="142"/>
      <c r="N90" s="71"/>
      <c r="O90" s="71"/>
      <c r="P90" s="71"/>
      <c r="Q90" s="71"/>
      <c r="R90" s="71"/>
    </row>
    <row r="91" spans="1:18" ht="15" customHeight="1" x14ac:dyDescent="0.25">
      <c r="A91" s="71"/>
      <c r="B91" s="71"/>
      <c r="C91" s="71"/>
      <c r="D91" s="71"/>
      <c r="E91" s="71"/>
      <c r="F91" s="231" t="s">
        <v>57</v>
      </c>
      <c r="G91" s="232"/>
      <c r="H91" s="232"/>
      <c r="I91" s="232"/>
      <c r="J91" s="111" t="s">
        <v>315</v>
      </c>
      <c r="K91" s="233">
        <v>43877</v>
      </c>
      <c r="L91" s="167"/>
      <c r="M91" s="234"/>
      <c r="N91" s="68"/>
      <c r="O91" s="68"/>
      <c r="P91" s="68"/>
      <c r="Q91" s="69"/>
      <c r="R91" s="70"/>
    </row>
    <row r="92" spans="1:18" ht="15" customHeight="1" x14ac:dyDescent="0.25">
      <c r="A92" s="71"/>
      <c r="B92" s="71"/>
      <c r="C92" s="71"/>
      <c r="D92" s="71"/>
      <c r="E92" s="71"/>
      <c r="F92" s="235" t="s">
        <v>316</v>
      </c>
      <c r="G92" s="236"/>
      <c r="H92" s="236"/>
      <c r="I92" s="236"/>
      <c r="J92" s="112" t="s">
        <v>317</v>
      </c>
      <c r="K92" s="237">
        <v>43798</v>
      </c>
      <c r="L92" s="174"/>
      <c r="M92" s="238"/>
      <c r="N92" s="71"/>
      <c r="O92" s="71"/>
      <c r="P92" s="71"/>
      <c r="Q92" s="71"/>
      <c r="R92" s="71"/>
    </row>
    <row r="93" spans="1:18" ht="15" customHeight="1" x14ac:dyDescent="0.25">
      <c r="A93" s="68"/>
      <c r="B93" s="68"/>
      <c r="C93" s="68"/>
      <c r="D93" s="68"/>
      <c r="E93" s="69"/>
      <c r="F93" s="235" t="s">
        <v>57</v>
      </c>
      <c r="G93" s="236"/>
      <c r="H93" s="236"/>
      <c r="I93" s="236"/>
      <c r="J93" s="112" t="s">
        <v>318</v>
      </c>
      <c r="K93" s="237">
        <v>43454</v>
      </c>
      <c r="L93" s="174"/>
      <c r="M93" s="238"/>
      <c r="N93" s="71"/>
      <c r="O93" s="71"/>
      <c r="P93" s="71"/>
      <c r="Q93" s="71"/>
      <c r="R93" s="71"/>
    </row>
    <row r="94" spans="1:18" ht="15" customHeight="1" x14ac:dyDescent="0.25">
      <c r="A94" s="75"/>
      <c r="B94" s="71"/>
      <c r="C94" s="71"/>
      <c r="D94" s="73"/>
      <c r="E94" s="71"/>
      <c r="F94" s="235" t="s">
        <v>316</v>
      </c>
      <c r="G94" s="236"/>
      <c r="H94" s="236"/>
      <c r="I94" s="236"/>
      <c r="J94" s="112" t="s">
        <v>319</v>
      </c>
      <c r="K94" s="237">
        <v>43384</v>
      </c>
      <c r="L94" s="174"/>
      <c r="M94" s="238"/>
      <c r="N94" s="71"/>
      <c r="O94" s="71"/>
      <c r="P94" s="71"/>
      <c r="Q94" s="71"/>
      <c r="R94" s="71"/>
    </row>
    <row r="95" spans="1:18" ht="15" customHeight="1" x14ac:dyDescent="0.25">
      <c r="A95" s="76"/>
      <c r="B95" s="77"/>
      <c r="C95" s="77"/>
      <c r="D95" s="78"/>
      <c r="E95" s="78"/>
      <c r="F95" s="235" t="s">
        <v>316</v>
      </c>
      <c r="G95" s="236"/>
      <c r="H95" s="236"/>
      <c r="I95" s="236"/>
      <c r="J95" s="112" t="s">
        <v>320</v>
      </c>
      <c r="K95" s="237">
        <v>42428</v>
      </c>
      <c r="L95" s="174"/>
      <c r="M95" s="238"/>
      <c r="N95" s="68"/>
      <c r="O95" s="68"/>
      <c r="P95" s="68"/>
      <c r="Q95" s="69"/>
      <c r="R95" s="70"/>
    </row>
    <row r="96" spans="1:18" ht="15" customHeight="1" x14ac:dyDescent="0.25">
      <c r="A96" s="80"/>
      <c r="B96" s="80"/>
      <c r="C96" s="81"/>
      <c r="D96" s="81"/>
      <c r="E96" s="71"/>
      <c r="F96" s="235" t="s">
        <v>57</v>
      </c>
      <c r="G96" s="236"/>
      <c r="H96" s="236"/>
      <c r="I96" s="236"/>
      <c r="J96" s="112" t="s">
        <v>321</v>
      </c>
      <c r="K96" s="237">
        <v>42295</v>
      </c>
      <c r="L96" s="174"/>
      <c r="M96" s="238"/>
      <c r="N96" s="71"/>
      <c r="O96" s="71"/>
      <c r="P96" s="71"/>
      <c r="Q96" s="71"/>
      <c r="R96" s="71"/>
    </row>
    <row r="97" spans="1:18" ht="15" customHeight="1" x14ac:dyDescent="0.25">
      <c r="A97" s="71"/>
      <c r="B97" s="71"/>
      <c r="C97" s="71"/>
      <c r="D97" s="71"/>
      <c r="E97" s="71"/>
      <c r="F97" s="235" t="s">
        <v>316</v>
      </c>
      <c r="G97" s="236"/>
      <c r="H97" s="236"/>
      <c r="I97" s="236"/>
      <c r="J97" s="112" t="s">
        <v>322</v>
      </c>
      <c r="K97" s="237">
        <v>42050</v>
      </c>
      <c r="L97" s="174"/>
      <c r="M97" s="238"/>
      <c r="N97" s="71"/>
      <c r="O97" s="71"/>
      <c r="P97" s="71"/>
      <c r="Q97" s="71"/>
      <c r="R97" s="71"/>
    </row>
    <row r="98" spans="1:18" ht="15" customHeight="1" thickBot="1" x14ac:dyDescent="0.3">
      <c r="A98" s="71"/>
      <c r="B98" s="71"/>
      <c r="C98" s="71"/>
      <c r="D98" s="71"/>
      <c r="E98" s="71"/>
      <c r="F98" s="251" t="s">
        <v>57</v>
      </c>
      <c r="G98" s="252"/>
      <c r="H98" s="252"/>
      <c r="I98" s="252"/>
      <c r="J98" s="113" t="s">
        <v>323</v>
      </c>
      <c r="K98" s="253">
        <v>41903</v>
      </c>
      <c r="L98" s="159"/>
      <c r="M98" s="244"/>
      <c r="N98" s="68"/>
      <c r="O98" s="68"/>
      <c r="P98" s="68"/>
      <c r="Q98" s="68"/>
      <c r="R98" s="82"/>
    </row>
    <row r="99" spans="1:18" ht="15" customHeight="1" thickTop="1" x14ac:dyDescent="0.25">
      <c r="A99" s="71"/>
      <c r="B99" s="71"/>
      <c r="C99" s="71"/>
      <c r="D99" s="71"/>
      <c r="E99" s="71"/>
      <c r="F99" s="71"/>
      <c r="G99" s="71"/>
      <c r="H99" s="71"/>
      <c r="I99" s="71"/>
      <c r="J99" s="71"/>
      <c r="K99" s="71"/>
      <c r="L99" s="71"/>
      <c r="M99" s="68"/>
      <c r="N99" s="68"/>
      <c r="O99" s="68"/>
      <c r="P99" s="68"/>
      <c r="Q99" s="68"/>
      <c r="R99" s="82"/>
    </row>
    <row r="100" spans="1:18" ht="15" customHeight="1" x14ac:dyDescent="0.25">
      <c r="A100" s="68"/>
      <c r="B100" s="68"/>
      <c r="C100" s="68"/>
      <c r="D100" s="68"/>
      <c r="E100" s="71"/>
      <c r="F100" s="71"/>
      <c r="G100" s="124">
        <v>44205</v>
      </c>
      <c r="H100" s="125"/>
      <c r="I100" s="125"/>
      <c r="J100" s="125"/>
      <c r="K100" s="125"/>
      <c r="L100" s="125"/>
      <c r="M100" s="68"/>
      <c r="N100" s="71"/>
      <c r="O100" s="71"/>
      <c r="P100" s="71"/>
      <c r="Q100" s="71"/>
      <c r="R100" s="71"/>
    </row>
    <row r="101" spans="1:18" ht="15" customHeight="1" x14ac:dyDescent="0.25">
      <c r="A101" s="71"/>
      <c r="B101" s="83"/>
      <c r="C101" s="83"/>
      <c r="D101" s="83"/>
      <c r="E101" s="83"/>
      <c r="F101" s="83"/>
      <c r="G101" s="83"/>
      <c r="H101" s="83"/>
      <c r="I101" s="83"/>
      <c r="J101" s="73"/>
      <c r="K101" s="84"/>
      <c r="L101" s="84"/>
      <c r="M101" s="84"/>
      <c r="N101" s="84"/>
      <c r="O101" s="84"/>
      <c r="P101" s="84"/>
      <c r="Q101" s="84"/>
      <c r="R101" s="84"/>
    </row>
    <row r="102" spans="1:18" ht="15" customHeight="1" x14ac:dyDescent="0.25">
      <c r="A102" s="22"/>
      <c r="B102" s="66"/>
      <c r="C102" s="66"/>
      <c r="D102" s="66"/>
      <c r="E102" s="66"/>
      <c r="F102" s="66"/>
      <c r="G102" s="66"/>
      <c r="H102" s="66"/>
      <c r="I102" s="66"/>
      <c r="J102" s="58"/>
      <c r="K102" s="58"/>
      <c r="L102" s="58"/>
      <c r="M102" s="58"/>
      <c r="N102" s="22"/>
      <c r="O102" s="22"/>
      <c r="P102" s="22"/>
      <c r="Q102" s="22"/>
      <c r="R102" s="22"/>
    </row>
    <row r="103" spans="1:18" ht="15" customHeight="1" x14ac:dyDescent="0.25">
      <c r="A103" s="22"/>
      <c r="B103" s="66"/>
      <c r="C103" s="66"/>
      <c r="D103" s="66"/>
      <c r="E103" s="66"/>
      <c r="F103" s="66"/>
      <c r="G103" s="66"/>
      <c r="H103" s="66"/>
      <c r="I103" s="66"/>
      <c r="J103" s="23"/>
      <c r="K103" s="67"/>
      <c r="L103" s="67"/>
      <c r="M103" s="67"/>
      <c r="N103" s="67"/>
      <c r="O103" s="67"/>
      <c r="P103" s="67"/>
      <c r="Q103" s="67"/>
      <c r="R103" s="67"/>
    </row>
  </sheetData>
  <mergeCells count="485">
    <mergeCell ref="M74:N74"/>
    <mergeCell ref="A75:B75"/>
    <mergeCell ref="M75:N75"/>
    <mergeCell ref="G72:H72"/>
    <mergeCell ref="D72:E72"/>
    <mergeCell ref="P72:Q72"/>
    <mergeCell ref="D74:E74"/>
    <mergeCell ref="G74:H74"/>
    <mergeCell ref="D75:E75"/>
    <mergeCell ref="G75:H75"/>
    <mergeCell ref="P74:Q74"/>
    <mergeCell ref="J75:K75"/>
    <mergeCell ref="P75:Q75"/>
    <mergeCell ref="A59:B59"/>
    <mergeCell ref="C59:H59"/>
    <mergeCell ref="J59:K59"/>
    <mergeCell ref="E64:F64"/>
    <mergeCell ref="A62:B62"/>
    <mergeCell ref="A63:B63"/>
    <mergeCell ref="N64:O64"/>
    <mergeCell ref="G71:H71"/>
    <mergeCell ref="A61:D61"/>
    <mergeCell ref="C62:D62"/>
    <mergeCell ref="C63:D63"/>
    <mergeCell ref="A64:B64"/>
    <mergeCell ref="C64:D64"/>
    <mergeCell ref="A65:B65"/>
    <mergeCell ref="C65:D65"/>
    <mergeCell ref="A66:B66"/>
    <mergeCell ref="C66:D66"/>
    <mergeCell ref="E61:H61"/>
    <mergeCell ref="E62:F62"/>
    <mergeCell ref="G62:H62"/>
    <mergeCell ref="E63:F63"/>
    <mergeCell ref="G63:H63"/>
    <mergeCell ref="G64:H64"/>
    <mergeCell ref="K40:M40"/>
    <mergeCell ref="N40:P40"/>
    <mergeCell ref="J42:P42"/>
    <mergeCell ref="K43:L43"/>
    <mergeCell ref="P43:R43"/>
    <mergeCell ref="K44:M44"/>
    <mergeCell ref="N44:P44"/>
    <mergeCell ref="N35:O35"/>
    <mergeCell ref="N43:O43"/>
    <mergeCell ref="AF18:AG18"/>
    <mergeCell ref="AI18:AJ18"/>
    <mergeCell ref="Z19:AC20"/>
    <mergeCell ref="AE19:AG19"/>
    <mergeCell ref="AH19:AJ19"/>
    <mergeCell ref="AE20:AG20"/>
    <mergeCell ref="AH20:AI20"/>
    <mergeCell ref="S26:U26"/>
    <mergeCell ref="V26:W26"/>
    <mergeCell ref="W18:X18"/>
    <mergeCell ref="S19:U19"/>
    <mergeCell ref="V19:X19"/>
    <mergeCell ref="S20:U20"/>
    <mergeCell ref="V20:W20"/>
    <mergeCell ref="S23:V23"/>
    <mergeCell ref="Z23:AC23"/>
    <mergeCell ref="AE23:AH23"/>
    <mergeCell ref="T24:U24"/>
    <mergeCell ref="W24:X24"/>
    <mergeCell ref="AF24:AG24"/>
    <mergeCell ref="AI24:AJ24"/>
    <mergeCell ref="S25:U25"/>
    <mergeCell ref="V25:X25"/>
    <mergeCell ref="Y25:AB25"/>
    <mergeCell ref="Y17:AA17"/>
    <mergeCell ref="AB17:AC17"/>
    <mergeCell ref="AF13:AG13"/>
    <mergeCell ref="AI13:AJ13"/>
    <mergeCell ref="AE14:AG14"/>
    <mergeCell ref="AH14:AJ14"/>
    <mergeCell ref="AC15:AD15"/>
    <mergeCell ref="AE15:AG15"/>
    <mergeCell ref="AH15:AI15"/>
    <mergeCell ref="AE17:AH17"/>
    <mergeCell ref="AE6:AH6"/>
    <mergeCell ref="AF7:AG7"/>
    <mergeCell ref="AH9:AI9"/>
    <mergeCell ref="AB6:AC6"/>
    <mergeCell ref="AE4:AG4"/>
    <mergeCell ref="Y14:AB14"/>
    <mergeCell ref="Z15:AA15"/>
    <mergeCell ref="Y16:AA16"/>
    <mergeCell ref="AB16:AD16"/>
    <mergeCell ref="AI7:AJ7"/>
    <mergeCell ref="G27:I27"/>
    <mergeCell ref="J27:L27"/>
    <mergeCell ref="G28:I28"/>
    <mergeCell ref="J28:K28"/>
    <mergeCell ref="A28:D28"/>
    <mergeCell ref="B29:C29"/>
    <mergeCell ref="E29:F29"/>
    <mergeCell ref="S3:U3"/>
    <mergeCell ref="S4:U4"/>
    <mergeCell ref="M12:P12"/>
    <mergeCell ref="N13:O13"/>
    <mergeCell ref="Q13:R13"/>
    <mergeCell ref="M14:O14"/>
    <mergeCell ref="P14:R14"/>
    <mergeCell ref="M15:O15"/>
    <mergeCell ref="P15:Q15"/>
    <mergeCell ref="G14:J14"/>
    <mergeCell ref="H15:I15"/>
    <mergeCell ref="K15:L15"/>
    <mergeCell ref="A9:C9"/>
    <mergeCell ref="D9:E9"/>
    <mergeCell ref="A12:D12"/>
    <mergeCell ref="B13:C13"/>
    <mergeCell ref="E13:F13"/>
    <mergeCell ref="A1:D1"/>
    <mergeCell ref="E2:F2"/>
    <mergeCell ref="B2:C2"/>
    <mergeCell ref="A4:C4"/>
    <mergeCell ref="D4:E4"/>
    <mergeCell ref="M8:O8"/>
    <mergeCell ref="P8:R8"/>
    <mergeCell ref="M9:O9"/>
    <mergeCell ref="P9:Q9"/>
    <mergeCell ref="B7:C7"/>
    <mergeCell ref="E7:F7"/>
    <mergeCell ref="A8:C8"/>
    <mergeCell ref="D8:F8"/>
    <mergeCell ref="D3:F3"/>
    <mergeCell ref="A3:C3"/>
    <mergeCell ref="G3:J3"/>
    <mergeCell ref="H4:I4"/>
    <mergeCell ref="K4:L4"/>
    <mergeCell ref="G5:I5"/>
    <mergeCell ref="J5:L5"/>
    <mergeCell ref="G6:I6"/>
    <mergeCell ref="J6:K6"/>
    <mergeCell ref="A6:D6"/>
    <mergeCell ref="M1:P1"/>
    <mergeCell ref="N2:O2"/>
    <mergeCell ref="Q2:R2"/>
    <mergeCell ref="M3:O3"/>
    <mergeCell ref="P3:R3"/>
    <mergeCell ref="M4:O4"/>
    <mergeCell ref="P4:Q4"/>
    <mergeCell ref="M6:P6"/>
    <mergeCell ref="N7:O7"/>
    <mergeCell ref="Q7:R7"/>
    <mergeCell ref="A14:C14"/>
    <mergeCell ref="D14:F14"/>
    <mergeCell ref="A15:C15"/>
    <mergeCell ref="D15:E15"/>
    <mergeCell ref="J16:L16"/>
    <mergeCell ref="G17:I17"/>
    <mergeCell ref="J17:K17"/>
    <mergeCell ref="A17:D17"/>
    <mergeCell ref="B18:C18"/>
    <mergeCell ref="E18:F18"/>
    <mergeCell ref="A19:C19"/>
    <mergeCell ref="D19:F19"/>
    <mergeCell ref="A20:C20"/>
    <mergeCell ref="D20:E20"/>
    <mergeCell ref="G16:I16"/>
    <mergeCell ref="M17:P17"/>
    <mergeCell ref="N18:O18"/>
    <mergeCell ref="Q18:R18"/>
    <mergeCell ref="M19:O19"/>
    <mergeCell ref="P19:R19"/>
    <mergeCell ref="M20:O20"/>
    <mergeCell ref="P20:Q20"/>
    <mergeCell ref="M23:P23"/>
    <mergeCell ref="N24:O24"/>
    <mergeCell ref="Q24:R24"/>
    <mergeCell ref="A23:D23"/>
    <mergeCell ref="B24:C24"/>
    <mergeCell ref="E24:F24"/>
    <mergeCell ref="A25:C25"/>
    <mergeCell ref="D25:F25"/>
    <mergeCell ref="A26:C26"/>
    <mergeCell ref="D26:E26"/>
    <mergeCell ref="G25:J25"/>
    <mergeCell ref="H26:I26"/>
    <mergeCell ref="A30:C30"/>
    <mergeCell ref="D30:F30"/>
    <mergeCell ref="A31:C31"/>
    <mergeCell ref="D31:E31"/>
    <mergeCell ref="M28:P28"/>
    <mergeCell ref="N29:O29"/>
    <mergeCell ref="Q29:R29"/>
    <mergeCell ref="M30:O30"/>
    <mergeCell ref="P30:R30"/>
    <mergeCell ref="M31:O31"/>
    <mergeCell ref="P31:Q31"/>
    <mergeCell ref="E47:I47"/>
    <mergeCell ref="J47:M47"/>
    <mergeCell ref="A34:D34"/>
    <mergeCell ref="B35:C35"/>
    <mergeCell ref="E35:F35"/>
    <mergeCell ref="A40:D40"/>
    <mergeCell ref="B41:C41"/>
    <mergeCell ref="E41:F41"/>
    <mergeCell ref="B36:C36"/>
    <mergeCell ref="A37:B37"/>
    <mergeCell ref="D36:E36"/>
    <mergeCell ref="J34:P34"/>
    <mergeCell ref="K35:L35"/>
    <mergeCell ref="P35:R35"/>
    <mergeCell ref="K36:M36"/>
    <mergeCell ref="N36:P36"/>
    <mergeCell ref="J38:P38"/>
    <mergeCell ref="E37:F37"/>
    <mergeCell ref="Q40:R40"/>
    <mergeCell ref="Q36:R36"/>
    <mergeCell ref="D42:E42"/>
    <mergeCell ref="A43:B43"/>
    <mergeCell ref="N47:R47"/>
    <mergeCell ref="Q44:R44"/>
    <mergeCell ref="M25:O25"/>
    <mergeCell ref="P25:R25"/>
    <mergeCell ref="M26:O26"/>
    <mergeCell ref="P26:Q26"/>
    <mergeCell ref="K26:L26"/>
    <mergeCell ref="J82:K82"/>
    <mergeCell ref="M82:N82"/>
    <mergeCell ref="P82:Q82"/>
    <mergeCell ref="N55:O55"/>
    <mergeCell ref="J70:L70"/>
    <mergeCell ref="M70:O70"/>
    <mergeCell ref="P70:R70"/>
    <mergeCell ref="J71:K71"/>
    <mergeCell ref="M71:N71"/>
    <mergeCell ref="P71:Q71"/>
    <mergeCell ref="J72:K72"/>
    <mergeCell ref="M72:N72"/>
    <mergeCell ref="J73:K73"/>
    <mergeCell ref="M73:N73"/>
    <mergeCell ref="P73:Q73"/>
    <mergeCell ref="J74:K74"/>
    <mergeCell ref="N39:O39"/>
    <mergeCell ref="K39:L39"/>
    <mergeCell ref="P39:R39"/>
    <mergeCell ref="P78:Q78"/>
    <mergeCell ref="J80:K80"/>
    <mergeCell ref="P66:Q66"/>
    <mergeCell ref="A69:R69"/>
    <mergeCell ref="H1:K1"/>
    <mergeCell ref="H12:K12"/>
    <mergeCell ref="H23:K23"/>
    <mergeCell ref="H34:H44"/>
    <mergeCell ref="K50:R50"/>
    <mergeCell ref="B48:I50"/>
    <mergeCell ref="A48:A50"/>
    <mergeCell ref="B42:C42"/>
    <mergeCell ref="C37:D37"/>
    <mergeCell ref="D38:E38"/>
    <mergeCell ref="A38:C38"/>
    <mergeCell ref="C43:D43"/>
    <mergeCell ref="E43:F43"/>
    <mergeCell ref="A44:C44"/>
    <mergeCell ref="D44:E44"/>
    <mergeCell ref="A47:D47"/>
    <mergeCell ref="A55:B55"/>
    <mergeCell ref="E55:F55"/>
    <mergeCell ref="J55:K55"/>
    <mergeCell ref="K48:R48"/>
    <mergeCell ref="K98:M98"/>
    <mergeCell ref="K94:M94"/>
    <mergeCell ref="F94:I94"/>
    <mergeCell ref="F95:I95"/>
    <mergeCell ref="K95:M95"/>
    <mergeCell ref="F96:I96"/>
    <mergeCell ref="K96:M96"/>
    <mergeCell ref="F97:I97"/>
    <mergeCell ref="K97:M97"/>
    <mergeCell ref="A82:B82"/>
    <mergeCell ref="D82:E82"/>
    <mergeCell ref="G82:H82"/>
    <mergeCell ref="A85:H85"/>
    <mergeCell ref="A86:D86"/>
    <mergeCell ref="E86:H86"/>
    <mergeCell ref="E87:H87"/>
    <mergeCell ref="J85:Q85"/>
    <mergeCell ref="J86:M86"/>
    <mergeCell ref="N86:Q86"/>
    <mergeCell ref="J87:M87"/>
    <mergeCell ref="N87:Q87"/>
    <mergeCell ref="A87:D87"/>
    <mergeCell ref="AI2:AJ2"/>
    <mergeCell ref="V3:X3"/>
    <mergeCell ref="Y3:AB3"/>
    <mergeCell ref="AE3:AG3"/>
    <mergeCell ref="AH3:AJ3"/>
    <mergeCell ref="V4:W4"/>
    <mergeCell ref="Z4:AA4"/>
    <mergeCell ref="AC4:AD4"/>
    <mergeCell ref="AH4:AI4"/>
    <mergeCell ref="H8:K9"/>
    <mergeCell ref="H19:K20"/>
    <mergeCell ref="H30:K31"/>
    <mergeCell ref="S1:V1"/>
    <mergeCell ref="Z1:AC1"/>
    <mergeCell ref="AE1:AH1"/>
    <mergeCell ref="T2:U2"/>
    <mergeCell ref="W2:X2"/>
    <mergeCell ref="AF2:AG2"/>
    <mergeCell ref="Y5:AA5"/>
    <mergeCell ref="AB5:AD5"/>
    <mergeCell ref="S6:V6"/>
    <mergeCell ref="Y6:AA6"/>
    <mergeCell ref="V9:W9"/>
    <mergeCell ref="T7:U7"/>
    <mergeCell ref="W7:X7"/>
    <mergeCell ref="T13:U13"/>
    <mergeCell ref="W13:X13"/>
    <mergeCell ref="S14:U14"/>
    <mergeCell ref="V14:X14"/>
    <mergeCell ref="S15:U15"/>
    <mergeCell ref="V15:W15"/>
    <mergeCell ref="S17:V17"/>
    <mergeCell ref="T18:U18"/>
    <mergeCell ref="S8:U8"/>
    <mergeCell ref="V8:X8"/>
    <mergeCell ref="Z8:AC9"/>
    <mergeCell ref="AE8:AG8"/>
    <mergeCell ref="AH8:AJ8"/>
    <mergeCell ref="S9:U9"/>
    <mergeCell ref="AE9:AG9"/>
    <mergeCell ref="S12:V12"/>
    <mergeCell ref="Z12:AC12"/>
    <mergeCell ref="AE12:AH12"/>
    <mergeCell ref="AE25:AG25"/>
    <mergeCell ref="AH25:AJ25"/>
    <mergeCell ref="Z26:AA26"/>
    <mergeCell ref="AC26:AD26"/>
    <mergeCell ref="AE26:AG26"/>
    <mergeCell ref="AH26:AI26"/>
    <mergeCell ref="Y27:AA27"/>
    <mergeCell ref="S28:V28"/>
    <mergeCell ref="Y28:AA28"/>
    <mergeCell ref="AB28:AC28"/>
    <mergeCell ref="AE28:AH28"/>
    <mergeCell ref="AB27:AD27"/>
    <mergeCell ref="T29:U29"/>
    <mergeCell ref="W29:X29"/>
    <mergeCell ref="AF29:AG29"/>
    <mergeCell ref="AI29:AJ29"/>
    <mergeCell ref="V30:X30"/>
    <mergeCell ref="Z30:AC31"/>
    <mergeCell ref="AE30:AG30"/>
    <mergeCell ref="AH30:AJ30"/>
    <mergeCell ref="S31:U31"/>
    <mergeCell ref="V31:W31"/>
    <mergeCell ref="AE31:AG31"/>
    <mergeCell ref="AH31:AI31"/>
    <mergeCell ref="S30:U30"/>
    <mergeCell ref="AH43:AJ43"/>
    <mergeCell ref="Z34:Z44"/>
    <mergeCell ref="AB34:AH34"/>
    <mergeCell ref="T35:U35"/>
    <mergeCell ref="W35:X35"/>
    <mergeCell ref="AC35:AD35"/>
    <mergeCell ref="AF35:AG35"/>
    <mergeCell ref="AH35:AJ35"/>
    <mergeCell ref="T36:U36"/>
    <mergeCell ref="V36:W36"/>
    <mergeCell ref="AC36:AE36"/>
    <mergeCell ref="AF36:AH36"/>
    <mergeCell ref="AC43:AD43"/>
    <mergeCell ref="S34:V34"/>
    <mergeCell ref="W37:X37"/>
    <mergeCell ref="S38:U38"/>
    <mergeCell ref="V38:W38"/>
    <mergeCell ref="AB38:AH38"/>
    <mergeCell ref="AF39:AG39"/>
    <mergeCell ref="AH39:AJ39"/>
    <mergeCell ref="S40:V40"/>
    <mergeCell ref="AC40:AE40"/>
    <mergeCell ref="AI36:AJ36"/>
    <mergeCell ref="S37:T37"/>
    <mergeCell ref="U37:V37"/>
    <mergeCell ref="S44:U44"/>
    <mergeCell ref="V44:W44"/>
    <mergeCell ref="AC44:AE44"/>
    <mergeCell ref="AF44:AH44"/>
    <mergeCell ref="AI44:AJ44"/>
    <mergeCell ref="S47:V47"/>
    <mergeCell ref="W47:AA47"/>
    <mergeCell ref="AB47:AE47"/>
    <mergeCell ref="AF47:AJ47"/>
    <mergeCell ref="AF40:AH40"/>
    <mergeCell ref="AI40:AJ40"/>
    <mergeCell ref="AC39:AD39"/>
    <mergeCell ref="T41:U41"/>
    <mergeCell ref="W41:X41"/>
    <mergeCell ref="T42:U42"/>
    <mergeCell ref="V42:W42"/>
    <mergeCell ref="AB42:AH42"/>
    <mergeCell ref="S43:T43"/>
    <mergeCell ref="U43:V43"/>
    <mergeCell ref="W43:X43"/>
    <mergeCell ref="AF43:AG43"/>
    <mergeCell ref="S48:S50"/>
    <mergeCell ref="T48:AA50"/>
    <mergeCell ref="AC48:AJ48"/>
    <mergeCell ref="AB49:AE49"/>
    <mergeCell ref="AF49:AJ49"/>
    <mergeCell ref="AC50:AJ50"/>
    <mergeCell ref="A51:I52"/>
    <mergeCell ref="J51:R52"/>
    <mergeCell ref="A54:B54"/>
    <mergeCell ref="E54:F54"/>
    <mergeCell ref="J54:K54"/>
    <mergeCell ref="N54:O54"/>
    <mergeCell ref="J49:M49"/>
    <mergeCell ref="N49:R49"/>
    <mergeCell ref="E65:F65"/>
    <mergeCell ref="G65:H65"/>
    <mergeCell ref="E66:F66"/>
    <mergeCell ref="G66:H66"/>
    <mergeCell ref="J61:M61"/>
    <mergeCell ref="N61:Q61"/>
    <mergeCell ref="J62:K62"/>
    <mergeCell ref="L62:M62"/>
    <mergeCell ref="N62:O62"/>
    <mergeCell ref="P62:Q62"/>
    <mergeCell ref="J63:K63"/>
    <mergeCell ref="L63:M63"/>
    <mergeCell ref="N63:O63"/>
    <mergeCell ref="P63:Q63"/>
    <mergeCell ref="J64:K64"/>
    <mergeCell ref="L64:M64"/>
    <mergeCell ref="P64:Q64"/>
    <mergeCell ref="J65:K65"/>
    <mergeCell ref="L65:M65"/>
    <mergeCell ref="N65:O65"/>
    <mergeCell ref="P65:Q65"/>
    <mergeCell ref="J66:K66"/>
    <mergeCell ref="L66:M66"/>
    <mergeCell ref="N66:O66"/>
    <mergeCell ref="A77:C77"/>
    <mergeCell ref="D77:F77"/>
    <mergeCell ref="A70:C70"/>
    <mergeCell ref="D70:F70"/>
    <mergeCell ref="G70:I70"/>
    <mergeCell ref="A71:B71"/>
    <mergeCell ref="D71:E71"/>
    <mergeCell ref="A72:B72"/>
    <mergeCell ref="A73:B73"/>
    <mergeCell ref="D73:E73"/>
    <mergeCell ref="G73:H73"/>
    <mergeCell ref="A74:B74"/>
    <mergeCell ref="A78:B78"/>
    <mergeCell ref="G78:H78"/>
    <mergeCell ref="A79:B79"/>
    <mergeCell ref="D79:E79"/>
    <mergeCell ref="G79:H79"/>
    <mergeCell ref="D80:E80"/>
    <mergeCell ref="G80:H80"/>
    <mergeCell ref="A81:B81"/>
    <mergeCell ref="D81:E81"/>
    <mergeCell ref="G81:H81"/>
    <mergeCell ref="A80:B80"/>
    <mergeCell ref="D78:E78"/>
    <mergeCell ref="L59:Q59"/>
    <mergeCell ref="G100:L100"/>
    <mergeCell ref="J77:L77"/>
    <mergeCell ref="J78:K78"/>
    <mergeCell ref="M78:N78"/>
    <mergeCell ref="J79:K79"/>
    <mergeCell ref="M79:N79"/>
    <mergeCell ref="M80:N80"/>
    <mergeCell ref="P80:Q80"/>
    <mergeCell ref="J81:K81"/>
    <mergeCell ref="M81:N81"/>
    <mergeCell ref="P81:Q81"/>
    <mergeCell ref="P79:Q79"/>
    <mergeCell ref="M77:O77"/>
    <mergeCell ref="P77:R77"/>
    <mergeCell ref="G77:I77"/>
    <mergeCell ref="F91:I91"/>
    <mergeCell ref="K91:M91"/>
    <mergeCell ref="F92:I92"/>
    <mergeCell ref="K92:M92"/>
    <mergeCell ref="F93:I93"/>
    <mergeCell ref="K93:M93"/>
    <mergeCell ref="F90:M90"/>
    <mergeCell ref="F98:I98"/>
  </mergeCells>
  <conditionalFormatting sqref="A51:R52">
    <cfRule type="cellIs" dxfId="97" priority="113" stopIfTrue="1" operator="equal">
      <formula>"OTR"</formula>
    </cfRule>
    <cfRule type="cellIs" dxfId="96" priority="114" stopIfTrue="1" operator="equal">
      <formula>"PAR"</formula>
    </cfRule>
    <cfRule type="cellIs" dxfId="95" priority="115" stopIfTrue="1" operator="equal">
      <formula>"CLP"</formula>
    </cfRule>
    <cfRule type="cellIs" dxfId="94" priority="116" stopIfTrue="1" operator="equal">
      <formula>"HAT"</formula>
    </cfRule>
    <cfRule type="cellIs" dxfId="93" priority="117" stopIfTrue="1" operator="equal">
      <formula>"LIB"</formula>
    </cfRule>
    <cfRule type="cellIs" dxfId="92" priority="118" stopIfTrue="1" operator="equal">
      <formula>"BA"</formula>
    </cfRule>
    <cfRule type="cellIs" dxfId="91" priority="119" stopIfTrue="1" operator="equal">
      <formula>"SPA"</formula>
    </cfRule>
    <cfRule type="cellIs" dxfId="90" priority="120" stopIfTrue="1" operator="equal">
      <formula>"OST"</formula>
    </cfRule>
    <cfRule type="cellIs" dxfId="89" priority="121" stopIfTrue="1" operator="equal">
      <formula>"BOH"</formula>
    </cfRule>
    <cfRule type="cellIs" dxfId="88" priority="122" stopIfTrue="1" operator="equal">
      <formula>"TAT"</formula>
    </cfRule>
    <cfRule type="cellIs" dxfId="87" priority="123" stopIfTrue="1" operator="equal">
      <formula>"MB"</formula>
    </cfRule>
    <cfRule type="cellIs" dxfId="86" priority="124" stopIfTrue="1" operator="equal">
      <formula>"VIT"</formula>
    </cfRule>
    <cfRule type="cellIs" dxfId="85" priority="125" stopIfTrue="1" operator="equal">
      <formula>"CHO"</formula>
    </cfRule>
    <cfRule type="cellIs" dxfId="84" priority="126" stopIfTrue="1" operator="equal">
      <formula>"SKV"</formula>
    </cfRule>
  </conditionalFormatting>
  <conditionalFormatting sqref="H19:K20">
    <cfRule type="cellIs" dxfId="83" priority="99" stopIfTrue="1" operator="equal">
      <formula>"OTR"</formula>
    </cfRule>
    <cfRule type="cellIs" dxfId="82" priority="100" stopIfTrue="1" operator="equal">
      <formula>"PAR"</formula>
    </cfRule>
    <cfRule type="cellIs" dxfId="81" priority="101" stopIfTrue="1" operator="equal">
      <formula>"CLP"</formula>
    </cfRule>
    <cfRule type="cellIs" dxfId="80" priority="102" stopIfTrue="1" operator="equal">
      <formula>"HAT"</formula>
    </cfRule>
    <cfRule type="cellIs" dxfId="79" priority="103" stopIfTrue="1" operator="equal">
      <formula>"LIB"</formula>
    </cfRule>
    <cfRule type="cellIs" dxfId="78" priority="104" stopIfTrue="1" operator="equal">
      <formula>"BA"</formula>
    </cfRule>
    <cfRule type="cellIs" dxfId="77" priority="105" stopIfTrue="1" operator="equal">
      <formula>"SPA"</formula>
    </cfRule>
    <cfRule type="cellIs" dxfId="76" priority="106" stopIfTrue="1" operator="equal">
      <formula>"OST"</formula>
    </cfRule>
    <cfRule type="cellIs" dxfId="75" priority="107" stopIfTrue="1" operator="equal">
      <formula>"BOH"</formula>
    </cfRule>
    <cfRule type="cellIs" dxfId="74" priority="108" stopIfTrue="1" operator="equal">
      <formula>"TAT"</formula>
    </cfRule>
    <cfRule type="cellIs" dxfId="73" priority="109" stopIfTrue="1" operator="equal">
      <formula>"MB"</formula>
    </cfRule>
    <cfRule type="cellIs" dxfId="72" priority="110" stopIfTrue="1" operator="equal">
      <formula>"VIT"</formula>
    </cfRule>
    <cfRule type="cellIs" dxfId="71" priority="111" stopIfTrue="1" operator="equal">
      <formula>"CHO"</formula>
    </cfRule>
    <cfRule type="cellIs" dxfId="70" priority="112" stopIfTrue="1" operator="equal">
      <formula>"SKV"</formula>
    </cfRule>
  </conditionalFormatting>
  <conditionalFormatting sqref="Z8:AC9">
    <cfRule type="cellIs" dxfId="69" priority="57" stopIfTrue="1" operator="equal">
      <formula>"OTR"</formula>
    </cfRule>
    <cfRule type="cellIs" dxfId="68" priority="58" stopIfTrue="1" operator="equal">
      <formula>"PAR"</formula>
    </cfRule>
    <cfRule type="cellIs" dxfId="67" priority="59" stopIfTrue="1" operator="equal">
      <formula>"CLP"</formula>
    </cfRule>
    <cfRule type="cellIs" dxfId="66" priority="60" stopIfTrue="1" operator="equal">
      <formula>"HAT"</formula>
    </cfRule>
    <cfRule type="cellIs" dxfId="65" priority="61" stopIfTrue="1" operator="equal">
      <formula>"LIB"</formula>
    </cfRule>
    <cfRule type="cellIs" dxfId="64" priority="62" stopIfTrue="1" operator="equal">
      <formula>"BA"</formula>
    </cfRule>
    <cfRule type="cellIs" dxfId="63" priority="63" stopIfTrue="1" operator="equal">
      <formula>"SPA"</formula>
    </cfRule>
    <cfRule type="cellIs" dxfId="62" priority="64" stopIfTrue="1" operator="equal">
      <formula>"OST"</formula>
    </cfRule>
    <cfRule type="cellIs" dxfId="61" priority="65" stopIfTrue="1" operator="equal">
      <formula>"BOH"</formula>
    </cfRule>
    <cfRule type="cellIs" dxfId="60" priority="66" stopIfTrue="1" operator="equal">
      <formula>"TAT"</formula>
    </cfRule>
    <cfRule type="cellIs" dxfId="59" priority="67" stopIfTrue="1" operator="equal">
      <formula>"MB"</formula>
    </cfRule>
    <cfRule type="cellIs" dxfId="58" priority="68" stopIfTrue="1" operator="equal">
      <formula>"VIT"</formula>
    </cfRule>
    <cfRule type="cellIs" dxfId="57" priority="69" stopIfTrue="1" operator="equal">
      <formula>"CHO"</formula>
    </cfRule>
    <cfRule type="cellIs" dxfId="56" priority="70" stopIfTrue="1" operator="equal">
      <formula>"SKV"</formula>
    </cfRule>
  </conditionalFormatting>
  <conditionalFormatting sqref="H8:K9">
    <cfRule type="cellIs" dxfId="55" priority="71" stopIfTrue="1" operator="equal">
      <formula>"OTR"</formula>
    </cfRule>
    <cfRule type="cellIs" dxfId="54" priority="72" stopIfTrue="1" operator="equal">
      <formula>"PAR"</formula>
    </cfRule>
    <cfRule type="cellIs" dxfId="53" priority="73" stopIfTrue="1" operator="equal">
      <formula>"CLP"</formula>
    </cfRule>
    <cfRule type="cellIs" dxfId="52" priority="74" stopIfTrue="1" operator="equal">
      <formula>"HAT"</formula>
    </cfRule>
    <cfRule type="cellIs" dxfId="51" priority="75" stopIfTrue="1" operator="equal">
      <formula>"LIB"</formula>
    </cfRule>
    <cfRule type="cellIs" dxfId="50" priority="76" stopIfTrue="1" operator="equal">
      <formula>"BA"</formula>
    </cfRule>
    <cfRule type="cellIs" dxfId="49" priority="77" stopIfTrue="1" operator="equal">
      <formula>"SPA"</formula>
    </cfRule>
    <cfRule type="cellIs" dxfId="48" priority="78" stopIfTrue="1" operator="equal">
      <formula>"OST"</formula>
    </cfRule>
    <cfRule type="cellIs" dxfId="47" priority="79" stopIfTrue="1" operator="equal">
      <formula>"BOH"</formula>
    </cfRule>
    <cfRule type="cellIs" dxfId="46" priority="80" stopIfTrue="1" operator="equal">
      <formula>"TAT"</formula>
    </cfRule>
    <cfRule type="cellIs" dxfId="45" priority="81" stopIfTrue="1" operator="equal">
      <formula>"MB"</formula>
    </cfRule>
    <cfRule type="cellIs" dxfId="44" priority="82" stopIfTrue="1" operator="equal">
      <formula>"VIT"</formula>
    </cfRule>
    <cfRule type="cellIs" dxfId="43" priority="83" stopIfTrue="1" operator="equal">
      <formula>"CHO"</formula>
    </cfRule>
    <cfRule type="cellIs" dxfId="42" priority="84" stopIfTrue="1" operator="equal">
      <formula>"SKV"</formula>
    </cfRule>
  </conditionalFormatting>
  <conditionalFormatting sqref="Z19:AC20">
    <cfRule type="cellIs" dxfId="41" priority="43" stopIfTrue="1" operator="equal">
      <formula>"OTR"</formula>
    </cfRule>
    <cfRule type="cellIs" dxfId="40" priority="44" stopIfTrue="1" operator="equal">
      <formula>"PAR"</formula>
    </cfRule>
    <cfRule type="cellIs" dxfId="39" priority="45" stopIfTrue="1" operator="equal">
      <formula>"CLP"</formula>
    </cfRule>
    <cfRule type="cellIs" dxfId="38" priority="46" stopIfTrue="1" operator="equal">
      <formula>"HAT"</formula>
    </cfRule>
    <cfRule type="cellIs" dxfId="37" priority="47" stopIfTrue="1" operator="equal">
      <formula>"LIB"</formula>
    </cfRule>
    <cfRule type="cellIs" dxfId="36" priority="48" stopIfTrue="1" operator="equal">
      <formula>"BA"</formula>
    </cfRule>
    <cfRule type="cellIs" dxfId="35" priority="49" stopIfTrue="1" operator="equal">
      <formula>"SPA"</formula>
    </cfRule>
    <cfRule type="cellIs" dxfId="34" priority="50" stopIfTrue="1" operator="equal">
      <formula>"OST"</formula>
    </cfRule>
    <cfRule type="cellIs" dxfId="33" priority="51" stopIfTrue="1" operator="equal">
      <formula>"BOH"</formula>
    </cfRule>
    <cfRule type="cellIs" dxfId="32" priority="52" stopIfTrue="1" operator="equal">
      <formula>"TAT"</formula>
    </cfRule>
    <cfRule type="cellIs" dxfId="31" priority="53" stopIfTrue="1" operator="equal">
      <formula>"MB"</formula>
    </cfRule>
    <cfRule type="cellIs" dxfId="30" priority="54" stopIfTrue="1" operator="equal">
      <formula>"VIT"</formula>
    </cfRule>
    <cfRule type="cellIs" dxfId="29" priority="55" stopIfTrue="1" operator="equal">
      <formula>"CHO"</formula>
    </cfRule>
    <cfRule type="cellIs" dxfId="28" priority="56" stopIfTrue="1" operator="equal">
      <formula>"SKV"</formula>
    </cfRule>
  </conditionalFormatting>
  <conditionalFormatting sqref="H30:K31">
    <cfRule type="cellIs" dxfId="27" priority="15" stopIfTrue="1" operator="equal">
      <formula>"OTR"</formula>
    </cfRule>
    <cfRule type="cellIs" dxfId="26" priority="16" stopIfTrue="1" operator="equal">
      <formula>"PAR"</formula>
    </cfRule>
    <cfRule type="cellIs" dxfId="25" priority="17" stopIfTrue="1" operator="equal">
      <formula>"CLP"</formula>
    </cfRule>
    <cfRule type="cellIs" dxfId="24" priority="18" stopIfTrue="1" operator="equal">
      <formula>"HAT"</formula>
    </cfRule>
    <cfRule type="cellIs" dxfId="23" priority="19" stopIfTrue="1" operator="equal">
      <formula>"LIB"</formula>
    </cfRule>
    <cfRule type="cellIs" dxfId="22" priority="20" stopIfTrue="1" operator="equal">
      <formula>"BA"</formula>
    </cfRule>
    <cfRule type="cellIs" dxfId="21" priority="21" stopIfTrue="1" operator="equal">
      <formula>"SPA"</formula>
    </cfRule>
    <cfRule type="cellIs" dxfId="20" priority="22" stopIfTrue="1" operator="equal">
      <formula>"OST"</formula>
    </cfRule>
    <cfRule type="cellIs" dxfId="19" priority="23" stopIfTrue="1" operator="equal">
      <formula>"BOH"</formula>
    </cfRule>
    <cfRule type="cellIs" dxfId="18" priority="24" stopIfTrue="1" operator="equal">
      <formula>"TAT"</formula>
    </cfRule>
    <cfRule type="cellIs" dxfId="17" priority="25" stopIfTrue="1" operator="equal">
      <formula>"MB"</formula>
    </cfRule>
    <cfRule type="cellIs" dxfId="16" priority="26" stopIfTrue="1" operator="equal">
      <formula>"VIT"</formula>
    </cfRule>
    <cfRule type="cellIs" dxfId="15" priority="27" stopIfTrue="1" operator="equal">
      <formula>"CHO"</formula>
    </cfRule>
    <cfRule type="cellIs" dxfId="14" priority="28" stopIfTrue="1" operator="equal">
      <formula>"SKV"</formula>
    </cfRule>
  </conditionalFormatting>
  <conditionalFormatting sqref="Z30:AC31">
    <cfRule type="cellIs" dxfId="13" priority="1" stopIfTrue="1" operator="equal">
      <formula>"OTR"</formula>
    </cfRule>
    <cfRule type="cellIs" dxfId="12" priority="2" stopIfTrue="1" operator="equal">
      <formula>"PAR"</formula>
    </cfRule>
    <cfRule type="cellIs" dxfId="11" priority="3" stopIfTrue="1" operator="equal">
      <formula>"CLP"</formula>
    </cfRule>
    <cfRule type="cellIs" dxfId="10" priority="4" stopIfTrue="1" operator="equal">
      <formula>"HAT"</formula>
    </cfRule>
    <cfRule type="cellIs" dxfId="9" priority="5" stopIfTrue="1" operator="equal">
      <formula>"LIB"</formula>
    </cfRule>
    <cfRule type="cellIs" dxfId="8" priority="6" stopIfTrue="1" operator="equal">
      <formula>"BA"</formula>
    </cfRule>
    <cfRule type="cellIs" dxfId="7" priority="7" stopIfTrue="1" operator="equal">
      <formula>"SPA"</formula>
    </cfRule>
    <cfRule type="cellIs" dxfId="6" priority="8" stopIfTrue="1" operator="equal">
      <formula>"OST"</formula>
    </cfRule>
    <cfRule type="cellIs" dxfId="5" priority="9" stopIfTrue="1" operator="equal">
      <formula>"BOH"</formula>
    </cfRule>
    <cfRule type="cellIs" dxfId="4" priority="10" stopIfTrue="1" operator="equal">
      <formula>"TAT"</formula>
    </cfRule>
    <cfRule type="cellIs" dxfId="3" priority="11" stopIfTrue="1" operator="equal">
      <formula>"MB"</formula>
    </cfRule>
    <cfRule type="cellIs" dxfId="2" priority="12" stopIfTrue="1" operator="equal">
      <formula>"VIT"</formula>
    </cfRule>
    <cfRule type="cellIs" dxfId="1" priority="13" stopIfTrue="1" operator="equal">
      <formula>"CHO"</formula>
    </cfRule>
    <cfRule type="cellIs" dxfId="0" priority="14" stopIfTrue="1" operator="equal">
      <formula>"SKV"</formula>
    </cfRule>
  </conditionalFormatting>
  <dataValidations count="1">
    <dataValidation errorStyle="warning" allowBlank="1" showErrorMessage="1" errorTitle="Chybějící hráč!" error="Vámi zadaný hráč chybí na soupisce týmu." sqref="Q23 E1 E6 K3 W34 Q1 Q6 Q12 Q17 E12 K14 K25 E17 Q28 Q34 E28 Q38 E23 Q42 E34 W28 AC25 E40 W1 AC3 AI6 AI1 AC14 W6 AI12 W12 W17 AI17 AI23 W23 W40 AI34 AI38 AI42 AI28"/>
  </dataValidations>
  <pageMargins left="0.25" right="0.25" top="0.75" bottom="0.75" header="0.3" footer="0.3"/>
  <pageSetup paperSize="9" orientation="portrait" r:id="rId1"/>
  <headerFooter>
    <firstHeader>&amp;C&amp;"Bahnschrift Condensed,Condensed"&amp;22&amp;D</firstHeader>
  </headerFooter>
  <extLst>
    <ext xmlns:x14="http://schemas.microsoft.com/office/spreadsheetml/2009/9/main" uri="{CCE6A557-97BC-4b89-ADB6-D9C93CAAB3DF}">
      <x14:dataValidations xmlns:xm="http://schemas.microsoft.com/office/excel/2006/main" count="7">
        <x14:dataValidation type="list" errorStyle="warning" allowBlank="1" showErrorMessage="1" errorTitle="Chybějící hráč" error="Vámi zadaný hráč není na soupisce týmu.">
          <x14:formula1>
            <xm:f>SKV!$B$38:$B$64</xm:f>
          </x14:formula1>
          <xm:sqref>A1:D1 M1:P1 G3:J3 A6:D6 M6:P6 M12:P12 G14:J14 A12:D12 A17:D17 M17:P17 M23:P23 A23:D23 G25:J25 M28:P28 A28:D28 J34:P34 J38:P38 J42:P42</xm:sqref>
        </x14:dataValidation>
        <x14:dataValidation type="list" errorStyle="warning" allowBlank="1" showErrorMessage="1" errorTitle="Chybějící brankář" error="Vámi zadaný brankář není na soupisce týmu.">
          <x14:formula1>
            <xm:f>SKV!$B$31:$B$34</xm:f>
          </x14:formula1>
          <xm:sqref>A34:D34 A40:D40</xm:sqref>
        </x14:dataValidation>
        <x14:dataValidation type="list" errorStyle="warning" allowBlank="1" showErrorMessage="1" errorTitle="Chybějící člen realizačního týmu" error="Vámi zadaný člen realizačního týmu není na soupisce týmu.">
          <x14:formula1>
            <xm:f>SKV!$B$67:$B$70</xm:f>
          </x14:formula1>
          <xm:sqref>A47:D47 J47:M47 J49:M49 J102:M102</xm:sqref>
        </x14:dataValidation>
        <x14:dataValidation type="list" errorStyle="warning" allowBlank="1" showErrorMessage="1" errorTitle="Chybějící hráč" error="Vámi zadaný hráč není na soupisce týmu.">
          <x14:formula1>
            <xm:f>CHO!$B$38:$B$64</xm:f>
          </x14:formula1>
          <xm:sqref>S1:V1 AE1:AH1 Y3:AB3 S6:V6 AE6:AH6 AE12:AH12 S12:V12 Y14:AB14 AE17:AH17 S17:V17 S23:V23 Y25:AB25 AE23:AH23 AE28:AH28 S28:V28 AB34:AH34 AB38:AH38 AB42:AH42</xm:sqref>
        </x14:dataValidation>
        <x14:dataValidation type="list" errorStyle="warning" allowBlank="1" showErrorMessage="1" errorTitle="Chybějící brankář" error="Vámi zadaný brankář není na soupisce týmu.">
          <x14:formula1>
            <xm:f>CHO!$B$31:$B$34</xm:f>
          </x14:formula1>
          <xm:sqref>S34:V34 S40:V40</xm:sqref>
        </x14:dataValidation>
        <x14:dataValidation type="list" errorStyle="warning" allowBlank="1" showErrorMessage="1" errorTitle="Chybějící člen realizačního týmu" error="Vámi zadaný člen realizačního týmu není na soupisce týmu.">
          <x14:formula1>
            <xm:f>CHO!$B$67:$B$71</xm:f>
          </x14:formula1>
          <xm:sqref>S47:V47 AB47:AE47 AB49:AE49</xm:sqref>
        </x14:dataValidation>
        <x14:dataValidation type="list" allowBlank="1" showInputMessage="1" showErrorMessage="1">
          <x14:formula1>
            <xm:f>Tabulka!$A$41:$A$54</xm:f>
          </x14:formula1>
          <xm:sqref>A51:R52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4"/>
  <sheetViews>
    <sheetView view="pageLayout" zoomScaleNormal="100" workbookViewId="0"/>
  </sheetViews>
  <sheetFormatPr defaultRowHeight="15" x14ac:dyDescent="0.25"/>
  <cols>
    <col min="1" max="1" width="3.5703125" style="1" bestFit="1" customWidth="1"/>
    <col min="2" max="2" width="27.85546875" style="1" customWidth="1"/>
    <col min="3" max="14" width="5.28515625" style="1" customWidth="1"/>
    <col min="15" max="15" width="7.140625" style="1" customWidth="1"/>
    <col min="16" max="18" width="5.28515625" style="1" customWidth="1"/>
    <col min="19" max="19" width="7.140625" style="1" customWidth="1"/>
    <col min="20" max="21" width="5.28515625" style="1" customWidth="1"/>
    <col min="22" max="22" width="7.140625" style="1" customWidth="1"/>
    <col min="23" max="25" width="4.28515625" style="1" bestFit="1" customWidth="1"/>
    <col min="26" max="26" width="3.7109375" style="1" bestFit="1" customWidth="1"/>
    <col min="27" max="27" width="4" style="1" bestFit="1" customWidth="1"/>
    <col min="28" max="28" width="6" style="1" bestFit="1" customWidth="1"/>
    <col min="29" max="30" width="4" style="1" bestFit="1" customWidth="1"/>
    <col min="31" max="32" width="5" style="1" bestFit="1" customWidth="1"/>
    <col min="33" max="33" width="3.7109375" style="1" bestFit="1" customWidth="1"/>
    <col min="34" max="16384" width="9.140625" style="1"/>
  </cols>
  <sheetData>
    <row r="1" spans="1:33" s="15" customFormat="1" ht="24" customHeight="1" thickTop="1" thickBot="1" x14ac:dyDescent="0.3">
      <c r="A1" s="17" t="s">
        <v>73</v>
      </c>
      <c r="B1" s="18" t="s">
        <v>137</v>
      </c>
      <c r="C1" s="18" t="s">
        <v>98</v>
      </c>
      <c r="D1" s="18" t="s">
        <v>50</v>
      </c>
      <c r="E1" s="18" t="s">
        <v>138</v>
      </c>
      <c r="F1" s="18" t="s">
        <v>139</v>
      </c>
      <c r="G1" s="18" t="s">
        <v>51</v>
      </c>
      <c r="H1" s="19" t="s">
        <v>36</v>
      </c>
      <c r="I1" s="18" t="s">
        <v>140</v>
      </c>
      <c r="J1" s="18" t="s">
        <v>78</v>
      </c>
      <c r="K1" s="18" t="s">
        <v>141</v>
      </c>
      <c r="L1" s="18" t="s">
        <v>139</v>
      </c>
      <c r="M1" s="18" t="s">
        <v>144</v>
      </c>
      <c r="N1" s="18" t="s">
        <v>145</v>
      </c>
      <c r="O1" s="18" t="s">
        <v>142</v>
      </c>
      <c r="P1" s="18" t="s">
        <v>61</v>
      </c>
      <c r="Q1" s="18" t="s">
        <v>143</v>
      </c>
      <c r="R1" s="18" t="s">
        <v>146</v>
      </c>
      <c r="S1" s="18" t="s">
        <v>147</v>
      </c>
      <c r="T1" s="18" t="s">
        <v>45</v>
      </c>
      <c r="U1" s="18" t="s">
        <v>103</v>
      </c>
      <c r="V1" s="20" t="s">
        <v>151</v>
      </c>
      <c r="AE1" s="16"/>
      <c r="AF1" s="16"/>
      <c r="AG1" s="16"/>
    </row>
    <row r="2" spans="1:33" ht="24" customHeight="1" x14ac:dyDescent="0.25">
      <c r="A2" s="21">
        <v>1</v>
      </c>
      <c r="B2" s="22" t="str">
        <f>B26</f>
        <v>1. SC TEMPISH Vítkovice</v>
      </c>
      <c r="C2" s="23">
        <f t="shared" ref="C2:K2" si="0">C26</f>
        <v>16</v>
      </c>
      <c r="D2" s="23">
        <f t="shared" si="0"/>
        <v>14</v>
      </c>
      <c r="E2" s="23">
        <f t="shared" si="0"/>
        <v>0</v>
      </c>
      <c r="F2" s="23">
        <f t="shared" si="0"/>
        <v>1</v>
      </c>
      <c r="G2" s="23">
        <f t="shared" si="0"/>
        <v>1</v>
      </c>
      <c r="H2" s="24">
        <f t="shared" si="0"/>
        <v>43</v>
      </c>
      <c r="I2" s="23">
        <f>I26</f>
        <v>142</v>
      </c>
      <c r="J2" s="23">
        <f t="shared" si="0"/>
        <v>68</v>
      </c>
      <c r="K2" s="23">
        <f t="shared" si="0"/>
        <v>74</v>
      </c>
      <c r="L2" s="23">
        <f>L26</f>
        <v>26</v>
      </c>
      <c r="M2" s="23">
        <f t="shared" ref="M2:R2" si="1">M26</f>
        <v>10</v>
      </c>
      <c r="N2" s="23">
        <f t="shared" si="1"/>
        <v>1</v>
      </c>
      <c r="O2" s="25">
        <f t="shared" si="1"/>
        <v>38.46</v>
      </c>
      <c r="P2" s="23">
        <f t="shared" si="1"/>
        <v>19</v>
      </c>
      <c r="Q2" s="23">
        <f t="shared" si="1"/>
        <v>6</v>
      </c>
      <c r="R2" s="23">
        <f t="shared" si="1"/>
        <v>0</v>
      </c>
      <c r="S2" s="25">
        <f>S26</f>
        <v>68.42</v>
      </c>
      <c r="T2" s="23">
        <f>Z26</f>
        <v>40</v>
      </c>
      <c r="U2" s="23">
        <f t="shared" ref="U2:V2" si="2">AA26</f>
        <v>493</v>
      </c>
      <c r="V2" s="26">
        <f t="shared" si="2"/>
        <v>28.8</v>
      </c>
    </row>
    <row r="3" spans="1:33" s="14" customFormat="1" ht="24" customHeight="1" x14ac:dyDescent="0.25">
      <c r="A3" s="27">
        <v>2</v>
      </c>
      <c r="B3" s="28" t="str">
        <f t="shared" ref="B3:K3" si="3">B27</f>
        <v>Předvýběr.CZ Florbal MB</v>
      </c>
      <c r="C3" s="29">
        <f t="shared" si="3"/>
        <v>11</v>
      </c>
      <c r="D3" s="29">
        <f t="shared" si="3"/>
        <v>10</v>
      </c>
      <c r="E3" s="29">
        <f t="shared" si="3"/>
        <v>1</v>
      </c>
      <c r="F3" s="29">
        <f t="shared" si="3"/>
        <v>0</v>
      </c>
      <c r="G3" s="29">
        <f t="shared" si="3"/>
        <v>1</v>
      </c>
      <c r="H3" s="24">
        <f t="shared" si="3"/>
        <v>32</v>
      </c>
      <c r="I3" s="29">
        <f t="shared" si="3"/>
        <v>104</v>
      </c>
      <c r="J3" s="29">
        <f t="shared" si="3"/>
        <v>51</v>
      </c>
      <c r="K3" s="29">
        <f t="shared" si="3"/>
        <v>53</v>
      </c>
      <c r="L3" s="29">
        <f t="shared" ref="L3:S3" si="4">L27</f>
        <v>18</v>
      </c>
      <c r="M3" s="29">
        <f t="shared" si="4"/>
        <v>7</v>
      </c>
      <c r="N3" s="29">
        <f t="shared" si="4"/>
        <v>0</v>
      </c>
      <c r="O3" s="30">
        <f t="shared" si="4"/>
        <v>38.89</v>
      </c>
      <c r="P3" s="29">
        <f t="shared" si="4"/>
        <v>23</v>
      </c>
      <c r="Q3" s="29">
        <f t="shared" si="4"/>
        <v>6</v>
      </c>
      <c r="R3" s="29">
        <f t="shared" si="4"/>
        <v>1</v>
      </c>
      <c r="S3" s="30">
        <f t="shared" si="4"/>
        <v>73.91</v>
      </c>
      <c r="T3" s="29">
        <f t="shared" ref="T3:T15" si="5">Z27</f>
        <v>58</v>
      </c>
      <c r="U3" s="29">
        <f t="shared" ref="U3:U15" si="6">AA27</f>
        <v>341</v>
      </c>
      <c r="V3" s="31">
        <f t="shared" ref="V3:V15" si="7">AB27</f>
        <v>30.5</v>
      </c>
    </row>
    <row r="4" spans="1:33" ht="24" customHeight="1" x14ac:dyDescent="0.25">
      <c r="A4" s="21">
        <v>3</v>
      </c>
      <c r="B4" s="22" t="str">
        <f t="shared" ref="B4:K4" si="8">B28</f>
        <v>Tatran Teka Střešovice</v>
      </c>
      <c r="C4" s="23">
        <f t="shared" si="8"/>
        <v>14</v>
      </c>
      <c r="D4" s="23">
        <f t="shared" si="8"/>
        <v>10</v>
      </c>
      <c r="E4" s="23">
        <f t="shared" si="8"/>
        <v>1</v>
      </c>
      <c r="F4" s="23">
        <f t="shared" si="8"/>
        <v>0</v>
      </c>
      <c r="G4" s="23">
        <f t="shared" si="8"/>
        <v>3</v>
      </c>
      <c r="H4" s="24">
        <f t="shared" si="8"/>
        <v>32</v>
      </c>
      <c r="I4" s="23">
        <f t="shared" si="8"/>
        <v>110</v>
      </c>
      <c r="J4" s="23">
        <f t="shared" si="8"/>
        <v>62</v>
      </c>
      <c r="K4" s="23">
        <f t="shared" si="8"/>
        <v>48</v>
      </c>
      <c r="L4" s="23">
        <f t="shared" ref="L4:S4" si="9">L28</f>
        <v>41</v>
      </c>
      <c r="M4" s="23">
        <f t="shared" si="9"/>
        <v>19</v>
      </c>
      <c r="N4" s="23">
        <f t="shared" si="9"/>
        <v>1</v>
      </c>
      <c r="O4" s="25">
        <f t="shared" si="9"/>
        <v>46.34</v>
      </c>
      <c r="P4" s="23">
        <f t="shared" si="9"/>
        <v>27</v>
      </c>
      <c r="Q4" s="23">
        <f t="shared" si="9"/>
        <v>6</v>
      </c>
      <c r="R4" s="23">
        <f t="shared" si="9"/>
        <v>0</v>
      </c>
      <c r="S4" s="25">
        <f t="shared" si="9"/>
        <v>77.78</v>
      </c>
      <c r="T4" s="23">
        <f t="shared" si="5"/>
        <v>64</v>
      </c>
      <c r="U4" s="23">
        <f t="shared" si="6"/>
        <v>445</v>
      </c>
      <c r="V4" s="26">
        <f t="shared" si="7"/>
        <v>24.72</v>
      </c>
    </row>
    <row r="5" spans="1:33" s="14" customFormat="1" ht="24" customHeight="1" x14ac:dyDescent="0.25">
      <c r="A5" s="27">
        <v>4</v>
      </c>
      <c r="B5" s="28" t="str">
        <f t="shared" ref="B5:K5" si="10">B29</f>
        <v>FbŠ Bohemians</v>
      </c>
      <c r="C5" s="29">
        <f t="shared" si="10"/>
        <v>13</v>
      </c>
      <c r="D5" s="29">
        <f t="shared" si="10"/>
        <v>8</v>
      </c>
      <c r="E5" s="29">
        <f t="shared" si="10"/>
        <v>1</v>
      </c>
      <c r="F5" s="29">
        <f t="shared" si="10"/>
        <v>1</v>
      </c>
      <c r="G5" s="29">
        <f t="shared" si="10"/>
        <v>3</v>
      </c>
      <c r="H5" s="24">
        <f t="shared" si="10"/>
        <v>27</v>
      </c>
      <c r="I5" s="29">
        <f t="shared" si="10"/>
        <v>105</v>
      </c>
      <c r="J5" s="29">
        <f t="shared" si="10"/>
        <v>72</v>
      </c>
      <c r="K5" s="29">
        <f t="shared" si="10"/>
        <v>33</v>
      </c>
      <c r="L5" s="29">
        <f t="shared" ref="L5:S5" si="11">L29</f>
        <v>45</v>
      </c>
      <c r="M5" s="29">
        <f t="shared" si="11"/>
        <v>23</v>
      </c>
      <c r="N5" s="29">
        <f t="shared" si="11"/>
        <v>3</v>
      </c>
      <c r="O5" s="30">
        <f t="shared" si="11"/>
        <v>51.11</v>
      </c>
      <c r="P5" s="29">
        <f t="shared" si="11"/>
        <v>21</v>
      </c>
      <c r="Q5" s="29">
        <f t="shared" si="11"/>
        <v>2</v>
      </c>
      <c r="R5" s="29">
        <f t="shared" si="11"/>
        <v>2</v>
      </c>
      <c r="S5" s="30">
        <f t="shared" si="11"/>
        <v>90.48</v>
      </c>
      <c r="T5" s="29">
        <f t="shared" si="5"/>
        <v>52</v>
      </c>
      <c r="U5" s="29">
        <f t="shared" si="6"/>
        <v>401</v>
      </c>
      <c r="V5" s="31">
        <f t="shared" si="7"/>
        <v>26.18</v>
      </c>
    </row>
    <row r="6" spans="1:33" ht="24" customHeight="1" x14ac:dyDescent="0.25">
      <c r="A6" s="21">
        <v>5</v>
      </c>
      <c r="B6" s="22" t="str">
        <f t="shared" ref="B6:K6" si="12">B30</f>
        <v>FAT PIPE FLORBAL CHODOV</v>
      </c>
      <c r="C6" s="23">
        <f t="shared" si="12"/>
        <v>12</v>
      </c>
      <c r="D6" s="23">
        <f t="shared" si="12"/>
        <v>8</v>
      </c>
      <c r="E6" s="23">
        <f t="shared" si="12"/>
        <v>0</v>
      </c>
      <c r="F6" s="23">
        <f t="shared" si="12"/>
        <v>1</v>
      </c>
      <c r="G6" s="23">
        <f t="shared" si="12"/>
        <v>3</v>
      </c>
      <c r="H6" s="24">
        <f t="shared" si="12"/>
        <v>25</v>
      </c>
      <c r="I6" s="23">
        <f t="shared" si="12"/>
        <v>78</v>
      </c>
      <c r="J6" s="23">
        <f t="shared" si="12"/>
        <v>72</v>
      </c>
      <c r="K6" s="23">
        <f t="shared" si="12"/>
        <v>6</v>
      </c>
      <c r="L6" s="23">
        <f t="shared" ref="L6:S6" si="13">L30</f>
        <v>23</v>
      </c>
      <c r="M6" s="23">
        <f t="shared" si="13"/>
        <v>8</v>
      </c>
      <c r="N6" s="23">
        <f t="shared" si="13"/>
        <v>0</v>
      </c>
      <c r="O6" s="25">
        <f t="shared" si="13"/>
        <v>34.78</v>
      </c>
      <c r="P6" s="23">
        <f t="shared" si="13"/>
        <v>23</v>
      </c>
      <c r="Q6" s="23">
        <f t="shared" si="13"/>
        <v>10</v>
      </c>
      <c r="R6" s="23">
        <f t="shared" si="13"/>
        <v>0</v>
      </c>
      <c r="S6" s="25">
        <f t="shared" si="13"/>
        <v>56.52</v>
      </c>
      <c r="T6" s="23">
        <f t="shared" si="5"/>
        <v>58</v>
      </c>
      <c r="U6" s="23">
        <f t="shared" si="6"/>
        <v>366</v>
      </c>
      <c r="V6" s="26">
        <f t="shared" si="7"/>
        <v>21.31</v>
      </c>
    </row>
    <row r="7" spans="1:33" s="14" customFormat="1" ht="24" customHeight="1" x14ac:dyDescent="0.25">
      <c r="A7" s="27">
        <v>6</v>
      </c>
      <c r="B7" s="28" t="str">
        <f t="shared" ref="B7:K7" si="14">B31</f>
        <v>FBC ČPP OSTRAVA</v>
      </c>
      <c r="C7" s="29">
        <f t="shared" si="14"/>
        <v>15</v>
      </c>
      <c r="D7" s="29">
        <f t="shared" si="14"/>
        <v>7</v>
      </c>
      <c r="E7" s="29">
        <f t="shared" si="14"/>
        <v>2</v>
      </c>
      <c r="F7" s="29">
        <f t="shared" si="14"/>
        <v>0</v>
      </c>
      <c r="G7" s="29">
        <f t="shared" si="14"/>
        <v>6</v>
      </c>
      <c r="H7" s="24">
        <f t="shared" si="14"/>
        <v>25</v>
      </c>
      <c r="I7" s="29">
        <f t="shared" si="14"/>
        <v>87</v>
      </c>
      <c r="J7" s="29">
        <f t="shared" si="14"/>
        <v>87</v>
      </c>
      <c r="K7" s="29">
        <f t="shared" si="14"/>
        <v>0</v>
      </c>
      <c r="L7" s="29">
        <f t="shared" ref="L7:S7" si="15">L31</f>
        <v>29</v>
      </c>
      <c r="M7" s="29">
        <f t="shared" si="15"/>
        <v>8</v>
      </c>
      <c r="N7" s="29">
        <f t="shared" si="15"/>
        <v>1</v>
      </c>
      <c r="O7" s="30">
        <f t="shared" si="15"/>
        <v>27.59</v>
      </c>
      <c r="P7" s="29">
        <f t="shared" si="15"/>
        <v>35</v>
      </c>
      <c r="Q7" s="29">
        <f t="shared" si="15"/>
        <v>11</v>
      </c>
      <c r="R7" s="29">
        <f t="shared" si="15"/>
        <v>2</v>
      </c>
      <c r="S7" s="30">
        <f t="shared" si="15"/>
        <v>68.569999999999993</v>
      </c>
      <c r="T7" s="29">
        <f t="shared" si="5"/>
        <v>72</v>
      </c>
      <c r="U7" s="29">
        <f t="shared" si="6"/>
        <v>384</v>
      </c>
      <c r="V7" s="31">
        <f t="shared" si="7"/>
        <v>22.66</v>
      </c>
    </row>
    <row r="8" spans="1:33" ht="24" customHeight="1" x14ac:dyDescent="0.25">
      <c r="A8" s="21">
        <v>7</v>
      </c>
      <c r="B8" s="22" t="str">
        <f t="shared" ref="B8:K8" si="16">B32</f>
        <v>ACEMA Sparta Praha</v>
      </c>
      <c r="C8" s="23">
        <f t="shared" si="16"/>
        <v>12</v>
      </c>
      <c r="D8" s="23">
        <f t="shared" si="16"/>
        <v>7</v>
      </c>
      <c r="E8" s="23">
        <f t="shared" si="16"/>
        <v>0</v>
      </c>
      <c r="F8" s="23">
        <f t="shared" si="16"/>
        <v>0</v>
      </c>
      <c r="G8" s="23">
        <f t="shared" si="16"/>
        <v>5</v>
      </c>
      <c r="H8" s="24">
        <f t="shared" si="16"/>
        <v>21</v>
      </c>
      <c r="I8" s="23">
        <f t="shared" si="16"/>
        <v>80</v>
      </c>
      <c r="J8" s="23">
        <f t="shared" si="16"/>
        <v>64</v>
      </c>
      <c r="K8" s="23">
        <f t="shared" si="16"/>
        <v>16</v>
      </c>
      <c r="L8" s="23">
        <f t="shared" ref="L8:S8" si="17">L32</f>
        <v>21</v>
      </c>
      <c r="M8" s="23">
        <f t="shared" si="17"/>
        <v>11</v>
      </c>
      <c r="N8" s="23">
        <f t="shared" si="17"/>
        <v>0</v>
      </c>
      <c r="O8" s="25">
        <f t="shared" si="17"/>
        <v>52.38</v>
      </c>
      <c r="P8" s="23">
        <f t="shared" si="17"/>
        <v>29</v>
      </c>
      <c r="Q8" s="23">
        <f t="shared" si="17"/>
        <v>11</v>
      </c>
      <c r="R8" s="23">
        <f t="shared" si="17"/>
        <v>2</v>
      </c>
      <c r="S8" s="25">
        <f t="shared" si="17"/>
        <v>62.07</v>
      </c>
      <c r="T8" s="23">
        <f t="shared" si="5"/>
        <v>72</v>
      </c>
      <c r="U8" s="23">
        <f t="shared" si="6"/>
        <v>329</v>
      </c>
      <c r="V8" s="26">
        <f t="shared" si="7"/>
        <v>24.32</v>
      </c>
    </row>
    <row r="9" spans="1:33" s="14" customFormat="1" ht="24" customHeight="1" x14ac:dyDescent="0.25">
      <c r="A9" s="27">
        <v>8</v>
      </c>
      <c r="B9" s="28" t="str">
        <f t="shared" ref="B9:K9" si="18">B33</f>
        <v>BLACK ANGELS</v>
      </c>
      <c r="C9" s="29">
        <f t="shared" si="18"/>
        <v>15</v>
      </c>
      <c r="D9" s="29">
        <f t="shared" si="18"/>
        <v>5</v>
      </c>
      <c r="E9" s="29">
        <f t="shared" si="18"/>
        <v>2</v>
      </c>
      <c r="F9" s="29">
        <f t="shared" si="18"/>
        <v>0</v>
      </c>
      <c r="G9" s="29">
        <f t="shared" si="18"/>
        <v>9</v>
      </c>
      <c r="H9" s="24">
        <f t="shared" si="18"/>
        <v>19</v>
      </c>
      <c r="I9" s="29">
        <f t="shared" si="18"/>
        <v>92</v>
      </c>
      <c r="J9" s="29">
        <f t="shared" si="18"/>
        <v>121</v>
      </c>
      <c r="K9" s="29">
        <f t="shared" si="18"/>
        <v>-29</v>
      </c>
      <c r="L9" s="29">
        <f t="shared" ref="L9:S9" si="19">L33</f>
        <v>34</v>
      </c>
      <c r="M9" s="29">
        <f t="shared" si="19"/>
        <v>7</v>
      </c>
      <c r="N9" s="29">
        <f t="shared" si="19"/>
        <v>1</v>
      </c>
      <c r="O9" s="30">
        <f t="shared" si="19"/>
        <v>20.59</v>
      </c>
      <c r="P9" s="29">
        <f t="shared" si="19"/>
        <v>32</v>
      </c>
      <c r="Q9" s="29">
        <f t="shared" si="19"/>
        <v>16</v>
      </c>
      <c r="R9" s="29">
        <f t="shared" si="19"/>
        <v>1</v>
      </c>
      <c r="S9" s="30">
        <f t="shared" si="19"/>
        <v>50</v>
      </c>
      <c r="T9" s="29">
        <f t="shared" si="5"/>
        <v>70</v>
      </c>
      <c r="U9" s="29">
        <f t="shared" si="6"/>
        <v>385</v>
      </c>
      <c r="V9" s="31">
        <f t="shared" si="7"/>
        <v>23.9</v>
      </c>
    </row>
    <row r="10" spans="1:33" ht="24" customHeight="1" x14ac:dyDescent="0.25">
      <c r="A10" s="32">
        <v>9</v>
      </c>
      <c r="B10" s="22" t="str">
        <f t="shared" ref="B10:K10" si="20">B34</f>
        <v>FBC Liberec</v>
      </c>
      <c r="C10" s="23">
        <f t="shared" si="20"/>
        <v>13</v>
      </c>
      <c r="D10" s="23">
        <f t="shared" si="20"/>
        <v>4</v>
      </c>
      <c r="E10" s="23">
        <f t="shared" si="20"/>
        <v>1</v>
      </c>
      <c r="F10" s="23">
        <f t="shared" si="20"/>
        <v>0</v>
      </c>
      <c r="G10" s="23">
        <f t="shared" si="20"/>
        <v>8</v>
      </c>
      <c r="H10" s="24">
        <f t="shared" si="20"/>
        <v>14</v>
      </c>
      <c r="I10" s="23">
        <f t="shared" si="20"/>
        <v>73</v>
      </c>
      <c r="J10" s="23">
        <f t="shared" si="20"/>
        <v>90</v>
      </c>
      <c r="K10" s="23">
        <f t="shared" si="20"/>
        <v>-17</v>
      </c>
      <c r="L10" s="23">
        <f t="shared" ref="L10:S10" si="21">L34</f>
        <v>21</v>
      </c>
      <c r="M10" s="23">
        <f t="shared" si="21"/>
        <v>9</v>
      </c>
      <c r="N10" s="23">
        <f t="shared" si="21"/>
        <v>2</v>
      </c>
      <c r="O10" s="25">
        <f t="shared" si="21"/>
        <v>42.86</v>
      </c>
      <c r="P10" s="23">
        <f t="shared" si="21"/>
        <v>21</v>
      </c>
      <c r="Q10" s="23">
        <f t="shared" si="21"/>
        <v>7</v>
      </c>
      <c r="R10" s="23">
        <f t="shared" si="21"/>
        <v>1</v>
      </c>
      <c r="S10" s="25">
        <f t="shared" si="21"/>
        <v>66.67</v>
      </c>
      <c r="T10" s="23">
        <f t="shared" si="5"/>
        <v>52</v>
      </c>
      <c r="U10" s="23">
        <f t="shared" si="6"/>
        <v>308</v>
      </c>
      <c r="V10" s="26">
        <f t="shared" si="7"/>
        <v>23.7</v>
      </c>
    </row>
    <row r="11" spans="1:33" s="14" customFormat="1" ht="24" customHeight="1" x14ac:dyDescent="0.25">
      <c r="A11" s="33">
        <v>10</v>
      </c>
      <c r="B11" s="28" t="str">
        <f t="shared" ref="B11:K11" si="22">B35</f>
        <v>FBŠ Hummel Hattrick Brno</v>
      </c>
      <c r="C11" s="29">
        <f t="shared" si="22"/>
        <v>15</v>
      </c>
      <c r="D11" s="29">
        <f t="shared" si="22"/>
        <v>3</v>
      </c>
      <c r="E11" s="29">
        <f t="shared" si="22"/>
        <v>0</v>
      </c>
      <c r="F11" s="29">
        <f t="shared" si="22"/>
        <v>2</v>
      </c>
      <c r="G11" s="29">
        <f t="shared" si="22"/>
        <v>10</v>
      </c>
      <c r="H11" s="24">
        <f t="shared" si="22"/>
        <v>11</v>
      </c>
      <c r="I11" s="29">
        <f t="shared" si="22"/>
        <v>57</v>
      </c>
      <c r="J11" s="29">
        <f t="shared" si="22"/>
        <v>88</v>
      </c>
      <c r="K11" s="29">
        <f t="shared" si="22"/>
        <v>-31</v>
      </c>
      <c r="L11" s="29">
        <f t="shared" ref="L11:S11" si="23">L35</f>
        <v>26</v>
      </c>
      <c r="M11" s="29">
        <f t="shared" si="23"/>
        <v>15</v>
      </c>
      <c r="N11" s="29">
        <f t="shared" si="23"/>
        <v>2</v>
      </c>
      <c r="O11" s="30">
        <f t="shared" si="23"/>
        <v>57.69</v>
      </c>
      <c r="P11" s="29">
        <f t="shared" si="23"/>
        <v>28</v>
      </c>
      <c r="Q11" s="29">
        <f t="shared" si="23"/>
        <v>12</v>
      </c>
      <c r="R11" s="29">
        <f t="shared" si="23"/>
        <v>1</v>
      </c>
      <c r="S11" s="30">
        <f t="shared" si="23"/>
        <v>57.14</v>
      </c>
      <c r="T11" s="29">
        <f t="shared" si="5"/>
        <v>94</v>
      </c>
      <c r="U11" s="29">
        <f t="shared" si="6"/>
        <v>282</v>
      </c>
      <c r="V11" s="31">
        <f t="shared" si="7"/>
        <v>20.21</v>
      </c>
    </row>
    <row r="12" spans="1:33" ht="24" customHeight="1" x14ac:dyDescent="0.25">
      <c r="A12" s="34">
        <v>11</v>
      </c>
      <c r="B12" s="22" t="str">
        <f t="shared" ref="B12:K12" si="24">B36</f>
        <v>FBC 4CLEAN Česká Lípa</v>
      </c>
      <c r="C12" s="23">
        <f t="shared" si="24"/>
        <v>16</v>
      </c>
      <c r="D12" s="23">
        <f t="shared" si="24"/>
        <v>3</v>
      </c>
      <c r="E12" s="23">
        <f t="shared" si="24"/>
        <v>1</v>
      </c>
      <c r="F12" s="23">
        <f t="shared" si="24"/>
        <v>0</v>
      </c>
      <c r="G12" s="23">
        <f t="shared" si="24"/>
        <v>12</v>
      </c>
      <c r="H12" s="24">
        <f t="shared" si="24"/>
        <v>11</v>
      </c>
      <c r="I12" s="23">
        <f t="shared" si="24"/>
        <v>89</v>
      </c>
      <c r="J12" s="23">
        <f t="shared" si="24"/>
        <v>145</v>
      </c>
      <c r="K12" s="23">
        <f t="shared" si="24"/>
        <v>-56</v>
      </c>
      <c r="L12" s="23">
        <f t="shared" ref="L12:S12" si="25">L36</f>
        <v>15</v>
      </c>
      <c r="M12" s="23">
        <f t="shared" si="25"/>
        <v>5</v>
      </c>
      <c r="N12" s="23">
        <f t="shared" si="25"/>
        <v>0</v>
      </c>
      <c r="O12" s="25">
        <f t="shared" si="25"/>
        <v>33.33</v>
      </c>
      <c r="P12" s="23">
        <f t="shared" si="25"/>
        <v>31</v>
      </c>
      <c r="Q12" s="23">
        <f t="shared" si="25"/>
        <v>19</v>
      </c>
      <c r="R12" s="23">
        <f t="shared" si="25"/>
        <v>1</v>
      </c>
      <c r="S12" s="25">
        <f t="shared" si="25"/>
        <v>38.71</v>
      </c>
      <c r="T12" s="23">
        <f t="shared" si="5"/>
        <v>86</v>
      </c>
      <c r="U12" s="23">
        <f t="shared" si="6"/>
        <v>322</v>
      </c>
      <c r="V12" s="26">
        <f t="shared" si="7"/>
        <v>27.64</v>
      </c>
    </row>
    <row r="13" spans="1:33" s="14" customFormat="1" ht="24" customHeight="1" x14ac:dyDescent="0.25">
      <c r="A13" s="35">
        <v>12</v>
      </c>
      <c r="B13" s="28" t="str">
        <f t="shared" ref="B13:K13" si="26">B37</f>
        <v>SOKOLI Pardubice</v>
      </c>
      <c r="C13" s="29">
        <f t="shared" si="26"/>
        <v>11</v>
      </c>
      <c r="D13" s="29">
        <f t="shared" si="26"/>
        <v>3</v>
      </c>
      <c r="E13" s="29">
        <f t="shared" si="26"/>
        <v>0</v>
      </c>
      <c r="F13" s="29">
        <f t="shared" si="26"/>
        <v>1</v>
      </c>
      <c r="G13" s="29">
        <f t="shared" si="26"/>
        <v>7</v>
      </c>
      <c r="H13" s="24">
        <f t="shared" si="26"/>
        <v>10</v>
      </c>
      <c r="I13" s="29">
        <f t="shared" si="26"/>
        <v>54</v>
      </c>
      <c r="J13" s="29">
        <f t="shared" si="26"/>
        <v>91</v>
      </c>
      <c r="K13" s="29">
        <f t="shared" si="26"/>
        <v>-37</v>
      </c>
      <c r="L13" s="29">
        <f t="shared" ref="L13:S13" si="27">L37</f>
        <v>19</v>
      </c>
      <c r="M13" s="29">
        <f t="shared" si="27"/>
        <v>2</v>
      </c>
      <c r="N13" s="29">
        <f t="shared" si="27"/>
        <v>1</v>
      </c>
      <c r="O13" s="30">
        <f t="shared" si="27"/>
        <v>10.53</v>
      </c>
      <c r="P13" s="29">
        <f t="shared" si="27"/>
        <v>26</v>
      </c>
      <c r="Q13" s="29">
        <f t="shared" si="27"/>
        <v>11</v>
      </c>
      <c r="R13" s="29">
        <f t="shared" si="27"/>
        <v>1</v>
      </c>
      <c r="S13" s="30">
        <f t="shared" si="27"/>
        <v>57.69</v>
      </c>
      <c r="T13" s="29">
        <f t="shared" si="5"/>
        <v>58</v>
      </c>
      <c r="U13" s="29">
        <f t="shared" si="6"/>
        <v>242</v>
      </c>
      <c r="V13" s="31">
        <f t="shared" si="7"/>
        <v>22.31</v>
      </c>
    </row>
    <row r="14" spans="1:33" ht="24" customHeight="1" x14ac:dyDescent="0.25">
      <c r="A14" s="34">
        <v>13</v>
      </c>
      <c r="B14" s="22" t="str">
        <f t="shared" ref="B14:K14" si="28">B38</f>
        <v>Hu-Fa PANTHERS OTROKOVICE</v>
      </c>
      <c r="C14" s="23">
        <f t="shared" si="28"/>
        <v>13</v>
      </c>
      <c r="D14" s="23">
        <f t="shared" si="28"/>
        <v>2</v>
      </c>
      <c r="E14" s="23">
        <f t="shared" si="28"/>
        <v>0</v>
      </c>
      <c r="F14" s="23">
        <f t="shared" si="28"/>
        <v>2</v>
      </c>
      <c r="G14" s="23">
        <f t="shared" si="28"/>
        <v>9</v>
      </c>
      <c r="H14" s="24">
        <f t="shared" si="28"/>
        <v>8</v>
      </c>
      <c r="I14" s="23">
        <f t="shared" si="28"/>
        <v>51</v>
      </c>
      <c r="J14" s="23">
        <f t="shared" si="28"/>
        <v>85</v>
      </c>
      <c r="K14" s="23">
        <f t="shared" si="28"/>
        <v>-34</v>
      </c>
      <c r="L14" s="23">
        <f t="shared" ref="L14:S14" si="29">L38</f>
        <v>26</v>
      </c>
      <c r="M14" s="23">
        <f t="shared" si="29"/>
        <v>8</v>
      </c>
      <c r="N14" s="23">
        <f t="shared" si="29"/>
        <v>0</v>
      </c>
      <c r="O14" s="25">
        <f t="shared" si="29"/>
        <v>30.77</v>
      </c>
      <c r="P14" s="23">
        <f t="shared" si="29"/>
        <v>32</v>
      </c>
      <c r="Q14" s="23">
        <f t="shared" si="29"/>
        <v>12</v>
      </c>
      <c r="R14" s="23">
        <f t="shared" si="29"/>
        <v>1</v>
      </c>
      <c r="S14" s="25">
        <f t="shared" si="29"/>
        <v>62.5</v>
      </c>
      <c r="T14" s="23">
        <f t="shared" si="5"/>
        <v>74</v>
      </c>
      <c r="U14" s="23">
        <f t="shared" si="6"/>
        <v>278</v>
      </c>
      <c r="V14" s="26">
        <f t="shared" si="7"/>
        <v>18.350000000000001</v>
      </c>
    </row>
    <row r="15" spans="1:33" s="14" customFormat="1" ht="24" customHeight="1" thickBot="1" x14ac:dyDescent="0.3">
      <c r="A15" s="36">
        <v>14</v>
      </c>
      <c r="B15" s="37" t="str">
        <f t="shared" ref="B15:K15" si="30">B39</f>
        <v>TJ Sokol Královské Vinohrady</v>
      </c>
      <c r="C15" s="38">
        <f t="shared" si="30"/>
        <v>12</v>
      </c>
      <c r="D15" s="38">
        <f t="shared" si="30"/>
        <v>2</v>
      </c>
      <c r="E15" s="38">
        <f t="shared" si="30"/>
        <v>0</v>
      </c>
      <c r="F15" s="38">
        <f t="shared" si="30"/>
        <v>1</v>
      </c>
      <c r="G15" s="38">
        <f t="shared" si="30"/>
        <v>9</v>
      </c>
      <c r="H15" s="39">
        <f t="shared" si="30"/>
        <v>7</v>
      </c>
      <c r="I15" s="38">
        <f t="shared" si="30"/>
        <v>52</v>
      </c>
      <c r="J15" s="38">
        <f t="shared" si="30"/>
        <v>78</v>
      </c>
      <c r="K15" s="38">
        <f t="shared" si="30"/>
        <v>-26</v>
      </c>
      <c r="L15" s="38">
        <f t="shared" ref="L15:S15" si="31">L39</f>
        <v>21</v>
      </c>
      <c r="M15" s="38">
        <f t="shared" si="31"/>
        <v>9</v>
      </c>
      <c r="N15" s="38">
        <f t="shared" si="31"/>
        <v>2</v>
      </c>
      <c r="O15" s="40">
        <f t="shared" si="31"/>
        <v>42.86</v>
      </c>
      <c r="P15" s="38">
        <f t="shared" si="31"/>
        <v>18</v>
      </c>
      <c r="Q15" s="38">
        <f t="shared" si="31"/>
        <v>12</v>
      </c>
      <c r="R15" s="38">
        <f t="shared" si="31"/>
        <v>1</v>
      </c>
      <c r="S15" s="40">
        <f t="shared" si="31"/>
        <v>33.33</v>
      </c>
      <c r="T15" s="38">
        <f t="shared" si="5"/>
        <v>43</v>
      </c>
      <c r="U15" s="38">
        <f t="shared" si="6"/>
        <v>216</v>
      </c>
      <c r="V15" s="41">
        <f t="shared" si="7"/>
        <v>24.07</v>
      </c>
    </row>
    <row r="16" spans="1:33" ht="15.75" thickTop="1" x14ac:dyDescent="0.25"/>
    <row r="25" spans="1:37" s="2" customFormat="1" x14ac:dyDescent="0.25">
      <c r="B25" s="2" t="s">
        <v>137</v>
      </c>
      <c r="C25" s="2" t="s">
        <v>98</v>
      </c>
      <c r="D25" s="2" t="s">
        <v>50</v>
      </c>
      <c r="E25" s="2" t="s">
        <v>138</v>
      </c>
      <c r="F25" s="2" t="s">
        <v>139</v>
      </c>
      <c r="G25" s="2" t="s">
        <v>51</v>
      </c>
      <c r="H25" s="2" t="s">
        <v>36</v>
      </c>
      <c r="I25" s="2" t="s">
        <v>140</v>
      </c>
      <c r="J25" s="2" t="s">
        <v>78</v>
      </c>
      <c r="K25" s="2" t="s">
        <v>141</v>
      </c>
      <c r="L25" s="2" t="s">
        <v>139</v>
      </c>
      <c r="M25" s="2" t="s">
        <v>144</v>
      </c>
      <c r="N25" s="2" t="s">
        <v>145</v>
      </c>
      <c r="O25" s="2" t="s">
        <v>142</v>
      </c>
      <c r="P25" s="2" t="s">
        <v>61</v>
      </c>
      <c r="Q25" s="2" t="s">
        <v>143</v>
      </c>
      <c r="R25" s="2" t="s">
        <v>146</v>
      </c>
      <c r="S25" s="2" t="s">
        <v>147</v>
      </c>
      <c r="T25" s="2">
        <v>2</v>
      </c>
      <c r="U25" s="2">
        <v>5</v>
      </c>
      <c r="V25" s="2">
        <v>10</v>
      </c>
      <c r="W25" s="2" t="s">
        <v>148</v>
      </c>
      <c r="X25" s="2" t="s">
        <v>149</v>
      </c>
      <c r="Y25" s="2" t="s">
        <v>150</v>
      </c>
      <c r="Z25" s="2" t="s">
        <v>45</v>
      </c>
      <c r="AA25" s="2" t="s">
        <v>103</v>
      </c>
      <c r="AB25" s="2" t="s">
        <v>151</v>
      </c>
      <c r="AC25" s="2" t="s">
        <v>152</v>
      </c>
      <c r="AD25" s="2" t="s">
        <v>153</v>
      </c>
      <c r="AE25" s="3" t="s">
        <v>154</v>
      </c>
      <c r="AF25" s="3" t="s">
        <v>155</v>
      </c>
      <c r="AG25" s="3" t="s">
        <v>156</v>
      </c>
      <c r="AH25" s="2" t="s">
        <v>157</v>
      </c>
      <c r="AI25" s="2" t="s">
        <v>158</v>
      </c>
      <c r="AJ25" s="2" t="s">
        <v>159</v>
      </c>
      <c r="AK25" s="2" t="s">
        <v>285</v>
      </c>
    </row>
    <row r="26" spans="1:37" x14ac:dyDescent="0.25">
      <c r="A26" s="1">
        <v>1</v>
      </c>
      <c r="B26" s="1" t="s">
        <v>123</v>
      </c>
      <c r="C26" s="6">
        <v>16</v>
      </c>
      <c r="D26" s="6">
        <v>14</v>
      </c>
      <c r="E26" s="6">
        <v>0</v>
      </c>
      <c r="F26" s="6">
        <v>1</v>
      </c>
      <c r="G26" s="6">
        <v>1</v>
      </c>
      <c r="H26" s="6">
        <v>43</v>
      </c>
      <c r="I26" s="6">
        <v>142</v>
      </c>
      <c r="J26" s="6">
        <v>68</v>
      </c>
      <c r="K26" s="6">
        <v>74</v>
      </c>
      <c r="L26" s="6">
        <v>26</v>
      </c>
      <c r="M26" s="6">
        <v>10</v>
      </c>
      <c r="N26" s="6">
        <v>1</v>
      </c>
      <c r="O26" s="6">
        <v>38.46</v>
      </c>
      <c r="P26" s="6">
        <v>19</v>
      </c>
      <c r="Q26" s="6">
        <v>6</v>
      </c>
      <c r="R26" s="6">
        <v>0</v>
      </c>
      <c r="S26" s="6">
        <v>68.42</v>
      </c>
      <c r="T26" s="6">
        <v>20</v>
      </c>
      <c r="U26" s="6">
        <v>0</v>
      </c>
      <c r="V26" s="6">
        <v>0</v>
      </c>
      <c r="W26" s="6">
        <v>0</v>
      </c>
      <c r="X26" s="6">
        <v>0</v>
      </c>
      <c r="Y26" s="6">
        <v>0</v>
      </c>
      <c r="Z26" s="6">
        <v>40</v>
      </c>
      <c r="AA26" s="6">
        <v>493</v>
      </c>
      <c r="AB26" s="6">
        <v>28.8</v>
      </c>
      <c r="AC26" s="6">
        <v>387</v>
      </c>
      <c r="AD26" s="6">
        <v>357</v>
      </c>
      <c r="AE26" s="6">
        <v>48</v>
      </c>
      <c r="AF26" s="6">
        <v>45</v>
      </c>
      <c r="AG26" s="6">
        <v>29</v>
      </c>
      <c r="AH26" s="6">
        <f>_xlfn.RANK.EQ(O26,$O$26:$O$39,0)</f>
        <v>8</v>
      </c>
      <c r="AI26" s="6">
        <f>_xlfn.RANK.EQ(S26,$S$26:$S$39,0)</f>
        <v>5</v>
      </c>
      <c r="AJ26" s="6">
        <f>_xlfn.RANK.EQ(Z26,$Z$26:$Z$39,0)</f>
        <v>14</v>
      </c>
      <c r="AK26" s="6">
        <f>A26</f>
        <v>1</v>
      </c>
    </row>
    <row r="27" spans="1:37" x14ac:dyDescent="0.25">
      <c r="A27" s="1">
        <v>2</v>
      </c>
      <c r="B27" s="1" t="s">
        <v>124</v>
      </c>
      <c r="C27" s="6">
        <v>11</v>
      </c>
      <c r="D27" s="6">
        <v>10</v>
      </c>
      <c r="E27" s="6">
        <v>1</v>
      </c>
      <c r="F27" s="6">
        <v>0</v>
      </c>
      <c r="G27" s="6">
        <v>1</v>
      </c>
      <c r="H27" s="6">
        <v>32</v>
      </c>
      <c r="I27" s="6">
        <v>104</v>
      </c>
      <c r="J27" s="6">
        <v>51</v>
      </c>
      <c r="K27" s="6">
        <v>53</v>
      </c>
      <c r="L27" s="6">
        <v>18</v>
      </c>
      <c r="M27" s="6">
        <v>7</v>
      </c>
      <c r="N27" s="6">
        <v>0</v>
      </c>
      <c r="O27" s="6">
        <v>38.89</v>
      </c>
      <c r="P27" s="6">
        <v>23</v>
      </c>
      <c r="Q27" s="6">
        <v>6</v>
      </c>
      <c r="R27" s="6">
        <v>1</v>
      </c>
      <c r="S27" s="6">
        <v>73.91</v>
      </c>
      <c r="T27" s="6">
        <v>24</v>
      </c>
      <c r="U27" s="6">
        <v>0</v>
      </c>
      <c r="V27" s="6">
        <v>1</v>
      </c>
      <c r="W27" s="6">
        <v>0</v>
      </c>
      <c r="X27" s="6">
        <v>0</v>
      </c>
      <c r="Y27" s="6">
        <v>0</v>
      </c>
      <c r="Z27" s="6">
        <v>58</v>
      </c>
      <c r="AA27" s="6">
        <v>341</v>
      </c>
      <c r="AB27" s="6">
        <v>30.5</v>
      </c>
      <c r="AC27" s="6">
        <v>370</v>
      </c>
      <c r="AD27" s="6">
        <v>0</v>
      </c>
      <c r="AE27" s="6">
        <v>53</v>
      </c>
      <c r="AF27" s="6">
        <v>0</v>
      </c>
      <c r="AG27" s="6">
        <v>14</v>
      </c>
      <c r="AH27" s="6">
        <f t="shared" ref="AH27:AH39" si="32">_xlfn.RANK.EQ(O27,$O$26:$O$39,0)</f>
        <v>7</v>
      </c>
      <c r="AI27" s="6">
        <f t="shared" ref="AI27:AI39" si="33">_xlfn.RANK.EQ(S27,$S$26:$S$39,0)</f>
        <v>3</v>
      </c>
      <c r="AJ27" s="6">
        <f t="shared" ref="AJ27:AJ39" si="34">_xlfn.RANK.EQ(Z27,$Z$26:$Z$39,0)</f>
        <v>8</v>
      </c>
      <c r="AK27" s="6">
        <f t="shared" ref="AK27:AK39" si="35">A27</f>
        <v>2</v>
      </c>
    </row>
    <row r="28" spans="1:37" x14ac:dyDescent="0.25">
      <c r="A28" s="1">
        <v>3</v>
      </c>
      <c r="B28" s="1" t="s">
        <v>125</v>
      </c>
      <c r="C28" s="6">
        <v>14</v>
      </c>
      <c r="D28" s="6">
        <v>10</v>
      </c>
      <c r="E28" s="6">
        <v>1</v>
      </c>
      <c r="F28" s="6">
        <v>0</v>
      </c>
      <c r="G28" s="6">
        <v>3</v>
      </c>
      <c r="H28" s="6">
        <v>32</v>
      </c>
      <c r="I28" s="6">
        <v>110</v>
      </c>
      <c r="J28" s="6">
        <v>62</v>
      </c>
      <c r="K28" s="6">
        <v>48</v>
      </c>
      <c r="L28" s="6">
        <v>41</v>
      </c>
      <c r="M28" s="6">
        <v>19</v>
      </c>
      <c r="N28" s="6">
        <v>1</v>
      </c>
      <c r="O28" s="6">
        <v>46.34</v>
      </c>
      <c r="P28" s="6">
        <v>27</v>
      </c>
      <c r="Q28" s="6">
        <v>6</v>
      </c>
      <c r="R28" s="6">
        <v>0</v>
      </c>
      <c r="S28" s="6">
        <v>77.78</v>
      </c>
      <c r="T28" s="6">
        <v>27</v>
      </c>
      <c r="U28" s="6">
        <v>0</v>
      </c>
      <c r="V28" s="6">
        <v>1</v>
      </c>
      <c r="W28" s="6">
        <v>0</v>
      </c>
      <c r="X28" s="6">
        <v>0</v>
      </c>
      <c r="Y28" s="6">
        <v>0</v>
      </c>
      <c r="Z28" s="6">
        <v>64</v>
      </c>
      <c r="AA28" s="6">
        <v>445</v>
      </c>
      <c r="AB28" s="6">
        <v>24.72</v>
      </c>
      <c r="AC28" s="6">
        <v>301</v>
      </c>
      <c r="AD28" s="6">
        <v>185</v>
      </c>
      <c r="AE28" s="6">
        <v>43</v>
      </c>
      <c r="AF28" s="6">
        <v>26</v>
      </c>
      <c r="AG28" s="6">
        <v>19</v>
      </c>
      <c r="AH28" s="6">
        <f t="shared" si="32"/>
        <v>4</v>
      </c>
      <c r="AI28" s="6">
        <f t="shared" si="33"/>
        <v>2</v>
      </c>
      <c r="AJ28" s="6">
        <f t="shared" si="34"/>
        <v>7</v>
      </c>
      <c r="AK28" s="6">
        <f t="shared" si="35"/>
        <v>3</v>
      </c>
    </row>
    <row r="29" spans="1:37" x14ac:dyDescent="0.25">
      <c r="A29" s="1">
        <v>4</v>
      </c>
      <c r="B29" s="1" t="s">
        <v>126</v>
      </c>
      <c r="C29" s="6">
        <v>13</v>
      </c>
      <c r="D29" s="6">
        <v>8</v>
      </c>
      <c r="E29" s="6">
        <v>1</v>
      </c>
      <c r="F29" s="6">
        <v>1</v>
      </c>
      <c r="G29" s="6">
        <v>3</v>
      </c>
      <c r="H29" s="6">
        <v>27</v>
      </c>
      <c r="I29" s="6">
        <v>105</v>
      </c>
      <c r="J29" s="6">
        <v>72</v>
      </c>
      <c r="K29" s="6">
        <v>33</v>
      </c>
      <c r="L29" s="6">
        <v>45</v>
      </c>
      <c r="M29" s="6">
        <v>23</v>
      </c>
      <c r="N29" s="6">
        <v>3</v>
      </c>
      <c r="O29" s="6">
        <v>51.11</v>
      </c>
      <c r="P29" s="6">
        <v>21</v>
      </c>
      <c r="Q29" s="6">
        <v>2</v>
      </c>
      <c r="R29" s="6">
        <v>2</v>
      </c>
      <c r="S29" s="6">
        <v>90.48</v>
      </c>
      <c r="T29" s="6">
        <v>21</v>
      </c>
      <c r="U29" s="6">
        <v>0</v>
      </c>
      <c r="V29" s="6">
        <v>1</v>
      </c>
      <c r="W29" s="6">
        <v>0</v>
      </c>
      <c r="X29" s="6">
        <v>0</v>
      </c>
      <c r="Y29" s="6">
        <v>0</v>
      </c>
      <c r="Z29" s="6">
        <v>52</v>
      </c>
      <c r="AA29" s="6">
        <v>401</v>
      </c>
      <c r="AB29" s="6">
        <v>26.18</v>
      </c>
      <c r="AC29" s="6">
        <v>320</v>
      </c>
      <c r="AD29" s="6">
        <v>830</v>
      </c>
      <c r="AE29" s="6">
        <v>53</v>
      </c>
      <c r="AF29" s="6">
        <v>119</v>
      </c>
      <c r="AG29" s="6">
        <v>44</v>
      </c>
      <c r="AH29" s="6">
        <f t="shared" si="32"/>
        <v>3</v>
      </c>
      <c r="AI29" s="6">
        <f t="shared" si="33"/>
        <v>1</v>
      </c>
      <c r="AJ29" s="6">
        <f t="shared" si="34"/>
        <v>11</v>
      </c>
      <c r="AK29" s="6">
        <f t="shared" si="35"/>
        <v>4</v>
      </c>
    </row>
    <row r="30" spans="1:37" x14ac:dyDescent="0.25">
      <c r="A30" s="1">
        <v>5</v>
      </c>
      <c r="B30" s="1" t="s">
        <v>127</v>
      </c>
      <c r="C30" s="6">
        <v>12</v>
      </c>
      <c r="D30" s="6">
        <v>8</v>
      </c>
      <c r="E30" s="6">
        <v>0</v>
      </c>
      <c r="F30" s="6">
        <v>1</v>
      </c>
      <c r="G30" s="6">
        <v>3</v>
      </c>
      <c r="H30" s="6">
        <v>25</v>
      </c>
      <c r="I30" s="6">
        <v>78</v>
      </c>
      <c r="J30" s="6">
        <v>72</v>
      </c>
      <c r="K30" s="6">
        <v>6</v>
      </c>
      <c r="L30" s="6">
        <v>23</v>
      </c>
      <c r="M30" s="6">
        <v>8</v>
      </c>
      <c r="N30" s="6">
        <v>0</v>
      </c>
      <c r="O30" s="6">
        <v>34.78</v>
      </c>
      <c r="P30" s="6">
        <v>23</v>
      </c>
      <c r="Q30" s="6">
        <v>10</v>
      </c>
      <c r="R30" s="6">
        <v>0</v>
      </c>
      <c r="S30" s="6">
        <v>56.52</v>
      </c>
      <c r="T30" s="6">
        <v>24</v>
      </c>
      <c r="U30" s="6">
        <v>0</v>
      </c>
      <c r="V30" s="6">
        <v>1</v>
      </c>
      <c r="W30" s="6">
        <v>0</v>
      </c>
      <c r="X30" s="6">
        <v>0</v>
      </c>
      <c r="Y30" s="6">
        <v>0</v>
      </c>
      <c r="Z30" s="6">
        <v>58</v>
      </c>
      <c r="AA30" s="6">
        <v>366</v>
      </c>
      <c r="AB30" s="6">
        <v>21.31</v>
      </c>
      <c r="AC30" s="6">
        <v>162</v>
      </c>
      <c r="AD30" s="6">
        <v>410</v>
      </c>
      <c r="AE30" s="6">
        <v>27</v>
      </c>
      <c r="AF30" s="6">
        <v>68</v>
      </c>
      <c r="AG30" s="6">
        <v>22</v>
      </c>
      <c r="AH30" s="6">
        <f t="shared" si="32"/>
        <v>9</v>
      </c>
      <c r="AI30" s="6">
        <f t="shared" si="33"/>
        <v>11</v>
      </c>
      <c r="AJ30" s="6">
        <f t="shared" si="34"/>
        <v>8</v>
      </c>
      <c r="AK30" s="6">
        <f t="shared" si="35"/>
        <v>5</v>
      </c>
    </row>
    <row r="31" spans="1:37" x14ac:dyDescent="0.25">
      <c r="A31" s="1">
        <v>6</v>
      </c>
      <c r="B31" s="1" t="s">
        <v>128</v>
      </c>
      <c r="C31" s="6">
        <v>15</v>
      </c>
      <c r="D31" s="6">
        <v>7</v>
      </c>
      <c r="E31" s="6">
        <v>2</v>
      </c>
      <c r="F31" s="6">
        <v>0</v>
      </c>
      <c r="G31" s="6">
        <v>6</v>
      </c>
      <c r="H31" s="6">
        <v>25</v>
      </c>
      <c r="I31" s="6">
        <v>87</v>
      </c>
      <c r="J31" s="6">
        <v>87</v>
      </c>
      <c r="K31" s="6">
        <v>0</v>
      </c>
      <c r="L31" s="6">
        <v>29</v>
      </c>
      <c r="M31" s="6">
        <v>8</v>
      </c>
      <c r="N31" s="6">
        <v>1</v>
      </c>
      <c r="O31" s="6">
        <v>27.59</v>
      </c>
      <c r="P31" s="6">
        <v>35</v>
      </c>
      <c r="Q31" s="6">
        <v>11</v>
      </c>
      <c r="R31" s="6">
        <v>2</v>
      </c>
      <c r="S31" s="6">
        <v>68.569999999999993</v>
      </c>
      <c r="T31" s="6">
        <v>36</v>
      </c>
      <c r="U31" s="6">
        <v>0</v>
      </c>
      <c r="V31" s="6">
        <v>0</v>
      </c>
      <c r="W31" s="6">
        <v>0</v>
      </c>
      <c r="X31" s="6">
        <v>0</v>
      </c>
      <c r="Y31" s="6">
        <v>0</v>
      </c>
      <c r="Z31" s="6">
        <v>72</v>
      </c>
      <c r="AA31" s="6">
        <v>384</v>
      </c>
      <c r="AB31" s="6">
        <v>22.66</v>
      </c>
      <c r="AC31" s="6">
        <v>296</v>
      </c>
      <c r="AD31" s="6">
        <v>487</v>
      </c>
      <c r="AE31" s="6">
        <v>42</v>
      </c>
      <c r="AF31" s="6">
        <v>61</v>
      </c>
      <c r="AG31" s="6">
        <v>30</v>
      </c>
      <c r="AH31" s="6">
        <f t="shared" si="32"/>
        <v>12</v>
      </c>
      <c r="AI31" s="6">
        <f t="shared" si="33"/>
        <v>4</v>
      </c>
      <c r="AJ31" s="6">
        <f t="shared" si="34"/>
        <v>4</v>
      </c>
      <c r="AK31" s="6">
        <f t="shared" si="35"/>
        <v>6</v>
      </c>
    </row>
    <row r="32" spans="1:37" x14ac:dyDescent="0.25">
      <c r="A32" s="1">
        <v>7</v>
      </c>
      <c r="B32" s="1" t="s">
        <v>129</v>
      </c>
      <c r="C32" s="6">
        <v>12</v>
      </c>
      <c r="D32" s="6">
        <v>7</v>
      </c>
      <c r="E32" s="6">
        <v>0</v>
      </c>
      <c r="F32" s="6">
        <v>0</v>
      </c>
      <c r="G32" s="6">
        <v>5</v>
      </c>
      <c r="H32" s="6">
        <v>21</v>
      </c>
      <c r="I32" s="6">
        <v>80</v>
      </c>
      <c r="J32" s="6">
        <v>64</v>
      </c>
      <c r="K32" s="6">
        <v>16</v>
      </c>
      <c r="L32" s="6">
        <v>21</v>
      </c>
      <c r="M32" s="6">
        <v>11</v>
      </c>
      <c r="N32" s="6">
        <v>0</v>
      </c>
      <c r="O32" s="6">
        <v>52.38</v>
      </c>
      <c r="P32" s="6">
        <v>29</v>
      </c>
      <c r="Q32" s="6">
        <v>11</v>
      </c>
      <c r="R32" s="6">
        <v>2</v>
      </c>
      <c r="S32" s="6">
        <v>62.07</v>
      </c>
      <c r="T32" s="6">
        <v>31</v>
      </c>
      <c r="U32" s="6">
        <v>0</v>
      </c>
      <c r="V32" s="6">
        <v>1</v>
      </c>
      <c r="W32" s="6">
        <v>0</v>
      </c>
      <c r="X32" s="6">
        <v>0</v>
      </c>
      <c r="Y32" s="6">
        <v>0</v>
      </c>
      <c r="Z32" s="6">
        <v>72</v>
      </c>
      <c r="AA32" s="6">
        <v>329</v>
      </c>
      <c r="AB32" s="6">
        <v>24.32</v>
      </c>
      <c r="AC32" s="6">
        <v>872</v>
      </c>
      <c r="AD32" s="6">
        <v>245</v>
      </c>
      <c r="AE32" s="6">
        <v>125</v>
      </c>
      <c r="AF32" s="6">
        <v>49</v>
      </c>
      <c r="AG32" s="6">
        <v>43</v>
      </c>
      <c r="AH32" s="6">
        <f t="shared" si="32"/>
        <v>2</v>
      </c>
      <c r="AI32" s="6">
        <f t="shared" si="33"/>
        <v>8</v>
      </c>
      <c r="AJ32" s="6">
        <f t="shared" si="34"/>
        <v>4</v>
      </c>
      <c r="AK32" s="6">
        <f t="shared" si="35"/>
        <v>7</v>
      </c>
    </row>
    <row r="33" spans="1:37" x14ac:dyDescent="0.25">
      <c r="A33" s="1">
        <v>8</v>
      </c>
      <c r="B33" s="1" t="s">
        <v>130</v>
      </c>
      <c r="C33" s="6">
        <v>15</v>
      </c>
      <c r="D33" s="6">
        <v>5</v>
      </c>
      <c r="E33" s="6">
        <v>2</v>
      </c>
      <c r="F33" s="6">
        <v>0</v>
      </c>
      <c r="G33" s="6">
        <v>9</v>
      </c>
      <c r="H33" s="6">
        <v>19</v>
      </c>
      <c r="I33" s="6">
        <v>92</v>
      </c>
      <c r="J33" s="6">
        <v>121</v>
      </c>
      <c r="K33" s="6">
        <v>-29</v>
      </c>
      <c r="L33" s="6">
        <v>34</v>
      </c>
      <c r="M33" s="6">
        <v>7</v>
      </c>
      <c r="N33" s="6">
        <v>1</v>
      </c>
      <c r="O33" s="6">
        <v>20.59</v>
      </c>
      <c r="P33" s="6">
        <v>32</v>
      </c>
      <c r="Q33" s="6">
        <v>16</v>
      </c>
      <c r="R33" s="6">
        <v>1</v>
      </c>
      <c r="S33" s="6">
        <v>50</v>
      </c>
      <c r="T33" s="6">
        <v>35</v>
      </c>
      <c r="U33" s="6">
        <v>0</v>
      </c>
      <c r="V33" s="6">
        <v>0</v>
      </c>
      <c r="W33" s="6">
        <v>0</v>
      </c>
      <c r="X33" s="6">
        <v>0</v>
      </c>
      <c r="Y33" s="6">
        <v>0</v>
      </c>
      <c r="Z33" s="6">
        <v>70</v>
      </c>
      <c r="AA33" s="6">
        <v>385</v>
      </c>
      <c r="AB33" s="6">
        <v>23.9</v>
      </c>
      <c r="AC33" s="6">
        <v>280</v>
      </c>
      <c r="AD33" s="6">
        <v>540</v>
      </c>
      <c r="AE33" s="6">
        <v>40</v>
      </c>
      <c r="AF33" s="6">
        <v>68</v>
      </c>
      <c r="AG33" s="6">
        <v>32</v>
      </c>
      <c r="AH33" s="6">
        <f t="shared" si="32"/>
        <v>13</v>
      </c>
      <c r="AI33" s="6">
        <f t="shared" si="33"/>
        <v>12</v>
      </c>
      <c r="AJ33" s="6">
        <f t="shared" si="34"/>
        <v>6</v>
      </c>
      <c r="AK33" s="6">
        <f t="shared" si="35"/>
        <v>8</v>
      </c>
    </row>
    <row r="34" spans="1:37" x14ac:dyDescent="0.25">
      <c r="A34" s="1">
        <v>9</v>
      </c>
      <c r="B34" s="1" t="s">
        <v>131</v>
      </c>
      <c r="C34" s="6">
        <v>13</v>
      </c>
      <c r="D34" s="6">
        <v>4</v>
      </c>
      <c r="E34" s="6">
        <v>1</v>
      </c>
      <c r="F34" s="6">
        <v>0</v>
      </c>
      <c r="G34" s="6">
        <v>8</v>
      </c>
      <c r="H34" s="6">
        <v>14</v>
      </c>
      <c r="I34" s="6">
        <v>73</v>
      </c>
      <c r="J34" s="6">
        <v>90</v>
      </c>
      <c r="K34" s="6">
        <v>-17</v>
      </c>
      <c r="L34" s="6">
        <v>21</v>
      </c>
      <c r="M34" s="6">
        <v>9</v>
      </c>
      <c r="N34" s="6">
        <v>2</v>
      </c>
      <c r="O34" s="6">
        <v>42.86</v>
      </c>
      <c r="P34" s="6">
        <v>21</v>
      </c>
      <c r="Q34" s="6">
        <v>7</v>
      </c>
      <c r="R34" s="6">
        <v>1</v>
      </c>
      <c r="S34" s="6">
        <v>66.67</v>
      </c>
      <c r="T34" s="6">
        <v>26</v>
      </c>
      <c r="U34" s="6">
        <v>0</v>
      </c>
      <c r="V34" s="6">
        <v>0</v>
      </c>
      <c r="W34" s="6">
        <v>0</v>
      </c>
      <c r="X34" s="6">
        <v>0</v>
      </c>
      <c r="Y34" s="6">
        <v>0</v>
      </c>
      <c r="Z34" s="6">
        <v>52</v>
      </c>
      <c r="AA34" s="6">
        <v>308</v>
      </c>
      <c r="AB34" s="6">
        <v>23.7</v>
      </c>
      <c r="AC34" s="6">
        <v>227</v>
      </c>
      <c r="AD34" s="6">
        <v>107</v>
      </c>
      <c r="AE34" s="6">
        <v>32</v>
      </c>
      <c r="AF34" s="6">
        <v>18</v>
      </c>
      <c r="AG34" s="6">
        <v>13</v>
      </c>
      <c r="AH34" s="6">
        <f t="shared" si="32"/>
        <v>5</v>
      </c>
      <c r="AI34" s="6">
        <f t="shared" si="33"/>
        <v>6</v>
      </c>
      <c r="AJ34" s="6">
        <f t="shared" si="34"/>
        <v>11</v>
      </c>
      <c r="AK34" s="6">
        <f t="shared" si="35"/>
        <v>9</v>
      </c>
    </row>
    <row r="35" spans="1:37" x14ac:dyDescent="0.25">
      <c r="A35" s="1">
        <v>10</v>
      </c>
      <c r="B35" s="1" t="s">
        <v>132</v>
      </c>
      <c r="C35" s="6">
        <v>15</v>
      </c>
      <c r="D35" s="6">
        <v>3</v>
      </c>
      <c r="E35" s="6">
        <v>0</v>
      </c>
      <c r="F35" s="6">
        <v>2</v>
      </c>
      <c r="G35" s="6">
        <v>10</v>
      </c>
      <c r="H35" s="6">
        <v>11</v>
      </c>
      <c r="I35" s="6">
        <v>57</v>
      </c>
      <c r="J35" s="6">
        <v>88</v>
      </c>
      <c r="K35" s="6">
        <v>-31</v>
      </c>
      <c r="L35" s="6">
        <v>26</v>
      </c>
      <c r="M35" s="6">
        <v>15</v>
      </c>
      <c r="N35" s="6">
        <v>2</v>
      </c>
      <c r="O35" s="6">
        <v>57.69</v>
      </c>
      <c r="P35" s="6">
        <v>28</v>
      </c>
      <c r="Q35" s="6">
        <v>12</v>
      </c>
      <c r="R35" s="6">
        <v>1</v>
      </c>
      <c r="S35" s="6">
        <v>57.14</v>
      </c>
      <c r="T35" s="6">
        <v>32</v>
      </c>
      <c r="U35" s="6">
        <v>2</v>
      </c>
      <c r="V35" s="6">
        <v>0</v>
      </c>
      <c r="W35" s="6">
        <v>0</v>
      </c>
      <c r="X35" s="6">
        <v>1</v>
      </c>
      <c r="Y35" s="6">
        <v>0</v>
      </c>
      <c r="Z35" s="6">
        <v>94</v>
      </c>
      <c r="AA35" s="6">
        <v>282</v>
      </c>
      <c r="AB35" s="6">
        <v>20.21</v>
      </c>
      <c r="AC35" s="6">
        <v>407</v>
      </c>
      <c r="AD35" s="6">
        <v>324</v>
      </c>
      <c r="AE35" s="6">
        <v>58</v>
      </c>
      <c r="AF35" s="6">
        <v>40</v>
      </c>
      <c r="AG35" s="6">
        <v>28</v>
      </c>
      <c r="AH35" s="6">
        <f t="shared" si="32"/>
        <v>1</v>
      </c>
      <c r="AI35" s="6">
        <f t="shared" si="33"/>
        <v>10</v>
      </c>
      <c r="AJ35" s="6">
        <f t="shared" si="34"/>
        <v>1</v>
      </c>
      <c r="AK35" s="6">
        <f t="shared" si="35"/>
        <v>10</v>
      </c>
    </row>
    <row r="36" spans="1:37" x14ac:dyDescent="0.25">
      <c r="A36" s="1">
        <v>11</v>
      </c>
      <c r="B36" s="1" t="s">
        <v>133</v>
      </c>
      <c r="C36" s="6">
        <v>16</v>
      </c>
      <c r="D36" s="6">
        <v>3</v>
      </c>
      <c r="E36" s="6">
        <v>1</v>
      </c>
      <c r="F36" s="6">
        <v>0</v>
      </c>
      <c r="G36" s="6">
        <v>12</v>
      </c>
      <c r="H36" s="6">
        <v>11</v>
      </c>
      <c r="I36" s="6">
        <v>89</v>
      </c>
      <c r="J36" s="6">
        <v>145</v>
      </c>
      <c r="K36" s="6">
        <v>-56</v>
      </c>
      <c r="L36" s="6">
        <v>15</v>
      </c>
      <c r="M36" s="6">
        <v>5</v>
      </c>
      <c r="N36" s="6">
        <v>0</v>
      </c>
      <c r="O36" s="6">
        <v>33.33</v>
      </c>
      <c r="P36" s="6">
        <v>31</v>
      </c>
      <c r="Q36" s="6">
        <v>19</v>
      </c>
      <c r="R36" s="6">
        <v>1</v>
      </c>
      <c r="S36" s="6">
        <v>38.71</v>
      </c>
      <c r="T36" s="6">
        <v>33</v>
      </c>
      <c r="U36" s="6">
        <v>0</v>
      </c>
      <c r="V36" s="6">
        <v>2</v>
      </c>
      <c r="W36" s="6">
        <v>0</v>
      </c>
      <c r="X36" s="6">
        <v>0</v>
      </c>
      <c r="Y36" s="6">
        <v>0</v>
      </c>
      <c r="Z36" s="6">
        <v>86</v>
      </c>
      <c r="AA36" s="6">
        <v>322</v>
      </c>
      <c r="AB36" s="6">
        <v>27.64</v>
      </c>
      <c r="AC36" s="6">
        <v>290</v>
      </c>
      <c r="AD36" s="6">
        <v>532</v>
      </c>
      <c r="AE36" s="6">
        <v>41</v>
      </c>
      <c r="AF36" s="6">
        <v>59</v>
      </c>
      <c r="AG36" s="6">
        <v>32</v>
      </c>
      <c r="AH36" s="6">
        <f t="shared" si="32"/>
        <v>10</v>
      </c>
      <c r="AI36" s="6">
        <f t="shared" si="33"/>
        <v>13</v>
      </c>
      <c r="AJ36" s="6">
        <f t="shared" si="34"/>
        <v>2</v>
      </c>
      <c r="AK36" s="6">
        <f t="shared" si="35"/>
        <v>11</v>
      </c>
    </row>
    <row r="37" spans="1:37" x14ac:dyDescent="0.25">
      <c r="A37" s="1">
        <v>12</v>
      </c>
      <c r="B37" s="1" t="s">
        <v>134</v>
      </c>
      <c r="C37" s="6">
        <v>11</v>
      </c>
      <c r="D37" s="6">
        <v>3</v>
      </c>
      <c r="E37" s="6">
        <v>0</v>
      </c>
      <c r="F37" s="6">
        <v>1</v>
      </c>
      <c r="G37" s="6">
        <v>7</v>
      </c>
      <c r="H37" s="6">
        <v>10</v>
      </c>
      <c r="I37" s="6">
        <v>54</v>
      </c>
      <c r="J37" s="6">
        <v>91</v>
      </c>
      <c r="K37" s="6">
        <v>-37</v>
      </c>
      <c r="L37" s="6">
        <v>19</v>
      </c>
      <c r="M37" s="6">
        <v>2</v>
      </c>
      <c r="N37" s="6">
        <v>1</v>
      </c>
      <c r="O37" s="6">
        <v>10.53</v>
      </c>
      <c r="P37" s="6">
        <v>26</v>
      </c>
      <c r="Q37" s="6">
        <v>11</v>
      </c>
      <c r="R37" s="6">
        <v>1</v>
      </c>
      <c r="S37" s="6">
        <v>57.69</v>
      </c>
      <c r="T37" s="6">
        <v>29</v>
      </c>
      <c r="U37" s="6">
        <v>0</v>
      </c>
      <c r="V37" s="6">
        <v>0</v>
      </c>
      <c r="W37" s="6">
        <v>0</v>
      </c>
      <c r="X37" s="6">
        <v>0</v>
      </c>
      <c r="Y37" s="6">
        <v>0</v>
      </c>
      <c r="Z37" s="6">
        <v>58</v>
      </c>
      <c r="AA37" s="6">
        <v>242</v>
      </c>
      <c r="AB37" s="6">
        <v>22.31</v>
      </c>
      <c r="AC37" s="6">
        <v>268</v>
      </c>
      <c r="AD37" s="6">
        <v>460</v>
      </c>
      <c r="AE37" s="6">
        <v>67</v>
      </c>
      <c r="AF37" s="6">
        <v>66</v>
      </c>
      <c r="AG37" s="6">
        <v>28</v>
      </c>
      <c r="AH37" s="6">
        <f t="shared" si="32"/>
        <v>14</v>
      </c>
      <c r="AI37" s="6">
        <f t="shared" si="33"/>
        <v>9</v>
      </c>
      <c r="AJ37" s="6">
        <f t="shared" si="34"/>
        <v>8</v>
      </c>
      <c r="AK37" s="6">
        <f t="shared" si="35"/>
        <v>12</v>
      </c>
    </row>
    <row r="38" spans="1:37" x14ac:dyDescent="0.25">
      <c r="A38" s="1">
        <v>13</v>
      </c>
      <c r="B38" s="1" t="s">
        <v>135</v>
      </c>
      <c r="C38" s="6">
        <v>13</v>
      </c>
      <c r="D38" s="6">
        <v>2</v>
      </c>
      <c r="E38" s="6">
        <v>0</v>
      </c>
      <c r="F38" s="6">
        <v>2</v>
      </c>
      <c r="G38" s="6">
        <v>9</v>
      </c>
      <c r="H38" s="6">
        <v>8</v>
      </c>
      <c r="I38" s="6">
        <v>51</v>
      </c>
      <c r="J38" s="6">
        <v>85</v>
      </c>
      <c r="K38" s="6">
        <v>-34</v>
      </c>
      <c r="L38" s="6">
        <v>26</v>
      </c>
      <c r="M38" s="6">
        <v>8</v>
      </c>
      <c r="N38" s="6">
        <v>0</v>
      </c>
      <c r="O38" s="6">
        <v>30.77</v>
      </c>
      <c r="P38" s="6">
        <v>32</v>
      </c>
      <c r="Q38" s="6">
        <v>12</v>
      </c>
      <c r="R38" s="6">
        <v>1</v>
      </c>
      <c r="S38" s="6">
        <v>62.5</v>
      </c>
      <c r="T38" s="6">
        <v>37</v>
      </c>
      <c r="U38" s="6">
        <v>0</v>
      </c>
      <c r="V38" s="6">
        <v>0</v>
      </c>
      <c r="W38" s="6">
        <v>0</v>
      </c>
      <c r="X38" s="6">
        <v>0</v>
      </c>
      <c r="Y38" s="6">
        <v>0</v>
      </c>
      <c r="Z38" s="6">
        <v>74</v>
      </c>
      <c r="AA38" s="6">
        <v>278</v>
      </c>
      <c r="AB38" s="6">
        <v>18.350000000000001</v>
      </c>
      <c r="AC38" s="6">
        <v>249</v>
      </c>
      <c r="AD38" s="6">
        <v>113</v>
      </c>
      <c r="AE38" s="6">
        <v>31</v>
      </c>
      <c r="AF38" s="6">
        <v>23</v>
      </c>
      <c r="AG38" s="6">
        <v>14</v>
      </c>
      <c r="AH38" s="6">
        <f t="shared" si="32"/>
        <v>11</v>
      </c>
      <c r="AI38" s="6">
        <f t="shared" si="33"/>
        <v>7</v>
      </c>
      <c r="AJ38" s="6">
        <f t="shared" si="34"/>
        <v>3</v>
      </c>
      <c r="AK38" s="6">
        <f t="shared" si="35"/>
        <v>13</v>
      </c>
    </row>
    <row r="39" spans="1:37" x14ac:dyDescent="0.25">
      <c r="A39" s="1">
        <v>14</v>
      </c>
      <c r="B39" s="1" t="s">
        <v>136</v>
      </c>
      <c r="C39" s="6">
        <v>12</v>
      </c>
      <c r="D39" s="6">
        <v>2</v>
      </c>
      <c r="E39" s="6">
        <v>0</v>
      </c>
      <c r="F39" s="6">
        <v>1</v>
      </c>
      <c r="G39" s="6">
        <v>9</v>
      </c>
      <c r="H39" s="6">
        <v>7</v>
      </c>
      <c r="I39" s="6">
        <v>52</v>
      </c>
      <c r="J39" s="6">
        <v>78</v>
      </c>
      <c r="K39" s="6">
        <v>-26</v>
      </c>
      <c r="L39" s="6">
        <v>21</v>
      </c>
      <c r="M39" s="6">
        <v>9</v>
      </c>
      <c r="N39" s="6">
        <v>2</v>
      </c>
      <c r="O39" s="6">
        <v>42.86</v>
      </c>
      <c r="P39" s="6">
        <v>18</v>
      </c>
      <c r="Q39" s="6">
        <v>12</v>
      </c>
      <c r="R39" s="6">
        <v>1</v>
      </c>
      <c r="S39" s="6">
        <v>33.33</v>
      </c>
      <c r="T39" s="6">
        <v>19</v>
      </c>
      <c r="U39" s="6">
        <v>1</v>
      </c>
      <c r="V39" s="6">
        <v>0</v>
      </c>
      <c r="W39" s="6">
        <v>0</v>
      </c>
      <c r="X39" s="6">
        <v>0</v>
      </c>
      <c r="Y39" s="6">
        <v>0</v>
      </c>
      <c r="Z39" s="6">
        <v>43</v>
      </c>
      <c r="AA39" s="6">
        <v>216</v>
      </c>
      <c r="AB39" s="6">
        <v>24.07</v>
      </c>
      <c r="AC39" s="6">
        <v>311</v>
      </c>
      <c r="AD39" s="6">
        <v>150</v>
      </c>
      <c r="AE39" s="6">
        <v>52</v>
      </c>
      <c r="AF39" s="6">
        <v>25</v>
      </c>
      <c r="AG39" s="6">
        <v>18</v>
      </c>
      <c r="AH39" s="6">
        <f t="shared" si="32"/>
        <v>5</v>
      </c>
      <c r="AI39" s="6">
        <f t="shared" si="33"/>
        <v>14</v>
      </c>
      <c r="AJ39" s="6">
        <f t="shared" si="34"/>
        <v>13</v>
      </c>
      <c r="AK39" s="6">
        <f t="shared" si="35"/>
        <v>14</v>
      </c>
    </row>
    <row r="41" spans="1:37" x14ac:dyDescent="0.25">
      <c r="A41" s="1" t="s">
        <v>160</v>
      </c>
      <c r="B41" s="1" t="s">
        <v>123</v>
      </c>
    </row>
    <row r="42" spans="1:37" x14ac:dyDescent="0.25">
      <c r="A42" s="1" t="s">
        <v>167</v>
      </c>
      <c r="B42" s="1" t="s">
        <v>129</v>
      </c>
    </row>
    <row r="43" spans="1:37" x14ac:dyDescent="0.25">
      <c r="A43" s="1" t="s">
        <v>168</v>
      </c>
      <c r="B43" s="1" t="s">
        <v>130</v>
      </c>
    </row>
    <row r="44" spans="1:37" x14ac:dyDescent="0.25">
      <c r="A44" s="1" t="s">
        <v>164</v>
      </c>
      <c r="B44" s="1" t="s">
        <v>127</v>
      </c>
    </row>
    <row r="45" spans="1:37" x14ac:dyDescent="0.25">
      <c r="A45" s="1" t="s">
        <v>171</v>
      </c>
      <c r="B45" s="1" t="s">
        <v>133</v>
      </c>
    </row>
    <row r="46" spans="1:37" x14ac:dyDescent="0.25">
      <c r="A46" s="1" t="s">
        <v>165</v>
      </c>
      <c r="B46" s="1" t="s">
        <v>128</v>
      </c>
    </row>
    <row r="47" spans="1:37" x14ac:dyDescent="0.25">
      <c r="A47" s="1" t="s">
        <v>163</v>
      </c>
      <c r="B47" s="1" t="s">
        <v>131</v>
      </c>
    </row>
    <row r="48" spans="1:37" x14ac:dyDescent="0.25">
      <c r="A48" s="1" t="s">
        <v>162</v>
      </c>
      <c r="B48" s="1" t="s">
        <v>126</v>
      </c>
    </row>
    <row r="49" spans="1:2" x14ac:dyDescent="0.25">
      <c r="A49" s="1" t="s">
        <v>170</v>
      </c>
      <c r="B49" s="1" t="s">
        <v>132</v>
      </c>
    </row>
    <row r="50" spans="1:2" x14ac:dyDescent="0.25">
      <c r="A50" s="1" t="s">
        <v>172</v>
      </c>
      <c r="B50" s="1" t="s">
        <v>135</v>
      </c>
    </row>
    <row r="51" spans="1:2" x14ac:dyDescent="0.25">
      <c r="A51" s="1" t="s">
        <v>169</v>
      </c>
      <c r="B51" s="1" t="s">
        <v>124</v>
      </c>
    </row>
    <row r="52" spans="1:2" x14ac:dyDescent="0.25">
      <c r="A52" s="1" t="s">
        <v>166</v>
      </c>
      <c r="B52" s="1" t="s">
        <v>134</v>
      </c>
    </row>
    <row r="53" spans="1:2" x14ac:dyDescent="0.25">
      <c r="A53" s="1" t="s">
        <v>161</v>
      </c>
      <c r="B53" s="1" t="s">
        <v>125</v>
      </c>
    </row>
    <row r="54" spans="1:2" x14ac:dyDescent="0.25">
      <c r="A54" s="1" t="s">
        <v>29</v>
      </c>
      <c r="B54" s="1" t="s">
        <v>136</v>
      </c>
    </row>
  </sheetData>
  <sortState ref="B41:C54">
    <sortCondition ref="B41:B54"/>
  </sortState>
  <pageMargins left="0.25" right="0.25" top="0.75" bottom="0.75" header="0.3" footer="0.3"/>
  <pageSetup paperSize="9" orientation="landscape" r:id="rId1"/>
  <headerFooter>
    <oddHeader>&amp;C&amp;"Bahnschrift,Tučné"&amp;22Tabulka Tipsport superligy</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3"/>
  <sheetViews>
    <sheetView zoomScaleNormal="100" workbookViewId="0">
      <selection activeCell="B38" sqref="B38"/>
    </sheetView>
  </sheetViews>
  <sheetFormatPr defaultRowHeight="15" customHeight="1" x14ac:dyDescent="0.25"/>
  <cols>
    <col min="1" max="1" width="10.140625" style="1" bestFit="1" customWidth="1"/>
    <col min="2" max="2" width="18.28515625" style="1" bestFit="1" customWidth="1"/>
    <col min="3" max="3" width="10.140625" style="1" bestFit="1" customWidth="1"/>
    <col min="4" max="14" width="9.140625" style="6" customWidth="1"/>
    <col min="15" max="15" width="20.7109375" style="6" bestFit="1" customWidth="1"/>
    <col min="16" max="16" width="9.140625" style="6" customWidth="1"/>
    <col min="17" max="17" width="23.140625" style="12" bestFit="1" customWidth="1"/>
    <col min="18" max="18" width="9.140625" style="1" customWidth="1"/>
    <col min="19" max="19" width="10" style="6" bestFit="1" customWidth="1"/>
    <col min="20" max="20" width="11.85546875" style="1" bestFit="1" customWidth="1"/>
    <col min="21" max="16384" width="9.140625" style="1"/>
  </cols>
  <sheetData>
    <row r="1" spans="1:19" s="2" customFormat="1" ht="15" customHeight="1" x14ac:dyDescent="0.25">
      <c r="A1" s="9" t="s">
        <v>73</v>
      </c>
      <c r="B1" s="2" t="s">
        <v>74</v>
      </c>
      <c r="D1" s="2" t="s">
        <v>75</v>
      </c>
      <c r="E1" s="2" t="s">
        <v>76</v>
      </c>
      <c r="F1" s="2" t="s">
        <v>35</v>
      </c>
      <c r="G1" s="2" t="s">
        <v>77</v>
      </c>
      <c r="H1" s="2" t="s">
        <v>78</v>
      </c>
      <c r="I1" s="2" t="s">
        <v>37</v>
      </c>
      <c r="J1" s="2" t="s">
        <v>36</v>
      </c>
      <c r="K1" s="2" t="s">
        <v>45</v>
      </c>
      <c r="L1" s="2" t="s">
        <v>79</v>
      </c>
      <c r="M1" s="2" t="s">
        <v>30</v>
      </c>
      <c r="N1" s="3" t="s">
        <v>80</v>
      </c>
      <c r="O1" s="2" t="s">
        <v>95</v>
      </c>
      <c r="Q1" s="2" t="s">
        <v>58</v>
      </c>
    </row>
    <row r="2" spans="1:19" s="4" customFormat="1" ht="15" customHeight="1" x14ac:dyDescent="0.25">
      <c r="A2" s="64">
        <v>1</v>
      </c>
      <c r="B2" s="4" t="s">
        <v>14</v>
      </c>
      <c r="D2" s="5" t="s">
        <v>66</v>
      </c>
      <c r="E2" s="5">
        <v>12</v>
      </c>
      <c r="F2" s="5">
        <v>9</v>
      </c>
      <c r="G2" s="5">
        <v>1</v>
      </c>
      <c r="H2" s="5">
        <v>1</v>
      </c>
      <c r="I2" s="5">
        <v>6</v>
      </c>
      <c r="J2" s="5">
        <v>15</v>
      </c>
      <c r="K2" s="5">
        <v>10</v>
      </c>
      <c r="L2" s="5">
        <v>20</v>
      </c>
      <c r="M2" s="5">
        <v>32</v>
      </c>
      <c r="N2" s="5">
        <v>-12</v>
      </c>
      <c r="O2" s="6" t="str">
        <f>CONCATENATE(E2," OZ , ",J2," (",F2,"+",I2,"), ",IF(N2&gt;0,"+",""),N2," ±")</f>
        <v>12 OZ , 15 (9+6), -12 ±</v>
      </c>
      <c r="P2" s="5"/>
      <c r="Q2" s="6" t="s">
        <v>307</v>
      </c>
      <c r="S2" s="5"/>
    </row>
    <row r="3" spans="1:19" s="4" customFormat="1" ht="15" customHeight="1" x14ac:dyDescent="0.25">
      <c r="A3" s="64">
        <v>2</v>
      </c>
      <c r="B3" s="4" t="s">
        <v>21</v>
      </c>
      <c r="D3" s="5" t="s">
        <v>66</v>
      </c>
      <c r="E3" s="5">
        <v>12</v>
      </c>
      <c r="F3" s="5">
        <v>11</v>
      </c>
      <c r="G3" s="5">
        <v>4</v>
      </c>
      <c r="H3" s="5">
        <v>0</v>
      </c>
      <c r="I3" s="5">
        <v>2</v>
      </c>
      <c r="J3" s="5">
        <v>13</v>
      </c>
      <c r="K3" s="5">
        <v>0</v>
      </c>
      <c r="L3" s="5">
        <v>10</v>
      </c>
      <c r="M3" s="5">
        <v>21</v>
      </c>
      <c r="N3" s="5">
        <v>-11</v>
      </c>
      <c r="O3" s="6" t="str">
        <f t="shared" ref="O3:O28" si="0">CONCATENATE(E3," OZ , ",J3," (",F3,"+",I3,"), ",IF(N3&gt;0,"+",""),N3," ±")</f>
        <v>12 OZ , 13 (11+2), -11 ±</v>
      </c>
      <c r="P3" s="5"/>
      <c r="Q3" s="6" t="s">
        <v>308</v>
      </c>
      <c r="S3" s="5"/>
    </row>
    <row r="4" spans="1:19" s="4" customFormat="1" ht="15" customHeight="1" x14ac:dyDescent="0.25">
      <c r="A4" s="64">
        <v>3</v>
      </c>
      <c r="B4" s="4" t="s">
        <v>12</v>
      </c>
      <c r="D4" s="5" t="s">
        <v>66</v>
      </c>
      <c r="E4" s="5">
        <v>11</v>
      </c>
      <c r="F4" s="5">
        <v>6</v>
      </c>
      <c r="G4" s="5">
        <v>1</v>
      </c>
      <c r="H4" s="5">
        <v>0</v>
      </c>
      <c r="I4" s="5">
        <v>6</v>
      </c>
      <c r="J4" s="5">
        <v>12</v>
      </c>
      <c r="K4" s="5">
        <v>0</v>
      </c>
      <c r="L4" s="5">
        <v>19</v>
      </c>
      <c r="M4" s="5">
        <v>18</v>
      </c>
      <c r="N4" s="5">
        <v>1</v>
      </c>
      <c r="O4" s="6" t="str">
        <f t="shared" si="0"/>
        <v>11 OZ , 12 (6+6), +1 ±</v>
      </c>
      <c r="P4" s="5"/>
      <c r="Q4" s="6" t="s">
        <v>314</v>
      </c>
      <c r="S4" s="5"/>
    </row>
    <row r="5" spans="1:19" s="4" customFormat="1" ht="15" customHeight="1" x14ac:dyDescent="0.25">
      <c r="A5" s="64">
        <v>4</v>
      </c>
      <c r="B5" s="4" t="s">
        <v>2</v>
      </c>
      <c r="D5" s="5"/>
      <c r="E5" s="5">
        <v>9</v>
      </c>
      <c r="F5" s="5">
        <v>4</v>
      </c>
      <c r="G5" s="5">
        <v>0</v>
      </c>
      <c r="H5" s="5">
        <v>0</v>
      </c>
      <c r="I5" s="5">
        <v>6</v>
      </c>
      <c r="J5" s="5">
        <v>10</v>
      </c>
      <c r="K5" s="5">
        <v>0</v>
      </c>
      <c r="L5" s="5">
        <v>16</v>
      </c>
      <c r="M5" s="5">
        <v>30</v>
      </c>
      <c r="N5" s="5">
        <v>-14</v>
      </c>
      <c r="O5" s="6" t="str">
        <f t="shared" si="0"/>
        <v>9 OZ , 10 (4+6), -14 ±</v>
      </c>
      <c r="P5" s="5"/>
      <c r="Q5" s="6" t="s">
        <v>309</v>
      </c>
      <c r="S5" s="5"/>
    </row>
    <row r="6" spans="1:19" ht="15" customHeight="1" x14ac:dyDescent="0.25">
      <c r="A6" s="65">
        <v>5</v>
      </c>
      <c r="B6" s="1" t="s">
        <v>3</v>
      </c>
      <c r="D6" s="116" t="s">
        <v>66</v>
      </c>
      <c r="E6" s="116">
        <v>12</v>
      </c>
      <c r="F6" s="116">
        <v>5</v>
      </c>
      <c r="G6" s="116">
        <v>0</v>
      </c>
      <c r="H6" s="116">
        <v>0</v>
      </c>
      <c r="I6" s="116">
        <v>3</v>
      </c>
      <c r="J6" s="116">
        <v>8</v>
      </c>
      <c r="K6" s="116">
        <v>4</v>
      </c>
      <c r="L6" s="116">
        <v>12</v>
      </c>
      <c r="M6" s="116">
        <v>12</v>
      </c>
      <c r="N6" s="116">
        <v>0</v>
      </c>
      <c r="O6" s="6" t="str">
        <f t="shared" si="0"/>
        <v>12 OZ , 8 (5+3), 0 ±</v>
      </c>
    </row>
    <row r="7" spans="1:19" ht="15" customHeight="1" x14ac:dyDescent="0.25">
      <c r="A7" s="65">
        <v>6</v>
      </c>
      <c r="B7" s="1" t="s">
        <v>19</v>
      </c>
      <c r="D7" s="116" t="s">
        <v>66</v>
      </c>
      <c r="E7" s="116">
        <v>11</v>
      </c>
      <c r="F7" s="116">
        <v>3</v>
      </c>
      <c r="G7" s="116">
        <v>0</v>
      </c>
      <c r="H7" s="116">
        <v>0</v>
      </c>
      <c r="I7" s="116">
        <v>5</v>
      </c>
      <c r="J7" s="116">
        <v>8</v>
      </c>
      <c r="K7" s="116">
        <v>0</v>
      </c>
      <c r="L7" s="116">
        <v>11</v>
      </c>
      <c r="M7" s="116">
        <v>14</v>
      </c>
      <c r="N7" s="116">
        <v>-3</v>
      </c>
      <c r="O7" s="6" t="str">
        <f t="shared" si="0"/>
        <v>11 OZ , 8 (3+5), -3 ±</v>
      </c>
    </row>
    <row r="8" spans="1:19" ht="15" customHeight="1" x14ac:dyDescent="0.25">
      <c r="A8" s="65">
        <v>7</v>
      </c>
      <c r="B8" s="1" t="s">
        <v>71</v>
      </c>
      <c r="D8" s="116" t="s">
        <v>61</v>
      </c>
      <c r="E8" s="116">
        <v>12</v>
      </c>
      <c r="F8" s="116">
        <v>5</v>
      </c>
      <c r="G8" s="116">
        <v>3</v>
      </c>
      <c r="H8" s="116">
        <v>0</v>
      </c>
      <c r="I8" s="116">
        <v>2</v>
      </c>
      <c r="J8" s="116">
        <v>7</v>
      </c>
      <c r="K8" s="116">
        <v>4</v>
      </c>
      <c r="L8" s="116">
        <v>18</v>
      </c>
      <c r="M8" s="116">
        <v>30</v>
      </c>
      <c r="N8" s="116">
        <v>-12</v>
      </c>
      <c r="O8" s="6" t="str">
        <f t="shared" si="0"/>
        <v>12 OZ , 7 (5+2), -12 ±</v>
      </c>
    </row>
    <row r="9" spans="1:19" ht="15" customHeight="1" x14ac:dyDescent="0.25">
      <c r="A9" s="65">
        <v>8</v>
      </c>
      <c r="B9" s="1" t="s">
        <v>31</v>
      </c>
      <c r="D9" s="116"/>
      <c r="E9" s="116">
        <v>9</v>
      </c>
      <c r="F9" s="116">
        <v>0</v>
      </c>
      <c r="G9" s="116">
        <v>0</v>
      </c>
      <c r="H9" s="116">
        <v>0</v>
      </c>
      <c r="I9" s="116">
        <v>5</v>
      </c>
      <c r="J9" s="116">
        <v>5</v>
      </c>
      <c r="K9" s="116">
        <v>2</v>
      </c>
      <c r="L9" s="116">
        <v>3</v>
      </c>
      <c r="M9" s="116">
        <v>3</v>
      </c>
      <c r="N9" s="116">
        <v>0</v>
      </c>
      <c r="O9" s="6" t="str">
        <f t="shared" si="0"/>
        <v>9 OZ , 5 (0+5), 0 ±</v>
      </c>
    </row>
    <row r="10" spans="1:19" ht="15" customHeight="1" x14ac:dyDescent="0.25">
      <c r="A10" s="65">
        <v>9</v>
      </c>
      <c r="B10" s="1" t="s">
        <v>20</v>
      </c>
      <c r="D10" s="116"/>
      <c r="E10" s="116">
        <v>12</v>
      </c>
      <c r="F10" s="116">
        <v>2</v>
      </c>
      <c r="G10" s="116">
        <v>0</v>
      </c>
      <c r="H10" s="116">
        <v>0</v>
      </c>
      <c r="I10" s="116">
        <v>2</v>
      </c>
      <c r="J10" s="116">
        <v>4</v>
      </c>
      <c r="K10" s="116">
        <v>7</v>
      </c>
      <c r="L10" s="116">
        <v>19</v>
      </c>
      <c r="M10" s="116">
        <v>21</v>
      </c>
      <c r="N10" s="116">
        <v>-2</v>
      </c>
      <c r="O10" s="6" t="str">
        <f t="shared" si="0"/>
        <v>12 OZ , 4 (2+2), -2 ±</v>
      </c>
    </row>
    <row r="11" spans="1:19" ht="15" customHeight="1" x14ac:dyDescent="0.25">
      <c r="A11" s="65">
        <v>10</v>
      </c>
      <c r="B11" s="1" t="s">
        <v>5</v>
      </c>
      <c r="D11" s="116"/>
      <c r="E11" s="116">
        <v>12</v>
      </c>
      <c r="F11" s="116">
        <v>3</v>
      </c>
      <c r="G11" s="116">
        <v>0</v>
      </c>
      <c r="H11" s="116">
        <v>0</v>
      </c>
      <c r="I11" s="116">
        <v>0</v>
      </c>
      <c r="J11" s="116">
        <v>3</v>
      </c>
      <c r="K11" s="116">
        <v>0</v>
      </c>
      <c r="L11" s="116">
        <v>13</v>
      </c>
      <c r="M11" s="116">
        <v>26</v>
      </c>
      <c r="N11" s="116">
        <v>-13</v>
      </c>
      <c r="O11" s="6" t="str">
        <f t="shared" si="0"/>
        <v>12 OZ , 3 (3+0), -13 ±</v>
      </c>
    </row>
    <row r="12" spans="1:19" ht="15" customHeight="1" x14ac:dyDescent="0.25">
      <c r="A12" s="65">
        <v>11</v>
      </c>
      <c r="B12" s="1" t="s">
        <v>10</v>
      </c>
      <c r="D12" s="116" t="s">
        <v>66</v>
      </c>
      <c r="E12" s="116">
        <v>9</v>
      </c>
      <c r="F12" s="116">
        <v>1</v>
      </c>
      <c r="G12" s="116">
        <v>0</v>
      </c>
      <c r="H12" s="116">
        <v>0</v>
      </c>
      <c r="I12" s="116">
        <v>2</v>
      </c>
      <c r="J12" s="116">
        <v>3</v>
      </c>
      <c r="K12" s="116">
        <v>8</v>
      </c>
      <c r="L12" s="116">
        <v>12</v>
      </c>
      <c r="M12" s="116">
        <v>12</v>
      </c>
      <c r="N12" s="116">
        <v>0</v>
      </c>
      <c r="O12" s="6" t="str">
        <f t="shared" si="0"/>
        <v>9 OZ , 3 (1+2), 0 ±</v>
      </c>
    </row>
    <row r="13" spans="1:19" ht="15" customHeight="1" x14ac:dyDescent="0.25">
      <c r="A13" s="65">
        <v>12</v>
      </c>
      <c r="B13" s="1" t="s">
        <v>17</v>
      </c>
      <c r="D13" s="116" t="s">
        <v>66</v>
      </c>
      <c r="E13" s="116">
        <v>11</v>
      </c>
      <c r="F13" s="116">
        <v>1</v>
      </c>
      <c r="G13" s="116">
        <v>0</v>
      </c>
      <c r="H13" s="116">
        <v>0</v>
      </c>
      <c r="I13" s="116">
        <v>2</v>
      </c>
      <c r="J13" s="116">
        <v>3</v>
      </c>
      <c r="K13" s="116">
        <v>2</v>
      </c>
      <c r="L13" s="116">
        <v>13</v>
      </c>
      <c r="M13" s="116">
        <v>20</v>
      </c>
      <c r="N13" s="116">
        <v>-7</v>
      </c>
      <c r="O13" s="6" t="str">
        <f t="shared" si="0"/>
        <v>11 OZ , 3 (1+2), -7 ±</v>
      </c>
    </row>
    <row r="14" spans="1:19" ht="15" customHeight="1" x14ac:dyDescent="0.25">
      <c r="A14" s="65">
        <v>13</v>
      </c>
      <c r="B14" s="1" t="s">
        <v>0</v>
      </c>
      <c r="D14" s="116" t="s">
        <v>61</v>
      </c>
      <c r="E14" s="116">
        <v>5</v>
      </c>
      <c r="F14" s="116">
        <v>0</v>
      </c>
      <c r="G14" s="116">
        <v>0</v>
      </c>
      <c r="H14" s="116">
        <v>0</v>
      </c>
      <c r="I14" s="116">
        <v>2</v>
      </c>
      <c r="J14" s="116">
        <v>2</v>
      </c>
      <c r="K14" s="116">
        <v>2</v>
      </c>
      <c r="L14" s="116">
        <v>3</v>
      </c>
      <c r="M14" s="116">
        <v>8</v>
      </c>
      <c r="N14" s="116">
        <v>-5</v>
      </c>
      <c r="O14" s="6" t="str">
        <f t="shared" si="0"/>
        <v>5 OZ , 2 (0+2), -5 ±</v>
      </c>
    </row>
    <row r="15" spans="1:19" ht="15" customHeight="1" x14ac:dyDescent="0.25">
      <c r="A15" s="65">
        <v>14</v>
      </c>
      <c r="B15" s="1" t="s">
        <v>65</v>
      </c>
      <c r="D15" s="116"/>
      <c r="E15" s="116">
        <v>3</v>
      </c>
      <c r="F15" s="116">
        <v>1</v>
      </c>
      <c r="G15" s="116">
        <v>0</v>
      </c>
      <c r="H15" s="116">
        <v>0</v>
      </c>
      <c r="I15" s="116">
        <v>0</v>
      </c>
      <c r="J15" s="116">
        <v>1</v>
      </c>
      <c r="K15" s="116">
        <v>0</v>
      </c>
      <c r="L15" s="116">
        <v>1</v>
      </c>
      <c r="M15" s="116">
        <v>0</v>
      </c>
      <c r="N15" s="116">
        <v>1</v>
      </c>
      <c r="O15" s="6" t="str">
        <f t="shared" si="0"/>
        <v>3 OZ , 1 (1+0), +1 ±</v>
      </c>
    </row>
    <row r="16" spans="1:19" ht="15" customHeight="1" x14ac:dyDescent="0.25">
      <c r="A16" s="65">
        <v>15</v>
      </c>
      <c r="B16" s="1" t="s">
        <v>26</v>
      </c>
      <c r="D16" s="116" t="s">
        <v>61</v>
      </c>
      <c r="E16" s="116">
        <v>11</v>
      </c>
      <c r="F16" s="116">
        <v>1</v>
      </c>
      <c r="G16" s="116">
        <v>0</v>
      </c>
      <c r="H16" s="116">
        <v>0</v>
      </c>
      <c r="I16" s="116">
        <v>0</v>
      </c>
      <c r="J16" s="116">
        <v>1</v>
      </c>
      <c r="K16" s="116">
        <v>0</v>
      </c>
      <c r="L16" s="116">
        <v>4</v>
      </c>
      <c r="M16" s="116">
        <v>7</v>
      </c>
      <c r="N16" s="116">
        <v>-3</v>
      </c>
      <c r="O16" s="6" t="str">
        <f t="shared" si="0"/>
        <v>11 OZ , 1 (1+0), -3 ±</v>
      </c>
    </row>
    <row r="17" spans="1:18" ht="15" customHeight="1" x14ac:dyDescent="0.25">
      <c r="A17" s="65">
        <v>16</v>
      </c>
      <c r="B17" s="1" t="s">
        <v>4</v>
      </c>
      <c r="D17" s="116" t="s">
        <v>61</v>
      </c>
      <c r="E17" s="116">
        <v>12</v>
      </c>
      <c r="F17" s="116">
        <v>0</v>
      </c>
      <c r="G17" s="116">
        <v>0</v>
      </c>
      <c r="H17" s="116">
        <v>0</v>
      </c>
      <c r="I17" s="116">
        <v>1</v>
      </c>
      <c r="J17" s="116">
        <v>1</v>
      </c>
      <c r="K17" s="116">
        <v>2</v>
      </c>
      <c r="L17" s="116">
        <v>11</v>
      </c>
      <c r="M17" s="116">
        <v>19</v>
      </c>
      <c r="N17" s="116">
        <v>-8</v>
      </c>
      <c r="O17" s="6" t="str">
        <f t="shared" si="0"/>
        <v>12 OZ , 1 (0+1), -8 ±</v>
      </c>
    </row>
    <row r="18" spans="1:18" ht="15" customHeight="1" x14ac:dyDescent="0.25">
      <c r="A18" s="65">
        <v>17</v>
      </c>
      <c r="B18" s="1" t="s">
        <v>69</v>
      </c>
      <c r="D18" s="116"/>
      <c r="E18" s="116">
        <v>0</v>
      </c>
      <c r="F18" s="116">
        <v>0</v>
      </c>
      <c r="G18" s="116">
        <v>0</v>
      </c>
      <c r="H18" s="116">
        <v>0</v>
      </c>
      <c r="I18" s="116">
        <v>0</v>
      </c>
      <c r="J18" s="116">
        <v>0</v>
      </c>
      <c r="K18" s="116">
        <v>0</v>
      </c>
      <c r="L18" s="116">
        <v>0</v>
      </c>
      <c r="M18" s="116">
        <v>0</v>
      </c>
      <c r="N18" s="116">
        <v>0</v>
      </c>
      <c r="O18" s="6" t="str">
        <f t="shared" si="0"/>
        <v>0 OZ , 0 (0+0), 0 ±</v>
      </c>
    </row>
    <row r="19" spans="1:18" ht="15" customHeight="1" x14ac:dyDescent="0.25">
      <c r="A19" s="65">
        <v>18</v>
      </c>
      <c r="B19" s="1" t="s">
        <v>68</v>
      </c>
      <c r="D19" s="116"/>
      <c r="E19" s="116">
        <v>2</v>
      </c>
      <c r="F19" s="116">
        <v>0</v>
      </c>
      <c r="G19" s="116">
        <v>0</v>
      </c>
      <c r="H19" s="116">
        <v>0</v>
      </c>
      <c r="I19" s="116">
        <v>0</v>
      </c>
      <c r="J19" s="116">
        <v>0</v>
      </c>
      <c r="K19" s="116">
        <v>0</v>
      </c>
      <c r="L19" s="116">
        <v>0</v>
      </c>
      <c r="M19" s="116">
        <v>0</v>
      </c>
      <c r="N19" s="116">
        <v>0</v>
      </c>
      <c r="O19" s="6" t="str">
        <f t="shared" si="0"/>
        <v>2 OZ , 0 (0+0), 0 ±</v>
      </c>
    </row>
    <row r="20" spans="1:18" ht="15" customHeight="1" x14ac:dyDescent="0.25">
      <c r="A20" s="65">
        <v>19</v>
      </c>
      <c r="B20" s="1" t="s">
        <v>70</v>
      </c>
      <c r="D20" s="116"/>
      <c r="E20" s="116">
        <v>3</v>
      </c>
      <c r="F20" s="116">
        <v>0</v>
      </c>
      <c r="G20" s="116">
        <v>0</v>
      </c>
      <c r="H20" s="116">
        <v>0</v>
      </c>
      <c r="I20" s="116">
        <v>0</v>
      </c>
      <c r="J20" s="116">
        <v>0</v>
      </c>
      <c r="K20" s="116">
        <v>0</v>
      </c>
      <c r="L20" s="116">
        <v>0</v>
      </c>
      <c r="M20" s="116">
        <v>1</v>
      </c>
      <c r="N20" s="116">
        <v>-1</v>
      </c>
      <c r="O20" s="6" t="str">
        <f t="shared" si="0"/>
        <v>3 OZ , 0 (0+0), -1 ±</v>
      </c>
    </row>
    <row r="21" spans="1:18" ht="15" customHeight="1" x14ac:dyDescent="0.25">
      <c r="A21" s="65">
        <v>20</v>
      </c>
      <c r="B21" s="1" t="s">
        <v>72</v>
      </c>
      <c r="D21" s="116" t="s">
        <v>35</v>
      </c>
      <c r="E21" s="116">
        <v>0</v>
      </c>
      <c r="F21" s="116">
        <v>0</v>
      </c>
      <c r="G21" s="116">
        <v>0</v>
      </c>
      <c r="H21" s="116">
        <v>0</v>
      </c>
      <c r="I21" s="116">
        <v>0</v>
      </c>
      <c r="J21" s="116">
        <v>0</v>
      </c>
      <c r="K21" s="116">
        <v>0</v>
      </c>
      <c r="L21" s="116">
        <v>0</v>
      </c>
      <c r="M21" s="116">
        <v>0</v>
      </c>
      <c r="N21" s="116">
        <v>0</v>
      </c>
      <c r="O21" s="6" t="str">
        <f t="shared" si="0"/>
        <v>0 OZ , 0 (0+0), 0 ±</v>
      </c>
    </row>
    <row r="22" spans="1:18" ht="15" customHeight="1" x14ac:dyDescent="0.25">
      <c r="A22" s="65">
        <v>21</v>
      </c>
      <c r="B22" s="1" t="s">
        <v>62</v>
      </c>
      <c r="D22" s="116"/>
      <c r="E22" s="116">
        <v>4</v>
      </c>
      <c r="F22" s="116">
        <v>0</v>
      </c>
      <c r="G22" s="116">
        <v>0</v>
      </c>
      <c r="H22" s="116">
        <v>0</v>
      </c>
      <c r="I22" s="116">
        <v>0</v>
      </c>
      <c r="J22" s="116">
        <v>0</v>
      </c>
      <c r="K22" s="116">
        <v>0</v>
      </c>
      <c r="L22" s="116">
        <v>1</v>
      </c>
      <c r="M22" s="116">
        <v>5</v>
      </c>
      <c r="N22" s="116">
        <v>-4</v>
      </c>
      <c r="O22" s="6" t="str">
        <f t="shared" si="0"/>
        <v>4 OZ , 0 (0+0), -4 ±</v>
      </c>
    </row>
    <row r="23" spans="1:18" ht="15" customHeight="1" x14ac:dyDescent="0.25">
      <c r="A23" s="65">
        <v>22</v>
      </c>
      <c r="B23" s="1" t="s">
        <v>67</v>
      </c>
      <c r="D23" s="116"/>
      <c r="E23" s="116">
        <v>6</v>
      </c>
      <c r="F23" s="116">
        <v>0</v>
      </c>
      <c r="G23" s="116">
        <v>0</v>
      </c>
      <c r="H23" s="116">
        <v>0</v>
      </c>
      <c r="I23" s="116">
        <v>0</v>
      </c>
      <c r="J23" s="116">
        <v>0</v>
      </c>
      <c r="K23" s="116">
        <v>0</v>
      </c>
      <c r="L23" s="116">
        <v>0</v>
      </c>
      <c r="M23" s="116">
        <v>0</v>
      </c>
      <c r="N23" s="116">
        <v>0</v>
      </c>
      <c r="O23" s="6" t="str">
        <f t="shared" si="0"/>
        <v>6 OZ , 0 (0+0), 0 ±</v>
      </c>
    </row>
    <row r="24" spans="1:18" ht="15" customHeight="1" x14ac:dyDescent="0.25">
      <c r="A24" s="65">
        <v>23</v>
      </c>
      <c r="B24" s="1" t="s">
        <v>33</v>
      </c>
      <c r="D24" s="116" t="s">
        <v>35</v>
      </c>
      <c r="E24" s="116">
        <v>0</v>
      </c>
      <c r="F24" s="116">
        <v>0</v>
      </c>
      <c r="G24" s="116">
        <v>0</v>
      </c>
      <c r="H24" s="116">
        <v>0</v>
      </c>
      <c r="I24" s="116">
        <v>0</v>
      </c>
      <c r="J24" s="116">
        <v>0</v>
      </c>
      <c r="K24" s="116">
        <v>0</v>
      </c>
      <c r="L24" s="116">
        <v>0</v>
      </c>
      <c r="M24" s="116">
        <v>1</v>
      </c>
      <c r="N24" s="116">
        <v>-1</v>
      </c>
      <c r="O24" s="6" t="str">
        <f t="shared" si="0"/>
        <v>0 OZ , 0 (0+0), -1 ±</v>
      </c>
    </row>
    <row r="25" spans="1:18" ht="15" customHeight="1" x14ac:dyDescent="0.25">
      <c r="A25" s="65">
        <v>24</v>
      </c>
      <c r="B25" s="1" t="s">
        <v>23</v>
      </c>
      <c r="D25" s="116" t="s">
        <v>61</v>
      </c>
      <c r="E25" s="116">
        <v>9</v>
      </c>
      <c r="F25" s="116">
        <v>0</v>
      </c>
      <c r="G25" s="116">
        <v>0</v>
      </c>
      <c r="H25" s="116">
        <v>0</v>
      </c>
      <c r="I25" s="116">
        <v>0</v>
      </c>
      <c r="J25" s="116">
        <v>0</v>
      </c>
      <c r="K25" s="116">
        <v>0</v>
      </c>
      <c r="L25" s="116">
        <v>10</v>
      </c>
      <c r="M25" s="116">
        <v>7</v>
      </c>
      <c r="N25" s="116">
        <v>3</v>
      </c>
      <c r="O25" s="6" t="str">
        <f t="shared" si="0"/>
        <v>9 OZ , 0 (0+0), +3 ±</v>
      </c>
    </row>
    <row r="26" spans="1:18" ht="15" customHeight="1" x14ac:dyDescent="0.25">
      <c r="A26" s="65">
        <v>25</v>
      </c>
      <c r="B26" s="1" t="s">
        <v>28</v>
      </c>
      <c r="D26" s="116"/>
      <c r="E26" s="116">
        <v>9</v>
      </c>
      <c r="F26" s="116">
        <v>0</v>
      </c>
      <c r="G26" s="116">
        <v>0</v>
      </c>
      <c r="H26" s="116">
        <v>0</v>
      </c>
      <c r="I26" s="116">
        <v>0</v>
      </c>
      <c r="J26" s="116">
        <v>0</v>
      </c>
      <c r="K26" s="116">
        <v>0</v>
      </c>
      <c r="L26" s="116">
        <v>1</v>
      </c>
      <c r="M26" s="116">
        <v>3</v>
      </c>
      <c r="N26" s="116">
        <v>-2</v>
      </c>
      <c r="O26" s="6" t="str">
        <f t="shared" si="0"/>
        <v>9 OZ , 0 (0+0), -2 ±</v>
      </c>
    </row>
    <row r="27" spans="1:18" ht="15" customHeight="1" x14ac:dyDescent="0.25">
      <c r="A27" s="65">
        <v>26</v>
      </c>
      <c r="B27" s="1" t="s">
        <v>24</v>
      </c>
      <c r="D27" s="116" t="s">
        <v>61</v>
      </c>
      <c r="E27" s="116">
        <v>12</v>
      </c>
      <c r="F27" s="116">
        <v>0</v>
      </c>
      <c r="G27" s="116">
        <v>0</v>
      </c>
      <c r="H27" s="116">
        <v>0</v>
      </c>
      <c r="I27" s="116">
        <v>0</v>
      </c>
      <c r="J27" s="116">
        <v>0</v>
      </c>
      <c r="K27" s="116">
        <v>2</v>
      </c>
      <c r="L27" s="116">
        <v>2</v>
      </c>
      <c r="M27" s="116">
        <v>7</v>
      </c>
      <c r="N27" s="116">
        <v>-5</v>
      </c>
      <c r="O27" s="6" t="str">
        <f t="shared" si="0"/>
        <v>12 OZ , 0 (0+0), -5 ±</v>
      </c>
    </row>
    <row r="28" spans="1:18" ht="15" customHeight="1" x14ac:dyDescent="0.25">
      <c r="A28" s="65">
        <v>27</v>
      </c>
      <c r="B28" s="1" t="s">
        <v>32</v>
      </c>
      <c r="D28" s="116" t="s">
        <v>35</v>
      </c>
      <c r="E28" s="116">
        <v>0</v>
      </c>
      <c r="F28" s="116">
        <v>0</v>
      </c>
      <c r="G28" s="116">
        <v>0</v>
      </c>
      <c r="H28" s="116">
        <v>0</v>
      </c>
      <c r="I28" s="116">
        <v>0</v>
      </c>
      <c r="J28" s="116">
        <v>0</v>
      </c>
      <c r="K28" s="116">
        <v>0</v>
      </c>
      <c r="L28" s="116">
        <v>0</v>
      </c>
      <c r="M28" s="116">
        <v>0</v>
      </c>
      <c r="N28" s="116">
        <v>0</v>
      </c>
      <c r="O28" s="6" t="str">
        <f t="shared" si="0"/>
        <v>0 OZ , 0 (0+0), 0 ±</v>
      </c>
    </row>
    <row r="30" spans="1:18" s="2" customFormat="1" ht="15" customHeight="1" x14ac:dyDescent="0.25">
      <c r="A30" s="9" t="s">
        <v>73</v>
      </c>
      <c r="B30" s="2" t="s">
        <v>74</v>
      </c>
      <c r="D30" s="2" t="s">
        <v>98</v>
      </c>
      <c r="E30" s="2" t="s">
        <v>99</v>
      </c>
      <c r="F30" s="2" t="s">
        <v>100</v>
      </c>
      <c r="G30" s="2" t="s">
        <v>50</v>
      </c>
      <c r="H30" s="2" t="s">
        <v>101</v>
      </c>
      <c r="I30" s="2" t="s">
        <v>102</v>
      </c>
      <c r="J30" s="2" t="s">
        <v>103</v>
      </c>
      <c r="K30" s="2" t="s">
        <v>94</v>
      </c>
      <c r="L30" s="2" t="s">
        <v>51</v>
      </c>
      <c r="M30" s="2" t="s">
        <v>104</v>
      </c>
      <c r="N30" s="3" t="s">
        <v>37</v>
      </c>
      <c r="O30" s="2" t="s">
        <v>45</v>
      </c>
      <c r="P30" s="2" t="s">
        <v>109</v>
      </c>
      <c r="Q30" s="2" t="s">
        <v>110</v>
      </c>
      <c r="R30" s="2" t="s">
        <v>111</v>
      </c>
    </row>
    <row r="31" spans="1:18" ht="15" customHeight="1" x14ac:dyDescent="0.25">
      <c r="A31" s="8" t="s">
        <v>60</v>
      </c>
      <c r="B31" s="1" t="s">
        <v>32</v>
      </c>
      <c r="D31" s="116">
        <v>12</v>
      </c>
      <c r="E31" s="116">
        <v>9</v>
      </c>
      <c r="F31" s="13" t="s">
        <v>105</v>
      </c>
      <c r="G31" s="116">
        <v>2</v>
      </c>
      <c r="H31" s="116">
        <v>53</v>
      </c>
      <c r="I31" s="116">
        <v>1</v>
      </c>
      <c r="J31" s="116">
        <v>207</v>
      </c>
      <c r="K31" s="116">
        <v>0</v>
      </c>
      <c r="L31" s="116">
        <v>7</v>
      </c>
      <c r="M31" s="116">
        <v>154</v>
      </c>
      <c r="N31" s="116">
        <v>0</v>
      </c>
      <c r="O31" s="116">
        <v>0</v>
      </c>
      <c r="P31" s="13">
        <f>IFERROR(H31/(F31/60),0)</f>
        <v>5.9745237290046216</v>
      </c>
      <c r="Q31" s="13">
        <f>IFERROR((M31/J31)*100,0)</f>
        <v>74.39613526570048</v>
      </c>
      <c r="R31" s="6" t="str">
        <f>CONCATENATE(G31, " V, ",L31," P")</f>
        <v>2 V, 7 P</v>
      </c>
    </row>
    <row r="32" spans="1:18" ht="15" customHeight="1" x14ac:dyDescent="0.25">
      <c r="A32" s="8" t="s">
        <v>59</v>
      </c>
      <c r="B32" s="1" t="s">
        <v>33</v>
      </c>
      <c r="D32" s="116">
        <v>8</v>
      </c>
      <c r="E32" s="116">
        <v>2</v>
      </c>
      <c r="F32" s="13" t="s">
        <v>106</v>
      </c>
      <c r="G32" s="116">
        <v>0</v>
      </c>
      <c r="H32" s="116">
        <v>15</v>
      </c>
      <c r="I32" s="116">
        <v>0</v>
      </c>
      <c r="J32" s="116">
        <v>58</v>
      </c>
      <c r="K32" s="116">
        <v>0</v>
      </c>
      <c r="L32" s="116">
        <v>2</v>
      </c>
      <c r="M32" s="116">
        <v>43</v>
      </c>
      <c r="N32" s="116">
        <v>0</v>
      </c>
      <c r="O32" s="116">
        <v>0</v>
      </c>
      <c r="P32" s="13">
        <f t="shared" ref="P32:P34" si="1">IFERROR(H32/(F32/60),0)</f>
        <v>7.6595744680851068</v>
      </c>
      <c r="Q32" s="13">
        <f t="shared" ref="Q32:Q34" si="2">IFERROR((M32/J32)*100,0)</f>
        <v>74.137931034482762</v>
      </c>
      <c r="R32" s="6" t="str">
        <f t="shared" ref="R32:R34" si="3">CONCATENATE(G32, " V, ",L32," P")</f>
        <v>0 V, 2 P</v>
      </c>
    </row>
    <row r="33" spans="1:20" ht="15" customHeight="1" x14ac:dyDescent="0.25">
      <c r="A33" s="8" t="s">
        <v>63</v>
      </c>
      <c r="B33" s="1" t="s">
        <v>72</v>
      </c>
      <c r="D33" s="116">
        <v>3</v>
      </c>
      <c r="E33" s="116">
        <v>1</v>
      </c>
      <c r="F33" s="13" t="s">
        <v>107</v>
      </c>
      <c r="G33" s="116">
        <v>0</v>
      </c>
      <c r="H33" s="116">
        <v>7</v>
      </c>
      <c r="I33" s="116">
        <v>0</v>
      </c>
      <c r="J33" s="116">
        <v>23</v>
      </c>
      <c r="K33" s="116">
        <v>0</v>
      </c>
      <c r="L33" s="116">
        <v>1</v>
      </c>
      <c r="M33" s="116">
        <v>16</v>
      </c>
      <c r="N33" s="116">
        <v>0</v>
      </c>
      <c r="O33" s="116">
        <v>0</v>
      </c>
      <c r="P33" s="13">
        <f t="shared" si="1"/>
        <v>7.1819425444596448</v>
      </c>
      <c r="Q33" s="13">
        <f t="shared" si="2"/>
        <v>69.565217391304344</v>
      </c>
      <c r="R33" s="6" t="str">
        <f t="shared" si="3"/>
        <v>0 V, 1 P</v>
      </c>
    </row>
    <row r="34" spans="1:20" ht="15" customHeight="1" x14ac:dyDescent="0.25">
      <c r="A34" s="8" t="s">
        <v>64</v>
      </c>
      <c r="B34" s="1" t="s">
        <v>69</v>
      </c>
      <c r="D34" s="116">
        <v>1</v>
      </c>
      <c r="E34" s="116">
        <v>0</v>
      </c>
      <c r="F34" s="13" t="s">
        <v>108</v>
      </c>
      <c r="G34" s="116">
        <v>0</v>
      </c>
      <c r="H34" s="116">
        <v>0</v>
      </c>
      <c r="I34" s="116">
        <v>0</v>
      </c>
      <c r="J34" s="116">
        <v>0</v>
      </c>
      <c r="K34" s="116">
        <v>0</v>
      </c>
      <c r="L34" s="116">
        <v>0</v>
      </c>
      <c r="M34" s="116">
        <v>0</v>
      </c>
      <c r="N34" s="116">
        <v>0</v>
      </c>
      <c r="O34" s="116">
        <v>0</v>
      </c>
      <c r="P34" s="13">
        <f t="shared" si="1"/>
        <v>0</v>
      </c>
      <c r="Q34" s="13">
        <f t="shared" si="2"/>
        <v>0</v>
      </c>
      <c r="R34" s="6" t="str">
        <f t="shared" si="3"/>
        <v>0 V, 0 P</v>
      </c>
    </row>
    <row r="37" spans="1:20" s="2" customFormat="1" ht="15" customHeight="1" x14ac:dyDescent="0.25">
      <c r="A37" s="7">
        <f ca="1">TODAY()</f>
        <v>44203</v>
      </c>
      <c r="B37" s="2" t="s">
        <v>74</v>
      </c>
      <c r="C37" s="2" t="s">
        <v>81</v>
      </c>
      <c r="D37" s="2" t="s">
        <v>82</v>
      </c>
      <c r="E37" s="2" t="s">
        <v>85</v>
      </c>
      <c r="F37" s="2" t="s">
        <v>86</v>
      </c>
      <c r="G37" s="2" t="s">
        <v>87</v>
      </c>
      <c r="H37" s="2" t="s">
        <v>88</v>
      </c>
      <c r="I37" s="2" t="s">
        <v>56</v>
      </c>
      <c r="J37" s="2" t="s">
        <v>73</v>
      </c>
      <c r="K37" s="2" t="s">
        <v>196</v>
      </c>
      <c r="L37" s="2" t="s">
        <v>92</v>
      </c>
      <c r="M37" s="2" t="s">
        <v>83</v>
      </c>
      <c r="N37" s="2" t="s">
        <v>84</v>
      </c>
      <c r="O37" s="2" t="s">
        <v>96</v>
      </c>
      <c r="P37" s="2" t="s">
        <v>97</v>
      </c>
      <c r="Q37" s="2" t="s">
        <v>89</v>
      </c>
      <c r="R37" s="2" t="s">
        <v>90</v>
      </c>
      <c r="S37" s="2" t="s">
        <v>112</v>
      </c>
      <c r="T37" s="2" t="s">
        <v>177</v>
      </c>
    </row>
    <row r="38" spans="1:20" ht="15" customHeight="1" x14ac:dyDescent="0.25">
      <c r="B38" s="1" t="s">
        <v>0</v>
      </c>
      <c r="C38" s="10">
        <v>36257</v>
      </c>
      <c r="D38" s="6">
        <f t="shared" ref="D38:D64" ca="1" si="4">ROUNDDOWN(($A$37-C38)/365.25,0)</f>
        <v>21</v>
      </c>
      <c r="E38" s="6">
        <v>110</v>
      </c>
      <c r="F38" s="6">
        <v>38</v>
      </c>
      <c r="G38" s="6">
        <v>29</v>
      </c>
      <c r="H38" s="6">
        <f t="shared" ref="H38:H64" si="5">F38+G38</f>
        <v>67</v>
      </c>
      <c r="I38" s="6">
        <v>5</v>
      </c>
      <c r="J38" s="6">
        <v>77</v>
      </c>
      <c r="L38" s="6" t="s">
        <v>93</v>
      </c>
      <c r="M38" s="6">
        <v>184</v>
      </c>
      <c r="N38" s="6">
        <v>81</v>
      </c>
      <c r="O38" s="6" t="str">
        <f>CONCATENATE(E38+VLOOKUP(B38,$B$2:$N$28,4,FALSE), " OZ, ", H38+VLOOKUP(B38,$B$2:$N$28,9,FALSE), " (", F38+VLOOKUP(B38,$B$2:$N$28,5,FALSE), "+",G38+VLOOKUP(B38,$B$2:$N$28,8,FALSE), ")")</f>
        <v>115 OZ, 69 (38+31)</v>
      </c>
      <c r="P38" s="6" t="str">
        <f>CONCATENATE(M38,"/",N38)</f>
        <v>184/81</v>
      </c>
      <c r="Q38" s="12" t="s">
        <v>1</v>
      </c>
      <c r="R38" s="6">
        <v>2008</v>
      </c>
      <c r="T38" s="1" t="s">
        <v>178</v>
      </c>
    </row>
    <row r="39" spans="1:20" ht="15" customHeight="1" x14ac:dyDescent="0.25">
      <c r="B39" s="1" t="s">
        <v>62</v>
      </c>
      <c r="C39" s="10">
        <v>35835</v>
      </c>
      <c r="D39" s="6">
        <f t="shared" ca="1" si="4"/>
        <v>22</v>
      </c>
      <c r="E39" s="6">
        <v>68</v>
      </c>
      <c r="F39" s="6">
        <v>2</v>
      </c>
      <c r="G39" s="6">
        <v>0</v>
      </c>
      <c r="H39" s="6">
        <f t="shared" si="5"/>
        <v>2</v>
      </c>
      <c r="I39" s="6">
        <v>4</v>
      </c>
      <c r="J39" s="6">
        <v>33</v>
      </c>
      <c r="L39" s="6" t="s">
        <v>51</v>
      </c>
      <c r="M39" s="6">
        <v>194</v>
      </c>
      <c r="N39" s="6">
        <v>90</v>
      </c>
      <c r="O39" s="6" t="str">
        <f t="shared" ref="O39:O64" si="6">CONCATENATE(E39+VLOOKUP(B39,$B$2:$N$28,4,FALSE), " OZ, ", H39+VLOOKUP(B39,$B$2:$N$28,9,FALSE), " (", F39+VLOOKUP(B39,$B$2:$N$28,5,FALSE), "+",G39+VLOOKUP(B39,$B$2:$N$28,8,FALSE), ")")</f>
        <v>72 OZ, 2 (2+0)</v>
      </c>
      <c r="P39" s="6" t="str">
        <f t="shared" ref="P39:P64" si="7">CONCATENATE(M39,"/",N39)</f>
        <v>194/90</v>
      </c>
      <c r="Q39" s="12" t="s">
        <v>29</v>
      </c>
      <c r="R39" s="6">
        <v>2005</v>
      </c>
      <c r="T39" s="1" t="s">
        <v>179</v>
      </c>
    </row>
    <row r="40" spans="1:20" ht="15" customHeight="1" x14ac:dyDescent="0.25">
      <c r="B40" s="1" t="s">
        <v>4</v>
      </c>
      <c r="C40" s="10">
        <v>34880</v>
      </c>
      <c r="D40" s="6">
        <f t="shared" ca="1" si="4"/>
        <v>25</v>
      </c>
      <c r="E40" s="6">
        <v>77</v>
      </c>
      <c r="F40" s="6">
        <v>18</v>
      </c>
      <c r="G40" s="6">
        <v>10</v>
      </c>
      <c r="H40" s="6">
        <f t="shared" si="5"/>
        <v>28</v>
      </c>
      <c r="I40" s="6">
        <v>5</v>
      </c>
      <c r="J40" s="6">
        <v>28</v>
      </c>
      <c r="L40" s="6" t="s">
        <v>51</v>
      </c>
      <c r="M40" s="6">
        <v>183</v>
      </c>
      <c r="N40" s="6">
        <v>76</v>
      </c>
      <c r="O40" s="6" t="str">
        <f t="shared" si="6"/>
        <v>89 OZ, 29 (18+11)</v>
      </c>
      <c r="P40" s="6" t="str">
        <f t="shared" si="7"/>
        <v>183/76</v>
      </c>
      <c r="Q40" s="12" t="s">
        <v>8</v>
      </c>
      <c r="R40" s="6">
        <v>2006</v>
      </c>
      <c r="T40" s="1" t="s">
        <v>180</v>
      </c>
    </row>
    <row r="41" spans="1:20" ht="15" customHeight="1" x14ac:dyDescent="0.25">
      <c r="B41" s="1" t="s">
        <v>65</v>
      </c>
      <c r="C41" s="10">
        <v>31929</v>
      </c>
      <c r="D41" s="6">
        <f t="shared" ca="1" si="4"/>
        <v>33</v>
      </c>
      <c r="E41" s="6">
        <v>64</v>
      </c>
      <c r="F41" s="6">
        <v>18</v>
      </c>
      <c r="G41" s="6">
        <v>20</v>
      </c>
      <c r="H41" s="6">
        <f t="shared" si="5"/>
        <v>38</v>
      </c>
      <c r="I41" s="6">
        <v>5</v>
      </c>
      <c r="J41" s="6">
        <v>10</v>
      </c>
      <c r="L41" s="6" t="s">
        <v>51</v>
      </c>
      <c r="M41" s="6">
        <v>179</v>
      </c>
      <c r="N41" s="6">
        <v>82</v>
      </c>
      <c r="O41" s="6" t="str">
        <f t="shared" si="6"/>
        <v>67 OZ, 39 (19+20)</v>
      </c>
      <c r="P41" s="6" t="str">
        <f t="shared" si="7"/>
        <v>179/82</v>
      </c>
      <c r="Q41" s="12" t="s">
        <v>283</v>
      </c>
      <c r="R41" s="6">
        <v>1997</v>
      </c>
      <c r="T41" s="1" t="s">
        <v>181</v>
      </c>
    </row>
    <row r="42" spans="1:20" ht="15" customHeight="1" x14ac:dyDescent="0.25">
      <c r="B42" s="1" t="s">
        <v>28</v>
      </c>
      <c r="C42" s="10">
        <v>37402</v>
      </c>
      <c r="D42" s="6">
        <f t="shared" ca="1" si="4"/>
        <v>18</v>
      </c>
      <c r="E42" s="6">
        <v>0</v>
      </c>
      <c r="F42" s="6">
        <v>0</v>
      </c>
      <c r="G42" s="6">
        <v>0</v>
      </c>
      <c r="H42" s="6">
        <f t="shared" si="5"/>
        <v>0</v>
      </c>
      <c r="I42" s="6">
        <v>1</v>
      </c>
      <c r="J42" s="6">
        <v>26</v>
      </c>
      <c r="L42" s="6" t="s">
        <v>93</v>
      </c>
      <c r="M42" s="6">
        <v>181</v>
      </c>
      <c r="N42" s="6">
        <v>66</v>
      </c>
      <c r="O42" s="6" t="str">
        <f t="shared" si="6"/>
        <v>9 OZ, 0 (0+0)</v>
      </c>
      <c r="P42" s="6" t="str">
        <f t="shared" si="7"/>
        <v>181/66</v>
      </c>
      <c r="Q42" s="12" t="s">
        <v>29</v>
      </c>
      <c r="R42" s="6" t="s">
        <v>30</v>
      </c>
      <c r="T42" s="1" t="s">
        <v>182</v>
      </c>
    </row>
    <row r="43" spans="1:20" ht="15" customHeight="1" x14ac:dyDescent="0.25">
      <c r="B43" s="1" t="s">
        <v>19</v>
      </c>
      <c r="C43" s="10">
        <v>36658</v>
      </c>
      <c r="D43" s="6">
        <f t="shared" ca="1" si="4"/>
        <v>20</v>
      </c>
      <c r="E43" s="6">
        <v>0</v>
      </c>
      <c r="F43" s="6">
        <v>0</v>
      </c>
      <c r="G43" s="6">
        <v>0</v>
      </c>
      <c r="H43" s="6">
        <f t="shared" si="5"/>
        <v>0</v>
      </c>
      <c r="I43" s="6">
        <v>1</v>
      </c>
      <c r="J43" s="6">
        <v>99</v>
      </c>
      <c r="L43" s="6" t="s">
        <v>93</v>
      </c>
      <c r="M43" s="6">
        <v>186</v>
      </c>
      <c r="N43" s="6">
        <v>80</v>
      </c>
      <c r="O43" s="6" t="str">
        <f t="shared" si="6"/>
        <v>11 OZ, 8 (3+5)</v>
      </c>
      <c r="P43" s="6" t="str">
        <f t="shared" si="7"/>
        <v>186/80</v>
      </c>
      <c r="Q43" s="12" t="s">
        <v>91</v>
      </c>
      <c r="R43" s="6">
        <v>2014</v>
      </c>
      <c r="T43" s="1" t="s">
        <v>42</v>
      </c>
    </row>
    <row r="44" spans="1:20" ht="15" customHeight="1" x14ac:dyDescent="0.25">
      <c r="B44" s="1" t="s">
        <v>10</v>
      </c>
      <c r="C44" s="10">
        <v>32666</v>
      </c>
      <c r="D44" s="6">
        <f t="shared" ca="1" si="4"/>
        <v>31</v>
      </c>
      <c r="E44" s="6">
        <v>186</v>
      </c>
      <c r="F44" s="6">
        <v>63</v>
      </c>
      <c r="G44" s="6">
        <v>58</v>
      </c>
      <c r="H44" s="6">
        <f t="shared" si="5"/>
        <v>121</v>
      </c>
      <c r="I44" s="6">
        <v>11</v>
      </c>
      <c r="J44" s="6">
        <v>76</v>
      </c>
      <c r="L44" s="6" t="s">
        <v>93</v>
      </c>
      <c r="M44" s="6">
        <v>192</v>
      </c>
      <c r="N44" s="6">
        <v>83</v>
      </c>
      <c r="O44" s="6" t="str">
        <f t="shared" si="6"/>
        <v>195 OZ, 124 (64+60)</v>
      </c>
      <c r="P44" s="6" t="str">
        <f t="shared" si="7"/>
        <v>192/83</v>
      </c>
      <c r="Q44" s="12" t="s">
        <v>11</v>
      </c>
      <c r="R44" s="6">
        <v>2003</v>
      </c>
      <c r="T44" s="1" t="s">
        <v>46</v>
      </c>
    </row>
    <row r="45" spans="1:20" ht="15" customHeight="1" x14ac:dyDescent="0.25">
      <c r="B45" s="1" t="s">
        <v>33</v>
      </c>
      <c r="C45" s="10">
        <v>32155</v>
      </c>
      <c r="D45" s="6">
        <f t="shared" ca="1" si="4"/>
        <v>32</v>
      </c>
      <c r="E45" s="6">
        <v>14</v>
      </c>
      <c r="F45" s="6">
        <v>0</v>
      </c>
      <c r="G45" s="6">
        <v>0</v>
      </c>
      <c r="H45" s="6">
        <f t="shared" si="5"/>
        <v>0</v>
      </c>
      <c r="I45" s="6">
        <v>4</v>
      </c>
      <c r="J45" s="6">
        <v>13</v>
      </c>
      <c r="L45" s="6" t="s">
        <v>30</v>
      </c>
      <c r="M45" s="6">
        <v>177</v>
      </c>
      <c r="N45" s="6">
        <v>87</v>
      </c>
      <c r="O45" s="6" t="str">
        <f t="shared" si="6"/>
        <v>14 OZ, 0 (0+0)</v>
      </c>
      <c r="P45" s="6" t="str">
        <f t="shared" si="7"/>
        <v>177/87</v>
      </c>
      <c r="Q45" s="12" t="s">
        <v>34</v>
      </c>
      <c r="R45" s="6">
        <v>1999</v>
      </c>
      <c r="S45" s="6" t="str">
        <f>CONCATENATE(E45+VLOOKUP(B45,$B$31:$R$34,4,FALSE), " OZ, ",G45+VLOOKUP(B45,$B$31:$R$34,13,FALSE), " A")</f>
        <v>16 OZ, 0 A</v>
      </c>
      <c r="T45" s="1" t="s">
        <v>183</v>
      </c>
    </row>
    <row r="46" spans="1:20" ht="15" customHeight="1" x14ac:dyDescent="0.25">
      <c r="B46" s="1" t="s">
        <v>32</v>
      </c>
      <c r="C46" s="10">
        <v>35171</v>
      </c>
      <c r="D46" s="6">
        <f t="shared" ca="1" si="4"/>
        <v>24</v>
      </c>
      <c r="E46" s="6">
        <v>20</v>
      </c>
      <c r="F46" s="6">
        <v>0</v>
      </c>
      <c r="G46" s="6">
        <v>2</v>
      </c>
      <c r="H46" s="6">
        <f t="shared" si="5"/>
        <v>2</v>
      </c>
      <c r="I46" s="6">
        <v>6</v>
      </c>
      <c r="J46" s="6">
        <v>42</v>
      </c>
      <c r="L46" s="6" t="s">
        <v>30</v>
      </c>
      <c r="M46" s="6">
        <v>187</v>
      </c>
      <c r="N46" s="6">
        <v>88</v>
      </c>
      <c r="O46" s="6" t="str">
        <f t="shared" si="6"/>
        <v>20 OZ, 2 (0+2)</v>
      </c>
      <c r="P46" s="6" t="str">
        <f t="shared" si="7"/>
        <v>187/88</v>
      </c>
      <c r="Q46" s="12" t="s">
        <v>8</v>
      </c>
      <c r="R46" s="6">
        <v>2008</v>
      </c>
      <c r="S46" s="6" t="str">
        <f>CONCATENATE(E46+VLOOKUP(B46,$B$31:$R$34,4,FALSE), " OZ, ",G46+VLOOKUP(B46,$B$31:$R$34,13,FALSE), " A")</f>
        <v>29 OZ, 2 A</v>
      </c>
      <c r="T46" s="1" t="s">
        <v>184</v>
      </c>
    </row>
    <row r="47" spans="1:20" ht="15" customHeight="1" x14ac:dyDescent="0.25">
      <c r="B47" s="4" t="s">
        <v>21</v>
      </c>
      <c r="C47" s="10">
        <v>34105</v>
      </c>
      <c r="D47" s="6">
        <f t="shared" ca="1" si="4"/>
        <v>27</v>
      </c>
      <c r="E47" s="6">
        <v>135</v>
      </c>
      <c r="F47" s="6">
        <v>73</v>
      </c>
      <c r="G47" s="6">
        <v>40</v>
      </c>
      <c r="H47" s="6">
        <f t="shared" si="5"/>
        <v>113</v>
      </c>
      <c r="I47" s="6">
        <v>7</v>
      </c>
      <c r="J47" s="6">
        <v>27</v>
      </c>
      <c r="L47" s="6" t="s">
        <v>93</v>
      </c>
      <c r="M47" s="6">
        <v>180</v>
      </c>
      <c r="N47" s="6">
        <v>78</v>
      </c>
      <c r="O47" s="6" t="str">
        <f t="shared" si="6"/>
        <v>147 OZ, 126 (84+42)</v>
      </c>
      <c r="P47" s="6" t="str">
        <f t="shared" si="7"/>
        <v>180/78</v>
      </c>
      <c r="Q47" s="12" t="s">
        <v>22</v>
      </c>
      <c r="R47" s="6">
        <v>2007</v>
      </c>
      <c r="T47" s="1" t="s">
        <v>38</v>
      </c>
    </row>
    <row r="48" spans="1:20" ht="15" customHeight="1" x14ac:dyDescent="0.25">
      <c r="B48" s="1" t="s">
        <v>5</v>
      </c>
      <c r="C48" s="10">
        <v>32379</v>
      </c>
      <c r="D48" s="6">
        <f t="shared" ca="1" si="4"/>
        <v>32</v>
      </c>
      <c r="E48" s="6">
        <v>71</v>
      </c>
      <c r="F48" s="6">
        <v>6</v>
      </c>
      <c r="G48" s="6">
        <v>6</v>
      </c>
      <c r="H48" s="6">
        <f t="shared" si="5"/>
        <v>12</v>
      </c>
      <c r="I48" s="6">
        <v>6</v>
      </c>
      <c r="J48" s="6">
        <v>19</v>
      </c>
      <c r="L48" s="6" t="s">
        <v>51</v>
      </c>
      <c r="M48" s="6">
        <v>187</v>
      </c>
      <c r="N48" s="6">
        <v>92</v>
      </c>
      <c r="O48" s="6" t="str">
        <f t="shared" si="6"/>
        <v>83 OZ, 15 (9+6)</v>
      </c>
      <c r="P48" s="6" t="str">
        <f t="shared" si="7"/>
        <v>187/92</v>
      </c>
      <c r="Q48" s="12" t="s">
        <v>9</v>
      </c>
      <c r="R48" s="6">
        <v>2000</v>
      </c>
      <c r="T48" s="1" t="s">
        <v>185</v>
      </c>
    </row>
    <row r="49" spans="2:20" ht="15" customHeight="1" x14ac:dyDescent="0.25">
      <c r="B49" s="1" t="s">
        <v>67</v>
      </c>
      <c r="C49" s="10">
        <v>37455</v>
      </c>
      <c r="D49" s="6">
        <f t="shared" ca="1" si="4"/>
        <v>18</v>
      </c>
      <c r="E49" s="6">
        <v>0</v>
      </c>
      <c r="F49" s="6">
        <v>0</v>
      </c>
      <c r="G49" s="6">
        <v>0</v>
      </c>
      <c r="H49" s="6">
        <f t="shared" si="5"/>
        <v>0</v>
      </c>
      <c r="I49" s="6">
        <v>1</v>
      </c>
      <c r="J49" s="6">
        <v>81</v>
      </c>
      <c r="L49" s="6" t="s">
        <v>93</v>
      </c>
      <c r="M49" s="6">
        <v>187</v>
      </c>
      <c r="N49" s="6">
        <v>61</v>
      </c>
      <c r="O49" s="6" t="str">
        <f t="shared" si="6"/>
        <v>6 OZ, 0 (0+0)</v>
      </c>
      <c r="P49" s="6" t="str">
        <f t="shared" si="7"/>
        <v>187/61</v>
      </c>
      <c r="Q49" s="12" t="s">
        <v>29</v>
      </c>
      <c r="R49" s="6">
        <v>2013</v>
      </c>
      <c r="T49" s="1" t="s">
        <v>186</v>
      </c>
    </row>
    <row r="50" spans="2:20" ht="15" customHeight="1" x14ac:dyDescent="0.25">
      <c r="B50" s="1" t="s">
        <v>23</v>
      </c>
      <c r="C50" s="10">
        <v>34368</v>
      </c>
      <c r="D50" s="6">
        <f t="shared" ca="1" si="4"/>
        <v>26</v>
      </c>
      <c r="E50" s="6">
        <v>115</v>
      </c>
      <c r="F50" s="6">
        <v>13</v>
      </c>
      <c r="G50" s="6">
        <v>14</v>
      </c>
      <c r="H50" s="6">
        <f t="shared" si="5"/>
        <v>27</v>
      </c>
      <c r="I50" s="6">
        <v>8</v>
      </c>
      <c r="J50" s="6">
        <v>2</v>
      </c>
      <c r="L50" s="6" t="s">
        <v>51</v>
      </c>
      <c r="M50" s="6">
        <v>187</v>
      </c>
      <c r="N50" s="6">
        <v>93</v>
      </c>
      <c r="O50" s="6" t="str">
        <f t="shared" si="6"/>
        <v>124 OZ, 27 (13+14)</v>
      </c>
      <c r="P50" s="6" t="str">
        <f t="shared" si="7"/>
        <v>187/93</v>
      </c>
      <c r="Q50" s="12" t="s">
        <v>277</v>
      </c>
      <c r="R50" s="6">
        <v>2001</v>
      </c>
      <c r="T50" s="1" t="s">
        <v>187</v>
      </c>
    </row>
    <row r="51" spans="2:20" ht="15" customHeight="1" x14ac:dyDescent="0.25">
      <c r="B51" s="4" t="s">
        <v>2</v>
      </c>
      <c r="C51" s="10">
        <v>35382</v>
      </c>
      <c r="D51" s="6">
        <f t="shared" ca="1" si="4"/>
        <v>24</v>
      </c>
      <c r="E51" s="6">
        <v>65</v>
      </c>
      <c r="F51" s="6">
        <v>37</v>
      </c>
      <c r="G51" s="6">
        <v>34</v>
      </c>
      <c r="H51" s="6">
        <f t="shared" si="5"/>
        <v>71</v>
      </c>
      <c r="I51" s="6">
        <v>5</v>
      </c>
      <c r="J51" s="6">
        <v>29</v>
      </c>
      <c r="L51" s="6" t="s">
        <v>93</v>
      </c>
      <c r="M51" s="6">
        <v>192</v>
      </c>
      <c r="N51" s="6">
        <v>94</v>
      </c>
      <c r="O51" s="6" t="str">
        <f t="shared" si="6"/>
        <v>74 OZ, 81 (41+40)</v>
      </c>
      <c r="P51" s="6" t="str">
        <f t="shared" si="7"/>
        <v>192/94</v>
      </c>
      <c r="Q51" s="12" t="s">
        <v>6</v>
      </c>
      <c r="R51" s="6">
        <v>2005</v>
      </c>
      <c r="T51" s="1" t="s">
        <v>39</v>
      </c>
    </row>
    <row r="52" spans="2:20" ht="15" customHeight="1" x14ac:dyDescent="0.25">
      <c r="B52" s="1" t="s">
        <v>68</v>
      </c>
      <c r="D52" s="6">
        <f t="shared" ca="1" si="4"/>
        <v>121</v>
      </c>
      <c r="E52" s="6">
        <v>0</v>
      </c>
      <c r="F52" s="6">
        <v>0</v>
      </c>
      <c r="G52" s="6">
        <v>0</v>
      </c>
      <c r="H52" s="6">
        <f t="shared" si="5"/>
        <v>0</v>
      </c>
      <c r="I52" s="6">
        <v>1</v>
      </c>
      <c r="J52" s="6">
        <v>12</v>
      </c>
      <c r="O52" s="6" t="str">
        <f t="shared" si="6"/>
        <v>2 OZ, 0 (0+0)</v>
      </c>
      <c r="P52" s="6" t="str">
        <f t="shared" si="7"/>
        <v>/</v>
      </c>
      <c r="R52" s="6"/>
      <c r="T52" s="1" t="s">
        <v>188</v>
      </c>
    </row>
    <row r="53" spans="2:20" ht="15" customHeight="1" x14ac:dyDescent="0.25">
      <c r="B53" s="1" t="s">
        <v>70</v>
      </c>
      <c r="C53" s="10">
        <v>37453</v>
      </c>
      <c r="D53" s="6">
        <f t="shared" ca="1" si="4"/>
        <v>18</v>
      </c>
      <c r="E53" s="6">
        <v>4</v>
      </c>
      <c r="F53" s="6">
        <v>1</v>
      </c>
      <c r="G53" s="6">
        <v>0</v>
      </c>
      <c r="H53" s="6">
        <f t="shared" si="5"/>
        <v>1</v>
      </c>
      <c r="I53" s="6">
        <v>2</v>
      </c>
      <c r="J53" s="6">
        <v>87</v>
      </c>
      <c r="L53" s="6" t="s">
        <v>51</v>
      </c>
      <c r="M53" s="6">
        <v>181</v>
      </c>
      <c r="N53" s="6">
        <v>75</v>
      </c>
      <c r="O53" s="6" t="str">
        <f t="shared" si="6"/>
        <v>7 OZ, 1 (1+0)</v>
      </c>
      <c r="P53" s="6" t="str">
        <f t="shared" si="7"/>
        <v>181/75</v>
      </c>
      <c r="Q53" s="12" t="s">
        <v>284</v>
      </c>
      <c r="R53" s="6"/>
      <c r="T53" s="1" t="s">
        <v>189</v>
      </c>
    </row>
    <row r="54" spans="2:20" ht="15" customHeight="1" x14ac:dyDescent="0.25">
      <c r="B54" s="1" t="s">
        <v>69</v>
      </c>
      <c r="C54" s="10">
        <v>37561</v>
      </c>
      <c r="D54" s="6">
        <f t="shared" ca="1" si="4"/>
        <v>18</v>
      </c>
      <c r="E54" s="6">
        <v>0</v>
      </c>
      <c r="F54" s="6">
        <v>0</v>
      </c>
      <c r="G54" s="6">
        <v>0</v>
      </c>
      <c r="H54" s="6">
        <f t="shared" si="5"/>
        <v>0</v>
      </c>
      <c r="I54" s="6">
        <v>1</v>
      </c>
      <c r="J54" s="6">
        <v>88</v>
      </c>
      <c r="L54" s="6" t="s">
        <v>30</v>
      </c>
      <c r="M54" s="6">
        <v>180</v>
      </c>
      <c r="N54" s="6">
        <v>83</v>
      </c>
      <c r="O54" s="6" t="str">
        <f t="shared" si="6"/>
        <v>0 OZ, 0 (0+0)</v>
      </c>
      <c r="P54" s="6" t="str">
        <f t="shared" si="7"/>
        <v>180/83</v>
      </c>
      <c r="R54" s="6"/>
      <c r="S54" s="6" t="str">
        <f>CONCATENATE(E54+VLOOKUP(B54,$B$31:$R$34,4,FALSE), " OZ, ",G54+VLOOKUP(B54,$B$31:$R$34,13,FALSE), " A")</f>
        <v>0 OZ, 0 A</v>
      </c>
      <c r="T54" s="1" t="s">
        <v>190</v>
      </c>
    </row>
    <row r="55" spans="2:20" ht="15" customHeight="1" x14ac:dyDescent="0.25">
      <c r="B55" s="4" t="s">
        <v>14</v>
      </c>
      <c r="C55" s="10">
        <v>33907</v>
      </c>
      <c r="D55" s="6">
        <f t="shared" ca="1" si="4"/>
        <v>28</v>
      </c>
      <c r="E55" s="6">
        <v>178</v>
      </c>
      <c r="F55" s="6">
        <v>90</v>
      </c>
      <c r="G55" s="6">
        <v>74</v>
      </c>
      <c r="H55" s="6">
        <f t="shared" si="5"/>
        <v>164</v>
      </c>
      <c r="I55" s="6">
        <v>10</v>
      </c>
      <c r="J55" s="6">
        <v>78</v>
      </c>
      <c r="L55" s="6" t="s">
        <v>93</v>
      </c>
      <c r="M55" s="6">
        <v>172</v>
      </c>
      <c r="N55" s="6">
        <v>73</v>
      </c>
      <c r="O55" s="6" t="str">
        <f t="shared" si="6"/>
        <v>190 OZ, 179 (99+80)</v>
      </c>
      <c r="P55" s="6" t="str">
        <f t="shared" si="7"/>
        <v>172/73</v>
      </c>
      <c r="Q55" s="12" t="s">
        <v>15</v>
      </c>
      <c r="R55" s="6">
        <v>2000</v>
      </c>
      <c r="T55" s="1" t="s">
        <v>40</v>
      </c>
    </row>
    <row r="56" spans="2:20" ht="15" customHeight="1" x14ac:dyDescent="0.25">
      <c r="B56" s="4" t="s">
        <v>12</v>
      </c>
      <c r="C56" s="10">
        <v>33786</v>
      </c>
      <c r="D56" s="6">
        <f t="shared" ca="1" si="4"/>
        <v>28</v>
      </c>
      <c r="E56" s="6">
        <v>117</v>
      </c>
      <c r="F56" s="6">
        <v>79</v>
      </c>
      <c r="G56" s="6">
        <v>50</v>
      </c>
      <c r="H56" s="6">
        <f t="shared" si="5"/>
        <v>129</v>
      </c>
      <c r="I56" s="6">
        <v>9</v>
      </c>
      <c r="J56" s="6">
        <v>23</v>
      </c>
      <c r="L56" s="6" t="s">
        <v>93</v>
      </c>
      <c r="M56" s="6">
        <v>181</v>
      </c>
      <c r="N56" s="6">
        <v>78</v>
      </c>
      <c r="O56" s="6" t="str">
        <f t="shared" si="6"/>
        <v>128 OZ, 141 (85+56)</v>
      </c>
      <c r="P56" s="6" t="str">
        <f t="shared" si="7"/>
        <v>181/78</v>
      </c>
      <c r="Q56" s="12" t="s">
        <v>13</v>
      </c>
      <c r="R56" s="6">
        <v>2003</v>
      </c>
      <c r="T56" s="1" t="s">
        <v>41</v>
      </c>
    </row>
    <row r="57" spans="2:20" ht="15" customHeight="1" x14ac:dyDescent="0.25">
      <c r="B57" s="1" t="s">
        <v>26</v>
      </c>
      <c r="C57" s="10">
        <v>37000</v>
      </c>
      <c r="D57" s="6">
        <f t="shared" ca="1" si="4"/>
        <v>19</v>
      </c>
      <c r="E57" s="6">
        <v>33</v>
      </c>
      <c r="F57" s="6">
        <v>3</v>
      </c>
      <c r="G57" s="6">
        <v>5</v>
      </c>
      <c r="H57" s="6">
        <f t="shared" si="5"/>
        <v>8</v>
      </c>
      <c r="I57" s="6">
        <v>3</v>
      </c>
      <c r="J57" s="6">
        <v>11</v>
      </c>
      <c r="L57" s="6" t="s">
        <v>93</v>
      </c>
      <c r="M57" s="6">
        <v>181</v>
      </c>
      <c r="N57" s="6">
        <v>80</v>
      </c>
      <c r="O57" s="6" t="str">
        <f t="shared" si="6"/>
        <v>44 OZ, 9 (4+5)</v>
      </c>
      <c r="P57" s="6" t="str">
        <f t="shared" si="7"/>
        <v>181/80</v>
      </c>
      <c r="Q57" s="12" t="s">
        <v>27</v>
      </c>
      <c r="R57" s="6">
        <v>2013</v>
      </c>
      <c r="T57" s="1" t="s">
        <v>191</v>
      </c>
    </row>
    <row r="58" spans="2:20" ht="15" customHeight="1" x14ac:dyDescent="0.25">
      <c r="B58" s="1" t="s">
        <v>71</v>
      </c>
      <c r="C58" s="10">
        <v>34200</v>
      </c>
      <c r="D58" s="6">
        <f t="shared" ca="1" si="4"/>
        <v>27</v>
      </c>
      <c r="E58" s="6">
        <v>83</v>
      </c>
      <c r="F58" s="6">
        <v>24</v>
      </c>
      <c r="G58" s="6">
        <v>18</v>
      </c>
      <c r="H58" s="6">
        <f t="shared" si="5"/>
        <v>42</v>
      </c>
      <c r="I58" s="6">
        <v>6</v>
      </c>
      <c r="J58" s="6">
        <v>65</v>
      </c>
      <c r="K58" s="6" t="s">
        <v>287</v>
      </c>
      <c r="L58" s="6" t="s">
        <v>51</v>
      </c>
      <c r="M58" s="6">
        <v>169</v>
      </c>
      <c r="N58" s="6">
        <v>65</v>
      </c>
      <c r="O58" s="6" t="str">
        <f t="shared" si="6"/>
        <v>95 OZ, 49 (29+20)</v>
      </c>
      <c r="P58" s="6" t="str">
        <f t="shared" si="7"/>
        <v>169/65</v>
      </c>
      <c r="Q58" s="12" t="s">
        <v>16</v>
      </c>
      <c r="R58" s="6">
        <v>2004</v>
      </c>
      <c r="T58" s="1" t="s">
        <v>43</v>
      </c>
    </row>
    <row r="59" spans="2:20" ht="15" customHeight="1" x14ac:dyDescent="0.25">
      <c r="B59" s="1" t="s">
        <v>31</v>
      </c>
      <c r="C59" s="10">
        <v>36825</v>
      </c>
      <c r="D59" s="6">
        <f t="shared" ca="1" si="4"/>
        <v>20</v>
      </c>
      <c r="E59" s="6">
        <v>33</v>
      </c>
      <c r="F59" s="6">
        <v>2</v>
      </c>
      <c r="G59" s="6">
        <v>6</v>
      </c>
      <c r="H59" s="6">
        <f t="shared" si="5"/>
        <v>8</v>
      </c>
      <c r="I59" s="6">
        <v>3</v>
      </c>
      <c r="J59" s="6">
        <v>32</v>
      </c>
      <c r="L59" s="6" t="s">
        <v>93</v>
      </c>
      <c r="M59" s="6">
        <v>175</v>
      </c>
      <c r="N59" s="6">
        <v>70</v>
      </c>
      <c r="O59" s="6" t="str">
        <f t="shared" si="6"/>
        <v>42 OZ, 13 (2+11)</v>
      </c>
      <c r="P59" s="6" t="str">
        <f t="shared" si="7"/>
        <v>175/70</v>
      </c>
      <c r="Q59" s="12" t="s">
        <v>29</v>
      </c>
      <c r="R59" s="6">
        <v>2015</v>
      </c>
      <c r="T59" s="1" t="s">
        <v>192</v>
      </c>
    </row>
    <row r="60" spans="2:20" ht="15" customHeight="1" x14ac:dyDescent="0.25">
      <c r="B60" s="1" t="s">
        <v>3</v>
      </c>
      <c r="C60" s="10">
        <v>33357</v>
      </c>
      <c r="D60" s="6">
        <f t="shared" ca="1" si="4"/>
        <v>29</v>
      </c>
      <c r="E60" s="6">
        <v>56</v>
      </c>
      <c r="F60" s="6">
        <v>35</v>
      </c>
      <c r="G60" s="6">
        <v>17</v>
      </c>
      <c r="H60" s="6">
        <f t="shared" si="5"/>
        <v>52</v>
      </c>
      <c r="I60" s="6">
        <v>4</v>
      </c>
      <c r="J60" s="6">
        <v>24</v>
      </c>
      <c r="L60" s="6" t="s">
        <v>93</v>
      </c>
      <c r="M60" s="6">
        <v>180</v>
      </c>
      <c r="N60" s="6">
        <v>78</v>
      </c>
      <c r="O60" s="6" t="str">
        <f t="shared" si="6"/>
        <v>68 OZ, 60 (40+20)</v>
      </c>
      <c r="P60" s="6" t="str">
        <f t="shared" si="7"/>
        <v>180/78</v>
      </c>
      <c r="Q60" s="12" t="s">
        <v>7</v>
      </c>
      <c r="R60" s="6">
        <v>2008</v>
      </c>
      <c r="T60" s="1" t="s">
        <v>44</v>
      </c>
    </row>
    <row r="61" spans="2:20" ht="15" customHeight="1" x14ac:dyDescent="0.25">
      <c r="B61" s="1" t="s">
        <v>17</v>
      </c>
      <c r="C61" s="10">
        <v>33619</v>
      </c>
      <c r="D61" s="6">
        <f t="shared" ca="1" si="4"/>
        <v>28</v>
      </c>
      <c r="E61" s="6">
        <v>79</v>
      </c>
      <c r="F61" s="6">
        <v>4</v>
      </c>
      <c r="G61" s="6">
        <v>15</v>
      </c>
      <c r="H61" s="6">
        <f t="shared" si="5"/>
        <v>19</v>
      </c>
      <c r="I61" s="6">
        <v>5</v>
      </c>
      <c r="J61" s="6">
        <v>4</v>
      </c>
      <c r="L61" s="6" t="s">
        <v>93</v>
      </c>
      <c r="M61" s="6">
        <v>197</v>
      </c>
      <c r="N61" s="6">
        <v>92</v>
      </c>
      <c r="O61" s="6" t="str">
        <f t="shared" si="6"/>
        <v>90 OZ, 22 (5+17)</v>
      </c>
      <c r="P61" s="6" t="str">
        <f t="shared" si="7"/>
        <v>197/92</v>
      </c>
      <c r="Q61" s="12" t="s">
        <v>18</v>
      </c>
      <c r="R61" s="6">
        <v>2007</v>
      </c>
      <c r="T61" s="1" t="s">
        <v>193</v>
      </c>
    </row>
    <row r="62" spans="2:20" ht="15" customHeight="1" x14ac:dyDescent="0.25">
      <c r="B62" s="1" t="s">
        <v>72</v>
      </c>
      <c r="C62" s="10">
        <v>34726</v>
      </c>
      <c r="D62" s="6">
        <f t="shared" ca="1" si="4"/>
        <v>25</v>
      </c>
      <c r="H62" s="6">
        <f t="shared" si="5"/>
        <v>0</v>
      </c>
      <c r="I62" s="6">
        <v>3</v>
      </c>
      <c r="J62" s="6">
        <v>37</v>
      </c>
      <c r="L62" s="6" t="s">
        <v>30</v>
      </c>
      <c r="M62" s="6">
        <v>190</v>
      </c>
      <c r="N62" s="6">
        <v>80</v>
      </c>
      <c r="O62" s="6" t="str">
        <f t="shared" si="6"/>
        <v>0 OZ, 0 (0+0)</v>
      </c>
      <c r="P62" s="6" t="str">
        <f t="shared" si="7"/>
        <v>190/80</v>
      </c>
      <c r="Q62" s="12" t="s">
        <v>324</v>
      </c>
      <c r="R62" s="6">
        <v>2007</v>
      </c>
      <c r="S62" s="6" t="str">
        <f>CONCATENATE(E62+VLOOKUP(B62,$B$31:$R$34,4,FALSE), " OZ, ",G62+VLOOKUP(B62,$B$31:$R$34,13,FALSE), " A")</f>
        <v>1 OZ, 0 A</v>
      </c>
      <c r="T62" s="1" t="s">
        <v>194</v>
      </c>
    </row>
    <row r="63" spans="2:20" ht="15" customHeight="1" x14ac:dyDescent="0.25">
      <c r="B63" s="1" t="s">
        <v>24</v>
      </c>
      <c r="C63" s="10">
        <v>36364</v>
      </c>
      <c r="D63" s="6">
        <f t="shared" ca="1" si="4"/>
        <v>21</v>
      </c>
      <c r="E63" s="6">
        <v>0</v>
      </c>
      <c r="F63" s="6">
        <v>0</v>
      </c>
      <c r="G63" s="6">
        <v>0</v>
      </c>
      <c r="H63" s="6">
        <f t="shared" si="5"/>
        <v>0</v>
      </c>
      <c r="I63" s="6">
        <v>1</v>
      </c>
      <c r="J63" s="6">
        <v>47</v>
      </c>
      <c r="L63" s="6" t="s">
        <v>93</v>
      </c>
      <c r="M63" s="6">
        <v>181</v>
      </c>
      <c r="N63" s="6">
        <v>82</v>
      </c>
      <c r="O63" s="6" t="str">
        <f t="shared" si="6"/>
        <v>12 OZ, 0 (0+0)</v>
      </c>
      <c r="P63" s="6" t="str">
        <f t="shared" si="7"/>
        <v>181/82</v>
      </c>
      <c r="Q63" s="12" t="s">
        <v>25</v>
      </c>
      <c r="R63" s="6">
        <v>2009</v>
      </c>
      <c r="T63" s="1" t="s">
        <v>195</v>
      </c>
    </row>
    <row r="64" spans="2:20" ht="15" customHeight="1" x14ac:dyDescent="0.25">
      <c r="B64" s="1" t="s">
        <v>20</v>
      </c>
      <c r="C64" s="10">
        <v>34200</v>
      </c>
      <c r="D64" s="6">
        <f t="shared" ca="1" si="4"/>
        <v>27</v>
      </c>
      <c r="E64" s="6">
        <v>71</v>
      </c>
      <c r="F64" s="6">
        <v>18</v>
      </c>
      <c r="G64" s="6">
        <v>47</v>
      </c>
      <c r="H64" s="6">
        <f t="shared" si="5"/>
        <v>65</v>
      </c>
      <c r="I64" s="6">
        <v>5</v>
      </c>
      <c r="J64" s="6">
        <v>64</v>
      </c>
      <c r="L64" s="6" t="s">
        <v>93</v>
      </c>
      <c r="M64" s="6">
        <v>173</v>
      </c>
      <c r="N64" s="6">
        <v>68</v>
      </c>
      <c r="O64" s="6" t="str">
        <f t="shared" si="6"/>
        <v>83 OZ, 69 (20+49)</v>
      </c>
      <c r="P64" s="6" t="str">
        <f t="shared" si="7"/>
        <v>173/68</v>
      </c>
      <c r="Q64" s="12" t="s">
        <v>6</v>
      </c>
      <c r="R64" s="6">
        <v>2003</v>
      </c>
      <c r="T64" s="1" t="s">
        <v>47</v>
      </c>
    </row>
    <row r="66" spans="1:17" s="2" customFormat="1" ht="15" customHeight="1" x14ac:dyDescent="0.25">
      <c r="A66" s="7">
        <f ca="1">TODAY()</f>
        <v>44203</v>
      </c>
      <c r="B66" s="2" t="s">
        <v>74</v>
      </c>
      <c r="C66" s="2" t="s">
        <v>81</v>
      </c>
      <c r="D66" s="2" t="s">
        <v>82</v>
      </c>
      <c r="E66" s="272" t="s">
        <v>113</v>
      </c>
      <c r="F66" s="272"/>
      <c r="G66" s="272" t="s">
        <v>119</v>
      </c>
      <c r="H66" s="272"/>
      <c r="I66" s="272"/>
      <c r="J66" s="272"/>
      <c r="K66" s="272"/>
      <c r="Q66" s="11"/>
    </row>
    <row r="67" spans="1:17" ht="30" customHeight="1" x14ac:dyDescent="0.25">
      <c r="B67" s="1" t="s">
        <v>114</v>
      </c>
      <c r="C67" s="10">
        <v>30490</v>
      </c>
      <c r="D67" s="6">
        <f ca="1">ROUNDDOWN(($A$66-C67)/365.25,0)</f>
        <v>37</v>
      </c>
      <c r="E67" s="273" t="s">
        <v>118</v>
      </c>
      <c r="F67" s="273"/>
      <c r="G67" s="273" t="s">
        <v>258</v>
      </c>
      <c r="H67" s="273"/>
      <c r="I67" s="273"/>
      <c r="J67" s="273"/>
      <c r="K67" s="273"/>
    </row>
    <row r="68" spans="1:17" ht="30" customHeight="1" x14ac:dyDescent="0.25">
      <c r="B68" s="1" t="s">
        <v>115</v>
      </c>
      <c r="C68" s="10">
        <v>31402</v>
      </c>
      <c r="D68" s="6">
        <f t="shared" ref="D68:D70" ca="1" si="8">ROUNDDOWN(($A$66-C68)/365.25,0)</f>
        <v>35</v>
      </c>
      <c r="E68" s="273" t="s">
        <v>118</v>
      </c>
      <c r="F68" s="273"/>
      <c r="G68" s="273" t="s">
        <v>257</v>
      </c>
      <c r="H68" s="273"/>
      <c r="I68" s="273"/>
      <c r="J68" s="273"/>
      <c r="K68" s="273"/>
    </row>
    <row r="69" spans="1:17" ht="30" customHeight="1" x14ac:dyDescent="0.25">
      <c r="B69" s="1" t="s">
        <v>116</v>
      </c>
      <c r="C69" s="10">
        <v>34755</v>
      </c>
      <c r="D69" s="6">
        <f t="shared" ca="1" si="8"/>
        <v>25</v>
      </c>
      <c r="E69" s="273" t="s">
        <v>120</v>
      </c>
      <c r="F69" s="273"/>
      <c r="G69" s="273"/>
      <c r="H69" s="273"/>
      <c r="I69" s="273"/>
      <c r="J69" s="273"/>
      <c r="K69" s="273"/>
    </row>
    <row r="70" spans="1:17" ht="30" customHeight="1" x14ac:dyDescent="0.25">
      <c r="B70" s="1" t="s">
        <v>117</v>
      </c>
      <c r="C70" s="10">
        <v>35465</v>
      </c>
      <c r="D70" s="6">
        <f t="shared" ca="1" si="8"/>
        <v>23</v>
      </c>
      <c r="E70" s="273" t="s">
        <v>121</v>
      </c>
      <c r="F70" s="273"/>
      <c r="G70" s="273" t="s">
        <v>122</v>
      </c>
      <c r="H70" s="273"/>
      <c r="I70" s="273"/>
      <c r="J70" s="273"/>
      <c r="K70" s="273"/>
    </row>
    <row r="74" spans="1:17" x14ac:dyDescent="0.25">
      <c r="A74" s="272" t="s">
        <v>36</v>
      </c>
      <c r="B74" s="1" t="s">
        <v>325</v>
      </c>
      <c r="C74" s="116">
        <v>15</v>
      </c>
      <c r="D74" s="270" t="str">
        <f>IFERROR(RIGHT(B74,LEN(B74)-SEARCH(" ",B74)),"")</f>
        <v>Michal Strachota</v>
      </c>
      <c r="E74" s="270"/>
    </row>
    <row r="75" spans="1:17" x14ac:dyDescent="0.25">
      <c r="A75" s="272"/>
      <c r="B75" s="1" t="s">
        <v>326</v>
      </c>
      <c r="C75" s="116">
        <v>13</v>
      </c>
      <c r="D75" s="270" t="str">
        <f t="shared" ref="D75:D103" si="9">IFERROR(RIGHT(B75,LEN(B75)-SEARCH(" ",B75)),"")</f>
        <v>Lukáš Gregor</v>
      </c>
      <c r="E75" s="270"/>
    </row>
    <row r="76" spans="1:17" x14ac:dyDescent="0.25">
      <c r="A76" s="272"/>
      <c r="B76" s="1" t="s">
        <v>327</v>
      </c>
      <c r="C76" s="116">
        <v>12</v>
      </c>
      <c r="D76" s="270" t="str">
        <f t="shared" si="9"/>
        <v>Milan Bína</v>
      </c>
      <c r="E76" s="270"/>
    </row>
    <row r="77" spans="1:17" x14ac:dyDescent="0.25">
      <c r="A77" s="272"/>
      <c r="B77" s="1" t="s">
        <v>328</v>
      </c>
      <c r="C77" s="116">
        <v>10</v>
      </c>
      <c r="D77" s="270" t="str">
        <f t="shared" si="9"/>
        <v>Martin Skřivánek</v>
      </c>
      <c r="E77" s="270"/>
    </row>
    <row r="78" spans="1:17" x14ac:dyDescent="0.25">
      <c r="A78" s="272"/>
      <c r="B78" s="1" t="s">
        <v>329</v>
      </c>
      <c r="C78" s="116">
        <v>8</v>
      </c>
      <c r="D78" s="270" t="str">
        <f t="shared" si="9"/>
        <v>Petr Hartman</v>
      </c>
      <c r="E78" s="270"/>
    </row>
    <row r="79" spans="1:17" x14ac:dyDescent="0.25">
      <c r="A79" s="272" t="s">
        <v>35</v>
      </c>
      <c r="B79" s="1" t="s">
        <v>331</v>
      </c>
      <c r="C79" s="116">
        <v>11</v>
      </c>
      <c r="D79" s="270" t="str">
        <f t="shared" si="9"/>
        <v>Lukáš Gregor</v>
      </c>
      <c r="E79" s="270"/>
    </row>
    <row r="80" spans="1:17" x14ac:dyDescent="0.25">
      <c r="A80" s="272"/>
      <c r="B80" s="1" t="s">
        <v>332</v>
      </c>
      <c r="C80" s="116">
        <v>9</v>
      </c>
      <c r="D80" s="270" t="str">
        <f t="shared" si="9"/>
        <v>Michal Strachota</v>
      </c>
      <c r="E80" s="270"/>
    </row>
    <row r="81" spans="1:6" x14ac:dyDescent="0.25">
      <c r="A81" s="272"/>
      <c r="B81" s="1" t="s">
        <v>327</v>
      </c>
      <c r="C81" s="116">
        <v>6</v>
      </c>
      <c r="D81" s="270" t="str">
        <f t="shared" si="9"/>
        <v>Milan Bína</v>
      </c>
      <c r="E81" s="270"/>
    </row>
    <row r="82" spans="1:6" x14ac:dyDescent="0.25">
      <c r="A82" s="272"/>
      <c r="B82" s="1" t="s">
        <v>333</v>
      </c>
      <c r="C82" s="116">
        <v>5</v>
      </c>
      <c r="D82" s="270" t="str">
        <f t="shared" si="9"/>
        <v>Ondřej Stuchlík</v>
      </c>
      <c r="E82" s="270"/>
    </row>
    <row r="83" spans="1:6" x14ac:dyDescent="0.25">
      <c r="A83" s="272"/>
      <c r="B83" s="1" t="s">
        <v>329</v>
      </c>
      <c r="C83" s="116">
        <v>5</v>
      </c>
      <c r="D83" s="270" t="str">
        <f t="shared" si="9"/>
        <v>Petr Hartman</v>
      </c>
      <c r="E83" s="270"/>
    </row>
    <row r="84" spans="1:6" x14ac:dyDescent="0.25">
      <c r="A84" s="272" t="s">
        <v>37</v>
      </c>
      <c r="B84" s="1" t="s">
        <v>334</v>
      </c>
      <c r="C84" s="116">
        <v>6</v>
      </c>
      <c r="D84" s="270" t="str">
        <f t="shared" si="9"/>
        <v>Martin Skřivánek</v>
      </c>
      <c r="E84" s="270"/>
    </row>
    <row r="85" spans="1:6" x14ac:dyDescent="0.25">
      <c r="A85" s="272"/>
      <c r="B85" s="1" t="s">
        <v>332</v>
      </c>
      <c r="C85" s="116">
        <v>6</v>
      </c>
      <c r="D85" s="270" t="str">
        <f t="shared" si="9"/>
        <v>Michal Strachota</v>
      </c>
      <c r="E85" s="270"/>
    </row>
    <row r="86" spans="1:6" x14ac:dyDescent="0.25">
      <c r="A86" s="272"/>
      <c r="B86" s="1" t="s">
        <v>327</v>
      </c>
      <c r="C86" s="116">
        <v>6</v>
      </c>
      <c r="D86" s="270" t="str">
        <f t="shared" si="9"/>
        <v>Milan Bína</v>
      </c>
      <c r="E86" s="270"/>
    </row>
    <row r="87" spans="1:6" x14ac:dyDescent="0.25">
      <c r="A87" s="272"/>
      <c r="B87" s="1" t="s">
        <v>335</v>
      </c>
      <c r="C87" s="116">
        <v>5</v>
      </c>
      <c r="D87" s="270" t="str">
        <f t="shared" si="9"/>
        <v>Jan Procházka</v>
      </c>
      <c r="E87" s="270"/>
    </row>
    <row r="88" spans="1:6" x14ac:dyDescent="0.25">
      <c r="A88" s="272"/>
      <c r="B88" s="1" t="s">
        <v>336</v>
      </c>
      <c r="C88" s="116">
        <v>5</v>
      </c>
      <c r="D88" s="270" t="str">
        <f t="shared" si="9"/>
        <v>Pavel Hájek</v>
      </c>
      <c r="E88" s="270"/>
    </row>
    <row r="89" spans="1:6" x14ac:dyDescent="0.25">
      <c r="A89" s="272" t="s">
        <v>45</v>
      </c>
      <c r="B89" s="1" t="s">
        <v>325</v>
      </c>
      <c r="C89" s="116">
        <v>10</v>
      </c>
      <c r="D89" s="270" t="str">
        <f t="shared" si="9"/>
        <v>Michal Strachota</v>
      </c>
      <c r="E89" s="270"/>
    </row>
    <row r="90" spans="1:6" x14ac:dyDescent="0.25">
      <c r="A90" s="272"/>
      <c r="B90" s="1" t="s">
        <v>337</v>
      </c>
      <c r="C90" s="116">
        <v>8</v>
      </c>
      <c r="D90" s="270" t="str">
        <f t="shared" si="9"/>
        <v>Jan Svoboda</v>
      </c>
      <c r="E90" s="270"/>
    </row>
    <row r="91" spans="1:6" x14ac:dyDescent="0.25">
      <c r="A91" s="272"/>
      <c r="B91" s="1" t="s">
        <v>338</v>
      </c>
      <c r="C91" s="116">
        <v>7</v>
      </c>
      <c r="D91" s="270" t="str">
        <f t="shared" si="9"/>
        <v>Zbyněk Stuchlík</v>
      </c>
      <c r="E91" s="270"/>
    </row>
    <row r="92" spans="1:6" x14ac:dyDescent="0.25">
      <c r="A92" s="272"/>
      <c r="B92" s="1" t="s">
        <v>333</v>
      </c>
      <c r="C92" s="116">
        <v>4</v>
      </c>
      <c r="D92" s="270" t="str">
        <f t="shared" si="9"/>
        <v>Ondřej Stuchlík</v>
      </c>
      <c r="E92" s="270"/>
    </row>
    <row r="93" spans="1:6" x14ac:dyDescent="0.25">
      <c r="A93" s="272"/>
      <c r="B93" s="1" t="s">
        <v>329</v>
      </c>
      <c r="C93" s="116">
        <v>4</v>
      </c>
      <c r="D93" s="270" t="str">
        <f t="shared" si="9"/>
        <v>Petr Hartman</v>
      </c>
      <c r="E93" s="270"/>
    </row>
    <row r="94" spans="1:6" x14ac:dyDescent="0.25">
      <c r="A94" s="272" t="s">
        <v>330</v>
      </c>
      <c r="B94" s="1" t="s">
        <v>339</v>
      </c>
      <c r="C94" s="116" t="s">
        <v>340</v>
      </c>
      <c r="D94" s="270" t="str">
        <f t="shared" si="9"/>
        <v>Karel Šantora</v>
      </c>
      <c r="E94" s="270"/>
      <c r="F94" s="6">
        <f>IF(B94&lt;&gt;0,_xlfn.NUMBERVALUE(C94,","),"")</f>
        <v>5.97</v>
      </c>
    </row>
    <row r="95" spans="1:6" x14ac:dyDescent="0.25">
      <c r="A95" s="272"/>
      <c r="B95" s="1" t="s">
        <v>341</v>
      </c>
      <c r="C95" s="116" t="s">
        <v>342</v>
      </c>
      <c r="D95" s="270" t="str">
        <f t="shared" si="9"/>
        <v>Matyáš Lorenc</v>
      </c>
      <c r="E95" s="270"/>
      <c r="F95" s="6">
        <f t="shared" ref="F95:F98" si="10">IF(B95&lt;&gt;0,_xlfn.NUMBERVALUE(C95,","),"")</f>
        <v>0</v>
      </c>
    </row>
    <row r="96" spans="1:6" x14ac:dyDescent="0.25">
      <c r="A96" s="272"/>
      <c r="B96" s="1" t="s">
        <v>343</v>
      </c>
      <c r="C96" s="116" t="s">
        <v>344</v>
      </c>
      <c r="D96" s="270" t="str">
        <f t="shared" si="9"/>
        <v>Rastislav Mazák</v>
      </c>
      <c r="E96" s="270"/>
      <c r="F96" s="6">
        <f t="shared" si="10"/>
        <v>7.18</v>
      </c>
    </row>
    <row r="97" spans="1:6" x14ac:dyDescent="0.25">
      <c r="A97" s="272"/>
      <c r="B97" s="1" t="s">
        <v>345</v>
      </c>
      <c r="C97" s="116" t="s">
        <v>346</v>
      </c>
      <c r="D97" s="270" t="str">
        <f t="shared" si="9"/>
        <v>Jiří Buchta</v>
      </c>
      <c r="E97" s="270"/>
      <c r="F97" s="6">
        <f t="shared" si="10"/>
        <v>7.66</v>
      </c>
    </row>
    <row r="98" spans="1:6" ht="15" customHeight="1" x14ac:dyDescent="0.25">
      <c r="A98" s="272"/>
      <c r="C98" s="6"/>
      <c r="D98" s="270" t="str">
        <f t="shared" si="9"/>
        <v/>
      </c>
      <c r="E98" s="270"/>
      <c r="F98" s="6" t="str">
        <f t="shared" si="10"/>
        <v/>
      </c>
    </row>
    <row r="99" spans="1:6" x14ac:dyDescent="0.25">
      <c r="A99" s="272" t="s">
        <v>306</v>
      </c>
      <c r="B99" s="1" t="s">
        <v>339</v>
      </c>
      <c r="C99" s="116">
        <v>2</v>
      </c>
      <c r="D99" s="270" t="str">
        <f t="shared" si="9"/>
        <v>Karel Šantora</v>
      </c>
      <c r="E99" s="270"/>
      <c r="F99" s="6">
        <f>IF(B99&lt;&gt;0,C99,"")</f>
        <v>2</v>
      </c>
    </row>
    <row r="100" spans="1:6" x14ac:dyDescent="0.25">
      <c r="A100" s="272"/>
      <c r="B100" s="1" t="s">
        <v>347</v>
      </c>
      <c r="C100" s="116">
        <v>0</v>
      </c>
      <c r="D100" s="270" t="str">
        <f t="shared" si="9"/>
        <v>Jiří Buchta</v>
      </c>
      <c r="E100" s="270"/>
      <c r="F100" s="6">
        <f t="shared" ref="F100:F103" si="11">IF(B100&lt;&gt;0,C100,"")</f>
        <v>0</v>
      </c>
    </row>
    <row r="101" spans="1:6" x14ac:dyDescent="0.25">
      <c r="A101" s="272"/>
      <c r="B101" s="1" t="s">
        <v>348</v>
      </c>
      <c r="C101" s="116">
        <v>0</v>
      </c>
      <c r="D101" s="270" t="str">
        <f t="shared" si="9"/>
        <v>Matyáš Lorenc</v>
      </c>
      <c r="E101" s="270"/>
      <c r="F101" s="6">
        <f t="shared" si="11"/>
        <v>0</v>
      </c>
    </row>
    <row r="102" spans="1:6" x14ac:dyDescent="0.25">
      <c r="A102" s="272"/>
      <c r="B102" s="1" t="s">
        <v>349</v>
      </c>
      <c r="C102" s="116">
        <v>0</v>
      </c>
      <c r="D102" s="270" t="str">
        <f t="shared" si="9"/>
        <v>Rastislav Mazák</v>
      </c>
      <c r="E102" s="270"/>
      <c r="F102" s="6">
        <f t="shared" si="11"/>
        <v>0</v>
      </c>
    </row>
    <row r="103" spans="1:6" ht="15" customHeight="1" x14ac:dyDescent="0.25">
      <c r="A103" s="272"/>
      <c r="D103" s="271" t="str">
        <f t="shared" si="9"/>
        <v/>
      </c>
      <c r="E103" s="271"/>
      <c r="F103" s="6" t="str">
        <f t="shared" si="11"/>
        <v/>
      </c>
    </row>
  </sheetData>
  <sortState ref="B67:K70">
    <sortCondition ref="B32:B58"/>
  </sortState>
  <mergeCells count="46">
    <mergeCell ref="E66:F66"/>
    <mergeCell ref="E67:F67"/>
    <mergeCell ref="E68:F68"/>
    <mergeCell ref="E69:F69"/>
    <mergeCell ref="E70:F70"/>
    <mergeCell ref="G66:K66"/>
    <mergeCell ref="G67:K67"/>
    <mergeCell ref="G68:K68"/>
    <mergeCell ref="G69:K69"/>
    <mergeCell ref="G70:K70"/>
    <mergeCell ref="A74:A78"/>
    <mergeCell ref="A79:A83"/>
    <mergeCell ref="A84:A88"/>
    <mergeCell ref="A89:A93"/>
    <mergeCell ref="A94:A98"/>
    <mergeCell ref="A99:A10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3"/>
  <sheetViews>
    <sheetView zoomScaleNormal="100" workbookViewId="0">
      <selection activeCell="B2" sqref="B2"/>
    </sheetView>
  </sheetViews>
  <sheetFormatPr defaultRowHeight="15" customHeight="1" x14ac:dyDescent="0.25"/>
  <cols>
    <col min="1" max="1" width="10.140625" style="1" bestFit="1" customWidth="1"/>
    <col min="2" max="2" width="18.28515625" style="1" customWidth="1"/>
    <col min="3" max="3" width="10.140625" style="1" bestFit="1" customWidth="1"/>
    <col min="4" max="14" width="9.140625" style="6" customWidth="1"/>
    <col min="15" max="15" width="22" style="6" bestFit="1" customWidth="1"/>
    <col min="16" max="16" width="9.140625" style="6" customWidth="1"/>
    <col min="17" max="17" width="23.140625" style="12" bestFit="1" customWidth="1"/>
    <col min="18" max="18" width="9.140625" style="1" customWidth="1"/>
    <col min="19" max="19" width="10" style="6" bestFit="1" customWidth="1"/>
    <col min="20" max="20" width="11.85546875" style="1" bestFit="1" customWidth="1"/>
    <col min="21" max="16384" width="9.140625" style="1"/>
  </cols>
  <sheetData>
    <row r="1" spans="1:19" s="2" customFormat="1" ht="15" customHeight="1" x14ac:dyDescent="0.25">
      <c r="A1" s="9" t="s">
        <v>73</v>
      </c>
      <c r="B1" s="2" t="s">
        <v>74</v>
      </c>
      <c r="D1" s="2" t="s">
        <v>75</v>
      </c>
      <c r="E1" s="2" t="s">
        <v>76</v>
      </c>
      <c r="F1" s="2" t="s">
        <v>35</v>
      </c>
      <c r="G1" s="2" t="s">
        <v>77</v>
      </c>
      <c r="H1" s="2" t="s">
        <v>78</v>
      </c>
      <c r="I1" s="2" t="s">
        <v>37</v>
      </c>
      <c r="J1" s="2" t="s">
        <v>36</v>
      </c>
      <c r="K1" s="2" t="s">
        <v>45</v>
      </c>
      <c r="L1" s="2" t="s">
        <v>79</v>
      </c>
      <c r="M1" s="2" t="s">
        <v>30</v>
      </c>
      <c r="N1" s="3" t="s">
        <v>80</v>
      </c>
      <c r="O1" s="2" t="s">
        <v>95</v>
      </c>
      <c r="Q1" s="2" t="s">
        <v>58</v>
      </c>
    </row>
    <row r="2" spans="1:19" s="4" customFormat="1" x14ac:dyDescent="0.25">
      <c r="A2" s="64">
        <v>1</v>
      </c>
      <c r="B2" s="4" t="s">
        <v>197</v>
      </c>
      <c r="D2" s="5" t="s">
        <v>66</v>
      </c>
      <c r="E2" s="5">
        <v>12</v>
      </c>
      <c r="F2" s="5">
        <v>18</v>
      </c>
      <c r="G2" s="5">
        <v>3</v>
      </c>
      <c r="H2" s="5">
        <v>0</v>
      </c>
      <c r="I2" s="5">
        <v>9</v>
      </c>
      <c r="J2" s="5">
        <v>27</v>
      </c>
      <c r="K2" s="5">
        <v>2</v>
      </c>
      <c r="L2" s="5">
        <v>30</v>
      </c>
      <c r="M2" s="5">
        <v>20</v>
      </c>
      <c r="N2" s="5">
        <v>10</v>
      </c>
      <c r="O2" s="6" t="str">
        <f>CONCATENATE(E2," OZ , ",J2," (",F2,"+",I2,"), ",IF(N2&gt;0,"+",""),N2," ±")</f>
        <v>12 OZ , 27 (18+9), +10 ±</v>
      </c>
      <c r="P2" s="5"/>
      <c r="Q2" s="6" t="s">
        <v>313</v>
      </c>
      <c r="S2" s="5"/>
    </row>
    <row r="3" spans="1:19" s="4" customFormat="1" x14ac:dyDescent="0.25">
      <c r="A3" s="64">
        <v>2</v>
      </c>
      <c r="B3" s="4" t="s">
        <v>198</v>
      </c>
      <c r="D3" s="5" t="s">
        <v>66</v>
      </c>
      <c r="E3" s="5">
        <v>12</v>
      </c>
      <c r="F3" s="5">
        <v>14</v>
      </c>
      <c r="G3" s="5">
        <v>1</v>
      </c>
      <c r="H3" s="5">
        <v>0</v>
      </c>
      <c r="I3" s="5">
        <v>10</v>
      </c>
      <c r="J3" s="5">
        <v>24</v>
      </c>
      <c r="K3" s="5">
        <v>2</v>
      </c>
      <c r="L3" s="5">
        <v>33</v>
      </c>
      <c r="M3" s="5">
        <v>21</v>
      </c>
      <c r="N3" s="5">
        <v>12</v>
      </c>
      <c r="O3" s="6" t="str">
        <f t="shared" ref="O3:O28" si="0">CONCATENATE(E3," OZ , ",J3," (",F3,"+",I3,"), ",IF(N3&gt;0,"+",""),N3," ±")</f>
        <v>12 OZ , 24 (14+10), +12 ±</v>
      </c>
      <c r="P3" s="5"/>
      <c r="Q3" s="6" t="s">
        <v>310</v>
      </c>
      <c r="S3" s="5"/>
    </row>
    <row r="4" spans="1:19" s="4" customFormat="1" x14ac:dyDescent="0.25">
      <c r="A4" s="64">
        <v>3</v>
      </c>
      <c r="B4" s="4" t="s">
        <v>199</v>
      </c>
      <c r="D4" s="5" t="s">
        <v>66</v>
      </c>
      <c r="E4" s="5">
        <v>11</v>
      </c>
      <c r="F4" s="5">
        <v>8</v>
      </c>
      <c r="G4" s="5">
        <v>2</v>
      </c>
      <c r="H4" s="5">
        <v>0</v>
      </c>
      <c r="I4" s="5">
        <v>7</v>
      </c>
      <c r="J4" s="5">
        <v>15</v>
      </c>
      <c r="K4" s="5">
        <v>2</v>
      </c>
      <c r="L4" s="5">
        <v>27</v>
      </c>
      <c r="M4" s="5">
        <v>17</v>
      </c>
      <c r="N4" s="5">
        <v>10</v>
      </c>
      <c r="O4" s="6" t="str">
        <f t="shared" si="0"/>
        <v>11 OZ , 15 (8+7), +10 ±</v>
      </c>
      <c r="P4" s="5"/>
      <c r="Q4" s="6" t="s">
        <v>311</v>
      </c>
      <c r="S4" s="5"/>
    </row>
    <row r="5" spans="1:19" s="4" customFormat="1" x14ac:dyDescent="0.25">
      <c r="A5" s="64">
        <v>4</v>
      </c>
      <c r="B5" s="4" t="s">
        <v>200</v>
      </c>
      <c r="D5" s="5" t="s">
        <v>66</v>
      </c>
      <c r="E5" s="5">
        <v>11</v>
      </c>
      <c r="F5" s="5">
        <v>10</v>
      </c>
      <c r="G5" s="5">
        <v>0</v>
      </c>
      <c r="H5" s="5">
        <v>0</v>
      </c>
      <c r="I5" s="5">
        <v>3</v>
      </c>
      <c r="J5" s="5">
        <v>13</v>
      </c>
      <c r="K5" s="5">
        <v>4</v>
      </c>
      <c r="L5" s="5">
        <v>14</v>
      </c>
      <c r="M5" s="5">
        <v>17</v>
      </c>
      <c r="N5" s="5">
        <v>-3</v>
      </c>
      <c r="O5" s="6" t="str">
        <f t="shared" si="0"/>
        <v>11 OZ , 13 (10+3), -3 ±</v>
      </c>
      <c r="P5" s="5"/>
      <c r="Q5" s="6" t="s">
        <v>312</v>
      </c>
      <c r="S5" s="5"/>
    </row>
    <row r="6" spans="1:19" x14ac:dyDescent="0.25">
      <c r="A6" s="65">
        <v>5</v>
      </c>
      <c r="B6" s="1" t="s">
        <v>201</v>
      </c>
      <c r="D6" s="116" t="s">
        <v>61</v>
      </c>
      <c r="E6" s="116">
        <v>12</v>
      </c>
      <c r="F6" s="116">
        <v>2</v>
      </c>
      <c r="G6" s="116">
        <v>0</v>
      </c>
      <c r="H6" s="116">
        <v>0</v>
      </c>
      <c r="I6" s="116">
        <v>10</v>
      </c>
      <c r="J6" s="116">
        <v>12</v>
      </c>
      <c r="K6" s="116">
        <v>2</v>
      </c>
      <c r="L6" s="116">
        <v>34</v>
      </c>
      <c r="M6" s="116">
        <v>19</v>
      </c>
      <c r="N6" s="116">
        <v>15</v>
      </c>
      <c r="O6" s="6" t="str">
        <f t="shared" si="0"/>
        <v>12 OZ , 12 (2+10), +15 ±</v>
      </c>
    </row>
    <row r="7" spans="1:19" x14ac:dyDescent="0.25">
      <c r="A7" s="65">
        <v>6</v>
      </c>
      <c r="B7" s="1" t="s">
        <v>202</v>
      </c>
      <c r="D7" s="116" t="s">
        <v>61</v>
      </c>
      <c r="E7" s="116">
        <v>12</v>
      </c>
      <c r="F7" s="116">
        <v>4</v>
      </c>
      <c r="G7" s="116">
        <v>1</v>
      </c>
      <c r="H7" s="116">
        <v>0</v>
      </c>
      <c r="I7" s="116">
        <v>5</v>
      </c>
      <c r="J7" s="116">
        <v>9</v>
      </c>
      <c r="K7" s="116">
        <v>0</v>
      </c>
      <c r="L7" s="116">
        <v>22</v>
      </c>
      <c r="M7" s="116">
        <v>21</v>
      </c>
      <c r="N7" s="116">
        <v>1</v>
      </c>
      <c r="O7" s="6" t="str">
        <f t="shared" si="0"/>
        <v>12 OZ , 9 (4+5), +1 ±</v>
      </c>
    </row>
    <row r="8" spans="1:19" x14ac:dyDescent="0.25">
      <c r="A8" s="65">
        <v>7</v>
      </c>
      <c r="B8" s="1" t="s">
        <v>203</v>
      </c>
      <c r="D8" s="116"/>
      <c r="E8" s="116">
        <v>12</v>
      </c>
      <c r="F8" s="116">
        <v>3</v>
      </c>
      <c r="G8" s="116">
        <v>0</v>
      </c>
      <c r="H8" s="116">
        <v>0</v>
      </c>
      <c r="I8" s="116">
        <v>6</v>
      </c>
      <c r="J8" s="116">
        <v>9</v>
      </c>
      <c r="K8" s="116">
        <v>2</v>
      </c>
      <c r="L8" s="116">
        <v>13</v>
      </c>
      <c r="M8" s="116">
        <v>19</v>
      </c>
      <c r="N8" s="116">
        <v>-6</v>
      </c>
      <c r="O8" s="6" t="str">
        <f t="shared" si="0"/>
        <v>12 OZ , 9 (3+6), -6 ±</v>
      </c>
    </row>
    <row r="9" spans="1:19" x14ac:dyDescent="0.25">
      <c r="A9" s="65">
        <v>8</v>
      </c>
      <c r="B9" s="1" t="s">
        <v>204</v>
      </c>
      <c r="D9" s="116" t="s">
        <v>61</v>
      </c>
      <c r="E9" s="116">
        <v>12</v>
      </c>
      <c r="F9" s="116">
        <v>2</v>
      </c>
      <c r="G9" s="116">
        <v>0</v>
      </c>
      <c r="H9" s="116">
        <v>0</v>
      </c>
      <c r="I9" s="116">
        <v>5</v>
      </c>
      <c r="J9" s="116">
        <v>7</v>
      </c>
      <c r="K9" s="116">
        <v>18</v>
      </c>
      <c r="L9" s="116">
        <v>17</v>
      </c>
      <c r="M9" s="116">
        <v>18</v>
      </c>
      <c r="N9" s="116">
        <v>-1</v>
      </c>
      <c r="O9" s="6" t="str">
        <f t="shared" si="0"/>
        <v>12 OZ , 7 (2+5), -1 ±</v>
      </c>
    </row>
    <row r="10" spans="1:19" x14ac:dyDescent="0.25">
      <c r="A10" s="65">
        <v>9</v>
      </c>
      <c r="B10" s="1" t="s">
        <v>205</v>
      </c>
      <c r="D10" s="116"/>
      <c r="E10" s="116">
        <v>12</v>
      </c>
      <c r="F10" s="116">
        <v>4</v>
      </c>
      <c r="G10" s="116">
        <v>0</v>
      </c>
      <c r="H10" s="116">
        <v>0</v>
      </c>
      <c r="I10" s="116">
        <v>2</v>
      </c>
      <c r="J10" s="116">
        <v>6</v>
      </c>
      <c r="K10" s="116">
        <v>0</v>
      </c>
      <c r="L10" s="116">
        <v>12</v>
      </c>
      <c r="M10" s="116">
        <v>16</v>
      </c>
      <c r="N10" s="116">
        <v>-4</v>
      </c>
      <c r="O10" s="6" t="str">
        <f t="shared" si="0"/>
        <v>12 OZ , 6 (4+2), -4 ±</v>
      </c>
    </row>
    <row r="11" spans="1:19" x14ac:dyDescent="0.25">
      <c r="A11" s="65">
        <v>10</v>
      </c>
      <c r="B11" s="1" t="s">
        <v>206</v>
      </c>
      <c r="D11" s="116"/>
      <c r="E11" s="116">
        <v>12</v>
      </c>
      <c r="F11" s="116">
        <v>4</v>
      </c>
      <c r="G11" s="116">
        <v>1</v>
      </c>
      <c r="H11" s="116">
        <v>0</v>
      </c>
      <c r="I11" s="116">
        <v>1</v>
      </c>
      <c r="J11" s="116">
        <v>5</v>
      </c>
      <c r="K11" s="116">
        <v>0</v>
      </c>
      <c r="L11" s="116">
        <v>10</v>
      </c>
      <c r="M11" s="116">
        <v>10</v>
      </c>
      <c r="N11" s="116">
        <v>0</v>
      </c>
      <c r="O11" s="6" t="str">
        <f t="shared" si="0"/>
        <v>12 OZ , 5 (4+1), 0 ±</v>
      </c>
    </row>
    <row r="12" spans="1:19" x14ac:dyDescent="0.25">
      <c r="A12" s="65">
        <v>11</v>
      </c>
      <c r="B12" s="1" t="s">
        <v>207</v>
      </c>
      <c r="D12" s="116" t="s">
        <v>66</v>
      </c>
      <c r="E12" s="116">
        <v>8</v>
      </c>
      <c r="F12" s="116">
        <v>2</v>
      </c>
      <c r="G12" s="116">
        <v>0</v>
      </c>
      <c r="H12" s="116">
        <v>0</v>
      </c>
      <c r="I12" s="116">
        <v>3</v>
      </c>
      <c r="J12" s="116">
        <v>5</v>
      </c>
      <c r="K12" s="116">
        <v>0</v>
      </c>
      <c r="L12" s="116">
        <v>14</v>
      </c>
      <c r="M12" s="116">
        <v>10</v>
      </c>
      <c r="N12" s="116">
        <v>4</v>
      </c>
      <c r="O12" s="6" t="str">
        <f t="shared" si="0"/>
        <v>8 OZ , 5 (2+3), +4 ±</v>
      </c>
    </row>
    <row r="13" spans="1:19" x14ac:dyDescent="0.25">
      <c r="A13" s="65">
        <v>12</v>
      </c>
      <c r="B13" s="1" t="s">
        <v>208</v>
      </c>
      <c r="D13" s="116" t="s">
        <v>66</v>
      </c>
      <c r="E13" s="116">
        <v>12</v>
      </c>
      <c r="F13" s="116">
        <v>1</v>
      </c>
      <c r="G13" s="116">
        <v>0</v>
      </c>
      <c r="H13" s="116">
        <v>0</v>
      </c>
      <c r="I13" s="116">
        <v>3</v>
      </c>
      <c r="J13" s="116">
        <v>4</v>
      </c>
      <c r="K13" s="116">
        <v>2</v>
      </c>
      <c r="L13" s="116">
        <v>8</v>
      </c>
      <c r="M13" s="116">
        <v>11</v>
      </c>
      <c r="N13" s="116">
        <v>-3</v>
      </c>
      <c r="O13" s="6" t="str">
        <f t="shared" si="0"/>
        <v>12 OZ , 4 (1+3), -3 ±</v>
      </c>
    </row>
    <row r="14" spans="1:19" x14ac:dyDescent="0.25">
      <c r="A14" s="65">
        <v>13</v>
      </c>
      <c r="B14" s="1" t="s">
        <v>209</v>
      </c>
      <c r="D14" s="116"/>
      <c r="E14" s="116">
        <v>9</v>
      </c>
      <c r="F14" s="116">
        <v>2</v>
      </c>
      <c r="G14" s="116">
        <v>0</v>
      </c>
      <c r="H14" s="116">
        <v>0</v>
      </c>
      <c r="I14" s="116">
        <v>1</v>
      </c>
      <c r="J14" s="116">
        <v>3</v>
      </c>
      <c r="K14" s="116">
        <v>4</v>
      </c>
      <c r="L14" s="116">
        <v>8</v>
      </c>
      <c r="M14" s="116">
        <v>10</v>
      </c>
      <c r="N14" s="116">
        <v>-2</v>
      </c>
      <c r="O14" s="6" t="str">
        <f t="shared" si="0"/>
        <v>9 OZ , 3 (2+1), -2 ±</v>
      </c>
    </row>
    <row r="15" spans="1:19" x14ac:dyDescent="0.25">
      <c r="A15" s="65">
        <v>14</v>
      </c>
      <c r="B15" s="1" t="s">
        <v>210</v>
      </c>
      <c r="D15" s="116" t="s">
        <v>61</v>
      </c>
      <c r="E15" s="116">
        <v>12</v>
      </c>
      <c r="F15" s="116">
        <v>2</v>
      </c>
      <c r="G15" s="116">
        <v>0</v>
      </c>
      <c r="H15" s="116">
        <v>0</v>
      </c>
      <c r="I15" s="116">
        <v>0</v>
      </c>
      <c r="J15" s="116">
        <v>2</v>
      </c>
      <c r="K15" s="116">
        <v>6</v>
      </c>
      <c r="L15" s="116">
        <v>7</v>
      </c>
      <c r="M15" s="116">
        <v>11</v>
      </c>
      <c r="N15" s="116">
        <v>-4</v>
      </c>
      <c r="O15" s="6" t="str">
        <f t="shared" si="0"/>
        <v>12 OZ , 2 (2+0), -4 ±</v>
      </c>
    </row>
    <row r="16" spans="1:19" x14ac:dyDescent="0.25">
      <c r="A16" s="65">
        <v>15</v>
      </c>
      <c r="B16" s="1" t="s">
        <v>211</v>
      </c>
      <c r="D16" s="116" t="s">
        <v>66</v>
      </c>
      <c r="E16" s="116">
        <v>10</v>
      </c>
      <c r="F16" s="116">
        <v>1</v>
      </c>
      <c r="G16" s="116">
        <v>0</v>
      </c>
      <c r="H16" s="116">
        <v>0</v>
      </c>
      <c r="I16" s="116">
        <v>1</v>
      </c>
      <c r="J16" s="116">
        <v>2</v>
      </c>
      <c r="K16" s="116">
        <v>2</v>
      </c>
      <c r="L16" s="116">
        <v>12</v>
      </c>
      <c r="M16" s="116">
        <v>15</v>
      </c>
      <c r="N16" s="116">
        <v>-3</v>
      </c>
      <c r="O16" s="6" t="str">
        <f t="shared" si="0"/>
        <v>10 OZ , 2 (1+1), -3 ±</v>
      </c>
    </row>
    <row r="17" spans="1:18" x14ac:dyDescent="0.25">
      <c r="A17" s="65">
        <v>16</v>
      </c>
      <c r="B17" s="1" t="s">
        <v>212</v>
      </c>
      <c r="D17" s="116" t="s">
        <v>61</v>
      </c>
      <c r="E17" s="116">
        <v>6</v>
      </c>
      <c r="F17" s="116">
        <v>0</v>
      </c>
      <c r="G17" s="116">
        <v>0</v>
      </c>
      <c r="H17" s="116">
        <v>0</v>
      </c>
      <c r="I17" s="116">
        <v>2</v>
      </c>
      <c r="J17" s="116">
        <v>2</v>
      </c>
      <c r="K17" s="116">
        <v>4</v>
      </c>
      <c r="L17" s="116">
        <v>11</v>
      </c>
      <c r="M17" s="116">
        <v>6</v>
      </c>
      <c r="N17" s="116">
        <v>5</v>
      </c>
      <c r="O17" s="6" t="str">
        <f t="shared" si="0"/>
        <v>6 OZ , 2 (0+2), +5 ±</v>
      </c>
    </row>
    <row r="18" spans="1:18" x14ac:dyDescent="0.25">
      <c r="A18" s="65">
        <v>17</v>
      </c>
      <c r="B18" s="1" t="s">
        <v>213</v>
      </c>
      <c r="D18" s="116" t="s">
        <v>66</v>
      </c>
      <c r="E18" s="116">
        <v>12</v>
      </c>
      <c r="F18" s="116">
        <v>0</v>
      </c>
      <c r="G18" s="116">
        <v>0</v>
      </c>
      <c r="H18" s="116">
        <v>0</v>
      </c>
      <c r="I18" s="116">
        <v>1</v>
      </c>
      <c r="J18" s="116">
        <v>1</v>
      </c>
      <c r="K18" s="116">
        <v>0</v>
      </c>
      <c r="L18" s="116">
        <v>3</v>
      </c>
      <c r="M18" s="116">
        <v>7</v>
      </c>
      <c r="N18" s="116">
        <v>-4</v>
      </c>
      <c r="O18" s="6" t="str">
        <f t="shared" si="0"/>
        <v>12 OZ , 1 (0+1), -4 ±</v>
      </c>
    </row>
    <row r="19" spans="1:18" x14ac:dyDescent="0.25">
      <c r="A19" s="65">
        <v>18</v>
      </c>
      <c r="B19" s="1" t="s">
        <v>217</v>
      </c>
      <c r="D19" s="116"/>
      <c r="E19" s="116">
        <v>2</v>
      </c>
      <c r="F19" s="116">
        <v>0</v>
      </c>
      <c r="G19" s="116">
        <v>0</v>
      </c>
      <c r="H19" s="116">
        <v>0</v>
      </c>
      <c r="I19" s="116">
        <v>0</v>
      </c>
      <c r="J19" s="116">
        <v>0</v>
      </c>
      <c r="K19" s="116">
        <v>0</v>
      </c>
      <c r="L19" s="116">
        <v>0</v>
      </c>
      <c r="M19" s="116">
        <v>0</v>
      </c>
      <c r="N19" s="116">
        <v>0</v>
      </c>
      <c r="O19" s="6" t="str">
        <f t="shared" si="0"/>
        <v>2 OZ , 0 (0+0), 0 ±</v>
      </c>
    </row>
    <row r="20" spans="1:18" x14ac:dyDescent="0.25">
      <c r="A20" s="65">
        <v>19</v>
      </c>
      <c r="B20" s="1" t="s">
        <v>214</v>
      </c>
      <c r="D20" s="116" t="s">
        <v>66</v>
      </c>
      <c r="E20" s="116">
        <v>2</v>
      </c>
      <c r="F20" s="116">
        <v>0</v>
      </c>
      <c r="G20" s="116">
        <v>0</v>
      </c>
      <c r="H20" s="116">
        <v>0</v>
      </c>
      <c r="I20" s="116">
        <v>0</v>
      </c>
      <c r="J20" s="116">
        <v>0</v>
      </c>
      <c r="K20" s="116">
        <v>0</v>
      </c>
      <c r="L20" s="116">
        <v>0</v>
      </c>
      <c r="M20" s="116">
        <v>2</v>
      </c>
      <c r="N20" s="116">
        <v>-2</v>
      </c>
      <c r="O20" s="6" t="str">
        <f t="shared" si="0"/>
        <v>2 OZ , 0 (0+0), -2 ±</v>
      </c>
    </row>
    <row r="21" spans="1:18" x14ac:dyDescent="0.25">
      <c r="A21" s="65">
        <v>20</v>
      </c>
      <c r="B21" s="1" t="s">
        <v>216</v>
      </c>
      <c r="D21" s="116" t="s">
        <v>66</v>
      </c>
      <c r="E21" s="116">
        <v>2</v>
      </c>
      <c r="F21" s="116">
        <v>0</v>
      </c>
      <c r="G21" s="116">
        <v>0</v>
      </c>
      <c r="H21" s="116">
        <v>0</v>
      </c>
      <c r="I21" s="116">
        <v>0</v>
      </c>
      <c r="J21" s="116">
        <v>0</v>
      </c>
      <c r="K21" s="116">
        <v>0</v>
      </c>
      <c r="L21" s="116">
        <v>0</v>
      </c>
      <c r="M21" s="116">
        <v>0</v>
      </c>
      <c r="N21" s="116">
        <v>0</v>
      </c>
      <c r="O21" s="6" t="str">
        <f t="shared" si="0"/>
        <v>2 OZ , 0 (0+0), 0 ±</v>
      </c>
    </row>
    <row r="22" spans="1:18" x14ac:dyDescent="0.25">
      <c r="A22" s="65">
        <v>21</v>
      </c>
      <c r="B22" s="1" t="s">
        <v>215</v>
      </c>
      <c r="D22" s="116" t="s">
        <v>35</v>
      </c>
      <c r="E22" s="116">
        <v>0</v>
      </c>
      <c r="F22" s="116">
        <v>0</v>
      </c>
      <c r="G22" s="116">
        <v>0</v>
      </c>
      <c r="H22" s="116">
        <v>0</v>
      </c>
      <c r="I22" s="116">
        <v>0</v>
      </c>
      <c r="J22" s="116">
        <v>0</v>
      </c>
      <c r="K22" s="116">
        <v>0</v>
      </c>
      <c r="L22" s="116">
        <v>0</v>
      </c>
      <c r="M22" s="116">
        <v>0</v>
      </c>
      <c r="N22" s="116">
        <v>0</v>
      </c>
      <c r="O22" s="6" t="str">
        <f t="shared" si="0"/>
        <v>0 OZ , 0 (0+0), 0 ±</v>
      </c>
    </row>
    <row r="23" spans="1:18" x14ac:dyDescent="0.25">
      <c r="A23" s="65">
        <v>22</v>
      </c>
      <c r="B23" s="1" t="s">
        <v>218</v>
      </c>
      <c r="D23" s="116"/>
      <c r="E23" s="116">
        <v>3</v>
      </c>
      <c r="F23" s="116">
        <v>0</v>
      </c>
      <c r="G23" s="116">
        <v>0</v>
      </c>
      <c r="H23" s="116">
        <v>0</v>
      </c>
      <c r="I23" s="116">
        <v>0</v>
      </c>
      <c r="J23" s="116">
        <v>0</v>
      </c>
      <c r="K23" s="116">
        <v>0</v>
      </c>
      <c r="L23" s="116">
        <v>1</v>
      </c>
      <c r="M23" s="116">
        <v>0</v>
      </c>
      <c r="N23" s="116">
        <v>1</v>
      </c>
      <c r="O23" s="6" t="str">
        <f t="shared" si="0"/>
        <v>3 OZ , 0 (0+0), +1 ±</v>
      </c>
    </row>
    <row r="24" spans="1:18" x14ac:dyDescent="0.25">
      <c r="A24" s="65">
        <v>23</v>
      </c>
      <c r="B24" s="1" t="s">
        <v>219</v>
      </c>
      <c r="D24" s="116"/>
      <c r="E24" s="116">
        <v>4</v>
      </c>
      <c r="F24" s="116">
        <v>0</v>
      </c>
      <c r="G24" s="116">
        <v>0</v>
      </c>
      <c r="H24" s="116">
        <v>0</v>
      </c>
      <c r="I24" s="116">
        <v>0</v>
      </c>
      <c r="J24" s="116">
        <v>0</v>
      </c>
      <c r="K24" s="116">
        <v>0</v>
      </c>
      <c r="L24" s="116">
        <v>0</v>
      </c>
      <c r="M24" s="116">
        <v>0</v>
      </c>
      <c r="N24" s="116">
        <v>0</v>
      </c>
      <c r="O24" s="6" t="str">
        <f t="shared" si="0"/>
        <v>4 OZ , 0 (0+0), 0 ±</v>
      </c>
    </row>
    <row r="25" spans="1:18" x14ac:dyDescent="0.25">
      <c r="A25" s="65">
        <v>24</v>
      </c>
      <c r="B25" s="1" t="s">
        <v>220</v>
      </c>
      <c r="D25" s="116" t="s">
        <v>35</v>
      </c>
      <c r="E25" s="116">
        <v>0</v>
      </c>
      <c r="F25" s="116">
        <v>0</v>
      </c>
      <c r="G25" s="116">
        <v>0</v>
      </c>
      <c r="H25" s="116">
        <v>0</v>
      </c>
      <c r="I25" s="116">
        <v>0</v>
      </c>
      <c r="J25" s="116">
        <v>0</v>
      </c>
      <c r="K25" s="116">
        <v>0</v>
      </c>
      <c r="L25" s="116">
        <v>0</v>
      </c>
      <c r="M25" s="116">
        <v>0</v>
      </c>
      <c r="N25" s="116">
        <v>0</v>
      </c>
      <c r="O25" s="6" t="str">
        <f t="shared" si="0"/>
        <v>0 OZ , 0 (0+0), 0 ±</v>
      </c>
    </row>
    <row r="26" spans="1:18" x14ac:dyDescent="0.25">
      <c r="A26" s="65">
        <v>25</v>
      </c>
      <c r="B26" s="1" t="s">
        <v>221</v>
      </c>
      <c r="D26" s="116" t="s">
        <v>35</v>
      </c>
      <c r="E26" s="116">
        <v>0</v>
      </c>
      <c r="F26" s="116">
        <v>0</v>
      </c>
      <c r="G26" s="116">
        <v>0</v>
      </c>
      <c r="H26" s="116">
        <v>0</v>
      </c>
      <c r="I26" s="116">
        <v>0</v>
      </c>
      <c r="J26" s="116">
        <v>0</v>
      </c>
      <c r="K26" s="116">
        <v>0</v>
      </c>
      <c r="L26" s="116">
        <v>0</v>
      </c>
      <c r="M26" s="116">
        <v>0</v>
      </c>
      <c r="N26" s="116">
        <v>0</v>
      </c>
      <c r="O26" s="6" t="str">
        <f t="shared" si="0"/>
        <v>0 OZ , 0 (0+0), 0 ±</v>
      </c>
    </row>
    <row r="27" spans="1:18" x14ac:dyDescent="0.25">
      <c r="A27" s="65">
        <v>26</v>
      </c>
      <c r="B27" s="1" t="s">
        <v>222</v>
      </c>
      <c r="D27" s="116" t="s">
        <v>66</v>
      </c>
      <c r="E27" s="116">
        <v>12</v>
      </c>
      <c r="F27" s="116">
        <v>0</v>
      </c>
      <c r="G27" s="116">
        <v>0</v>
      </c>
      <c r="H27" s="116">
        <v>0</v>
      </c>
      <c r="I27" s="116">
        <v>0</v>
      </c>
      <c r="J27" s="116">
        <v>0</v>
      </c>
      <c r="K27" s="116">
        <v>8</v>
      </c>
      <c r="L27" s="116">
        <v>7</v>
      </c>
      <c r="M27" s="116">
        <v>6</v>
      </c>
      <c r="N27" s="116">
        <v>1</v>
      </c>
      <c r="O27" s="6" t="str">
        <f t="shared" si="0"/>
        <v>12 OZ , 0 (0+0), +1 ±</v>
      </c>
    </row>
    <row r="28" spans="1:18" x14ac:dyDescent="0.25">
      <c r="A28" s="65">
        <v>27</v>
      </c>
      <c r="B28" s="1" t="s">
        <v>223</v>
      </c>
      <c r="D28" s="116"/>
      <c r="E28" s="116">
        <v>0</v>
      </c>
      <c r="F28" s="116">
        <v>0</v>
      </c>
      <c r="G28" s="116">
        <v>0</v>
      </c>
      <c r="H28" s="116">
        <v>0</v>
      </c>
      <c r="I28" s="116">
        <v>0</v>
      </c>
      <c r="J28" s="116">
        <v>0</v>
      </c>
      <c r="K28" s="116">
        <v>0</v>
      </c>
      <c r="L28" s="116">
        <v>0</v>
      </c>
      <c r="M28" s="116">
        <v>0</v>
      </c>
      <c r="N28" s="116">
        <v>0</v>
      </c>
      <c r="O28" s="6" t="str">
        <f t="shared" si="0"/>
        <v>0 OZ , 0 (0+0), 0 ±</v>
      </c>
    </row>
    <row r="30" spans="1:18" s="2" customFormat="1" ht="15" customHeight="1" x14ac:dyDescent="0.25">
      <c r="A30" s="9" t="s">
        <v>73</v>
      </c>
      <c r="B30" s="2" t="s">
        <v>74</v>
      </c>
      <c r="D30" s="2" t="s">
        <v>98</v>
      </c>
      <c r="E30" s="2" t="s">
        <v>99</v>
      </c>
      <c r="F30" s="2" t="s">
        <v>100</v>
      </c>
      <c r="G30" s="2" t="s">
        <v>50</v>
      </c>
      <c r="H30" s="2" t="s">
        <v>101</v>
      </c>
      <c r="I30" s="2" t="s">
        <v>102</v>
      </c>
      <c r="J30" s="2" t="s">
        <v>103</v>
      </c>
      <c r="K30" s="2" t="s">
        <v>94</v>
      </c>
      <c r="L30" s="2" t="s">
        <v>51</v>
      </c>
      <c r="M30" s="2" t="s">
        <v>104</v>
      </c>
      <c r="N30" s="3" t="s">
        <v>37</v>
      </c>
      <c r="O30" s="2" t="s">
        <v>45</v>
      </c>
      <c r="P30" s="2" t="s">
        <v>109</v>
      </c>
      <c r="Q30" s="2" t="s">
        <v>110</v>
      </c>
      <c r="R30" s="2" t="s">
        <v>111</v>
      </c>
    </row>
    <row r="31" spans="1:18" x14ac:dyDescent="0.25">
      <c r="A31" s="65">
        <v>1</v>
      </c>
      <c r="B31" s="1" t="s">
        <v>221</v>
      </c>
      <c r="D31" s="116">
        <v>6</v>
      </c>
      <c r="E31" s="116">
        <v>6</v>
      </c>
      <c r="F31" s="13">
        <v>361.25</v>
      </c>
      <c r="G31" s="116">
        <v>3</v>
      </c>
      <c r="H31" s="116">
        <v>26</v>
      </c>
      <c r="I31" s="116">
        <v>0</v>
      </c>
      <c r="J31" s="116">
        <v>147</v>
      </c>
      <c r="K31" s="116">
        <v>0</v>
      </c>
      <c r="L31" s="116">
        <v>3</v>
      </c>
      <c r="M31" s="116">
        <v>121</v>
      </c>
      <c r="N31" s="116">
        <v>0</v>
      </c>
      <c r="O31" s="116">
        <v>0</v>
      </c>
      <c r="P31" s="13">
        <f>IFERROR(H31/(F31/60),0)</f>
        <v>4.3183391003460212</v>
      </c>
      <c r="Q31" s="13">
        <f>IFERROR((M31/J31)*100,0)</f>
        <v>82.312925170068027</v>
      </c>
      <c r="R31" s="6" t="str">
        <f>CONCATENATE(G31, " V, ",L31," P")</f>
        <v>3 V, 3 P</v>
      </c>
    </row>
    <row r="32" spans="1:18" x14ac:dyDescent="0.25">
      <c r="A32" s="65">
        <v>2</v>
      </c>
      <c r="B32" s="1" t="s">
        <v>223</v>
      </c>
      <c r="D32" s="116">
        <v>12</v>
      </c>
      <c r="E32" s="116">
        <v>4</v>
      </c>
      <c r="F32" s="13">
        <v>237.77</v>
      </c>
      <c r="G32" s="116">
        <v>3</v>
      </c>
      <c r="H32" s="116">
        <v>25</v>
      </c>
      <c r="I32" s="116">
        <v>0</v>
      </c>
      <c r="J32" s="116">
        <v>87</v>
      </c>
      <c r="K32" s="116">
        <v>0</v>
      </c>
      <c r="L32" s="116">
        <v>1</v>
      </c>
      <c r="M32" s="116">
        <v>62</v>
      </c>
      <c r="N32" s="116">
        <v>0</v>
      </c>
      <c r="O32" s="116">
        <v>0</v>
      </c>
      <c r="P32" s="13">
        <f t="shared" ref="P32:P34" si="1">IFERROR(H32/(F32/60),0)</f>
        <v>6.3086175716028086</v>
      </c>
      <c r="Q32" s="13">
        <f t="shared" ref="Q32:Q34" si="2">IFERROR((M32/J32)*100,0)</f>
        <v>71.264367816091962</v>
      </c>
      <c r="R32" s="6" t="str">
        <f t="shared" ref="R32:R34" si="3">CONCATENATE(G32, " V, ",L32," P")</f>
        <v>3 V, 1 P</v>
      </c>
    </row>
    <row r="33" spans="1:20" x14ac:dyDescent="0.25">
      <c r="A33" s="65">
        <v>3</v>
      </c>
      <c r="B33" s="1" t="s">
        <v>220</v>
      </c>
      <c r="D33" s="116">
        <v>4</v>
      </c>
      <c r="E33" s="116">
        <v>2</v>
      </c>
      <c r="F33" s="13">
        <v>120</v>
      </c>
      <c r="G33" s="116">
        <v>2</v>
      </c>
      <c r="H33" s="116">
        <v>11</v>
      </c>
      <c r="I33" s="116">
        <v>0</v>
      </c>
      <c r="J33" s="116">
        <v>44</v>
      </c>
      <c r="K33" s="116">
        <v>0</v>
      </c>
      <c r="L33" s="116">
        <v>0</v>
      </c>
      <c r="M33" s="116">
        <v>33</v>
      </c>
      <c r="N33" s="116">
        <v>0</v>
      </c>
      <c r="O33" s="116">
        <v>0</v>
      </c>
      <c r="P33" s="13">
        <f t="shared" si="1"/>
        <v>5.5</v>
      </c>
      <c r="Q33" s="13">
        <f t="shared" si="2"/>
        <v>75</v>
      </c>
      <c r="R33" s="6" t="str">
        <f t="shared" si="3"/>
        <v>2 V, 0 P</v>
      </c>
    </row>
    <row r="34" spans="1:20" x14ac:dyDescent="0.25">
      <c r="A34" s="65">
        <v>4</v>
      </c>
      <c r="B34" s="1" t="s">
        <v>215</v>
      </c>
      <c r="D34" s="116">
        <v>2</v>
      </c>
      <c r="E34" s="116">
        <v>0</v>
      </c>
      <c r="F34" s="13">
        <v>0</v>
      </c>
      <c r="G34" s="116">
        <v>0</v>
      </c>
      <c r="H34" s="116">
        <v>0</v>
      </c>
      <c r="I34" s="116">
        <v>0</v>
      </c>
      <c r="J34" s="116">
        <v>0</v>
      </c>
      <c r="K34" s="116">
        <v>0</v>
      </c>
      <c r="L34" s="116">
        <v>0</v>
      </c>
      <c r="M34" s="116">
        <v>0</v>
      </c>
      <c r="N34" s="116">
        <v>0</v>
      </c>
      <c r="O34" s="116">
        <v>0</v>
      </c>
      <c r="P34" s="13">
        <f t="shared" si="1"/>
        <v>0</v>
      </c>
      <c r="Q34" s="13">
        <f t="shared" si="2"/>
        <v>0</v>
      </c>
      <c r="R34" s="6" t="str">
        <f t="shared" si="3"/>
        <v>0 V, 0 P</v>
      </c>
    </row>
    <row r="37" spans="1:20" s="2" customFormat="1" ht="15" customHeight="1" x14ac:dyDescent="0.25">
      <c r="A37" s="7">
        <f ca="1">TODAY()</f>
        <v>44203</v>
      </c>
      <c r="B37" s="2" t="s">
        <v>74</v>
      </c>
      <c r="C37" s="2" t="s">
        <v>81</v>
      </c>
      <c r="D37" s="2" t="s">
        <v>82</v>
      </c>
      <c r="E37" s="2" t="s">
        <v>85</v>
      </c>
      <c r="F37" s="2" t="s">
        <v>86</v>
      </c>
      <c r="G37" s="2" t="s">
        <v>87</v>
      </c>
      <c r="H37" s="2" t="s">
        <v>88</v>
      </c>
      <c r="I37" s="2" t="s">
        <v>56</v>
      </c>
      <c r="J37" s="2" t="s">
        <v>73</v>
      </c>
      <c r="K37" s="2" t="s">
        <v>196</v>
      </c>
      <c r="L37" s="2" t="s">
        <v>92</v>
      </c>
      <c r="M37" s="2" t="s">
        <v>83</v>
      </c>
      <c r="N37" s="2" t="s">
        <v>84</v>
      </c>
      <c r="O37" s="2" t="s">
        <v>96</v>
      </c>
      <c r="P37" s="2" t="s">
        <v>97</v>
      </c>
      <c r="Q37" s="2" t="s">
        <v>89</v>
      </c>
      <c r="R37" s="2" t="s">
        <v>90</v>
      </c>
      <c r="S37" s="2" t="s">
        <v>112</v>
      </c>
      <c r="T37" s="2" t="s">
        <v>177</v>
      </c>
    </row>
    <row r="38" spans="1:20" ht="15" customHeight="1" x14ac:dyDescent="0.25">
      <c r="B38" s="1" t="s">
        <v>214</v>
      </c>
      <c r="C38" s="10">
        <v>35401</v>
      </c>
      <c r="D38" s="6">
        <f ca="1">ROUNDDOWN(($A$37-C38)/365.25,0)</f>
        <v>24</v>
      </c>
      <c r="E38" s="6">
        <v>146</v>
      </c>
      <c r="F38" s="6">
        <v>34</v>
      </c>
      <c r="G38" s="6">
        <v>21</v>
      </c>
      <c r="H38" s="6">
        <f>F38+G38</f>
        <v>55</v>
      </c>
      <c r="I38" s="6">
        <v>8</v>
      </c>
      <c r="J38" s="6">
        <v>12</v>
      </c>
      <c r="L38" s="6" t="s">
        <v>93</v>
      </c>
      <c r="M38" s="6">
        <v>183</v>
      </c>
      <c r="N38" s="6">
        <v>88</v>
      </c>
      <c r="O38" s="6" t="str">
        <f t="shared" ref="O38:O64" si="4">CONCATENATE(E38+VLOOKUP(B38,$B$2:$N$28,4,FALSE), " OZ, ", H38+VLOOKUP(B38,$B$2:$N$28,9,FALSE), " (", F38+VLOOKUP(B38,$B$2:$N$28,5,FALSE), "+",G38+VLOOKUP(B38,$B$2:$N$28,8,FALSE), ")")</f>
        <v>148 OZ, 55 (34+21)</v>
      </c>
      <c r="P38" s="6" t="str">
        <f t="shared" ref="P38:P64" si="5">CONCATENATE(M38,"/",N38)</f>
        <v>183/88</v>
      </c>
      <c r="Q38" s="12" t="s">
        <v>270</v>
      </c>
      <c r="R38" s="6">
        <v>2007</v>
      </c>
      <c r="T38" s="1" t="s">
        <v>224</v>
      </c>
    </row>
    <row r="39" spans="1:20" ht="15" customHeight="1" x14ac:dyDescent="0.25">
      <c r="B39" s="1" t="s">
        <v>206</v>
      </c>
      <c r="C39" s="10">
        <v>36733</v>
      </c>
      <c r="D39" s="6">
        <f t="shared" ref="D39:D64" ca="1" si="6">ROUNDDOWN(($A$37-C39)/365.25,0)</f>
        <v>20</v>
      </c>
      <c r="E39" s="6">
        <v>20</v>
      </c>
      <c r="F39" s="6">
        <v>3</v>
      </c>
      <c r="G39" s="6">
        <v>4</v>
      </c>
      <c r="H39" s="6">
        <f t="shared" ref="H39:H64" si="7">F39+G39</f>
        <v>7</v>
      </c>
      <c r="I39" s="6">
        <v>3</v>
      </c>
      <c r="J39" s="6">
        <v>77</v>
      </c>
      <c r="L39" s="6" t="s">
        <v>93</v>
      </c>
      <c r="M39" s="6">
        <v>183</v>
      </c>
      <c r="N39" s="6">
        <v>92</v>
      </c>
      <c r="O39" s="6" t="str">
        <f t="shared" si="4"/>
        <v>32 OZ, 12 (7+5)</v>
      </c>
      <c r="P39" s="6" t="str">
        <f t="shared" si="5"/>
        <v>183/92</v>
      </c>
      <c r="Q39" s="12" t="s">
        <v>281</v>
      </c>
      <c r="R39" s="6">
        <v>2007</v>
      </c>
      <c r="T39" s="1" t="s">
        <v>225</v>
      </c>
    </row>
    <row r="40" spans="1:20" ht="15" customHeight="1" x14ac:dyDescent="0.25">
      <c r="B40" s="1" t="s">
        <v>207</v>
      </c>
      <c r="C40" s="10">
        <v>36184</v>
      </c>
      <c r="D40" s="6">
        <f t="shared" ca="1" si="6"/>
        <v>21</v>
      </c>
      <c r="E40" s="6">
        <v>78</v>
      </c>
      <c r="F40" s="6">
        <v>31</v>
      </c>
      <c r="G40" s="6">
        <v>11</v>
      </c>
      <c r="H40" s="6">
        <f t="shared" si="7"/>
        <v>42</v>
      </c>
      <c r="I40" s="6">
        <v>5</v>
      </c>
      <c r="J40" s="6">
        <v>4</v>
      </c>
      <c r="L40" s="6" t="s">
        <v>93</v>
      </c>
      <c r="M40" s="6">
        <v>184</v>
      </c>
      <c r="N40" s="6">
        <v>78</v>
      </c>
      <c r="O40" s="6" t="str">
        <f t="shared" si="4"/>
        <v>86 OZ, 47 (33+14)</v>
      </c>
      <c r="P40" s="6" t="str">
        <f t="shared" si="5"/>
        <v>184/78</v>
      </c>
      <c r="Q40" s="12" t="s">
        <v>268</v>
      </c>
      <c r="R40" s="6">
        <v>2008</v>
      </c>
      <c r="T40" s="1" t="s">
        <v>226</v>
      </c>
    </row>
    <row r="41" spans="1:20" ht="15" customHeight="1" x14ac:dyDescent="0.25">
      <c r="B41" s="1" t="s">
        <v>209</v>
      </c>
      <c r="C41" s="10">
        <v>37679</v>
      </c>
      <c r="D41" s="6">
        <f t="shared" ca="1" si="6"/>
        <v>17</v>
      </c>
      <c r="E41" s="6">
        <v>0</v>
      </c>
      <c r="F41" s="6">
        <v>0</v>
      </c>
      <c r="G41" s="6">
        <v>0</v>
      </c>
      <c r="H41" s="6">
        <f t="shared" si="7"/>
        <v>0</v>
      </c>
      <c r="I41" s="6">
        <v>1</v>
      </c>
      <c r="J41" s="6">
        <v>93</v>
      </c>
      <c r="L41" s="6" t="s">
        <v>93</v>
      </c>
      <c r="M41" s="6">
        <v>175</v>
      </c>
      <c r="N41" s="6">
        <v>67</v>
      </c>
      <c r="O41" s="6" t="str">
        <f t="shared" si="4"/>
        <v>9 OZ, 3 (2+1)</v>
      </c>
      <c r="P41" s="6" t="str">
        <f t="shared" si="5"/>
        <v>175/67</v>
      </c>
      <c r="Q41" s="12" t="s">
        <v>273</v>
      </c>
      <c r="R41" s="6">
        <v>2010</v>
      </c>
      <c r="T41" s="1" t="s">
        <v>227</v>
      </c>
    </row>
    <row r="42" spans="1:20" ht="15" customHeight="1" x14ac:dyDescent="0.25">
      <c r="B42" s="1" t="s">
        <v>216</v>
      </c>
      <c r="C42" s="10"/>
      <c r="D42" s="6">
        <f t="shared" ca="1" si="6"/>
        <v>121</v>
      </c>
      <c r="H42" s="6">
        <f t="shared" si="7"/>
        <v>0</v>
      </c>
      <c r="O42" s="6" t="str">
        <f t="shared" si="4"/>
        <v>2 OZ, 0 (0+0)</v>
      </c>
      <c r="P42" s="6" t="str">
        <f t="shared" si="5"/>
        <v>/</v>
      </c>
      <c r="R42" s="6"/>
      <c r="T42" s="1" t="s">
        <v>248</v>
      </c>
    </row>
    <row r="43" spans="1:20" ht="15" customHeight="1" x14ac:dyDescent="0.25">
      <c r="B43" s="1" t="s">
        <v>219</v>
      </c>
      <c r="C43" s="10"/>
      <c r="D43" s="6">
        <f t="shared" ca="1" si="6"/>
        <v>121</v>
      </c>
      <c r="H43" s="6">
        <f t="shared" si="7"/>
        <v>0</v>
      </c>
      <c r="O43" s="6" t="str">
        <f t="shared" si="4"/>
        <v>4 OZ, 0 (0+0)</v>
      </c>
      <c r="P43" s="6" t="str">
        <f t="shared" si="5"/>
        <v>/</v>
      </c>
      <c r="R43" s="6"/>
      <c r="T43" s="1" t="s">
        <v>228</v>
      </c>
    </row>
    <row r="44" spans="1:20" ht="15" customHeight="1" x14ac:dyDescent="0.25">
      <c r="B44" s="1" t="s">
        <v>204</v>
      </c>
      <c r="C44" s="10">
        <v>33927</v>
      </c>
      <c r="D44" s="6">
        <f t="shared" ca="1" si="6"/>
        <v>28</v>
      </c>
      <c r="E44" s="6">
        <v>182</v>
      </c>
      <c r="F44" s="6">
        <v>82</v>
      </c>
      <c r="G44" s="6">
        <v>72</v>
      </c>
      <c r="H44" s="6">
        <f t="shared" si="7"/>
        <v>154</v>
      </c>
      <c r="I44" s="6">
        <v>10</v>
      </c>
      <c r="J44" s="6">
        <v>65</v>
      </c>
      <c r="L44" s="6" t="s">
        <v>51</v>
      </c>
      <c r="M44" s="6">
        <v>195</v>
      </c>
      <c r="N44" s="6">
        <v>86</v>
      </c>
      <c r="O44" s="6" t="str">
        <f t="shared" si="4"/>
        <v>194 OZ, 161 (84+77)</v>
      </c>
      <c r="P44" s="6" t="str">
        <f t="shared" si="5"/>
        <v>195/86</v>
      </c>
      <c r="Q44" s="12" t="s">
        <v>272</v>
      </c>
      <c r="R44" s="6">
        <v>2002</v>
      </c>
      <c r="T44" s="1" t="s">
        <v>229</v>
      </c>
    </row>
    <row r="45" spans="1:20" ht="15" customHeight="1" x14ac:dyDescent="0.25">
      <c r="B45" s="1" t="s">
        <v>203</v>
      </c>
      <c r="C45" s="10">
        <v>33793</v>
      </c>
      <c r="D45" s="6">
        <f t="shared" ca="1" si="6"/>
        <v>28</v>
      </c>
      <c r="E45" s="6">
        <v>184</v>
      </c>
      <c r="F45" s="6">
        <v>116</v>
      </c>
      <c r="G45" s="6">
        <v>82</v>
      </c>
      <c r="H45" s="6">
        <f t="shared" si="7"/>
        <v>198</v>
      </c>
      <c r="I45" s="6">
        <v>11</v>
      </c>
      <c r="J45" s="6">
        <v>87</v>
      </c>
      <c r="L45" s="6" t="s">
        <v>93</v>
      </c>
      <c r="M45" s="6">
        <v>176</v>
      </c>
      <c r="N45" s="6">
        <v>73</v>
      </c>
      <c r="O45" s="6" t="str">
        <f t="shared" si="4"/>
        <v>196 OZ, 207 (119+88)</v>
      </c>
      <c r="P45" s="6" t="str">
        <f t="shared" si="5"/>
        <v>176/73</v>
      </c>
      <c r="Q45" s="12" t="s">
        <v>27</v>
      </c>
      <c r="R45" s="6">
        <v>2004</v>
      </c>
      <c r="T45" s="1" t="s">
        <v>230</v>
      </c>
    </row>
    <row r="46" spans="1:20" ht="15" customHeight="1" x14ac:dyDescent="0.25">
      <c r="B46" s="1" t="s">
        <v>218</v>
      </c>
      <c r="C46" s="10">
        <v>36770</v>
      </c>
      <c r="D46" s="6">
        <f t="shared" ca="1" si="6"/>
        <v>20</v>
      </c>
      <c r="E46" s="6">
        <v>6</v>
      </c>
      <c r="F46" s="6">
        <v>0</v>
      </c>
      <c r="G46" s="6">
        <v>0</v>
      </c>
      <c r="H46" s="6">
        <f t="shared" si="7"/>
        <v>0</v>
      </c>
      <c r="I46" s="6">
        <v>3</v>
      </c>
      <c r="J46" s="6">
        <v>88</v>
      </c>
      <c r="L46" s="6" t="s">
        <v>93</v>
      </c>
      <c r="M46" s="6">
        <v>177</v>
      </c>
      <c r="N46" s="6">
        <v>75</v>
      </c>
      <c r="O46" s="6" t="str">
        <f t="shared" si="4"/>
        <v>9 OZ, 0 (0+0)</v>
      </c>
      <c r="P46" s="6" t="str">
        <f t="shared" si="5"/>
        <v>177/75</v>
      </c>
      <c r="Q46" s="12" t="s">
        <v>282</v>
      </c>
      <c r="R46" s="6">
        <v>2009</v>
      </c>
      <c r="T46" s="1" t="s">
        <v>231</v>
      </c>
    </row>
    <row r="47" spans="1:20" ht="15" customHeight="1" x14ac:dyDescent="0.25">
      <c r="B47" s="1" t="s">
        <v>220</v>
      </c>
      <c r="C47" s="10">
        <v>37727</v>
      </c>
      <c r="D47" s="6">
        <f t="shared" ca="1" si="6"/>
        <v>17</v>
      </c>
      <c r="E47" s="6">
        <v>0</v>
      </c>
      <c r="F47" s="6">
        <v>0</v>
      </c>
      <c r="G47" s="6">
        <v>0</v>
      </c>
      <c r="H47" s="6">
        <f t="shared" si="7"/>
        <v>0</v>
      </c>
      <c r="I47" s="6">
        <v>1</v>
      </c>
      <c r="J47" s="6">
        <v>30</v>
      </c>
      <c r="L47" s="6" t="s">
        <v>30</v>
      </c>
      <c r="M47" s="6">
        <v>198</v>
      </c>
      <c r="N47" s="6">
        <v>98</v>
      </c>
      <c r="O47" s="6" t="str">
        <f t="shared" si="4"/>
        <v>0 OZ, 0 (0+0)</v>
      </c>
      <c r="P47" s="6" t="str">
        <f t="shared" si="5"/>
        <v>198/98</v>
      </c>
      <c r="Q47" s="12" t="s">
        <v>266</v>
      </c>
      <c r="R47" s="6">
        <v>2009</v>
      </c>
      <c r="S47" s="6" t="str">
        <f>CONCATENATE(E47+VLOOKUP(B47,$B$31:$R$34,4,FALSE), " OZ, ",G47+VLOOKUP(B47,$B$31:$R$34,13,FALSE), " A")</f>
        <v>2 OZ, 0 A</v>
      </c>
      <c r="T47" s="1" t="s">
        <v>232</v>
      </c>
    </row>
    <row r="48" spans="1:20" ht="15" customHeight="1" x14ac:dyDescent="0.25">
      <c r="B48" s="1" t="s">
        <v>215</v>
      </c>
      <c r="C48" s="10"/>
      <c r="D48" s="6">
        <f t="shared" ca="1" si="6"/>
        <v>121</v>
      </c>
      <c r="H48" s="6">
        <f t="shared" si="7"/>
        <v>0</v>
      </c>
      <c r="L48" s="6" t="s">
        <v>30</v>
      </c>
      <c r="O48" s="6" t="str">
        <f t="shared" si="4"/>
        <v>0 OZ, 0 (0+0)</v>
      </c>
      <c r="P48" s="6" t="str">
        <f t="shared" si="5"/>
        <v>/</v>
      </c>
      <c r="R48" s="6"/>
      <c r="S48" s="6" t="str">
        <f>CONCATENATE(E48+VLOOKUP(B48,$B$31:$R$34,4,FALSE), " OZ, ",G48+VLOOKUP(B48,$B$31:$R$34,13,FALSE), " A")</f>
        <v>0 OZ, 0 A</v>
      </c>
      <c r="T48" s="1" t="s">
        <v>249</v>
      </c>
    </row>
    <row r="49" spans="2:20" ht="15" customHeight="1" x14ac:dyDescent="0.25">
      <c r="B49" s="4" t="s">
        <v>197</v>
      </c>
      <c r="C49" s="10">
        <v>34094</v>
      </c>
      <c r="D49" s="6">
        <f t="shared" ca="1" si="6"/>
        <v>27</v>
      </c>
      <c r="E49" s="6">
        <v>204</v>
      </c>
      <c r="F49" s="6">
        <v>235</v>
      </c>
      <c r="G49" s="6">
        <v>164</v>
      </c>
      <c r="H49" s="6">
        <f t="shared" si="7"/>
        <v>399</v>
      </c>
      <c r="I49" s="6">
        <v>11</v>
      </c>
      <c r="J49" s="6">
        <v>21</v>
      </c>
      <c r="L49" s="6" t="s">
        <v>93</v>
      </c>
      <c r="M49" s="6">
        <v>178</v>
      </c>
      <c r="N49" s="6">
        <v>72</v>
      </c>
      <c r="O49" s="6" t="str">
        <f t="shared" si="4"/>
        <v>216 OZ, 426 (253+173)</v>
      </c>
      <c r="P49" s="6" t="str">
        <f t="shared" si="5"/>
        <v>178/72</v>
      </c>
      <c r="Q49" s="12" t="s">
        <v>269</v>
      </c>
      <c r="R49" s="6">
        <v>2000</v>
      </c>
      <c r="T49" s="1" t="s">
        <v>247</v>
      </c>
    </row>
    <row r="50" spans="2:20" ht="15" customHeight="1" x14ac:dyDescent="0.25">
      <c r="B50" s="1" t="s">
        <v>211</v>
      </c>
      <c r="C50" s="10">
        <v>31507</v>
      </c>
      <c r="D50" s="6">
        <f t="shared" ca="1" si="6"/>
        <v>34</v>
      </c>
      <c r="E50" s="6">
        <v>253</v>
      </c>
      <c r="F50" s="6">
        <v>177</v>
      </c>
      <c r="G50" s="6">
        <v>132</v>
      </c>
      <c r="H50" s="6">
        <f t="shared" si="7"/>
        <v>309</v>
      </c>
      <c r="I50" s="6">
        <v>15</v>
      </c>
      <c r="J50" s="6">
        <v>32</v>
      </c>
      <c r="K50" s="6" t="s">
        <v>287</v>
      </c>
      <c r="L50" s="6" t="s">
        <v>93</v>
      </c>
      <c r="M50" s="6">
        <v>186</v>
      </c>
      <c r="N50" s="6">
        <v>84</v>
      </c>
      <c r="O50" s="6" t="str">
        <f t="shared" si="4"/>
        <v>263 OZ, 311 (178+133)</v>
      </c>
      <c r="P50" s="6" t="str">
        <f t="shared" si="5"/>
        <v>186/84</v>
      </c>
      <c r="Q50" s="12" t="s">
        <v>280</v>
      </c>
      <c r="R50" s="6">
        <v>2000</v>
      </c>
      <c r="T50" s="1" t="s">
        <v>230</v>
      </c>
    </row>
    <row r="51" spans="2:20" ht="15" customHeight="1" x14ac:dyDescent="0.25">
      <c r="B51" s="1" t="s">
        <v>208</v>
      </c>
      <c r="C51" s="10">
        <v>36539</v>
      </c>
      <c r="D51" s="6">
        <f t="shared" ca="1" si="6"/>
        <v>20</v>
      </c>
      <c r="E51" s="6">
        <v>69</v>
      </c>
      <c r="F51" s="6">
        <v>23</v>
      </c>
      <c r="G51" s="6">
        <v>20</v>
      </c>
      <c r="H51" s="6">
        <f t="shared" si="7"/>
        <v>43</v>
      </c>
      <c r="I51" s="6">
        <v>4</v>
      </c>
      <c r="J51" s="6">
        <v>27</v>
      </c>
      <c r="L51" s="6" t="s">
        <v>51</v>
      </c>
      <c r="M51" s="6">
        <v>186</v>
      </c>
      <c r="N51" s="6">
        <v>90</v>
      </c>
      <c r="O51" s="6" t="str">
        <f t="shared" si="4"/>
        <v>81 OZ, 47 (24+23)</v>
      </c>
      <c r="P51" s="6" t="str">
        <f t="shared" si="5"/>
        <v>186/90</v>
      </c>
      <c r="Q51" s="12" t="s">
        <v>275</v>
      </c>
      <c r="R51" s="6">
        <v>2007</v>
      </c>
      <c r="T51" s="1" t="s">
        <v>233</v>
      </c>
    </row>
    <row r="52" spans="2:20" ht="15" customHeight="1" x14ac:dyDescent="0.25">
      <c r="B52" s="1" t="s">
        <v>202</v>
      </c>
      <c r="C52" s="10">
        <v>33065</v>
      </c>
      <c r="D52" s="6">
        <f t="shared" ca="1" si="6"/>
        <v>30</v>
      </c>
      <c r="E52" s="6">
        <v>198</v>
      </c>
      <c r="F52" s="6">
        <v>40</v>
      </c>
      <c r="G52" s="6">
        <v>99</v>
      </c>
      <c r="H52" s="6">
        <f t="shared" si="7"/>
        <v>139</v>
      </c>
      <c r="I52" s="6">
        <v>11</v>
      </c>
      <c r="J52" s="6">
        <v>95</v>
      </c>
      <c r="L52" s="6" t="s">
        <v>51</v>
      </c>
      <c r="M52" s="6">
        <v>173</v>
      </c>
      <c r="N52" s="6">
        <v>82</v>
      </c>
      <c r="O52" s="6" t="str">
        <f t="shared" si="4"/>
        <v>210 OZ, 148 (44+104)</v>
      </c>
      <c r="P52" s="6" t="str">
        <f t="shared" si="5"/>
        <v>173/82</v>
      </c>
      <c r="Q52" s="12" t="s">
        <v>274</v>
      </c>
      <c r="R52" s="6">
        <v>1998</v>
      </c>
      <c r="T52" s="1" t="s">
        <v>234</v>
      </c>
    </row>
    <row r="53" spans="2:20" ht="15" customHeight="1" x14ac:dyDescent="0.25">
      <c r="B53" s="1" t="s">
        <v>221</v>
      </c>
      <c r="C53" s="10">
        <v>31821</v>
      </c>
      <c r="D53" s="6">
        <f t="shared" ca="1" si="6"/>
        <v>33</v>
      </c>
      <c r="E53" s="6">
        <v>202</v>
      </c>
      <c r="F53" s="6">
        <v>0</v>
      </c>
      <c r="G53" s="6">
        <v>2</v>
      </c>
      <c r="H53" s="6">
        <f t="shared" si="7"/>
        <v>2</v>
      </c>
      <c r="I53" s="6">
        <v>15</v>
      </c>
      <c r="J53" s="6">
        <v>97</v>
      </c>
      <c r="L53" s="6" t="s">
        <v>30</v>
      </c>
      <c r="M53" s="6">
        <v>183</v>
      </c>
      <c r="N53" s="6">
        <v>97</v>
      </c>
      <c r="O53" s="6" t="str">
        <f t="shared" si="4"/>
        <v>202 OZ, 2 (0+2)</v>
      </c>
      <c r="P53" s="6" t="str">
        <f t="shared" si="5"/>
        <v>183/97</v>
      </c>
      <c r="Q53" s="12" t="s">
        <v>274</v>
      </c>
      <c r="R53" s="6">
        <v>1997</v>
      </c>
      <c r="S53" s="6" t="str">
        <f>CONCATENATE(E53+VLOOKUP(B53,$B$31:$R$34,4,FALSE), " OZ, ",G53+VLOOKUP(B53,$B$31:$R$34,13,FALSE), " A")</f>
        <v>208 OZ, 2 A</v>
      </c>
      <c r="T53" s="1" t="s">
        <v>235</v>
      </c>
    </row>
    <row r="54" spans="2:20" ht="15" customHeight="1" x14ac:dyDescent="0.25">
      <c r="B54" s="1" t="s">
        <v>210</v>
      </c>
      <c r="C54" s="10">
        <v>36548</v>
      </c>
      <c r="D54" s="6">
        <f t="shared" ca="1" si="6"/>
        <v>20</v>
      </c>
      <c r="E54" s="6">
        <v>66</v>
      </c>
      <c r="F54" s="6">
        <v>2</v>
      </c>
      <c r="G54" s="6">
        <v>0</v>
      </c>
      <c r="H54" s="6">
        <f t="shared" si="7"/>
        <v>2</v>
      </c>
      <c r="I54" s="6">
        <v>4</v>
      </c>
      <c r="J54" s="6">
        <v>99</v>
      </c>
      <c r="L54" s="6" t="s">
        <v>93</v>
      </c>
      <c r="M54" s="6">
        <v>182</v>
      </c>
      <c r="N54" s="6">
        <v>75</v>
      </c>
      <c r="O54" s="6" t="str">
        <f t="shared" si="4"/>
        <v>78 OZ, 4 (4+0)</v>
      </c>
      <c r="P54" s="6" t="str">
        <f t="shared" si="5"/>
        <v>182/75</v>
      </c>
      <c r="Q54" s="12" t="s">
        <v>275</v>
      </c>
      <c r="R54" s="6">
        <v>2007</v>
      </c>
      <c r="T54" s="1" t="s">
        <v>236</v>
      </c>
    </row>
    <row r="55" spans="2:20" ht="15" customHeight="1" x14ac:dyDescent="0.25">
      <c r="B55" s="4" t="s">
        <v>199</v>
      </c>
      <c r="C55" s="10">
        <v>32867</v>
      </c>
      <c r="D55" s="6">
        <f t="shared" ca="1" si="6"/>
        <v>31</v>
      </c>
      <c r="E55" s="6">
        <v>208</v>
      </c>
      <c r="F55" s="6">
        <v>125</v>
      </c>
      <c r="G55" s="6">
        <v>127</v>
      </c>
      <c r="H55" s="6">
        <f t="shared" si="7"/>
        <v>252</v>
      </c>
      <c r="I55" s="6">
        <v>12</v>
      </c>
      <c r="J55" s="6">
        <v>9</v>
      </c>
      <c r="L55" s="6" t="s">
        <v>93</v>
      </c>
      <c r="M55" s="6">
        <v>182</v>
      </c>
      <c r="N55" s="6">
        <v>82</v>
      </c>
      <c r="O55" s="6" t="str">
        <f t="shared" si="4"/>
        <v>219 OZ, 267 (133+134)</v>
      </c>
      <c r="P55" s="6" t="str">
        <f t="shared" si="5"/>
        <v>182/82</v>
      </c>
      <c r="Q55" s="12" t="s">
        <v>276</v>
      </c>
      <c r="R55" s="6">
        <v>2004</v>
      </c>
      <c r="T55" s="1" t="s">
        <v>237</v>
      </c>
    </row>
    <row r="56" spans="2:20" ht="15" customHeight="1" x14ac:dyDescent="0.25">
      <c r="B56" s="1" t="s">
        <v>213</v>
      </c>
      <c r="C56" s="10">
        <v>35462</v>
      </c>
      <c r="D56" s="6">
        <f t="shared" ca="1" si="6"/>
        <v>23</v>
      </c>
      <c r="E56" s="6">
        <v>92</v>
      </c>
      <c r="F56" s="6">
        <v>29</v>
      </c>
      <c r="G56" s="6">
        <v>17</v>
      </c>
      <c r="H56" s="6">
        <f t="shared" si="7"/>
        <v>46</v>
      </c>
      <c r="I56" s="6">
        <v>7</v>
      </c>
      <c r="J56" s="6">
        <v>10</v>
      </c>
      <c r="L56" s="6" t="s">
        <v>93</v>
      </c>
      <c r="M56" s="6">
        <v>172</v>
      </c>
      <c r="N56" s="6">
        <v>73</v>
      </c>
      <c r="O56" s="6" t="str">
        <f t="shared" si="4"/>
        <v>104 OZ, 47 (29+18)</v>
      </c>
      <c r="P56" s="6" t="str">
        <f t="shared" si="5"/>
        <v>172/73</v>
      </c>
      <c r="Q56" s="12" t="s">
        <v>277</v>
      </c>
      <c r="R56" s="6">
        <v>2006</v>
      </c>
      <c r="T56" s="1" t="s">
        <v>238</v>
      </c>
    </row>
    <row r="57" spans="2:20" ht="15" customHeight="1" x14ac:dyDescent="0.25">
      <c r="B57" s="1" t="s">
        <v>205</v>
      </c>
      <c r="C57" s="10">
        <v>35445</v>
      </c>
      <c r="D57" s="6">
        <f t="shared" ca="1" si="6"/>
        <v>23</v>
      </c>
      <c r="E57" s="6">
        <v>80</v>
      </c>
      <c r="F57" s="6">
        <v>26</v>
      </c>
      <c r="G57" s="6">
        <v>21</v>
      </c>
      <c r="H57" s="6">
        <f t="shared" si="7"/>
        <v>47</v>
      </c>
      <c r="I57" s="6">
        <v>6</v>
      </c>
      <c r="J57" s="6">
        <v>14</v>
      </c>
      <c r="L57" s="6" t="s">
        <v>93</v>
      </c>
      <c r="M57" s="6">
        <v>184</v>
      </c>
      <c r="N57" s="6">
        <v>78</v>
      </c>
      <c r="O57" s="6" t="str">
        <f t="shared" si="4"/>
        <v>92 OZ, 53 (30+23)</v>
      </c>
      <c r="P57" s="6" t="str">
        <f t="shared" si="5"/>
        <v>184/78</v>
      </c>
      <c r="Q57" s="12" t="s">
        <v>278</v>
      </c>
      <c r="R57" s="6">
        <v>2009</v>
      </c>
      <c r="T57" s="1" t="s">
        <v>239</v>
      </c>
    </row>
    <row r="58" spans="2:20" ht="15" customHeight="1" x14ac:dyDescent="0.25">
      <c r="B58" s="4" t="s">
        <v>200</v>
      </c>
      <c r="C58" s="10">
        <v>37610</v>
      </c>
      <c r="D58" s="6">
        <f t="shared" ca="1" si="6"/>
        <v>18</v>
      </c>
      <c r="E58" s="6">
        <v>15</v>
      </c>
      <c r="F58" s="6">
        <v>7</v>
      </c>
      <c r="G58" s="6">
        <v>8</v>
      </c>
      <c r="H58" s="6">
        <f t="shared" si="7"/>
        <v>15</v>
      </c>
      <c r="I58" s="6">
        <v>2</v>
      </c>
      <c r="J58" s="6">
        <v>84</v>
      </c>
      <c r="L58" s="6" t="s">
        <v>51</v>
      </c>
      <c r="M58" s="6">
        <v>183</v>
      </c>
      <c r="N58" s="6">
        <v>72</v>
      </c>
      <c r="O58" s="6" t="str">
        <f t="shared" si="4"/>
        <v>26 OZ, 28 (17+11)</v>
      </c>
      <c r="P58" s="6" t="str">
        <f t="shared" si="5"/>
        <v>183/72</v>
      </c>
      <c r="Q58" s="12" t="s">
        <v>278</v>
      </c>
      <c r="R58" s="6">
        <v>2009</v>
      </c>
      <c r="T58" s="1" t="s">
        <v>240</v>
      </c>
    </row>
    <row r="59" spans="2:20" ht="15" customHeight="1" x14ac:dyDescent="0.25">
      <c r="B59" s="1" t="s">
        <v>217</v>
      </c>
      <c r="C59" s="10"/>
      <c r="D59" s="6">
        <f t="shared" ca="1" si="6"/>
        <v>121</v>
      </c>
      <c r="H59" s="6">
        <f t="shared" si="7"/>
        <v>0</v>
      </c>
      <c r="O59" s="6" t="str">
        <f t="shared" si="4"/>
        <v>2 OZ, 0 (0+0)</v>
      </c>
      <c r="P59" s="6" t="str">
        <f t="shared" si="5"/>
        <v>/</v>
      </c>
      <c r="R59" s="6"/>
      <c r="T59" s="1" t="s">
        <v>241</v>
      </c>
    </row>
    <row r="60" spans="2:20" ht="15" customHeight="1" x14ac:dyDescent="0.25">
      <c r="B60" s="1" t="s">
        <v>212</v>
      </c>
      <c r="C60" s="10">
        <v>36617</v>
      </c>
      <c r="D60" s="6">
        <f t="shared" ca="1" si="6"/>
        <v>20</v>
      </c>
      <c r="E60" s="6">
        <v>53</v>
      </c>
      <c r="F60" s="6">
        <v>1</v>
      </c>
      <c r="G60" s="6">
        <v>6</v>
      </c>
      <c r="H60" s="6">
        <f t="shared" si="7"/>
        <v>7</v>
      </c>
      <c r="I60" s="6">
        <v>4</v>
      </c>
      <c r="J60" s="6">
        <v>11</v>
      </c>
      <c r="L60" s="6" t="s">
        <v>93</v>
      </c>
      <c r="M60" s="6">
        <v>182</v>
      </c>
      <c r="N60" s="6">
        <v>76</v>
      </c>
      <c r="O60" s="6" t="str">
        <f t="shared" si="4"/>
        <v>59 OZ, 9 (1+8)</v>
      </c>
      <c r="P60" s="6" t="str">
        <f t="shared" si="5"/>
        <v>182/76</v>
      </c>
      <c r="Q60" s="12" t="s">
        <v>269</v>
      </c>
      <c r="R60" s="6">
        <v>2008</v>
      </c>
      <c r="T60" s="1" t="s">
        <v>242</v>
      </c>
    </row>
    <row r="61" spans="2:20" ht="15" customHeight="1" x14ac:dyDescent="0.25">
      <c r="B61" s="4" t="s">
        <v>198</v>
      </c>
      <c r="C61" s="10">
        <v>33775</v>
      </c>
      <c r="D61" s="6">
        <f t="shared" ca="1" si="6"/>
        <v>28</v>
      </c>
      <c r="E61" s="6">
        <v>214</v>
      </c>
      <c r="F61" s="6">
        <v>295</v>
      </c>
      <c r="G61" s="6">
        <v>183</v>
      </c>
      <c r="H61" s="6">
        <f t="shared" si="7"/>
        <v>478</v>
      </c>
      <c r="I61" s="6">
        <v>12</v>
      </c>
      <c r="J61" s="6">
        <v>25</v>
      </c>
      <c r="L61" s="6" t="s">
        <v>51</v>
      </c>
      <c r="M61" s="6">
        <v>186</v>
      </c>
      <c r="N61" s="6">
        <v>82</v>
      </c>
      <c r="O61" s="6" t="str">
        <f t="shared" si="4"/>
        <v>226 OZ, 502 (309+193)</v>
      </c>
      <c r="P61" s="6" t="str">
        <f t="shared" si="5"/>
        <v>186/82</v>
      </c>
      <c r="Q61" s="12" t="s">
        <v>279</v>
      </c>
      <c r="R61" s="6">
        <v>1999</v>
      </c>
      <c r="T61" s="1" t="s">
        <v>243</v>
      </c>
    </row>
    <row r="62" spans="2:20" ht="15" customHeight="1" x14ac:dyDescent="0.25">
      <c r="B62" s="1" t="s">
        <v>201</v>
      </c>
      <c r="C62" s="10">
        <v>32329</v>
      </c>
      <c r="D62" s="6">
        <f t="shared" ca="1" si="6"/>
        <v>32</v>
      </c>
      <c r="E62" s="6">
        <v>204</v>
      </c>
      <c r="F62" s="6">
        <v>54</v>
      </c>
      <c r="G62" s="6">
        <v>138</v>
      </c>
      <c r="H62" s="6">
        <f t="shared" si="7"/>
        <v>192</v>
      </c>
      <c r="I62" s="6">
        <v>11</v>
      </c>
      <c r="J62" s="6">
        <v>26</v>
      </c>
      <c r="L62" s="6" t="s">
        <v>51</v>
      </c>
      <c r="M62" s="6">
        <v>180</v>
      </c>
      <c r="N62" s="6">
        <v>74</v>
      </c>
      <c r="O62" s="6" t="str">
        <f t="shared" si="4"/>
        <v>216 OZ, 204 (56+148)</v>
      </c>
      <c r="P62" s="6" t="str">
        <f t="shared" si="5"/>
        <v>180/74</v>
      </c>
      <c r="Q62" s="12" t="s">
        <v>271</v>
      </c>
      <c r="R62" s="6">
        <v>2004</v>
      </c>
      <c r="T62" s="1" t="s">
        <v>244</v>
      </c>
    </row>
    <row r="63" spans="2:20" ht="15" customHeight="1" x14ac:dyDescent="0.25">
      <c r="B63" s="1" t="s">
        <v>222</v>
      </c>
      <c r="C63" s="10">
        <v>31955</v>
      </c>
      <c r="D63" s="6">
        <f t="shared" ca="1" si="6"/>
        <v>33</v>
      </c>
      <c r="E63" s="6">
        <v>293</v>
      </c>
      <c r="F63" s="6">
        <v>95</v>
      </c>
      <c r="G63" s="6">
        <v>95</v>
      </c>
      <c r="H63" s="6">
        <f t="shared" si="7"/>
        <v>190</v>
      </c>
      <c r="I63" s="6">
        <v>17</v>
      </c>
      <c r="J63" s="6">
        <v>15</v>
      </c>
      <c r="L63" s="6" t="s">
        <v>93</v>
      </c>
      <c r="M63" s="6">
        <v>178</v>
      </c>
      <c r="N63" s="6">
        <v>80</v>
      </c>
      <c r="O63" s="6" t="str">
        <f t="shared" si="4"/>
        <v>305 OZ, 190 (95+95)</v>
      </c>
      <c r="P63" s="6" t="str">
        <f t="shared" si="5"/>
        <v>178/80</v>
      </c>
      <c r="Q63" s="12" t="s">
        <v>269</v>
      </c>
      <c r="R63" s="6">
        <v>2002</v>
      </c>
      <c r="T63" s="1" t="s">
        <v>246</v>
      </c>
    </row>
    <row r="64" spans="2:20" ht="15" customHeight="1" x14ac:dyDescent="0.25">
      <c r="B64" s="1" t="s">
        <v>223</v>
      </c>
      <c r="C64" s="10">
        <v>36800</v>
      </c>
      <c r="D64" s="6">
        <f t="shared" ca="1" si="6"/>
        <v>20</v>
      </c>
      <c r="E64" s="6">
        <v>5</v>
      </c>
      <c r="F64" s="6">
        <v>0</v>
      </c>
      <c r="G64" s="6">
        <v>0</v>
      </c>
      <c r="H64" s="6">
        <f t="shared" si="7"/>
        <v>0</v>
      </c>
      <c r="I64" s="6">
        <v>4</v>
      </c>
      <c r="J64" s="6">
        <v>31</v>
      </c>
      <c r="L64" s="6" t="s">
        <v>30</v>
      </c>
      <c r="M64" s="6">
        <v>175</v>
      </c>
      <c r="N64" s="6">
        <v>76</v>
      </c>
      <c r="O64" s="6" t="str">
        <f t="shared" si="4"/>
        <v>5 OZ, 0 (0+0)</v>
      </c>
      <c r="P64" s="6" t="str">
        <f t="shared" si="5"/>
        <v>175/76</v>
      </c>
      <c r="Q64" s="12" t="s">
        <v>267</v>
      </c>
      <c r="R64" s="6">
        <v>2010</v>
      </c>
      <c r="S64" s="6" t="str">
        <f>CONCATENATE(E64+VLOOKUP(B64,$B$31:$R$34,4,FALSE), " OZ, ",G64+VLOOKUP(B64,$B$31:$R$34,13,FALSE), " A")</f>
        <v>9 OZ, 0 A</v>
      </c>
      <c r="T64" s="1" t="s">
        <v>245</v>
      </c>
    </row>
    <row r="66" spans="1:17" s="2" customFormat="1" ht="15" customHeight="1" x14ac:dyDescent="0.25">
      <c r="A66" s="7">
        <f ca="1">TODAY()</f>
        <v>44203</v>
      </c>
      <c r="B66" s="2" t="s">
        <v>74</v>
      </c>
      <c r="C66" s="2" t="s">
        <v>81</v>
      </c>
      <c r="D66" s="2" t="s">
        <v>82</v>
      </c>
      <c r="E66" s="272" t="s">
        <v>113</v>
      </c>
      <c r="F66" s="272"/>
      <c r="G66" s="272" t="s">
        <v>119</v>
      </c>
      <c r="H66" s="272"/>
      <c r="I66" s="272"/>
      <c r="J66" s="272"/>
      <c r="K66" s="272"/>
      <c r="Q66" s="11"/>
    </row>
    <row r="67" spans="1:17" ht="30" customHeight="1" x14ac:dyDescent="0.25">
      <c r="B67" s="1" t="s">
        <v>250</v>
      </c>
      <c r="C67" s="10">
        <v>31582</v>
      </c>
      <c r="D67" s="6">
        <f ca="1">ROUNDDOWN(($A$66-C67)/365.25,0)</f>
        <v>34</v>
      </c>
      <c r="E67" s="273" t="s">
        <v>251</v>
      </c>
      <c r="F67" s="273"/>
      <c r="G67" s="273" t="s">
        <v>252</v>
      </c>
      <c r="H67" s="273"/>
      <c r="I67" s="273"/>
      <c r="J67" s="273"/>
      <c r="K67" s="273"/>
    </row>
    <row r="68" spans="1:17" ht="30" customHeight="1" x14ac:dyDescent="0.25">
      <c r="B68" s="1" t="s">
        <v>253</v>
      </c>
      <c r="C68" s="10">
        <v>26801</v>
      </c>
      <c r="D68" s="6">
        <f ca="1">ROUNDDOWN(($A$66-C68)/365.25,0)</f>
        <v>47</v>
      </c>
      <c r="E68" s="273" t="s">
        <v>254</v>
      </c>
      <c r="F68" s="273"/>
      <c r="G68" s="273" t="s">
        <v>255</v>
      </c>
      <c r="H68" s="273"/>
      <c r="I68" s="273"/>
      <c r="J68" s="273"/>
      <c r="K68" s="273"/>
    </row>
    <row r="69" spans="1:17" ht="30" customHeight="1" x14ac:dyDescent="0.25">
      <c r="B69" s="1" t="s">
        <v>256</v>
      </c>
      <c r="C69" s="10">
        <v>28909</v>
      </c>
      <c r="D69" s="6">
        <f ca="1">ROUNDDOWN(($A$66-C69)/365.25,0)</f>
        <v>41</v>
      </c>
      <c r="E69" s="273" t="s">
        <v>254</v>
      </c>
      <c r="F69" s="273"/>
      <c r="G69" s="273" t="s">
        <v>259</v>
      </c>
      <c r="H69" s="273"/>
      <c r="I69" s="273"/>
      <c r="J69" s="273"/>
      <c r="K69" s="273"/>
    </row>
    <row r="70" spans="1:17" ht="30" customHeight="1" x14ac:dyDescent="0.25">
      <c r="B70" s="1" t="s">
        <v>260</v>
      </c>
      <c r="C70" s="10">
        <v>31168</v>
      </c>
      <c r="D70" s="6">
        <f ca="1">ROUNDDOWN(($A$66-C70)/365.25,0)</f>
        <v>35</v>
      </c>
      <c r="E70" s="273" t="s">
        <v>261</v>
      </c>
      <c r="F70" s="273"/>
      <c r="G70" s="273" t="s">
        <v>262</v>
      </c>
      <c r="H70" s="273"/>
      <c r="I70" s="273"/>
      <c r="J70" s="273"/>
      <c r="K70" s="273"/>
    </row>
    <row r="71" spans="1:17" ht="30" customHeight="1" x14ac:dyDescent="0.25">
      <c r="B71" s="1" t="s">
        <v>263</v>
      </c>
      <c r="C71" s="10">
        <v>32514</v>
      </c>
      <c r="D71" s="6">
        <f ca="1">ROUNDDOWN(($A$66-C71)/365.25,0)</f>
        <v>32</v>
      </c>
      <c r="E71" s="273" t="s">
        <v>264</v>
      </c>
      <c r="F71" s="273"/>
      <c r="G71" s="273" t="s">
        <v>265</v>
      </c>
      <c r="H71" s="273"/>
      <c r="I71" s="273"/>
      <c r="J71" s="273"/>
      <c r="K71" s="273"/>
    </row>
    <row r="74" spans="1:17" x14ac:dyDescent="0.25">
      <c r="A74" s="272" t="s">
        <v>36</v>
      </c>
      <c r="B74" s="1" t="s">
        <v>350</v>
      </c>
      <c r="C74" s="116">
        <v>27</v>
      </c>
      <c r="D74" s="270" t="str">
        <f>IFERROR(RIGHT(B74,LEN(B74)-SEARCH(" ",B74)),"")</f>
        <v>Marek Vávra</v>
      </c>
      <c r="E74" s="270"/>
    </row>
    <row r="75" spans="1:17" x14ac:dyDescent="0.25">
      <c r="A75" s="272"/>
      <c r="B75" s="1" t="s">
        <v>351</v>
      </c>
      <c r="C75" s="116">
        <v>24</v>
      </c>
      <c r="D75" s="270" t="str">
        <f t="shared" ref="D75:D103" si="8">IFERROR(RIGHT(B75,LEN(B75)-SEARCH(" ",B75)),"")</f>
        <v>Tom Ondrušek</v>
      </c>
      <c r="E75" s="270"/>
    </row>
    <row r="76" spans="1:17" x14ac:dyDescent="0.25">
      <c r="A76" s="272"/>
      <c r="B76" s="1" t="s">
        <v>352</v>
      </c>
      <c r="C76" s="116">
        <v>15</v>
      </c>
      <c r="D76" s="270" t="str">
        <f t="shared" si="8"/>
        <v>Ondřej Mikeš</v>
      </c>
      <c r="E76" s="270"/>
    </row>
    <row r="77" spans="1:17" x14ac:dyDescent="0.25">
      <c r="A77" s="272"/>
      <c r="B77" s="1" t="s">
        <v>353</v>
      </c>
      <c r="C77" s="116">
        <v>13</v>
      </c>
      <c r="D77" s="270" t="str">
        <f t="shared" si="8"/>
        <v>Petr Majer</v>
      </c>
      <c r="E77" s="270"/>
    </row>
    <row r="78" spans="1:17" x14ac:dyDescent="0.25">
      <c r="A78" s="272"/>
      <c r="B78" s="1" t="s">
        <v>354</v>
      </c>
      <c r="C78" s="116">
        <v>12</v>
      </c>
      <c r="D78" s="270" t="str">
        <f t="shared" si="8"/>
        <v>Tomáš Sýkora</v>
      </c>
      <c r="E78" s="270"/>
    </row>
    <row r="79" spans="1:17" x14ac:dyDescent="0.25">
      <c r="A79" s="272" t="s">
        <v>35</v>
      </c>
      <c r="B79" s="1" t="s">
        <v>350</v>
      </c>
      <c r="C79" s="116">
        <v>18</v>
      </c>
      <c r="D79" s="270" t="str">
        <f t="shared" si="8"/>
        <v>Marek Vávra</v>
      </c>
      <c r="E79" s="270"/>
    </row>
    <row r="80" spans="1:17" x14ac:dyDescent="0.25">
      <c r="A80" s="272"/>
      <c r="B80" s="1" t="s">
        <v>351</v>
      </c>
      <c r="C80" s="116">
        <v>14</v>
      </c>
      <c r="D80" s="270" t="str">
        <f t="shared" si="8"/>
        <v>Tom Ondrušek</v>
      </c>
      <c r="E80" s="270"/>
    </row>
    <row r="81" spans="1:6" x14ac:dyDescent="0.25">
      <c r="A81" s="272"/>
      <c r="B81" s="1" t="s">
        <v>355</v>
      </c>
      <c r="C81" s="116">
        <v>10</v>
      </c>
      <c r="D81" s="270" t="str">
        <f t="shared" si="8"/>
        <v>Petr Majer</v>
      </c>
      <c r="E81" s="270"/>
    </row>
    <row r="82" spans="1:6" x14ac:dyDescent="0.25">
      <c r="A82" s="272"/>
      <c r="B82" s="1" t="s">
        <v>356</v>
      </c>
      <c r="C82" s="116">
        <v>8</v>
      </c>
      <c r="D82" s="270" t="str">
        <f t="shared" si="8"/>
        <v>Ondřej Mikeš</v>
      </c>
      <c r="E82" s="270"/>
    </row>
    <row r="83" spans="1:6" x14ac:dyDescent="0.25">
      <c r="A83" s="272"/>
      <c r="B83" s="1" t="s">
        <v>357</v>
      </c>
      <c r="C83" s="116">
        <v>4</v>
      </c>
      <c r="D83" s="270" t="str">
        <f t="shared" si="8"/>
        <v>Daniel Eremiáš</v>
      </c>
      <c r="E83" s="270"/>
    </row>
    <row r="84" spans="1:6" x14ac:dyDescent="0.25">
      <c r="A84" s="272" t="s">
        <v>37</v>
      </c>
      <c r="B84" s="1" t="s">
        <v>358</v>
      </c>
      <c r="C84" s="116">
        <v>10</v>
      </c>
      <c r="D84" s="270" t="str">
        <f t="shared" si="8"/>
        <v>Tom Ondrušek</v>
      </c>
      <c r="E84" s="270"/>
    </row>
    <row r="85" spans="1:6" x14ac:dyDescent="0.25">
      <c r="A85" s="272"/>
      <c r="B85" s="1" t="s">
        <v>359</v>
      </c>
      <c r="C85" s="116">
        <v>10</v>
      </c>
      <c r="D85" s="270" t="str">
        <f t="shared" si="8"/>
        <v>Tomáš Sýkora</v>
      </c>
      <c r="E85" s="270"/>
    </row>
    <row r="86" spans="1:6" x14ac:dyDescent="0.25">
      <c r="A86" s="272"/>
      <c r="B86" s="1" t="s">
        <v>360</v>
      </c>
      <c r="C86" s="116">
        <v>9</v>
      </c>
      <c r="D86" s="270" t="str">
        <f t="shared" si="8"/>
        <v>Marek Vávra</v>
      </c>
      <c r="E86" s="270"/>
    </row>
    <row r="87" spans="1:6" x14ac:dyDescent="0.25">
      <c r="A87" s="272"/>
      <c r="B87" s="1" t="s">
        <v>356</v>
      </c>
      <c r="C87" s="116">
        <v>7</v>
      </c>
      <c r="D87" s="270" t="str">
        <f t="shared" si="8"/>
        <v>Ondřej Mikeš</v>
      </c>
      <c r="E87" s="270"/>
    </row>
    <row r="88" spans="1:6" x14ac:dyDescent="0.25">
      <c r="A88" s="272"/>
      <c r="B88" s="1" t="s">
        <v>361</v>
      </c>
      <c r="C88" s="116">
        <v>6</v>
      </c>
      <c r="D88" s="270" t="str">
        <f t="shared" si="8"/>
        <v>Jiří Koutný</v>
      </c>
      <c r="E88" s="270"/>
    </row>
    <row r="89" spans="1:6" x14ac:dyDescent="0.25">
      <c r="A89" s="272" t="s">
        <v>45</v>
      </c>
      <c r="B89" s="1" t="s">
        <v>362</v>
      </c>
      <c r="C89" s="116">
        <v>18</v>
      </c>
      <c r="D89" s="270" t="str">
        <f t="shared" si="8"/>
        <v>Jiří Bauer</v>
      </c>
      <c r="E89" s="270"/>
    </row>
    <row r="90" spans="1:6" x14ac:dyDescent="0.25">
      <c r="A90" s="272"/>
      <c r="B90" s="1" t="s">
        <v>363</v>
      </c>
      <c r="C90" s="116">
        <v>8</v>
      </c>
      <c r="D90" s="270" t="str">
        <f t="shared" si="8"/>
        <v>Tomáš Vávra</v>
      </c>
      <c r="E90" s="270"/>
    </row>
    <row r="91" spans="1:6" x14ac:dyDescent="0.25">
      <c r="A91" s="272"/>
      <c r="B91" s="1" t="s">
        <v>364</v>
      </c>
      <c r="C91" s="116">
        <v>6</v>
      </c>
      <c r="D91" s="270" t="str">
        <f t="shared" si="8"/>
        <v>Michal Strnad</v>
      </c>
      <c r="E91" s="270"/>
    </row>
    <row r="92" spans="1:6" x14ac:dyDescent="0.25">
      <c r="A92" s="272"/>
      <c r="B92" s="1" t="s">
        <v>365</v>
      </c>
      <c r="C92" s="116">
        <v>4</v>
      </c>
      <c r="D92" s="270" t="str">
        <f t="shared" si="8"/>
        <v>David Horký</v>
      </c>
      <c r="E92" s="270"/>
    </row>
    <row r="93" spans="1:6" x14ac:dyDescent="0.25">
      <c r="A93" s="272"/>
      <c r="B93" s="1" t="s">
        <v>366</v>
      </c>
      <c r="C93" s="116">
        <v>4</v>
      </c>
      <c r="D93" s="270" t="str">
        <f t="shared" si="8"/>
        <v>Petr Majer</v>
      </c>
      <c r="E93" s="270"/>
    </row>
    <row r="94" spans="1:6" x14ac:dyDescent="0.25">
      <c r="A94" s="272" t="s">
        <v>330</v>
      </c>
      <c r="B94" s="1" t="s">
        <v>367</v>
      </c>
      <c r="C94" s="116" t="s">
        <v>368</v>
      </c>
      <c r="D94" s="270" t="str">
        <f t="shared" si="8"/>
        <v>Michal Rebro</v>
      </c>
      <c r="E94" s="270"/>
      <c r="F94" s="6">
        <f>IF(B94&lt;&gt;0,_xlfn.NUMBERVALUE(C94,","),"")</f>
        <v>4.32</v>
      </c>
    </row>
    <row r="95" spans="1:6" x14ac:dyDescent="0.25">
      <c r="A95" s="272"/>
      <c r="B95" s="1" t="s">
        <v>369</v>
      </c>
      <c r="C95" s="116" t="s">
        <v>370</v>
      </c>
      <c r="D95" s="270" t="str">
        <f t="shared" si="8"/>
        <v>Vojtěch Šimůnek</v>
      </c>
      <c r="E95" s="270"/>
      <c r="F95" s="6">
        <f t="shared" ref="F95:F103" si="9">IF(B95&lt;&gt;0,_xlfn.NUMBERVALUE(C95,","),"")</f>
        <v>6.31</v>
      </c>
    </row>
    <row r="96" spans="1:6" x14ac:dyDescent="0.25">
      <c r="A96" s="272"/>
      <c r="B96" s="1" t="s">
        <v>371</v>
      </c>
      <c r="C96" s="116" t="s">
        <v>342</v>
      </c>
      <c r="D96" s="270" t="str">
        <f t="shared" si="8"/>
        <v>Karel Pergler</v>
      </c>
      <c r="E96" s="270"/>
      <c r="F96" s="6">
        <f t="shared" si="9"/>
        <v>0</v>
      </c>
    </row>
    <row r="97" spans="1:6" x14ac:dyDescent="0.25">
      <c r="A97" s="272"/>
      <c r="B97" s="1" t="s">
        <v>372</v>
      </c>
      <c r="C97" s="116" t="s">
        <v>373</v>
      </c>
      <c r="D97" s="270" t="str">
        <f t="shared" si="8"/>
        <v>Karel Hodík</v>
      </c>
      <c r="E97" s="270"/>
      <c r="F97" s="6">
        <f t="shared" si="9"/>
        <v>5.5</v>
      </c>
    </row>
    <row r="98" spans="1:6" ht="15" customHeight="1" x14ac:dyDescent="0.25">
      <c r="A98" s="272"/>
      <c r="C98" s="6"/>
      <c r="D98" s="270" t="str">
        <f t="shared" si="8"/>
        <v/>
      </c>
      <c r="E98" s="270"/>
      <c r="F98" s="6" t="str">
        <f t="shared" si="9"/>
        <v/>
      </c>
    </row>
    <row r="99" spans="1:6" x14ac:dyDescent="0.25">
      <c r="A99" s="272" t="s">
        <v>306</v>
      </c>
      <c r="B99" s="1" t="s">
        <v>367</v>
      </c>
      <c r="C99" s="116">
        <v>3</v>
      </c>
      <c r="D99" s="270" t="str">
        <f t="shared" si="8"/>
        <v>Michal Rebro</v>
      </c>
      <c r="E99" s="270"/>
      <c r="F99" s="6">
        <f t="shared" si="9"/>
        <v>3</v>
      </c>
    </row>
    <row r="100" spans="1:6" x14ac:dyDescent="0.25">
      <c r="A100" s="272"/>
      <c r="B100" s="1" t="s">
        <v>369</v>
      </c>
      <c r="C100" s="116">
        <v>3</v>
      </c>
      <c r="D100" s="270" t="str">
        <f t="shared" si="8"/>
        <v>Vojtěch Šimůnek</v>
      </c>
      <c r="E100" s="270"/>
      <c r="F100" s="6">
        <f t="shared" si="9"/>
        <v>3</v>
      </c>
    </row>
    <row r="101" spans="1:6" x14ac:dyDescent="0.25">
      <c r="A101" s="272"/>
      <c r="B101" s="1" t="s">
        <v>374</v>
      </c>
      <c r="C101" s="116">
        <v>2</v>
      </c>
      <c r="D101" s="270" t="str">
        <f t="shared" si="8"/>
        <v>Karel Hodík</v>
      </c>
      <c r="E101" s="270"/>
      <c r="F101" s="6">
        <f t="shared" si="9"/>
        <v>2</v>
      </c>
    </row>
    <row r="102" spans="1:6" x14ac:dyDescent="0.25">
      <c r="A102" s="272"/>
      <c r="B102" s="1" t="s">
        <v>375</v>
      </c>
      <c r="C102" s="116">
        <v>0</v>
      </c>
      <c r="D102" s="270" t="str">
        <f t="shared" si="8"/>
        <v>Karel Pergler</v>
      </c>
      <c r="E102" s="270"/>
      <c r="F102" s="6">
        <f t="shared" si="9"/>
        <v>0</v>
      </c>
    </row>
    <row r="103" spans="1:6" ht="15" customHeight="1" x14ac:dyDescent="0.25">
      <c r="A103" s="272"/>
      <c r="D103" s="271" t="str">
        <f t="shared" si="8"/>
        <v/>
      </c>
      <c r="E103" s="271"/>
      <c r="F103" s="6" t="str">
        <f t="shared" si="9"/>
        <v/>
      </c>
    </row>
  </sheetData>
  <sortState ref="B67:K71">
    <sortCondition ref="B38:B64"/>
  </sortState>
  <mergeCells count="48">
    <mergeCell ref="E66:F66"/>
    <mergeCell ref="G66:K66"/>
    <mergeCell ref="E67:F67"/>
    <mergeCell ref="G67:K67"/>
    <mergeCell ref="E68:F68"/>
    <mergeCell ref="G68:K68"/>
    <mergeCell ref="E69:F69"/>
    <mergeCell ref="G69:K69"/>
    <mergeCell ref="E70:F70"/>
    <mergeCell ref="G70:K70"/>
    <mergeCell ref="E71:F71"/>
    <mergeCell ref="G71:K71"/>
    <mergeCell ref="A74:A78"/>
    <mergeCell ref="A79:A83"/>
    <mergeCell ref="A84:A88"/>
    <mergeCell ref="A89:A93"/>
    <mergeCell ref="A94:A98"/>
    <mergeCell ref="A99:A10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3"/>
  <sheetViews>
    <sheetView tabSelected="1" zoomScaleNormal="100" workbookViewId="0">
      <selection activeCell="B2" sqref="B2"/>
    </sheetView>
  </sheetViews>
  <sheetFormatPr defaultRowHeight="15" customHeight="1" x14ac:dyDescent="0.25"/>
  <cols>
    <col min="1" max="1" width="10.140625" style="1" bestFit="1" customWidth="1"/>
    <col min="2" max="2" width="18.28515625" style="1" customWidth="1"/>
    <col min="3" max="3" width="10.140625" style="1" bestFit="1" customWidth="1"/>
    <col min="4" max="14" width="9.140625" style="116" customWidth="1"/>
    <col min="15" max="15" width="22" style="116" bestFit="1" customWidth="1"/>
    <col min="16" max="16" width="9.140625" style="116" customWidth="1"/>
    <col min="17" max="17" width="23.140625" style="118" bestFit="1" customWidth="1"/>
    <col min="18" max="18" width="9.140625" style="1" customWidth="1"/>
    <col min="19" max="19" width="10" style="116" bestFit="1" customWidth="1"/>
    <col min="20" max="20" width="11.85546875" style="1" bestFit="1" customWidth="1"/>
    <col min="21" max="16384" width="9.140625" style="1"/>
  </cols>
  <sheetData>
    <row r="1" spans="1:19" s="115" customFormat="1" ht="15" customHeight="1" x14ac:dyDescent="0.25">
      <c r="A1" s="9" t="s">
        <v>73</v>
      </c>
      <c r="B1" s="115" t="s">
        <v>74</v>
      </c>
      <c r="D1" s="115" t="s">
        <v>75</v>
      </c>
      <c r="E1" s="115" t="s">
        <v>76</v>
      </c>
      <c r="F1" s="115" t="s">
        <v>35</v>
      </c>
      <c r="G1" s="115" t="s">
        <v>77</v>
      </c>
      <c r="H1" s="115" t="s">
        <v>78</v>
      </c>
      <c r="I1" s="115" t="s">
        <v>37</v>
      </c>
      <c r="J1" s="115" t="s">
        <v>36</v>
      </c>
      <c r="K1" s="115" t="s">
        <v>45</v>
      </c>
      <c r="L1" s="115" t="s">
        <v>79</v>
      </c>
      <c r="M1" s="115" t="s">
        <v>30</v>
      </c>
      <c r="N1" s="3" t="s">
        <v>80</v>
      </c>
      <c r="O1" s="115" t="s">
        <v>95</v>
      </c>
      <c r="Q1" s="115" t="s">
        <v>58</v>
      </c>
    </row>
    <row r="2" spans="1:19" s="4" customFormat="1" x14ac:dyDescent="0.25">
      <c r="A2" s="64">
        <v>1</v>
      </c>
      <c r="B2" s="4" t="s">
        <v>197</v>
      </c>
      <c r="D2" s="5" t="s">
        <v>66</v>
      </c>
      <c r="E2" s="5">
        <v>12</v>
      </c>
      <c r="F2" s="5">
        <v>18</v>
      </c>
      <c r="G2" s="5">
        <v>3</v>
      </c>
      <c r="H2" s="5">
        <v>0</v>
      </c>
      <c r="I2" s="5">
        <v>9</v>
      </c>
      <c r="J2" s="5">
        <v>27</v>
      </c>
      <c r="K2" s="5">
        <v>2</v>
      </c>
      <c r="L2" s="5">
        <v>30</v>
      </c>
      <c r="M2" s="5">
        <v>20</v>
      </c>
      <c r="N2" s="5">
        <v>10</v>
      </c>
      <c r="O2" s="116" t="str">
        <f>CONCATENATE(E2," OZ , ",J2," (",F2,"+",I2,"), ",IF(N2&gt;0,"+",""),N2," ±")</f>
        <v>12 OZ , 27 (18+9), +10 ±</v>
      </c>
      <c r="P2" s="5"/>
      <c r="Q2" s="116" t="s">
        <v>313</v>
      </c>
      <c r="S2" s="5"/>
    </row>
    <row r="3" spans="1:19" s="4" customFormat="1" x14ac:dyDescent="0.25">
      <c r="A3" s="64">
        <v>2</v>
      </c>
      <c r="B3" s="4" t="s">
        <v>198</v>
      </c>
      <c r="D3" s="5" t="s">
        <v>66</v>
      </c>
      <c r="E3" s="5">
        <v>12</v>
      </c>
      <c r="F3" s="5">
        <v>14</v>
      </c>
      <c r="G3" s="5">
        <v>1</v>
      </c>
      <c r="H3" s="5">
        <v>0</v>
      </c>
      <c r="I3" s="5">
        <v>10</v>
      </c>
      <c r="J3" s="5">
        <v>24</v>
      </c>
      <c r="K3" s="5">
        <v>2</v>
      </c>
      <c r="L3" s="5">
        <v>33</v>
      </c>
      <c r="M3" s="5">
        <v>21</v>
      </c>
      <c r="N3" s="5">
        <v>12</v>
      </c>
      <c r="O3" s="116" t="str">
        <f t="shared" ref="O3:O28" si="0">CONCATENATE(E3," OZ , ",J3," (",F3,"+",I3,"), ",IF(N3&gt;0,"+",""),N3," ±")</f>
        <v>12 OZ , 24 (14+10), +12 ±</v>
      </c>
      <c r="P3" s="5"/>
      <c r="Q3" s="116" t="s">
        <v>310</v>
      </c>
      <c r="S3" s="5"/>
    </row>
    <row r="4" spans="1:19" s="4" customFormat="1" x14ac:dyDescent="0.25">
      <c r="A4" s="64">
        <v>3</v>
      </c>
      <c r="B4" s="4" t="s">
        <v>199</v>
      </c>
      <c r="D4" s="5" t="s">
        <v>66</v>
      </c>
      <c r="E4" s="5">
        <v>11</v>
      </c>
      <c r="F4" s="5">
        <v>8</v>
      </c>
      <c r="G4" s="5">
        <v>2</v>
      </c>
      <c r="H4" s="5">
        <v>0</v>
      </c>
      <c r="I4" s="5">
        <v>7</v>
      </c>
      <c r="J4" s="5">
        <v>15</v>
      </c>
      <c r="K4" s="5">
        <v>2</v>
      </c>
      <c r="L4" s="5">
        <v>27</v>
      </c>
      <c r="M4" s="5">
        <v>17</v>
      </c>
      <c r="N4" s="5">
        <v>10</v>
      </c>
      <c r="O4" s="116" t="str">
        <f t="shared" si="0"/>
        <v>11 OZ , 15 (8+7), +10 ±</v>
      </c>
      <c r="P4" s="5"/>
      <c r="Q4" s="116" t="s">
        <v>311</v>
      </c>
      <c r="S4" s="5"/>
    </row>
    <row r="5" spans="1:19" s="4" customFormat="1" x14ac:dyDescent="0.25">
      <c r="A5" s="64">
        <v>4</v>
      </c>
      <c r="B5" s="4" t="s">
        <v>200</v>
      </c>
      <c r="D5" s="5" t="s">
        <v>66</v>
      </c>
      <c r="E5" s="5">
        <v>11</v>
      </c>
      <c r="F5" s="5">
        <v>10</v>
      </c>
      <c r="G5" s="5">
        <v>0</v>
      </c>
      <c r="H5" s="5">
        <v>0</v>
      </c>
      <c r="I5" s="5">
        <v>3</v>
      </c>
      <c r="J5" s="5">
        <v>13</v>
      </c>
      <c r="K5" s="5">
        <v>4</v>
      </c>
      <c r="L5" s="5">
        <v>14</v>
      </c>
      <c r="M5" s="5">
        <v>17</v>
      </c>
      <c r="N5" s="5">
        <v>-3</v>
      </c>
      <c r="O5" s="116" t="str">
        <f t="shared" si="0"/>
        <v>11 OZ , 13 (10+3), -3 ±</v>
      </c>
      <c r="P5" s="5"/>
      <c r="Q5" s="116" t="s">
        <v>312</v>
      </c>
      <c r="S5" s="5"/>
    </row>
    <row r="6" spans="1:19" x14ac:dyDescent="0.25">
      <c r="A6" s="65">
        <v>5</v>
      </c>
      <c r="B6" s="1" t="s">
        <v>201</v>
      </c>
      <c r="D6" s="116" t="s">
        <v>61</v>
      </c>
      <c r="E6" s="116">
        <v>12</v>
      </c>
      <c r="F6" s="116">
        <v>2</v>
      </c>
      <c r="G6" s="116">
        <v>0</v>
      </c>
      <c r="H6" s="116">
        <v>0</v>
      </c>
      <c r="I6" s="116">
        <v>10</v>
      </c>
      <c r="J6" s="116">
        <v>12</v>
      </c>
      <c r="K6" s="116">
        <v>2</v>
      </c>
      <c r="L6" s="116">
        <v>34</v>
      </c>
      <c r="M6" s="116">
        <v>19</v>
      </c>
      <c r="N6" s="116">
        <v>15</v>
      </c>
      <c r="O6" s="116" t="str">
        <f t="shared" si="0"/>
        <v>12 OZ , 12 (2+10), +15 ±</v>
      </c>
    </row>
    <row r="7" spans="1:19" x14ac:dyDescent="0.25">
      <c r="A7" s="65">
        <v>6</v>
      </c>
      <c r="B7" s="1" t="s">
        <v>202</v>
      </c>
      <c r="D7" s="116" t="s">
        <v>61</v>
      </c>
      <c r="E7" s="116">
        <v>12</v>
      </c>
      <c r="F7" s="116">
        <v>4</v>
      </c>
      <c r="G7" s="116">
        <v>1</v>
      </c>
      <c r="H7" s="116">
        <v>0</v>
      </c>
      <c r="I7" s="116">
        <v>5</v>
      </c>
      <c r="J7" s="116">
        <v>9</v>
      </c>
      <c r="K7" s="116">
        <v>0</v>
      </c>
      <c r="L7" s="116">
        <v>22</v>
      </c>
      <c r="M7" s="116">
        <v>21</v>
      </c>
      <c r="N7" s="116">
        <v>1</v>
      </c>
      <c r="O7" s="116" t="str">
        <f t="shared" si="0"/>
        <v>12 OZ , 9 (4+5), +1 ±</v>
      </c>
    </row>
    <row r="8" spans="1:19" x14ac:dyDescent="0.25">
      <c r="A8" s="65">
        <v>7</v>
      </c>
      <c r="B8" s="1" t="s">
        <v>203</v>
      </c>
      <c r="E8" s="116">
        <v>12</v>
      </c>
      <c r="F8" s="116">
        <v>3</v>
      </c>
      <c r="G8" s="116">
        <v>0</v>
      </c>
      <c r="H8" s="116">
        <v>0</v>
      </c>
      <c r="I8" s="116">
        <v>6</v>
      </c>
      <c r="J8" s="116">
        <v>9</v>
      </c>
      <c r="K8" s="116">
        <v>2</v>
      </c>
      <c r="L8" s="116">
        <v>13</v>
      </c>
      <c r="M8" s="116">
        <v>19</v>
      </c>
      <c r="N8" s="116">
        <v>-6</v>
      </c>
      <c r="O8" s="116" t="str">
        <f t="shared" si="0"/>
        <v>12 OZ , 9 (3+6), -6 ±</v>
      </c>
    </row>
    <row r="9" spans="1:19" x14ac:dyDescent="0.25">
      <c r="A9" s="65">
        <v>8</v>
      </c>
      <c r="B9" s="1" t="s">
        <v>204</v>
      </c>
      <c r="D9" s="116" t="s">
        <v>61</v>
      </c>
      <c r="E9" s="116">
        <v>12</v>
      </c>
      <c r="F9" s="116">
        <v>2</v>
      </c>
      <c r="G9" s="116">
        <v>0</v>
      </c>
      <c r="H9" s="116">
        <v>0</v>
      </c>
      <c r="I9" s="116">
        <v>5</v>
      </c>
      <c r="J9" s="116">
        <v>7</v>
      </c>
      <c r="K9" s="116">
        <v>18</v>
      </c>
      <c r="L9" s="116">
        <v>17</v>
      </c>
      <c r="M9" s="116">
        <v>18</v>
      </c>
      <c r="N9" s="116">
        <v>-1</v>
      </c>
      <c r="O9" s="116" t="str">
        <f t="shared" si="0"/>
        <v>12 OZ , 7 (2+5), -1 ±</v>
      </c>
    </row>
    <row r="10" spans="1:19" x14ac:dyDescent="0.25">
      <c r="A10" s="65">
        <v>9</v>
      </c>
      <c r="B10" s="1" t="s">
        <v>205</v>
      </c>
      <c r="E10" s="116">
        <v>12</v>
      </c>
      <c r="F10" s="116">
        <v>4</v>
      </c>
      <c r="G10" s="116">
        <v>0</v>
      </c>
      <c r="H10" s="116">
        <v>0</v>
      </c>
      <c r="I10" s="116">
        <v>2</v>
      </c>
      <c r="J10" s="116">
        <v>6</v>
      </c>
      <c r="K10" s="116">
        <v>0</v>
      </c>
      <c r="L10" s="116">
        <v>12</v>
      </c>
      <c r="M10" s="116">
        <v>16</v>
      </c>
      <c r="N10" s="116">
        <v>-4</v>
      </c>
      <c r="O10" s="116" t="str">
        <f t="shared" si="0"/>
        <v>12 OZ , 6 (4+2), -4 ±</v>
      </c>
    </row>
    <row r="11" spans="1:19" x14ac:dyDescent="0.25">
      <c r="A11" s="65">
        <v>10</v>
      </c>
      <c r="B11" s="1" t="s">
        <v>206</v>
      </c>
      <c r="E11" s="116">
        <v>12</v>
      </c>
      <c r="F11" s="116">
        <v>4</v>
      </c>
      <c r="G11" s="116">
        <v>1</v>
      </c>
      <c r="H11" s="116">
        <v>0</v>
      </c>
      <c r="I11" s="116">
        <v>1</v>
      </c>
      <c r="J11" s="116">
        <v>5</v>
      </c>
      <c r="K11" s="116">
        <v>0</v>
      </c>
      <c r="L11" s="116">
        <v>10</v>
      </c>
      <c r="M11" s="116">
        <v>10</v>
      </c>
      <c r="N11" s="116">
        <v>0</v>
      </c>
      <c r="O11" s="116" t="str">
        <f t="shared" si="0"/>
        <v>12 OZ , 5 (4+1), 0 ±</v>
      </c>
    </row>
    <row r="12" spans="1:19" x14ac:dyDescent="0.25">
      <c r="A12" s="65">
        <v>11</v>
      </c>
      <c r="B12" s="1" t="s">
        <v>207</v>
      </c>
      <c r="D12" s="116" t="s">
        <v>66</v>
      </c>
      <c r="E12" s="116">
        <v>8</v>
      </c>
      <c r="F12" s="116">
        <v>2</v>
      </c>
      <c r="G12" s="116">
        <v>0</v>
      </c>
      <c r="H12" s="116">
        <v>0</v>
      </c>
      <c r="I12" s="116">
        <v>3</v>
      </c>
      <c r="J12" s="116">
        <v>5</v>
      </c>
      <c r="K12" s="116">
        <v>0</v>
      </c>
      <c r="L12" s="116">
        <v>14</v>
      </c>
      <c r="M12" s="116">
        <v>10</v>
      </c>
      <c r="N12" s="116">
        <v>4</v>
      </c>
      <c r="O12" s="116" t="str">
        <f t="shared" si="0"/>
        <v>8 OZ , 5 (2+3), +4 ±</v>
      </c>
    </row>
    <row r="13" spans="1:19" x14ac:dyDescent="0.25">
      <c r="A13" s="65">
        <v>12</v>
      </c>
      <c r="B13" s="1" t="s">
        <v>208</v>
      </c>
      <c r="D13" s="116" t="s">
        <v>66</v>
      </c>
      <c r="E13" s="116">
        <v>12</v>
      </c>
      <c r="F13" s="116">
        <v>1</v>
      </c>
      <c r="G13" s="116">
        <v>0</v>
      </c>
      <c r="H13" s="116">
        <v>0</v>
      </c>
      <c r="I13" s="116">
        <v>3</v>
      </c>
      <c r="J13" s="116">
        <v>4</v>
      </c>
      <c r="K13" s="116">
        <v>2</v>
      </c>
      <c r="L13" s="116">
        <v>8</v>
      </c>
      <c r="M13" s="116">
        <v>11</v>
      </c>
      <c r="N13" s="116">
        <v>-3</v>
      </c>
      <c r="O13" s="116" t="str">
        <f t="shared" si="0"/>
        <v>12 OZ , 4 (1+3), -3 ±</v>
      </c>
    </row>
    <row r="14" spans="1:19" x14ac:dyDescent="0.25">
      <c r="A14" s="65">
        <v>13</v>
      </c>
      <c r="B14" s="1" t="s">
        <v>209</v>
      </c>
      <c r="E14" s="116">
        <v>9</v>
      </c>
      <c r="F14" s="116">
        <v>2</v>
      </c>
      <c r="G14" s="116">
        <v>0</v>
      </c>
      <c r="H14" s="116">
        <v>0</v>
      </c>
      <c r="I14" s="116">
        <v>1</v>
      </c>
      <c r="J14" s="116">
        <v>3</v>
      </c>
      <c r="K14" s="116">
        <v>4</v>
      </c>
      <c r="L14" s="116">
        <v>8</v>
      </c>
      <c r="M14" s="116">
        <v>10</v>
      </c>
      <c r="N14" s="116">
        <v>-2</v>
      </c>
      <c r="O14" s="116" t="str">
        <f t="shared" si="0"/>
        <v>9 OZ , 3 (2+1), -2 ±</v>
      </c>
    </row>
    <row r="15" spans="1:19" x14ac:dyDescent="0.25">
      <c r="A15" s="65">
        <v>14</v>
      </c>
      <c r="B15" s="1" t="s">
        <v>210</v>
      </c>
      <c r="D15" s="116" t="s">
        <v>61</v>
      </c>
      <c r="E15" s="116">
        <v>12</v>
      </c>
      <c r="F15" s="116">
        <v>2</v>
      </c>
      <c r="G15" s="116">
        <v>0</v>
      </c>
      <c r="H15" s="116">
        <v>0</v>
      </c>
      <c r="I15" s="116">
        <v>0</v>
      </c>
      <c r="J15" s="116">
        <v>2</v>
      </c>
      <c r="K15" s="116">
        <v>6</v>
      </c>
      <c r="L15" s="116">
        <v>7</v>
      </c>
      <c r="M15" s="116">
        <v>11</v>
      </c>
      <c r="N15" s="116">
        <v>-4</v>
      </c>
      <c r="O15" s="116" t="str">
        <f t="shared" si="0"/>
        <v>12 OZ , 2 (2+0), -4 ±</v>
      </c>
    </row>
    <row r="16" spans="1:19" x14ac:dyDescent="0.25">
      <c r="A16" s="65">
        <v>15</v>
      </c>
      <c r="B16" s="1" t="s">
        <v>211</v>
      </c>
      <c r="D16" s="116" t="s">
        <v>66</v>
      </c>
      <c r="E16" s="116">
        <v>10</v>
      </c>
      <c r="F16" s="116">
        <v>1</v>
      </c>
      <c r="G16" s="116">
        <v>0</v>
      </c>
      <c r="H16" s="116">
        <v>0</v>
      </c>
      <c r="I16" s="116">
        <v>1</v>
      </c>
      <c r="J16" s="116">
        <v>2</v>
      </c>
      <c r="K16" s="116">
        <v>2</v>
      </c>
      <c r="L16" s="116">
        <v>12</v>
      </c>
      <c r="M16" s="116">
        <v>15</v>
      </c>
      <c r="N16" s="116">
        <v>-3</v>
      </c>
      <c r="O16" s="116" t="str">
        <f t="shared" si="0"/>
        <v>10 OZ , 2 (1+1), -3 ±</v>
      </c>
    </row>
    <row r="17" spans="1:18" x14ac:dyDescent="0.25">
      <c r="A17" s="65">
        <v>16</v>
      </c>
      <c r="B17" s="1" t="s">
        <v>212</v>
      </c>
      <c r="D17" s="116" t="s">
        <v>61</v>
      </c>
      <c r="E17" s="116">
        <v>6</v>
      </c>
      <c r="F17" s="116">
        <v>0</v>
      </c>
      <c r="G17" s="116">
        <v>0</v>
      </c>
      <c r="H17" s="116">
        <v>0</v>
      </c>
      <c r="I17" s="116">
        <v>2</v>
      </c>
      <c r="J17" s="116">
        <v>2</v>
      </c>
      <c r="K17" s="116">
        <v>4</v>
      </c>
      <c r="L17" s="116">
        <v>11</v>
      </c>
      <c r="M17" s="116">
        <v>6</v>
      </c>
      <c r="N17" s="116">
        <v>5</v>
      </c>
      <c r="O17" s="116" t="str">
        <f t="shared" si="0"/>
        <v>6 OZ , 2 (0+2), +5 ±</v>
      </c>
    </row>
    <row r="18" spans="1:18" x14ac:dyDescent="0.25">
      <c r="A18" s="65">
        <v>17</v>
      </c>
      <c r="B18" s="1" t="s">
        <v>213</v>
      </c>
      <c r="D18" s="116" t="s">
        <v>66</v>
      </c>
      <c r="E18" s="116">
        <v>12</v>
      </c>
      <c r="F18" s="116">
        <v>0</v>
      </c>
      <c r="G18" s="116">
        <v>0</v>
      </c>
      <c r="H18" s="116">
        <v>0</v>
      </c>
      <c r="I18" s="116">
        <v>1</v>
      </c>
      <c r="J18" s="116">
        <v>1</v>
      </c>
      <c r="K18" s="116">
        <v>0</v>
      </c>
      <c r="L18" s="116">
        <v>3</v>
      </c>
      <c r="M18" s="116">
        <v>7</v>
      </c>
      <c r="N18" s="116">
        <v>-4</v>
      </c>
      <c r="O18" s="116" t="str">
        <f t="shared" si="0"/>
        <v>12 OZ , 1 (0+1), -4 ±</v>
      </c>
    </row>
    <row r="19" spans="1:18" x14ac:dyDescent="0.25">
      <c r="A19" s="65">
        <v>18</v>
      </c>
      <c r="B19" s="1" t="s">
        <v>217</v>
      </c>
      <c r="E19" s="116">
        <v>2</v>
      </c>
      <c r="F19" s="116">
        <v>0</v>
      </c>
      <c r="G19" s="116">
        <v>0</v>
      </c>
      <c r="H19" s="116">
        <v>0</v>
      </c>
      <c r="I19" s="116">
        <v>0</v>
      </c>
      <c r="J19" s="116">
        <v>0</v>
      </c>
      <c r="K19" s="116">
        <v>0</v>
      </c>
      <c r="L19" s="116">
        <v>0</v>
      </c>
      <c r="M19" s="116">
        <v>0</v>
      </c>
      <c r="N19" s="116">
        <v>0</v>
      </c>
      <c r="O19" s="116" t="str">
        <f t="shared" si="0"/>
        <v>2 OZ , 0 (0+0), 0 ±</v>
      </c>
    </row>
    <row r="20" spans="1:18" x14ac:dyDescent="0.25">
      <c r="A20" s="65">
        <v>19</v>
      </c>
      <c r="B20" s="1" t="s">
        <v>214</v>
      </c>
      <c r="D20" s="116" t="s">
        <v>66</v>
      </c>
      <c r="E20" s="116">
        <v>2</v>
      </c>
      <c r="F20" s="116">
        <v>0</v>
      </c>
      <c r="G20" s="116">
        <v>0</v>
      </c>
      <c r="H20" s="116">
        <v>0</v>
      </c>
      <c r="I20" s="116">
        <v>0</v>
      </c>
      <c r="J20" s="116">
        <v>0</v>
      </c>
      <c r="K20" s="116">
        <v>0</v>
      </c>
      <c r="L20" s="116">
        <v>0</v>
      </c>
      <c r="M20" s="116">
        <v>2</v>
      </c>
      <c r="N20" s="116">
        <v>-2</v>
      </c>
      <c r="O20" s="116" t="str">
        <f t="shared" si="0"/>
        <v>2 OZ , 0 (0+0), -2 ±</v>
      </c>
    </row>
    <row r="21" spans="1:18" x14ac:dyDescent="0.25">
      <c r="A21" s="65">
        <v>20</v>
      </c>
      <c r="B21" s="1" t="s">
        <v>216</v>
      </c>
      <c r="D21" s="116" t="s">
        <v>66</v>
      </c>
      <c r="E21" s="116">
        <v>2</v>
      </c>
      <c r="F21" s="116">
        <v>0</v>
      </c>
      <c r="G21" s="116">
        <v>0</v>
      </c>
      <c r="H21" s="116">
        <v>0</v>
      </c>
      <c r="I21" s="116">
        <v>0</v>
      </c>
      <c r="J21" s="116">
        <v>0</v>
      </c>
      <c r="K21" s="116">
        <v>0</v>
      </c>
      <c r="L21" s="116">
        <v>0</v>
      </c>
      <c r="M21" s="116">
        <v>0</v>
      </c>
      <c r="N21" s="116">
        <v>0</v>
      </c>
      <c r="O21" s="116" t="str">
        <f t="shared" si="0"/>
        <v>2 OZ , 0 (0+0), 0 ±</v>
      </c>
    </row>
    <row r="22" spans="1:18" x14ac:dyDescent="0.25">
      <c r="A22" s="65">
        <v>21</v>
      </c>
      <c r="B22" s="1" t="s">
        <v>215</v>
      </c>
      <c r="D22" s="116" t="s">
        <v>35</v>
      </c>
      <c r="E22" s="116">
        <v>0</v>
      </c>
      <c r="F22" s="116">
        <v>0</v>
      </c>
      <c r="G22" s="116">
        <v>0</v>
      </c>
      <c r="H22" s="116">
        <v>0</v>
      </c>
      <c r="I22" s="116">
        <v>0</v>
      </c>
      <c r="J22" s="116">
        <v>0</v>
      </c>
      <c r="K22" s="116">
        <v>0</v>
      </c>
      <c r="L22" s="116">
        <v>0</v>
      </c>
      <c r="M22" s="116">
        <v>0</v>
      </c>
      <c r="N22" s="116">
        <v>0</v>
      </c>
      <c r="O22" s="116" t="str">
        <f t="shared" si="0"/>
        <v>0 OZ , 0 (0+0), 0 ±</v>
      </c>
    </row>
    <row r="23" spans="1:18" x14ac:dyDescent="0.25">
      <c r="A23" s="65">
        <v>22</v>
      </c>
      <c r="B23" s="1" t="s">
        <v>218</v>
      </c>
      <c r="E23" s="116">
        <v>3</v>
      </c>
      <c r="F23" s="116">
        <v>0</v>
      </c>
      <c r="G23" s="116">
        <v>0</v>
      </c>
      <c r="H23" s="116">
        <v>0</v>
      </c>
      <c r="I23" s="116">
        <v>0</v>
      </c>
      <c r="J23" s="116">
        <v>0</v>
      </c>
      <c r="K23" s="116">
        <v>0</v>
      </c>
      <c r="L23" s="116">
        <v>1</v>
      </c>
      <c r="M23" s="116">
        <v>0</v>
      </c>
      <c r="N23" s="116">
        <v>1</v>
      </c>
      <c r="O23" s="116" t="str">
        <f t="shared" si="0"/>
        <v>3 OZ , 0 (0+0), +1 ±</v>
      </c>
    </row>
    <row r="24" spans="1:18" x14ac:dyDescent="0.25">
      <c r="A24" s="65">
        <v>23</v>
      </c>
      <c r="B24" s="1" t="s">
        <v>219</v>
      </c>
      <c r="E24" s="116">
        <v>4</v>
      </c>
      <c r="F24" s="116">
        <v>0</v>
      </c>
      <c r="G24" s="116">
        <v>0</v>
      </c>
      <c r="H24" s="116">
        <v>0</v>
      </c>
      <c r="I24" s="116">
        <v>0</v>
      </c>
      <c r="J24" s="116">
        <v>0</v>
      </c>
      <c r="K24" s="116">
        <v>0</v>
      </c>
      <c r="L24" s="116">
        <v>0</v>
      </c>
      <c r="M24" s="116">
        <v>0</v>
      </c>
      <c r="N24" s="116">
        <v>0</v>
      </c>
      <c r="O24" s="116" t="str">
        <f t="shared" si="0"/>
        <v>4 OZ , 0 (0+0), 0 ±</v>
      </c>
    </row>
    <row r="25" spans="1:18" x14ac:dyDescent="0.25">
      <c r="A25" s="65">
        <v>24</v>
      </c>
      <c r="B25" s="1" t="s">
        <v>220</v>
      </c>
      <c r="D25" s="116" t="s">
        <v>35</v>
      </c>
      <c r="E25" s="116">
        <v>0</v>
      </c>
      <c r="F25" s="116">
        <v>0</v>
      </c>
      <c r="G25" s="116">
        <v>0</v>
      </c>
      <c r="H25" s="116">
        <v>0</v>
      </c>
      <c r="I25" s="116">
        <v>0</v>
      </c>
      <c r="J25" s="116">
        <v>0</v>
      </c>
      <c r="K25" s="116">
        <v>0</v>
      </c>
      <c r="L25" s="116">
        <v>0</v>
      </c>
      <c r="M25" s="116">
        <v>0</v>
      </c>
      <c r="N25" s="116">
        <v>0</v>
      </c>
      <c r="O25" s="116" t="str">
        <f t="shared" si="0"/>
        <v>0 OZ , 0 (0+0), 0 ±</v>
      </c>
    </row>
    <row r="26" spans="1:18" x14ac:dyDescent="0.25">
      <c r="A26" s="65">
        <v>25</v>
      </c>
      <c r="B26" s="1" t="s">
        <v>221</v>
      </c>
      <c r="D26" s="116" t="s">
        <v>35</v>
      </c>
      <c r="E26" s="116">
        <v>0</v>
      </c>
      <c r="F26" s="116">
        <v>0</v>
      </c>
      <c r="G26" s="116">
        <v>0</v>
      </c>
      <c r="H26" s="116">
        <v>0</v>
      </c>
      <c r="I26" s="116">
        <v>0</v>
      </c>
      <c r="J26" s="116">
        <v>0</v>
      </c>
      <c r="K26" s="116">
        <v>0</v>
      </c>
      <c r="L26" s="116">
        <v>0</v>
      </c>
      <c r="M26" s="116">
        <v>0</v>
      </c>
      <c r="N26" s="116">
        <v>0</v>
      </c>
      <c r="O26" s="116" t="str">
        <f t="shared" si="0"/>
        <v>0 OZ , 0 (0+0), 0 ±</v>
      </c>
    </row>
    <row r="27" spans="1:18" x14ac:dyDescent="0.25">
      <c r="A27" s="65">
        <v>26</v>
      </c>
      <c r="B27" s="1" t="s">
        <v>222</v>
      </c>
      <c r="D27" s="116" t="s">
        <v>66</v>
      </c>
      <c r="E27" s="116">
        <v>12</v>
      </c>
      <c r="F27" s="116">
        <v>0</v>
      </c>
      <c r="G27" s="116">
        <v>0</v>
      </c>
      <c r="H27" s="116">
        <v>0</v>
      </c>
      <c r="I27" s="116">
        <v>0</v>
      </c>
      <c r="J27" s="116">
        <v>0</v>
      </c>
      <c r="K27" s="116">
        <v>8</v>
      </c>
      <c r="L27" s="116">
        <v>7</v>
      </c>
      <c r="M27" s="116">
        <v>6</v>
      </c>
      <c r="N27" s="116">
        <v>1</v>
      </c>
      <c r="O27" s="116" t="str">
        <f t="shared" si="0"/>
        <v>12 OZ , 0 (0+0), +1 ±</v>
      </c>
    </row>
    <row r="28" spans="1:18" x14ac:dyDescent="0.25">
      <c r="A28" s="65">
        <v>27</v>
      </c>
      <c r="B28" s="1" t="s">
        <v>223</v>
      </c>
      <c r="E28" s="116">
        <v>0</v>
      </c>
      <c r="F28" s="116">
        <v>0</v>
      </c>
      <c r="G28" s="116">
        <v>0</v>
      </c>
      <c r="H28" s="116">
        <v>0</v>
      </c>
      <c r="I28" s="116">
        <v>0</v>
      </c>
      <c r="J28" s="116">
        <v>0</v>
      </c>
      <c r="K28" s="116">
        <v>0</v>
      </c>
      <c r="L28" s="116">
        <v>0</v>
      </c>
      <c r="M28" s="116">
        <v>0</v>
      </c>
      <c r="N28" s="116">
        <v>0</v>
      </c>
      <c r="O28" s="116" t="str">
        <f t="shared" si="0"/>
        <v>0 OZ , 0 (0+0), 0 ±</v>
      </c>
    </row>
    <row r="30" spans="1:18" s="115" customFormat="1" ht="15" customHeight="1" x14ac:dyDescent="0.25">
      <c r="A30" s="9" t="s">
        <v>73</v>
      </c>
      <c r="B30" s="115" t="s">
        <v>74</v>
      </c>
      <c r="D30" s="115" t="s">
        <v>98</v>
      </c>
      <c r="E30" s="115" t="s">
        <v>99</v>
      </c>
      <c r="F30" s="115" t="s">
        <v>100</v>
      </c>
      <c r="G30" s="115" t="s">
        <v>50</v>
      </c>
      <c r="H30" s="115" t="s">
        <v>101</v>
      </c>
      <c r="I30" s="115" t="s">
        <v>102</v>
      </c>
      <c r="J30" s="115" t="s">
        <v>103</v>
      </c>
      <c r="K30" s="115" t="s">
        <v>94</v>
      </c>
      <c r="L30" s="115" t="s">
        <v>51</v>
      </c>
      <c r="M30" s="115" t="s">
        <v>104</v>
      </c>
      <c r="N30" s="3" t="s">
        <v>37</v>
      </c>
      <c r="O30" s="115" t="s">
        <v>45</v>
      </c>
      <c r="P30" s="115" t="s">
        <v>109</v>
      </c>
      <c r="Q30" s="115" t="s">
        <v>110</v>
      </c>
      <c r="R30" s="115" t="s">
        <v>111</v>
      </c>
    </row>
    <row r="31" spans="1:18" x14ac:dyDescent="0.25">
      <c r="A31" s="65">
        <v>1</v>
      </c>
      <c r="B31" s="1" t="s">
        <v>221</v>
      </c>
      <c r="D31" s="116">
        <v>6</v>
      </c>
      <c r="E31" s="116">
        <v>6</v>
      </c>
      <c r="F31" s="13">
        <v>361.25</v>
      </c>
      <c r="G31" s="116">
        <v>3</v>
      </c>
      <c r="H31" s="116">
        <v>26</v>
      </c>
      <c r="I31" s="116">
        <v>0</v>
      </c>
      <c r="J31" s="116">
        <v>147</v>
      </c>
      <c r="K31" s="116">
        <v>0</v>
      </c>
      <c r="L31" s="116">
        <v>3</v>
      </c>
      <c r="M31" s="116">
        <v>121</v>
      </c>
      <c r="N31" s="116">
        <v>0</v>
      </c>
      <c r="O31" s="116">
        <v>0</v>
      </c>
      <c r="P31" s="13">
        <f>IFERROR(H31/(F31/60),0)</f>
        <v>4.3183391003460212</v>
      </c>
      <c r="Q31" s="13">
        <f>IFERROR((M31/J31)*100,0)</f>
        <v>82.312925170068027</v>
      </c>
      <c r="R31" s="116" t="str">
        <f>CONCATENATE(G31, " V, ",L31," P")</f>
        <v>3 V, 3 P</v>
      </c>
    </row>
    <row r="32" spans="1:18" x14ac:dyDescent="0.25">
      <c r="A32" s="65">
        <v>2</v>
      </c>
      <c r="B32" s="1" t="s">
        <v>223</v>
      </c>
      <c r="D32" s="116">
        <v>12</v>
      </c>
      <c r="E32" s="116">
        <v>4</v>
      </c>
      <c r="F32" s="13">
        <v>237.77</v>
      </c>
      <c r="G32" s="116">
        <v>3</v>
      </c>
      <c r="H32" s="116">
        <v>25</v>
      </c>
      <c r="I32" s="116">
        <v>0</v>
      </c>
      <c r="J32" s="116">
        <v>87</v>
      </c>
      <c r="K32" s="116">
        <v>0</v>
      </c>
      <c r="L32" s="116">
        <v>1</v>
      </c>
      <c r="M32" s="116">
        <v>62</v>
      </c>
      <c r="N32" s="116">
        <v>0</v>
      </c>
      <c r="O32" s="116">
        <v>0</v>
      </c>
      <c r="P32" s="13">
        <f t="shared" ref="P32:P34" si="1">IFERROR(H32/(F32/60),0)</f>
        <v>6.3086175716028086</v>
      </c>
      <c r="Q32" s="13">
        <f t="shared" ref="Q32:Q34" si="2">IFERROR((M32/J32)*100,0)</f>
        <v>71.264367816091962</v>
      </c>
      <c r="R32" s="116" t="str">
        <f t="shared" ref="R32:R34" si="3">CONCATENATE(G32, " V, ",L32," P")</f>
        <v>3 V, 1 P</v>
      </c>
    </row>
    <row r="33" spans="1:20" x14ac:dyDescent="0.25">
      <c r="A33" s="65">
        <v>3</v>
      </c>
      <c r="B33" s="1" t="s">
        <v>220</v>
      </c>
      <c r="D33" s="116">
        <v>4</v>
      </c>
      <c r="E33" s="116">
        <v>2</v>
      </c>
      <c r="F33" s="13">
        <v>120</v>
      </c>
      <c r="G33" s="116">
        <v>2</v>
      </c>
      <c r="H33" s="116">
        <v>11</v>
      </c>
      <c r="I33" s="116">
        <v>0</v>
      </c>
      <c r="J33" s="116">
        <v>44</v>
      </c>
      <c r="K33" s="116">
        <v>0</v>
      </c>
      <c r="L33" s="116">
        <v>0</v>
      </c>
      <c r="M33" s="116">
        <v>33</v>
      </c>
      <c r="N33" s="116">
        <v>0</v>
      </c>
      <c r="O33" s="116">
        <v>0</v>
      </c>
      <c r="P33" s="13">
        <f t="shared" si="1"/>
        <v>5.5</v>
      </c>
      <c r="Q33" s="13">
        <f t="shared" si="2"/>
        <v>75</v>
      </c>
      <c r="R33" s="116" t="str">
        <f t="shared" si="3"/>
        <v>2 V, 0 P</v>
      </c>
    </row>
    <row r="34" spans="1:20" x14ac:dyDescent="0.25">
      <c r="A34" s="65">
        <v>4</v>
      </c>
      <c r="B34" s="1" t="s">
        <v>215</v>
      </c>
      <c r="D34" s="116">
        <v>2</v>
      </c>
      <c r="E34" s="116">
        <v>0</v>
      </c>
      <c r="F34" s="13">
        <v>0</v>
      </c>
      <c r="G34" s="116">
        <v>0</v>
      </c>
      <c r="H34" s="116">
        <v>0</v>
      </c>
      <c r="I34" s="116">
        <v>0</v>
      </c>
      <c r="J34" s="116">
        <v>0</v>
      </c>
      <c r="K34" s="116">
        <v>0</v>
      </c>
      <c r="L34" s="116">
        <v>0</v>
      </c>
      <c r="M34" s="116">
        <v>0</v>
      </c>
      <c r="N34" s="116">
        <v>0</v>
      </c>
      <c r="O34" s="116">
        <v>0</v>
      </c>
      <c r="P34" s="13">
        <f t="shared" si="1"/>
        <v>0</v>
      </c>
      <c r="Q34" s="13">
        <f t="shared" si="2"/>
        <v>0</v>
      </c>
      <c r="R34" s="116" t="str">
        <f t="shared" si="3"/>
        <v>0 V, 0 P</v>
      </c>
    </row>
    <row r="37" spans="1:20" s="115" customFormat="1" ht="15" customHeight="1" x14ac:dyDescent="0.25">
      <c r="A37" s="7">
        <f ca="1">TODAY()</f>
        <v>44203</v>
      </c>
      <c r="B37" s="115" t="s">
        <v>74</v>
      </c>
      <c r="C37" s="115" t="s">
        <v>81</v>
      </c>
      <c r="D37" s="115" t="s">
        <v>82</v>
      </c>
      <c r="E37" s="115" t="s">
        <v>85</v>
      </c>
      <c r="F37" s="115" t="s">
        <v>86</v>
      </c>
      <c r="G37" s="115" t="s">
        <v>87</v>
      </c>
      <c r="H37" s="115" t="s">
        <v>88</v>
      </c>
      <c r="I37" s="115" t="s">
        <v>56</v>
      </c>
      <c r="J37" s="115" t="s">
        <v>73</v>
      </c>
      <c r="K37" s="115" t="s">
        <v>196</v>
      </c>
      <c r="L37" s="115" t="s">
        <v>92</v>
      </c>
      <c r="M37" s="115" t="s">
        <v>83</v>
      </c>
      <c r="N37" s="115" t="s">
        <v>84</v>
      </c>
      <c r="O37" s="115" t="s">
        <v>96</v>
      </c>
      <c r="P37" s="115" t="s">
        <v>97</v>
      </c>
      <c r="Q37" s="115" t="s">
        <v>89</v>
      </c>
      <c r="R37" s="115" t="s">
        <v>90</v>
      </c>
      <c r="S37" s="115" t="s">
        <v>112</v>
      </c>
      <c r="T37" s="115" t="s">
        <v>177</v>
      </c>
    </row>
    <row r="38" spans="1:20" ht="15" customHeight="1" x14ac:dyDescent="0.25">
      <c r="B38" s="1" t="s">
        <v>214</v>
      </c>
      <c r="C38" s="10">
        <v>35401</v>
      </c>
      <c r="D38" s="116">
        <f ca="1">ROUNDDOWN(($A$37-C38)/365.25,0)</f>
        <v>24</v>
      </c>
      <c r="E38" s="116">
        <v>146</v>
      </c>
      <c r="F38" s="116">
        <v>34</v>
      </c>
      <c r="G38" s="116">
        <v>21</v>
      </c>
      <c r="H38" s="116">
        <f>F38+G38</f>
        <v>55</v>
      </c>
      <c r="I38" s="116">
        <v>8</v>
      </c>
      <c r="J38" s="116">
        <v>12</v>
      </c>
      <c r="L38" s="116" t="s">
        <v>93</v>
      </c>
      <c r="M38" s="116">
        <v>183</v>
      </c>
      <c r="N38" s="116">
        <v>88</v>
      </c>
      <c r="O38" s="116" t="str">
        <f t="shared" ref="O38:O64" si="4">CONCATENATE(E38+VLOOKUP(B38,$B$2:$N$28,4,FALSE), " OZ, ", H38+VLOOKUP(B38,$B$2:$N$28,9,FALSE), " (", F38+VLOOKUP(B38,$B$2:$N$28,5,FALSE), "+",G38+VLOOKUP(B38,$B$2:$N$28,8,FALSE), ")")</f>
        <v>148 OZ, 55 (34+21)</v>
      </c>
      <c r="P38" s="116" t="str">
        <f t="shared" ref="P38:P64" si="5">CONCATENATE(M38,"/",N38)</f>
        <v>183/88</v>
      </c>
      <c r="Q38" s="118" t="s">
        <v>270</v>
      </c>
      <c r="R38" s="116">
        <v>2007</v>
      </c>
      <c r="T38" s="1" t="s">
        <v>224</v>
      </c>
    </row>
    <row r="39" spans="1:20" ht="15" customHeight="1" x14ac:dyDescent="0.25">
      <c r="B39" s="1" t="s">
        <v>206</v>
      </c>
      <c r="C39" s="10">
        <v>36733</v>
      </c>
      <c r="D39" s="116">
        <f t="shared" ref="D39:D64" ca="1" si="6">ROUNDDOWN(($A$37-C39)/365.25,0)</f>
        <v>20</v>
      </c>
      <c r="E39" s="116">
        <v>20</v>
      </c>
      <c r="F39" s="116">
        <v>3</v>
      </c>
      <c r="G39" s="116">
        <v>4</v>
      </c>
      <c r="H39" s="116">
        <f t="shared" ref="H39:H64" si="7">F39+G39</f>
        <v>7</v>
      </c>
      <c r="I39" s="116">
        <v>3</v>
      </c>
      <c r="J39" s="116">
        <v>77</v>
      </c>
      <c r="L39" s="116" t="s">
        <v>93</v>
      </c>
      <c r="M39" s="116">
        <v>183</v>
      </c>
      <c r="N39" s="116">
        <v>92</v>
      </c>
      <c r="O39" s="116" t="str">
        <f t="shared" si="4"/>
        <v>32 OZ, 12 (7+5)</v>
      </c>
      <c r="P39" s="116" t="str">
        <f t="shared" si="5"/>
        <v>183/92</v>
      </c>
      <c r="Q39" s="118" t="s">
        <v>281</v>
      </c>
      <c r="R39" s="116">
        <v>2007</v>
      </c>
      <c r="T39" s="1" t="s">
        <v>225</v>
      </c>
    </row>
    <row r="40" spans="1:20" ht="15" customHeight="1" x14ac:dyDescent="0.25">
      <c r="B40" s="1" t="s">
        <v>207</v>
      </c>
      <c r="C40" s="10">
        <v>36184</v>
      </c>
      <c r="D40" s="116">
        <f t="shared" ca="1" si="6"/>
        <v>21</v>
      </c>
      <c r="E40" s="116">
        <v>78</v>
      </c>
      <c r="F40" s="116">
        <v>31</v>
      </c>
      <c r="G40" s="116">
        <v>11</v>
      </c>
      <c r="H40" s="116">
        <f t="shared" si="7"/>
        <v>42</v>
      </c>
      <c r="I40" s="116">
        <v>5</v>
      </c>
      <c r="J40" s="116">
        <v>4</v>
      </c>
      <c r="L40" s="116" t="s">
        <v>93</v>
      </c>
      <c r="M40" s="116">
        <v>184</v>
      </c>
      <c r="N40" s="116">
        <v>78</v>
      </c>
      <c r="O40" s="116" t="str">
        <f t="shared" si="4"/>
        <v>86 OZ, 47 (33+14)</v>
      </c>
      <c r="P40" s="116" t="str">
        <f t="shared" si="5"/>
        <v>184/78</v>
      </c>
      <c r="Q40" s="118" t="s">
        <v>268</v>
      </c>
      <c r="R40" s="116">
        <v>2008</v>
      </c>
      <c r="T40" s="1" t="s">
        <v>226</v>
      </c>
    </row>
    <row r="41" spans="1:20" ht="15" customHeight="1" x14ac:dyDescent="0.25">
      <c r="B41" s="1" t="s">
        <v>209</v>
      </c>
      <c r="C41" s="10">
        <v>37679</v>
      </c>
      <c r="D41" s="116">
        <f t="shared" ca="1" si="6"/>
        <v>17</v>
      </c>
      <c r="E41" s="116">
        <v>0</v>
      </c>
      <c r="F41" s="116">
        <v>0</v>
      </c>
      <c r="G41" s="116">
        <v>0</v>
      </c>
      <c r="H41" s="116">
        <f t="shared" si="7"/>
        <v>0</v>
      </c>
      <c r="I41" s="116">
        <v>1</v>
      </c>
      <c r="J41" s="116">
        <v>93</v>
      </c>
      <c r="L41" s="116" t="s">
        <v>93</v>
      </c>
      <c r="M41" s="116">
        <v>175</v>
      </c>
      <c r="N41" s="116">
        <v>67</v>
      </c>
      <c r="O41" s="116" t="str">
        <f t="shared" si="4"/>
        <v>9 OZ, 3 (2+1)</v>
      </c>
      <c r="P41" s="116" t="str">
        <f t="shared" si="5"/>
        <v>175/67</v>
      </c>
      <c r="Q41" s="118" t="s">
        <v>273</v>
      </c>
      <c r="R41" s="116">
        <v>2010</v>
      </c>
      <c r="T41" s="1" t="s">
        <v>227</v>
      </c>
    </row>
    <row r="42" spans="1:20" ht="15" customHeight="1" x14ac:dyDescent="0.25">
      <c r="B42" s="1" t="s">
        <v>216</v>
      </c>
      <c r="C42" s="10"/>
      <c r="D42" s="116">
        <f t="shared" ca="1" si="6"/>
        <v>121</v>
      </c>
      <c r="H42" s="116">
        <f t="shared" si="7"/>
        <v>0</v>
      </c>
      <c r="O42" s="116" t="str">
        <f t="shared" si="4"/>
        <v>2 OZ, 0 (0+0)</v>
      </c>
      <c r="P42" s="116" t="str">
        <f t="shared" si="5"/>
        <v>/</v>
      </c>
      <c r="R42" s="116"/>
      <c r="T42" s="1" t="s">
        <v>248</v>
      </c>
    </row>
    <row r="43" spans="1:20" ht="15" customHeight="1" x14ac:dyDescent="0.25">
      <c r="B43" s="1" t="s">
        <v>219</v>
      </c>
      <c r="C43" s="10"/>
      <c r="D43" s="116">
        <f t="shared" ca="1" si="6"/>
        <v>121</v>
      </c>
      <c r="H43" s="116">
        <f t="shared" si="7"/>
        <v>0</v>
      </c>
      <c r="O43" s="116" t="str">
        <f t="shared" si="4"/>
        <v>4 OZ, 0 (0+0)</v>
      </c>
      <c r="P43" s="116" t="str">
        <f t="shared" si="5"/>
        <v>/</v>
      </c>
      <c r="R43" s="116"/>
      <c r="T43" s="1" t="s">
        <v>228</v>
      </c>
    </row>
    <row r="44" spans="1:20" ht="15" customHeight="1" x14ac:dyDescent="0.25">
      <c r="B44" s="1" t="s">
        <v>204</v>
      </c>
      <c r="C44" s="10">
        <v>33927</v>
      </c>
      <c r="D44" s="116">
        <f t="shared" ca="1" si="6"/>
        <v>28</v>
      </c>
      <c r="E44" s="116">
        <v>182</v>
      </c>
      <c r="F44" s="116">
        <v>82</v>
      </c>
      <c r="G44" s="116">
        <v>72</v>
      </c>
      <c r="H44" s="116">
        <f t="shared" si="7"/>
        <v>154</v>
      </c>
      <c r="I44" s="116">
        <v>10</v>
      </c>
      <c r="J44" s="116">
        <v>65</v>
      </c>
      <c r="L44" s="116" t="s">
        <v>51</v>
      </c>
      <c r="M44" s="116">
        <v>195</v>
      </c>
      <c r="N44" s="116">
        <v>86</v>
      </c>
      <c r="O44" s="116" t="str">
        <f t="shared" si="4"/>
        <v>194 OZ, 161 (84+77)</v>
      </c>
      <c r="P44" s="116" t="str">
        <f t="shared" si="5"/>
        <v>195/86</v>
      </c>
      <c r="Q44" s="118" t="s">
        <v>272</v>
      </c>
      <c r="R44" s="116">
        <v>2002</v>
      </c>
      <c r="T44" s="1" t="s">
        <v>229</v>
      </c>
    </row>
    <row r="45" spans="1:20" ht="15" customHeight="1" x14ac:dyDescent="0.25">
      <c r="B45" s="1" t="s">
        <v>203</v>
      </c>
      <c r="C45" s="10">
        <v>33793</v>
      </c>
      <c r="D45" s="116">
        <f t="shared" ca="1" si="6"/>
        <v>28</v>
      </c>
      <c r="E45" s="116">
        <v>184</v>
      </c>
      <c r="F45" s="116">
        <v>116</v>
      </c>
      <c r="G45" s="116">
        <v>82</v>
      </c>
      <c r="H45" s="116">
        <f t="shared" si="7"/>
        <v>198</v>
      </c>
      <c r="I45" s="116">
        <v>11</v>
      </c>
      <c r="J45" s="116">
        <v>87</v>
      </c>
      <c r="L45" s="116" t="s">
        <v>93</v>
      </c>
      <c r="M45" s="116">
        <v>176</v>
      </c>
      <c r="N45" s="116">
        <v>73</v>
      </c>
      <c r="O45" s="116" t="str">
        <f t="shared" si="4"/>
        <v>196 OZ, 207 (119+88)</v>
      </c>
      <c r="P45" s="116" t="str">
        <f t="shared" si="5"/>
        <v>176/73</v>
      </c>
      <c r="Q45" s="118" t="s">
        <v>27</v>
      </c>
      <c r="R45" s="116">
        <v>2004</v>
      </c>
      <c r="T45" s="1" t="s">
        <v>230</v>
      </c>
    </row>
    <row r="46" spans="1:20" ht="15" customHeight="1" x14ac:dyDescent="0.25">
      <c r="B46" s="1" t="s">
        <v>218</v>
      </c>
      <c r="C46" s="10">
        <v>36770</v>
      </c>
      <c r="D46" s="116">
        <f t="shared" ca="1" si="6"/>
        <v>20</v>
      </c>
      <c r="E46" s="116">
        <v>6</v>
      </c>
      <c r="F46" s="116">
        <v>0</v>
      </c>
      <c r="G46" s="116">
        <v>0</v>
      </c>
      <c r="H46" s="116">
        <f t="shared" si="7"/>
        <v>0</v>
      </c>
      <c r="I46" s="116">
        <v>3</v>
      </c>
      <c r="J46" s="116">
        <v>88</v>
      </c>
      <c r="L46" s="116" t="s">
        <v>93</v>
      </c>
      <c r="M46" s="116">
        <v>177</v>
      </c>
      <c r="N46" s="116">
        <v>75</v>
      </c>
      <c r="O46" s="116" t="str">
        <f t="shared" si="4"/>
        <v>9 OZ, 0 (0+0)</v>
      </c>
      <c r="P46" s="116" t="str">
        <f t="shared" si="5"/>
        <v>177/75</v>
      </c>
      <c r="Q46" s="118" t="s">
        <v>282</v>
      </c>
      <c r="R46" s="116">
        <v>2009</v>
      </c>
      <c r="T46" s="1" t="s">
        <v>231</v>
      </c>
    </row>
    <row r="47" spans="1:20" ht="15" customHeight="1" x14ac:dyDescent="0.25">
      <c r="B47" s="1" t="s">
        <v>220</v>
      </c>
      <c r="C47" s="10">
        <v>37727</v>
      </c>
      <c r="D47" s="116">
        <f t="shared" ca="1" si="6"/>
        <v>17</v>
      </c>
      <c r="E47" s="116">
        <v>0</v>
      </c>
      <c r="F47" s="116">
        <v>0</v>
      </c>
      <c r="G47" s="116">
        <v>0</v>
      </c>
      <c r="H47" s="116">
        <f t="shared" si="7"/>
        <v>0</v>
      </c>
      <c r="I47" s="116">
        <v>1</v>
      </c>
      <c r="J47" s="116">
        <v>30</v>
      </c>
      <c r="L47" s="116" t="s">
        <v>30</v>
      </c>
      <c r="M47" s="116">
        <v>198</v>
      </c>
      <c r="N47" s="116">
        <v>98</v>
      </c>
      <c r="O47" s="116" t="str">
        <f t="shared" si="4"/>
        <v>0 OZ, 0 (0+0)</v>
      </c>
      <c r="P47" s="116" t="str">
        <f t="shared" si="5"/>
        <v>198/98</v>
      </c>
      <c r="Q47" s="118" t="s">
        <v>266</v>
      </c>
      <c r="R47" s="116">
        <v>2009</v>
      </c>
      <c r="S47" s="116" t="str">
        <f>CONCATENATE(E47+VLOOKUP(B47,$B$31:$R$34,4,FALSE), " OZ, ",G47+VLOOKUP(B47,$B$31:$R$34,13,FALSE), " A")</f>
        <v>2 OZ, 0 A</v>
      </c>
      <c r="T47" s="1" t="s">
        <v>232</v>
      </c>
    </row>
    <row r="48" spans="1:20" ht="15" customHeight="1" x14ac:dyDescent="0.25">
      <c r="B48" s="1" t="s">
        <v>215</v>
      </c>
      <c r="C48" s="10"/>
      <c r="D48" s="116">
        <f t="shared" ca="1" si="6"/>
        <v>121</v>
      </c>
      <c r="H48" s="116">
        <f t="shared" si="7"/>
        <v>0</v>
      </c>
      <c r="L48" s="116" t="s">
        <v>30</v>
      </c>
      <c r="O48" s="116" t="str">
        <f t="shared" si="4"/>
        <v>0 OZ, 0 (0+0)</v>
      </c>
      <c r="P48" s="116" t="str">
        <f t="shared" si="5"/>
        <v>/</v>
      </c>
      <c r="R48" s="116"/>
      <c r="S48" s="116" t="str">
        <f>CONCATENATE(E48+VLOOKUP(B48,$B$31:$R$34,4,FALSE), " OZ, ",G48+VLOOKUP(B48,$B$31:$R$34,13,FALSE), " A")</f>
        <v>0 OZ, 0 A</v>
      </c>
      <c r="T48" s="1" t="s">
        <v>249</v>
      </c>
    </row>
    <row r="49" spans="2:20" ht="15" customHeight="1" x14ac:dyDescent="0.25">
      <c r="B49" s="4" t="s">
        <v>197</v>
      </c>
      <c r="C49" s="10">
        <v>34094</v>
      </c>
      <c r="D49" s="116">
        <f t="shared" ca="1" si="6"/>
        <v>27</v>
      </c>
      <c r="E49" s="116">
        <v>204</v>
      </c>
      <c r="F49" s="116">
        <v>235</v>
      </c>
      <c r="G49" s="116">
        <v>164</v>
      </c>
      <c r="H49" s="116">
        <f t="shared" si="7"/>
        <v>399</v>
      </c>
      <c r="I49" s="116">
        <v>11</v>
      </c>
      <c r="J49" s="116">
        <v>21</v>
      </c>
      <c r="L49" s="116" t="s">
        <v>93</v>
      </c>
      <c r="M49" s="116">
        <v>178</v>
      </c>
      <c r="N49" s="116">
        <v>72</v>
      </c>
      <c r="O49" s="116" t="str">
        <f t="shared" si="4"/>
        <v>216 OZ, 426 (253+173)</v>
      </c>
      <c r="P49" s="116" t="str">
        <f t="shared" si="5"/>
        <v>178/72</v>
      </c>
      <c r="Q49" s="118" t="s">
        <v>269</v>
      </c>
      <c r="R49" s="116">
        <v>2000</v>
      </c>
      <c r="T49" s="1" t="s">
        <v>247</v>
      </c>
    </row>
    <row r="50" spans="2:20" ht="15" customHeight="1" x14ac:dyDescent="0.25">
      <c r="B50" s="1" t="s">
        <v>211</v>
      </c>
      <c r="C50" s="10">
        <v>31507</v>
      </c>
      <c r="D50" s="116">
        <f t="shared" ca="1" si="6"/>
        <v>34</v>
      </c>
      <c r="E50" s="116">
        <v>253</v>
      </c>
      <c r="F50" s="116">
        <v>177</v>
      </c>
      <c r="G50" s="116">
        <v>132</v>
      </c>
      <c r="H50" s="116">
        <f t="shared" si="7"/>
        <v>309</v>
      </c>
      <c r="I50" s="116">
        <v>15</v>
      </c>
      <c r="J50" s="116">
        <v>32</v>
      </c>
      <c r="K50" s="116" t="s">
        <v>287</v>
      </c>
      <c r="L50" s="116" t="s">
        <v>93</v>
      </c>
      <c r="M50" s="116">
        <v>186</v>
      </c>
      <c r="N50" s="116">
        <v>84</v>
      </c>
      <c r="O50" s="116" t="str">
        <f t="shared" si="4"/>
        <v>263 OZ, 311 (178+133)</v>
      </c>
      <c r="P50" s="116" t="str">
        <f t="shared" si="5"/>
        <v>186/84</v>
      </c>
      <c r="Q50" s="118" t="s">
        <v>280</v>
      </c>
      <c r="R50" s="116">
        <v>2000</v>
      </c>
      <c r="T50" s="1" t="s">
        <v>230</v>
      </c>
    </row>
    <row r="51" spans="2:20" ht="15" customHeight="1" x14ac:dyDescent="0.25">
      <c r="B51" s="1" t="s">
        <v>208</v>
      </c>
      <c r="C51" s="10">
        <v>36539</v>
      </c>
      <c r="D51" s="116">
        <f t="shared" ca="1" si="6"/>
        <v>20</v>
      </c>
      <c r="E51" s="116">
        <v>69</v>
      </c>
      <c r="F51" s="116">
        <v>23</v>
      </c>
      <c r="G51" s="116">
        <v>20</v>
      </c>
      <c r="H51" s="116">
        <f t="shared" si="7"/>
        <v>43</v>
      </c>
      <c r="I51" s="116">
        <v>4</v>
      </c>
      <c r="J51" s="116">
        <v>27</v>
      </c>
      <c r="L51" s="116" t="s">
        <v>51</v>
      </c>
      <c r="M51" s="116">
        <v>186</v>
      </c>
      <c r="N51" s="116">
        <v>90</v>
      </c>
      <c r="O51" s="116" t="str">
        <f t="shared" si="4"/>
        <v>81 OZ, 47 (24+23)</v>
      </c>
      <c r="P51" s="116" t="str">
        <f t="shared" si="5"/>
        <v>186/90</v>
      </c>
      <c r="Q51" s="118" t="s">
        <v>275</v>
      </c>
      <c r="R51" s="116">
        <v>2007</v>
      </c>
      <c r="T51" s="1" t="s">
        <v>233</v>
      </c>
    </row>
    <row r="52" spans="2:20" ht="15" customHeight="1" x14ac:dyDescent="0.25">
      <c r="B52" s="1" t="s">
        <v>202</v>
      </c>
      <c r="C52" s="10">
        <v>33065</v>
      </c>
      <c r="D52" s="116">
        <f t="shared" ca="1" si="6"/>
        <v>30</v>
      </c>
      <c r="E52" s="116">
        <v>198</v>
      </c>
      <c r="F52" s="116">
        <v>40</v>
      </c>
      <c r="G52" s="116">
        <v>99</v>
      </c>
      <c r="H52" s="116">
        <f t="shared" si="7"/>
        <v>139</v>
      </c>
      <c r="I52" s="116">
        <v>11</v>
      </c>
      <c r="J52" s="116">
        <v>95</v>
      </c>
      <c r="L52" s="116" t="s">
        <v>51</v>
      </c>
      <c r="M52" s="116">
        <v>173</v>
      </c>
      <c r="N52" s="116">
        <v>82</v>
      </c>
      <c r="O52" s="116" t="str">
        <f t="shared" si="4"/>
        <v>210 OZ, 148 (44+104)</v>
      </c>
      <c r="P52" s="116" t="str">
        <f t="shared" si="5"/>
        <v>173/82</v>
      </c>
      <c r="Q52" s="118" t="s">
        <v>274</v>
      </c>
      <c r="R52" s="116">
        <v>1998</v>
      </c>
      <c r="T52" s="1" t="s">
        <v>234</v>
      </c>
    </row>
    <row r="53" spans="2:20" ht="15" customHeight="1" x14ac:dyDescent="0.25">
      <c r="B53" s="1" t="s">
        <v>221</v>
      </c>
      <c r="C53" s="10">
        <v>31821</v>
      </c>
      <c r="D53" s="116">
        <f t="shared" ca="1" si="6"/>
        <v>33</v>
      </c>
      <c r="E53" s="116">
        <v>202</v>
      </c>
      <c r="F53" s="116">
        <v>0</v>
      </c>
      <c r="G53" s="116">
        <v>2</v>
      </c>
      <c r="H53" s="116">
        <f t="shared" si="7"/>
        <v>2</v>
      </c>
      <c r="I53" s="116">
        <v>15</v>
      </c>
      <c r="J53" s="116">
        <v>97</v>
      </c>
      <c r="L53" s="116" t="s">
        <v>30</v>
      </c>
      <c r="M53" s="116">
        <v>183</v>
      </c>
      <c r="N53" s="116">
        <v>97</v>
      </c>
      <c r="O53" s="116" t="str">
        <f t="shared" si="4"/>
        <v>202 OZ, 2 (0+2)</v>
      </c>
      <c r="P53" s="116" t="str">
        <f t="shared" si="5"/>
        <v>183/97</v>
      </c>
      <c r="Q53" s="118" t="s">
        <v>274</v>
      </c>
      <c r="R53" s="116">
        <v>1997</v>
      </c>
      <c r="S53" s="116" t="str">
        <f>CONCATENATE(E53+VLOOKUP(B53,$B$31:$R$34,4,FALSE), " OZ, ",G53+VLOOKUP(B53,$B$31:$R$34,13,FALSE), " A")</f>
        <v>208 OZ, 2 A</v>
      </c>
      <c r="T53" s="1" t="s">
        <v>235</v>
      </c>
    </row>
    <row r="54" spans="2:20" ht="15" customHeight="1" x14ac:dyDescent="0.25">
      <c r="B54" s="1" t="s">
        <v>210</v>
      </c>
      <c r="C54" s="10">
        <v>36548</v>
      </c>
      <c r="D54" s="116">
        <f t="shared" ca="1" si="6"/>
        <v>20</v>
      </c>
      <c r="E54" s="116">
        <v>66</v>
      </c>
      <c r="F54" s="116">
        <v>2</v>
      </c>
      <c r="G54" s="116">
        <v>0</v>
      </c>
      <c r="H54" s="116">
        <f t="shared" si="7"/>
        <v>2</v>
      </c>
      <c r="I54" s="116">
        <v>4</v>
      </c>
      <c r="J54" s="116">
        <v>99</v>
      </c>
      <c r="L54" s="116" t="s">
        <v>93</v>
      </c>
      <c r="M54" s="116">
        <v>182</v>
      </c>
      <c r="N54" s="116">
        <v>75</v>
      </c>
      <c r="O54" s="116" t="str">
        <f t="shared" si="4"/>
        <v>78 OZ, 4 (4+0)</v>
      </c>
      <c r="P54" s="116" t="str">
        <f t="shared" si="5"/>
        <v>182/75</v>
      </c>
      <c r="Q54" s="118" t="s">
        <v>275</v>
      </c>
      <c r="R54" s="116">
        <v>2007</v>
      </c>
      <c r="T54" s="1" t="s">
        <v>236</v>
      </c>
    </row>
    <row r="55" spans="2:20" ht="15" customHeight="1" x14ac:dyDescent="0.25">
      <c r="B55" s="4" t="s">
        <v>199</v>
      </c>
      <c r="C55" s="10">
        <v>32867</v>
      </c>
      <c r="D55" s="116">
        <f t="shared" ca="1" si="6"/>
        <v>31</v>
      </c>
      <c r="E55" s="116">
        <v>208</v>
      </c>
      <c r="F55" s="116">
        <v>125</v>
      </c>
      <c r="G55" s="116">
        <v>127</v>
      </c>
      <c r="H55" s="116">
        <f t="shared" si="7"/>
        <v>252</v>
      </c>
      <c r="I55" s="116">
        <v>12</v>
      </c>
      <c r="J55" s="116">
        <v>9</v>
      </c>
      <c r="L55" s="116" t="s">
        <v>93</v>
      </c>
      <c r="M55" s="116">
        <v>182</v>
      </c>
      <c r="N55" s="116">
        <v>82</v>
      </c>
      <c r="O55" s="116" t="str">
        <f t="shared" si="4"/>
        <v>219 OZ, 267 (133+134)</v>
      </c>
      <c r="P55" s="116" t="str">
        <f t="shared" si="5"/>
        <v>182/82</v>
      </c>
      <c r="Q55" s="118" t="s">
        <v>276</v>
      </c>
      <c r="R55" s="116">
        <v>2004</v>
      </c>
      <c r="T55" s="1" t="s">
        <v>237</v>
      </c>
    </row>
    <row r="56" spans="2:20" ht="15" customHeight="1" x14ac:dyDescent="0.25">
      <c r="B56" s="1" t="s">
        <v>213</v>
      </c>
      <c r="C56" s="10">
        <v>35462</v>
      </c>
      <c r="D56" s="116">
        <f t="shared" ca="1" si="6"/>
        <v>23</v>
      </c>
      <c r="E56" s="116">
        <v>92</v>
      </c>
      <c r="F56" s="116">
        <v>29</v>
      </c>
      <c r="G56" s="116">
        <v>17</v>
      </c>
      <c r="H56" s="116">
        <f t="shared" si="7"/>
        <v>46</v>
      </c>
      <c r="I56" s="116">
        <v>7</v>
      </c>
      <c r="J56" s="116">
        <v>10</v>
      </c>
      <c r="L56" s="116" t="s">
        <v>93</v>
      </c>
      <c r="M56" s="116">
        <v>172</v>
      </c>
      <c r="N56" s="116">
        <v>73</v>
      </c>
      <c r="O56" s="116" t="str">
        <f t="shared" si="4"/>
        <v>104 OZ, 47 (29+18)</v>
      </c>
      <c r="P56" s="116" t="str">
        <f t="shared" si="5"/>
        <v>172/73</v>
      </c>
      <c r="Q56" s="118" t="s">
        <v>277</v>
      </c>
      <c r="R56" s="116">
        <v>2006</v>
      </c>
      <c r="T56" s="1" t="s">
        <v>238</v>
      </c>
    </row>
    <row r="57" spans="2:20" ht="15" customHeight="1" x14ac:dyDescent="0.25">
      <c r="B57" s="1" t="s">
        <v>205</v>
      </c>
      <c r="C57" s="10">
        <v>35445</v>
      </c>
      <c r="D57" s="116">
        <f t="shared" ca="1" si="6"/>
        <v>23</v>
      </c>
      <c r="E57" s="116">
        <v>80</v>
      </c>
      <c r="F57" s="116">
        <v>26</v>
      </c>
      <c r="G57" s="116">
        <v>21</v>
      </c>
      <c r="H57" s="116">
        <f t="shared" si="7"/>
        <v>47</v>
      </c>
      <c r="I57" s="116">
        <v>6</v>
      </c>
      <c r="J57" s="116">
        <v>14</v>
      </c>
      <c r="L57" s="116" t="s">
        <v>93</v>
      </c>
      <c r="M57" s="116">
        <v>184</v>
      </c>
      <c r="N57" s="116">
        <v>78</v>
      </c>
      <c r="O57" s="116" t="str">
        <f t="shared" si="4"/>
        <v>92 OZ, 53 (30+23)</v>
      </c>
      <c r="P57" s="116" t="str">
        <f t="shared" si="5"/>
        <v>184/78</v>
      </c>
      <c r="Q57" s="118" t="s">
        <v>278</v>
      </c>
      <c r="R57" s="116">
        <v>2009</v>
      </c>
      <c r="T57" s="1" t="s">
        <v>239</v>
      </c>
    </row>
    <row r="58" spans="2:20" ht="15" customHeight="1" x14ac:dyDescent="0.25">
      <c r="B58" s="4" t="s">
        <v>200</v>
      </c>
      <c r="C58" s="10">
        <v>37610</v>
      </c>
      <c r="D58" s="116">
        <f t="shared" ca="1" si="6"/>
        <v>18</v>
      </c>
      <c r="E58" s="116">
        <v>15</v>
      </c>
      <c r="F58" s="116">
        <v>7</v>
      </c>
      <c r="G58" s="116">
        <v>8</v>
      </c>
      <c r="H58" s="116">
        <f t="shared" si="7"/>
        <v>15</v>
      </c>
      <c r="I58" s="116">
        <v>2</v>
      </c>
      <c r="J58" s="116">
        <v>84</v>
      </c>
      <c r="L58" s="116" t="s">
        <v>51</v>
      </c>
      <c r="M58" s="116">
        <v>183</v>
      </c>
      <c r="N58" s="116">
        <v>72</v>
      </c>
      <c r="O58" s="116" t="str">
        <f t="shared" si="4"/>
        <v>26 OZ, 28 (17+11)</v>
      </c>
      <c r="P58" s="116" t="str">
        <f t="shared" si="5"/>
        <v>183/72</v>
      </c>
      <c r="Q58" s="118" t="s">
        <v>278</v>
      </c>
      <c r="R58" s="116">
        <v>2009</v>
      </c>
      <c r="T58" s="1" t="s">
        <v>240</v>
      </c>
    </row>
    <row r="59" spans="2:20" ht="15" customHeight="1" x14ac:dyDescent="0.25">
      <c r="B59" s="1" t="s">
        <v>217</v>
      </c>
      <c r="C59" s="10"/>
      <c r="D59" s="116">
        <f t="shared" ca="1" si="6"/>
        <v>121</v>
      </c>
      <c r="H59" s="116">
        <f t="shared" si="7"/>
        <v>0</v>
      </c>
      <c r="O59" s="116" t="str">
        <f t="shared" si="4"/>
        <v>2 OZ, 0 (0+0)</v>
      </c>
      <c r="P59" s="116" t="str">
        <f t="shared" si="5"/>
        <v>/</v>
      </c>
      <c r="R59" s="116"/>
      <c r="T59" s="1" t="s">
        <v>241</v>
      </c>
    </row>
    <row r="60" spans="2:20" ht="15" customHeight="1" x14ac:dyDescent="0.25">
      <c r="B60" s="1" t="s">
        <v>212</v>
      </c>
      <c r="C60" s="10">
        <v>36617</v>
      </c>
      <c r="D60" s="116">
        <f t="shared" ca="1" si="6"/>
        <v>20</v>
      </c>
      <c r="E60" s="116">
        <v>53</v>
      </c>
      <c r="F60" s="116">
        <v>1</v>
      </c>
      <c r="G60" s="116">
        <v>6</v>
      </c>
      <c r="H60" s="116">
        <f t="shared" si="7"/>
        <v>7</v>
      </c>
      <c r="I60" s="116">
        <v>4</v>
      </c>
      <c r="J60" s="116">
        <v>11</v>
      </c>
      <c r="L60" s="116" t="s">
        <v>93</v>
      </c>
      <c r="M60" s="116">
        <v>182</v>
      </c>
      <c r="N60" s="116">
        <v>76</v>
      </c>
      <c r="O60" s="116" t="str">
        <f t="shared" si="4"/>
        <v>59 OZ, 9 (1+8)</v>
      </c>
      <c r="P60" s="116" t="str">
        <f t="shared" si="5"/>
        <v>182/76</v>
      </c>
      <c r="Q60" s="118" t="s">
        <v>269</v>
      </c>
      <c r="R60" s="116">
        <v>2008</v>
      </c>
      <c r="T60" s="1" t="s">
        <v>242</v>
      </c>
    </row>
    <row r="61" spans="2:20" ht="15" customHeight="1" x14ac:dyDescent="0.25">
      <c r="B61" s="4" t="s">
        <v>198</v>
      </c>
      <c r="C61" s="10">
        <v>33775</v>
      </c>
      <c r="D61" s="116">
        <f t="shared" ca="1" si="6"/>
        <v>28</v>
      </c>
      <c r="E61" s="116">
        <v>214</v>
      </c>
      <c r="F61" s="116">
        <v>295</v>
      </c>
      <c r="G61" s="116">
        <v>183</v>
      </c>
      <c r="H61" s="116">
        <f t="shared" si="7"/>
        <v>478</v>
      </c>
      <c r="I61" s="116">
        <v>12</v>
      </c>
      <c r="J61" s="116">
        <v>25</v>
      </c>
      <c r="L61" s="116" t="s">
        <v>51</v>
      </c>
      <c r="M61" s="116">
        <v>186</v>
      </c>
      <c r="N61" s="116">
        <v>82</v>
      </c>
      <c r="O61" s="116" t="str">
        <f t="shared" si="4"/>
        <v>226 OZ, 502 (309+193)</v>
      </c>
      <c r="P61" s="116" t="str">
        <f t="shared" si="5"/>
        <v>186/82</v>
      </c>
      <c r="Q61" s="118" t="s">
        <v>279</v>
      </c>
      <c r="R61" s="116">
        <v>1999</v>
      </c>
      <c r="T61" s="1" t="s">
        <v>243</v>
      </c>
    </row>
    <row r="62" spans="2:20" ht="15" customHeight="1" x14ac:dyDescent="0.25">
      <c r="B62" s="1" t="s">
        <v>201</v>
      </c>
      <c r="C62" s="10">
        <v>32329</v>
      </c>
      <c r="D62" s="116">
        <f t="shared" ca="1" si="6"/>
        <v>32</v>
      </c>
      <c r="E62" s="116">
        <v>204</v>
      </c>
      <c r="F62" s="116">
        <v>54</v>
      </c>
      <c r="G62" s="116">
        <v>138</v>
      </c>
      <c r="H62" s="116">
        <f t="shared" si="7"/>
        <v>192</v>
      </c>
      <c r="I62" s="116">
        <v>11</v>
      </c>
      <c r="J62" s="116">
        <v>26</v>
      </c>
      <c r="L62" s="116" t="s">
        <v>51</v>
      </c>
      <c r="M62" s="116">
        <v>180</v>
      </c>
      <c r="N62" s="116">
        <v>74</v>
      </c>
      <c r="O62" s="116" t="str">
        <f t="shared" si="4"/>
        <v>216 OZ, 204 (56+148)</v>
      </c>
      <c r="P62" s="116" t="str">
        <f t="shared" si="5"/>
        <v>180/74</v>
      </c>
      <c r="Q62" s="118" t="s">
        <v>271</v>
      </c>
      <c r="R62" s="116">
        <v>2004</v>
      </c>
      <c r="T62" s="1" t="s">
        <v>244</v>
      </c>
    </row>
    <row r="63" spans="2:20" ht="15" customHeight="1" x14ac:dyDescent="0.25">
      <c r="B63" s="1" t="s">
        <v>222</v>
      </c>
      <c r="C63" s="10">
        <v>31955</v>
      </c>
      <c r="D63" s="116">
        <f t="shared" ca="1" si="6"/>
        <v>33</v>
      </c>
      <c r="E63" s="116">
        <v>293</v>
      </c>
      <c r="F63" s="116">
        <v>95</v>
      </c>
      <c r="G63" s="116">
        <v>95</v>
      </c>
      <c r="H63" s="116">
        <f t="shared" si="7"/>
        <v>190</v>
      </c>
      <c r="I63" s="116">
        <v>17</v>
      </c>
      <c r="J63" s="116">
        <v>15</v>
      </c>
      <c r="L63" s="116" t="s">
        <v>93</v>
      </c>
      <c r="M63" s="116">
        <v>178</v>
      </c>
      <c r="N63" s="116">
        <v>80</v>
      </c>
      <c r="O63" s="116" t="str">
        <f t="shared" si="4"/>
        <v>305 OZ, 190 (95+95)</v>
      </c>
      <c r="P63" s="116" t="str">
        <f t="shared" si="5"/>
        <v>178/80</v>
      </c>
      <c r="Q63" s="118" t="s">
        <v>269</v>
      </c>
      <c r="R63" s="116">
        <v>2002</v>
      </c>
      <c r="T63" s="1" t="s">
        <v>246</v>
      </c>
    </row>
    <row r="64" spans="2:20" ht="15" customHeight="1" x14ac:dyDescent="0.25">
      <c r="B64" s="1" t="s">
        <v>223</v>
      </c>
      <c r="C64" s="10">
        <v>36800</v>
      </c>
      <c r="D64" s="116">
        <f t="shared" ca="1" si="6"/>
        <v>20</v>
      </c>
      <c r="E64" s="116">
        <v>5</v>
      </c>
      <c r="F64" s="116">
        <v>0</v>
      </c>
      <c r="G64" s="116">
        <v>0</v>
      </c>
      <c r="H64" s="116">
        <f t="shared" si="7"/>
        <v>0</v>
      </c>
      <c r="I64" s="116">
        <v>4</v>
      </c>
      <c r="J64" s="116">
        <v>31</v>
      </c>
      <c r="L64" s="116" t="s">
        <v>30</v>
      </c>
      <c r="M64" s="116">
        <v>175</v>
      </c>
      <c r="N64" s="116">
        <v>76</v>
      </c>
      <c r="O64" s="116" t="str">
        <f t="shared" si="4"/>
        <v>5 OZ, 0 (0+0)</v>
      </c>
      <c r="P64" s="116" t="str">
        <f t="shared" si="5"/>
        <v>175/76</v>
      </c>
      <c r="Q64" s="118" t="s">
        <v>267</v>
      </c>
      <c r="R64" s="116">
        <v>2010</v>
      </c>
      <c r="S64" s="116" t="str">
        <f>CONCATENATE(E64+VLOOKUP(B64,$B$31:$R$34,4,FALSE), " OZ, ",G64+VLOOKUP(B64,$B$31:$R$34,13,FALSE), " A")</f>
        <v>9 OZ, 0 A</v>
      </c>
      <c r="T64" s="1" t="s">
        <v>245</v>
      </c>
    </row>
    <row r="66" spans="1:17" s="115" customFormat="1" ht="15" customHeight="1" x14ac:dyDescent="0.25">
      <c r="A66" s="7">
        <f ca="1">TODAY()</f>
        <v>44203</v>
      </c>
      <c r="B66" s="115" t="s">
        <v>74</v>
      </c>
      <c r="C66" s="115" t="s">
        <v>81</v>
      </c>
      <c r="D66" s="115" t="s">
        <v>82</v>
      </c>
      <c r="E66" s="272" t="s">
        <v>113</v>
      </c>
      <c r="F66" s="272"/>
      <c r="G66" s="272" t="s">
        <v>119</v>
      </c>
      <c r="H66" s="272"/>
      <c r="I66" s="272"/>
      <c r="J66" s="272"/>
      <c r="K66" s="272"/>
      <c r="Q66" s="11"/>
    </row>
    <row r="67" spans="1:17" ht="30" customHeight="1" x14ac:dyDescent="0.25">
      <c r="B67" s="1" t="s">
        <v>250</v>
      </c>
      <c r="C67" s="10">
        <v>31582</v>
      </c>
      <c r="D67" s="116">
        <f ca="1">ROUNDDOWN(($A$66-C67)/365.25,0)</f>
        <v>34</v>
      </c>
      <c r="E67" s="273" t="s">
        <v>251</v>
      </c>
      <c r="F67" s="273"/>
      <c r="G67" s="273" t="s">
        <v>252</v>
      </c>
      <c r="H67" s="273"/>
      <c r="I67" s="273"/>
      <c r="J67" s="273"/>
      <c r="K67" s="273"/>
    </row>
    <row r="68" spans="1:17" ht="30" customHeight="1" x14ac:dyDescent="0.25">
      <c r="B68" s="1" t="s">
        <v>253</v>
      </c>
      <c r="C68" s="10">
        <v>26801</v>
      </c>
      <c r="D68" s="116">
        <f ca="1">ROUNDDOWN(($A$66-C68)/365.25,0)</f>
        <v>47</v>
      </c>
      <c r="E68" s="273" t="s">
        <v>254</v>
      </c>
      <c r="F68" s="273"/>
      <c r="G68" s="273" t="s">
        <v>255</v>
      </c>
      <c r="H68" s="273"/>
      <c r="I68" s="273"/>
      <c r="J68" s="273"/>
      <c r="K68" s="273"/>
    </row>
    <row r="69" spans="1:17" ht="30" customHeight="1" x14ac:dyDescent="0.25">
      <c r="B69" s="1" t="s">
        <v>256</v>
      </c>
      <c r="C69" s="10">
        <v>28909</v>
      </c>
      <c r="D69" s="116">
        <f ca="1">ROUNDDOWN(($A$66-C69)/365.25,0)</f>
        <v>41</v>
      </c>
      <c r="E69" s="273" t="s">
        <v>254</v>
      </c>
      <c r="F69" s="273"/>
      <c r="G69" s="273" t="s">
        <v>259</v>
      </c>
      <c r="H69" s="273"/>
      <c r="I69" s="273"/>
      <c r="J69" s="273"/>
      <c r="K69" s="273"/>
    </row>
    <row r="70" spans="1:17" ht="30" customHeight="1" x14ac:dyDescent="0.25">
      <c r="B70" s="1" t="s">
        <v>260</v>
      </c>
      <c r="C70" s="10">
        <v>31168</v>
      </c>
      <c r="D70" s="116">
        <f ca="1">ROUNDDOWN(($A$66-C70)/365.25,0)</f>
        <v>35</v>
      </c>
      <c r="E70" s="273" t="s">
        <v>261</v>
      </c>
      <c r="F70" s="273"/>
      <c r="G70" s="273" t="s">
        <v>262</v>
      </c>
      <c r="H70" s="273"/>
      <c r="I70" s="273"/>
      <c r="J70" s="273"/>
      <c r="K70" s="273"/>
    </row>
    <row r="71" spans="1:17" ht="30" customHeight="1" x14ac:dyDescent="0.25">
      <c r="B71" s="1" t="s">
        <v>263</v>
      </c>
      <c r="C71" s="10">
        <v>32514</v>
      </c>
      <c r="D71" s="116">
        <f ca="1">ROUNDDOWN(($A$66-C71)/365.25,0)</f>
        <v>32</v>
      </c>
      <c r="E71" s="273" t="s">
        <v>264</v>
      </c>
      <c r="F71" s="273"/>
      <c r="G71" s="273" t="s">
        <v>265</v>
      </c>
      <c r="H71" s="273"/>
      <c r="I71" s="273"/>
      <c r="J71" s="273"/>
      <c r="K71" s="273"/>
    </row>
    <row r="74" spans="1:17" x14ac:dyDescent="0.25">
      <c r="A74" s="272" t="s">
        <v>36</v>
      </c>
      <c r="B74" s="1" t="s">
        <v>350</v>
      </c>
      <c r="C74" s="116">
        <v>27</v>
      </c>
      <c r="D74" s="270" t="str">
        <f>IFERROR(RIGHT(B74,LEN(B74)-SEARCH(" ",B74)),"")</f>
        <v>Marek Vávra</v>
      </c>
      <c r="E74" s="270"/>
    </row>
    <row r="75" spans="1:17" x14ac:dyDescent="0.25">
      <c r="A75" s="272"/>
      <c r="B75" s="1" t="s">
        <v>351</v>
      </c>
      <c r="C75" s="116">
        <v>24</v>
      </c>
      <c r="D75" s="270" t="str">
        <f t="shared" ref="D75:D103" si="8">IFERROR(RIGHT(B75,LEN(B75)-SEARCH(" ",B75)),"")</f>
        <v>Tom Ondrušek</v>
      </c>
      <c r="E75" s="270"/>
    </row>
    <row r="76" spans="1:17" x14ac:dyDescent="0.25">
      <c r="A76" s="272"/>
      <c r="B76" s="1" t="s">
        <v>352</v>
      </c>
      <c r="C76" s="116">
        <v>15</v>
      </c>
      <c r="D76" s="270" t="str">
        <f t="shared" si="8"/>
        <v>Ondřej Mikeš</v>
      </c>
      <c r="E76" s="270"/>
    </row>
    <row r="77" spans="1:17" x14ac:dyDescent="0.25">
      <c r="A77" s="272"/>
      <c r="B77" s="1" t="s">
        <v>353</v>
      </c>
      <c r="C77" s="116">
        <v>13</v>
      </c>
      <c r="D77" s="270" t="str">
        <f t="shared" si="8"/>
        <v>Petr Majer</v>
      </c>
      <c r="E77" s="270"/>
    </row>
    <row r="78" spans="1:17" x14ac:dyDescent="0.25">
      <c r="A78" s="272"/>
      <c r="B78" s="1" t="s">
        <v>354</v>
      </c>
      <c r="C78" s="116">
        <v>12</v>
      </c>
      <c r="D78" s="270" t="str">
        <f t="shared" si="8"/>
        <v>Tomáš Sýkora</v>
      </c>
      <c r="E78" s="270"/>
    </row>
    <row r="79" spans="1:17" x14ac:dyDescent="0.25">
      <c r="A79" s="272" t="s">
        <v>35</v>
      </c>
      <c r="B79" s="1" t="s">
        <v>350</v>
      </c>
      <c r="C79" s="116">
        <v>18</v>
      </c>
      <c r="D79" s="270" t="str">
        <f t="shared" si="8"/>
        <v>Marek Vávra</v>
      </c>
      <c r="E79" s="270"/>
    </row>
    <row r="80" spans="1:17" x14ac:dyDescent="0.25">
      <c r="A80" s="272"/>
      <c r="B80" s="1" t="s">
        <v>351</v>
      </c>
      <c r="C80" s="116">
        <v>14</v>
      </c>
      <c r="D80" s="270" t="str">
        <f t="shared" si="8"/>
        <v>Tom Ondrušek</v>
      </c>
      <c r="E80" s="270"/>
    </row>
    <row r="81" spans="1:6" x14ac:dyDescent="0.25">
      <c r="A81" s="272"/>
      <c r="B81" s="1" t="s">
        <v>355</v>
      </c>
      <c r="C81" s="116">
        <v>10</v>
      </c>
      <c r="D81" s="270" t="str">
        <f t="shared" si="8"/>
        <v>Petr Majer</v>
      </c>
      <c r="E81" s="270"/>
    </row>
    <row r="82" spans="1:6" x14ac:dyDescent="0.25">
      <c r="A82" s="272"/>
      <c r="B82" s="1" t="s">
        <v>356</v>
      </c>
      <c r="C82" s="116">
        <v>8</v>
      </c>
      <c r="D82" s="270" t="str">
        <f t="shared" si="8"/>
        <v>Ondřej Mikeš</v>
      </c>
      <c r="E82" s="270"/>
    </row>
    <row r="83" spans="1:6" x14ac:dyDescent="0.25">
      <c r="A83" s="272"/>
      <c r="B83" s="1" t="s">
        <v>357</v>
      </c>
      <c r="C83" s="116">
        <v>4</v>
      </c>
      <c r="D83" s="270" t="str">
        <f t="shared" si="8"/>
        <v>Daniel Eremiáš</v>
      </c>
      <c r="E83" s="270"/>
    </row>
    <row r="84" spans="1:6" x14ac:dyDescent="0.25">
      <c r="A84" s="272" t="s">
        <v>37</v>
      </c>
      <c r="B84" s="1" t="s">
        <v>358</v>
      </c>
      <c r="C84" s="116">
        <v>10</v>
      </c>
      <c r="D84" s="270" t="str">
        <f t="shared" si="8"/>
        <v>Tom Ondrušek</v>
      </c>
      <c r="E84" s="270"/>
    </row>
    <row r="85" spans="1:6" x14ac:dyDescent="0.25">
      <c r="A85" s="272"/>
      <c r="B85" s="1" t="s">
        <v>359</v>
      </c>
      <c r="C85" s="116">
        <v>10</v>
      </c>
      <c r="D85" s="270" t="str">
        <f t="shared" si="8"/>
        <v>Tomáš Sýkora</v>
      </c>
      <c r="E85" s="270"/>
    </row>
    <row r="86" spans="1:6" x14ac:dyDescent="0.25">
      <c r="A86" s="272"/>
      <c r="B86" s="1" t="s">
        <v>360</v>
      </c>
      <c r="C86" s="116">
        <v>9</v>
      </c>
      <c r="D86" s="270" t="str">
        <f t="shared" si="8"/>
        <v>Marek Vávra</v>
      </c>
      <c r="E86" s="270"/>
    </row>
    <row r="87" spans="1:6" x14ac:dyDescent="0.25">
      <c r="A87" s="272"/>
      <c r="B87" s="1" t="s">
        <v>356</v>
      </c>
      <c r="C87" s="116">
        <v>7</v>
      </c>
      <c r="D87" s="270" t="str">
        <f t="shared" si="8"/>
        <v>Ondřej Mikeš</v>
      </c>
      <c r="E87" s="270"/>
    </row>
    <row r="88" spans="1:6" x14ac:dyDescent="0.25">
      <c r="A88" s="272"/>
      <c r="B88" s="1" t="s">
        <v>361</v>
      </c>
      <c r="C88" s="116">
        <v>6</v>
      </c>
      <c r="D88" s="270" t="str">
        <f t="shared" si="8"/>
        <v>Jiří Koutný</v>
      </c>
      <c r="E88" s="270"/>
    </row>
    <row r="89" spans="1:6" x14ac:dyDescent="0.25">
      <c r="A89" s="272" t="s">
        <v>45</v>
      </c>
      <c r="B89" s="1" t="s">
        <v>362</v>
      </c>
      <c r="C89" s="116">
        <v>18</v>
      </c>
      <c r="D89" s="270" t="str">
        <f t="shared" si="8"/>
        <v>Jiří Bauer</v>
      </c>
      <c r="E89" s="270"/>
    </row>
    <row r="90" spans="1:6" x14ac:dyDescent="0.25">
      <c r="A90" s="272"/>
      <c r="B90" s="1" t="s">
        <v>363</v>
      </c>
      <c r="C90" s="116">
        <v>8</v>
      </c>
      <c r="D90" s="270" t="str">
        <f t="shared" si="8"/>
        <v>Tomáš Vávra</v>
      </c>
      <c r="E90" s="270"/>
    </row>
    <row r="91" spans="1:6" x14ac:dyDescent="0.25">
      <c r="A91" s="272"/>
      <c r="B91" s="1" t="s">
        <v>364</v>
      </c>
      <c r="C91" s="116">
        <v>6</v>
      </c>
      <c r="D91" s="270" t="str">
        <f t="shared" si="8"/>
        <v>Michal Strnad</v>
      </c>
      <c r="E91" s="270"/>
    </row>
    <row r="92" spans="1:6" x14ac:dyDescent="0.25">
      <c r="A92" s="272"/>
      <c r="B92" s="1" t="s">
        <v>365</v>
      </c>
      <c r="C92" s="116">
        <v>4</v>
      </c>
      <c r="D92" s="270" t="str">
        <f t="shared" si="8"/>
        <v>David Horký</v>
      </c>
      <c r="E92" s="270"/>
    </row>
    <row r="93" spans="1:6" x14ac:dyDescent="0.25">
      <c r="A93" s="272"/>
      <c r="B93" s="1" t="s">
        <v>366</v>
      </c>
      <c r="C93" s="116">
        <v>4</v>
      </c>
      <c r="D93" s="270" t="str">
        <f t="shared" si="8"/>
        <v>Petr Majer</v>
      </c>
      <c r="E93" s="270"/>
    </row>
    <row r="94" spans="1:6" x14ac:dyDescent="0.25">
      <c r="A94" s="272" t="s">
        <v>330</v>
      </c>
      <c r="B94" s="1" t="s">
        <v>367</v>
      </c>
      <c r="C94" s="116" t="s">
        <v>368</v>
      </c>
      <c r="D94" s="270" t="str">
        <f t="shared" si="8"/>
        <v>Michal Rebro</v>
      </c>
      <c r="E94" s="270"/>
      <c r="F94" s="116">
        <f>IF(B94&lt;&gt;0,_xlfn.NUMBERVALUE(C94,","),"")</f>
        <v>4.32</v>
      </c>
    </row>
    <row r="95" spans="1:6" x14ac:dyDescent="0.25">
      <c r="A95" s="272"/>
      <c r="B95" s="1" t="s">
        <v>369</v>
      </c>
      <c r="C95" s="116" t="s">
        <v>370</v>
      </c>
      <c r="D95" s="270" t="str">
        <f t="shared" si="8"/>
        <v>Vojtěch Šimůnek</v>
      </c>
      <c r="E95" s="270"/>
      <c r="F95" s="116">
        <f t="shared" ref="F95:F103" si="9">IF(B95&lt;&gt;0,_xlfn.NUMBERVALUE(C95,","),"")</f>
        <v>6.31</v>
      </c>
    </row>
    <row r="96" spans="1:6" x14ac:dyDescent="0.25">
      <c r="A96" s="272"/>
      <c r="B96" s="1" t="s">
        <v>371</v>
      </c>
      <c r="C96" s="116" t="s">
        <v>342</v>
      </c>
      <c r="D96" s="270" t="str">
        <f t="shared" si="8"/>
        <v>Karel Pergler</v>
      </c>
      <c r="E96" s="270"/>
      <c r="F96" s="116">
        <f t="shared" si="9"/>
        <v>0</v>
      </c>
    </row>
    <row r="97" spans="1:6" x14ac:dyDescent="0.25">
      <c r="A97" s="272"/>
      <c r="B97" s="1" t="s">
        <v>372</v>
      </c>
      <c r="C97" s="116" t="s">
        <v>373</v>
      </c>
      <c r="D97" s="270" t="str">
        <f t="shared" si="8"/>
        <v>Karel Hodík</v>
      </c>
      <c r="E97" s="270"/>
      <c r="F97" s="116">
        <f t="shared" si="9"/>
        <v>5.5</v>
      </c>
    </row>
    <row r="98" spans="1:6" ht="15" customHeight="1" x14ac:dyDescent="0.25">
      <c r="A98" s="272"/>
      <c r="C98" s="116"/>
      <c r="D98" s="270" t="str">
        <f t="shared" si="8"/>
        <v/>
      </c>
      <c r="E98" s="270"/>
      <c r="F98" s="116" t="str">
        <f t="shared" si="9"/>
        <v/>
      </c>
    </row>
    <row r="99" spans="1:6" x14ac:dyDescent="0.25">
      <c r="A99" s="272" t="s">
        <v>306</v>
      </c>
      <c r="B99" s="1" t="s">
        <v>367</v>
      </c>
      <c r="C99" s="116">
        <v>3</v>
      </c>
      <c r="D99" s="270" t="str">
        <f t="shared" si="8"/>
        <v>Michal Rebro</v>
      </c>
      <c r="E99" s="270"/>
      <c r="F99" s="116">
        <f t="shared" si="9"/>
        <v>3</v>
      </c>
    </row>
    <row r="100" spans="1:6" x14ac:dyDescent="0.25">
      <c r="A100" s="272"/>
      <c r="B100" s="1" t="s">
        <v>369</v>
      </c>
      <c r="C100" s="116">
        <v>3</v>
      </c>
      <c r="D100" s="270" t="str">
        <f t="shared" si="8"/>
        <v>Vojtěch Šimůnek</v>
      </c>
      <c r="E100" s="270"/>
      <c r="F100" s="116">
        <f t="shared" si="9"/>
        <v>3</v>
      </c>
    </row>
    <row r="101" spans="1:6" x14ac:dyDescent="0.25">
      <c r="A101" s="272"/>
      <c r="B101" s="1" t="s">
        <v>374</v>
      </c>
      <c r="C101" s="116">
        <v>2</v>
      </c>
      <c r="D101" s="270" t="str">
        <f t="shared" si="8"/>
        <v>Karel Hodík</v>
      </c>
      <c r="E101" s="270"/>
      <c r="F101" s="116">
        <f t="shared" si="9"/>
        <v>2</v>
      </c>
    </row>
    <row r="102" spans="1:6" x14ac:dyDescent="0.25">
      <c r="A102" s="272"/>
      <c r="B102" s="1" t="s">
        <v>375</v>
      </c>
      <c r="C102" s="116">
        <v>0</v>
      </c>
      <c r="D102" s="270" t="str">
        <f t="shared" si="8"/>
        <v>Karel Pergler</v>
      </c>
      <c r="E102" s="270"/>
      <c r="F102" s="116">
        <f t="shared" si="9"/>
        <v>0</v>
      </c>
    </row>
    <row r="103" spans="1:6" ht="15" customHeight="1" x14ac:dyDescent="0.25">
      <c r="A103" s="272"/>
      <c r="D103" s="271" t="str">
        <f t="shared" si="8"/>
        <v/>
      </c>
      <c r="E103" s="271"/>
      <c r="F103" s="116" t="str">
        <f t="shared" si="9"/>
        <v/>
      </c>
    </row>
  </sheetData>
  <mergeCells count="48">
    <mergeCell ref="A99:A103"/>
    <mergeCell ref="D99:E99"/>
    <mergeCell ref="D100:E100"/>
    <mergeCell ref="D101:E101"/>
    <mergeCell ref="D102:E102"/>
    <mergeCell ref="D103:E103"/>
    <mergeCell ref="A94:A98"/>
    <mergeCell ref="D94:E94"/>
    <mergeCell ref="D95:E95"/>
    <mergeCell ref="D96:E96"/>
    <mergeCell ref="D97:E97"/>
    <mergeCell ref="D98:E98"/>
    <mergeCell ref="A89:A93"/>
    <mergeCell ref="D89:E89"/>
    <mergeCell ref="D90:E90"/>
    <mergeCell ref="D91:E91"/>
    <mergeCell ref="D92:E92"/>
    <mergeCell ref="D93:E93"/>
    <mergeCell ref="A84:A88"/>
    <mergeCell ref="D84:E84"/>
    <mergeCell ref="D85:E85"/>
    <mergeCell ref="D86:E86"/>
    <mergeCell ref="D87:E87"/>
    <mergeCell ref="D88:E88"/>
    <mergeCell ref="A79:A83"/>
    <mergeCell ref="D79:E79"/>
    <mergeCell ref="D80:E80"/>
    <mergeCell ref="D81:E81"/>
    <mergeCell ref="D82:E82"/>
    <mergeCell ref="D83:E83"/>
    <mergeCell ref="A74:A78"/>
    <mergeCell ref="D74:E74"/>
    <mergeCell ref="D75:E75"/>
    <mergeCell ref="D76:E76"/>
    <mergeCell ref="D77:E77"/>
    <mergeCell ref="D78:E78"/>
    <mergeCell ref="E69:F69"/>
    <mergeCell ref="G69:K69"/>
    <mergeCell ref="E70:F70"/>
    <mergeCell ref="G70:K70"/>
    <mergeCell ref="E71:F71"/>
    <mergeCell ref="G71:K71"/>
    <mergeCell ref="E66:F66"/>
    <mergeCell ref="G66:K66"/>
    <mergeCell ref="E67:F67"/>
    <mergeCell ref="G67:K67"/>
    <mergeCell ref="E68:F68"/>
    <mergeCell ref="G68:K68"/>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5</vt:i4>
      </vt:variant>
      <vt:variant>
        <vt:lpstr>Pojmenované oblasti</vt:lpstr>
      </vt:variant>
      <vt:variant>
        <vt:i4>25</vt:i4>
      </vt:variant>
    </vt:vector>
  </HeadingPairs>
  <TitlesOfParts>
    <vt:vector size="30" baseType="lpstr">
      <vt:lpstr>Přípravy</vt:lpstr>
      <vt:lpstr>Tabulka</vt:lpstr>
      <vt:lpstr>SKV</vt:lpstr>
      <vt:lpstr>CHO</vt:lpstr>
      <vt:lpstr>VIT</vt:lpstr>
      <vt:lpstr>CHO!chodov</vt:lpstr>
      <vt:lpstr>VIT!chodov</vt:lpstr>
      <vt:lpstr>CHO!chodov_asistence</vt:lpstr>
      <vt:lpstr>VIT!chodov_asistence</vt:lpstr>
      <vt:lpstr>CHO!chodov_body</vt:lpstr>
      <vt:lpstr>VIT!chodov_body</vt:lpstr>
      <vt:lpstr>CHO!chodov_goalies</vt:lpstr>
      <vt:lpstr>VIT!chodov_goalies</vt:lpstr>
      <vt:lpstr>CHO!chodov_goly</vt:lpstr>
      <vt:lpstr>VIT!chodov_goly</vt:lpstr>
      <vt:lpstr>CHO!chodov_prumer</vt:lpstr>
      <vt:lpstr>VIT!chodov_prumer</vt:lpstr>
      <vt:lpstr>CHO!chodov_tm</vt:lpstr>
      <vt:lpstr>VIT!chodov_tm</vt:lpstr>
      <vt:lpstr>CHO!chodov_vyhry</vt:lpstr>
      <vt:lpstr>VIT!chodov_vyhry</vt:lpstr>
      <vt:lpstr>SKV!skv_1</vt:lpstr>
      <vt:lpstr>SKV!skv_asistence</vt:lpstr>
      <vt:lpstr>SKV!skv_body_1</vt:lpstr>
      <vt:lpstr>SKV!skv_goalies</vt:lpstr>
      <vt:lpstr>SKV!skv_goly</vt:lpstr>
      <vt:lpstr>SKV!skv_prumer</vt:lpstr>
      <vt:lpstr>SKV!skv_tm</vt:lpstr>
      <vt:lpstr>SKV!skv_vyhry</vt:lpstr>
      <vt:lpstr>Tabulka!tabulka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Klíma</dc:creator>
  <cp:lastModifiedBy>Richard Klíma</cp:lastModifiedBy>
  <cp:lastPrinted>2021-01-07T11:20:30Z</cp:lastPrinted>
  <dcterms:created xsi:type="dcterms:W3CDTF">2021-01-02T13:16:40Z</dcterms:created>
  <dcterms:modified xsi:type="dcterms:W3CDTF">2021-01-07T12:57:58Z</dcterms:modified>
</cp:coreProperties>
</file>