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16.xml" ContentType="application/vnd.openxmlformats-officedocument.spreadsheetml.queryTable+xml"/>
  <Override PartName="/xl/queryTables/queryTable17.xml" ContentType="application/vnd.openxmlformats-officedocument.spreadsheetml.queryTable+xml"/>
  <Override PartName="/xl/queryTables/queryTable18.xml" ContentType="application/vnd.openxmlformats-officedocument.spreadsheetml.queryTable+xml"/>
  <Override PartName="/xl/queryTables/queryTable19.xml" ContentType="application/vnd.openxmlformats-officedocument.spreadsheetml.queryTable+xml"/>
  <Override PartName="/xl/queryTables/queryTable20.xml" ContentType="application/vnd.openxmlformats-officedocument.spreadsheetml.queryTable+xml"/>
  <Override PartName="/xl/queryTables/queryTable21.xml" ContentType="application/vnd.openxmlformats-officedocument.spreadsheetml.queryTable+xml"/>
  <Override PartName="/xl/queryTables/queryTable22.xml" ContentType="application/vnd.openxmlformats-officedocument.spreadsheetml.queryTable+xml"/>
  <Override PartName="/xl/queryTables/queryTable23.xml" ContentType="application/vnd.openxmlformats-officedocument.spreadsheetml.queryTable+xml"/>
  <Override PartName="/xl/queryTables/queryTable24.xml" ContentType="application/vnd.openxmlformats-officedocument.spreadsheetml.queryTable+xml"/>
  <Override PartName="/xl/queryTables/queryTable25.xml" ContentType="application/vnd.openxmlformats-officedocument.spreadsheetml.queryTable+xml"/>
  <Override PartName="/xl/queryTables/queryTable26.xml" ContentType="application/vnd.openxmlformats-officedocument.spreadsheetml.queryTable+xml"/>
  <Override PartName="/xl/queryTables/queryTable27.xml" ContentType="application/vnd.openxmlformats-officedocument.spreadsheetml.queryTable+xml"/>
  <Override PartName="/xl/queryTables/queryTable28.xml" ContentType="application/vnd.openxmlformats-officedocument.spreadsheetml.queryTable+xml"/>
  <Override PartName="/xl/queryTables/queryTable29.xml" ContentType="application/vnd.openxmlformats-officedocument.spreadsheetml.queryTable+xml"/>
  <Override PartName="/xl/queryTables/queryTable30.xml" ContentType="application/vnd.openxmlformats-officedocument.spreadsheetml.queryTable+xml"/>
  <Override PartName="/xl/queryTables/queryTable31.xml" ContentType="application/vnd.openxmlformats-officedocument.spreadsheetml.queryTable+xml"/>
  <Override PartName="/xl/queryTables/queryTable32.xml" ContentType="application/vnd.openxmlformats-officedocument.spreadsheetml.queryTable+xml"/>
  <Override PartName="/xl/queryTables/queryTable3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klima\Documents\SKV\pripravy\"/>
    </mc:Choice>
  </mc:AlternateContent>
  <bookViews>
    <workbookView xWindow="0" yWindow="0" windowWidth="28800" windowHeight="12435" activeTab="2"/>
  </bookViews>
  <sheets>
    <sheet name="Přípravy" sheetId="1" r:id="rId1"/>
    <sheet name="Tabulka" sheetId="4" r:id="rId2"/>
    <sheet name="SKV" sheetId="2" r:id="rId3"/>
    <sheet name="SKV_nej" sheetId="8" r:id="rId4"/>
    <sheet name="CHO" sheetId="6" r:id="rId5"/>
    <sheet name="CHO_nej" sheetId="9" r:id="rId6"/>
    <sheet name="VIT" sheetId="7" r:id="rId7"/>
    <sheet name="VIT_nej" sheetId="10" r:id="rId8"/>
    <sheet name="MB" sheetId="11" r:id="rId9"/>
    <sheet name="MB_nej" sheetId="12" r:id="rId10"/>
  </sheets>
  <definedNames>
    <definedName name="boleslav_asistence" localSheetId="9">MB_nej!$B$11:$C$15</definedName>
    <definedName name="boleslav_body_1" localSheetId="9">MB_nej!$B$1:$C$5</definedName>
    <definedName name="boleslav_goalies" localSheetId="8">MB!$A$39:$O$41</definedName>
    <definedName name="boleslav_goly" localSheetId="9">MB_nej!$B$6:$C$10</definedName>
    <definedName name="boleslav_players" localSheetId="8">MB!$A$2:$N$28</definedName>
    <definedName name="boleslav_prumer" localSheetId="9">MB_nej!$B$21:$C$23</definedName>
    <definedName name="boleslav_tm" localSheetId="9">MB_nej!$B$16:$C$20</definedName>
    <definedName name="boleslav_vyhry" localSheetId="9">MB_nej!$B$26:$C$28</definedName>
    <definedName name="CHO_players">Přípravy!$AB$42,Přípravy!$AB$38,Přípravy!$AB$34,Přípravy!$AE$28,Přípravy!$S$28,Přípravy!$Y$25,Přípravy!$S$23,Přípravy!$AE$23,Přípravy!$AE$17,Přípravy!$S$17,Přípravy!$Y$14,Přípravy!$AE$12,Přípravy!$S$12,Přípravy!$S$6,Přípravy!$AE$6,Přípravy!$AE$1,Přípravy!$S$1</definedName>
    <definedName name="chodov" localSheetId="4">CHO!$A$2:$N$28</definedName>
    <definedName name="chodov_asistence" localSheetId="5">CHO_nej!$B$11:$C$15</definedName>
    <definedName name="chodov_body" localSheetId="5">CHO_nej!$B$1:$C$5</definedName>
    <definedName name="chodov_goalies" localSheetId="4">CHO!$A$39:$O$42</definedName>
    <definedName name="chodov_goly" localSheetId="5">CHO_nej!$B$6:$C$10</definedName>
    <definedName name="chodov_prumer" localSheetId="5">CHO_nej!$B$21:$C$24</definedName>
    <definedName name="chodov_tm" localSheetId="5">CHO_nej!$B$16:$C$20</definedName>
    <definedName name="chodov_vyhry" localSheetId="5">CHO_nej!$B$26:$C$29</definedName>
    <definedName name="skv_1" localSheetId="2">SKV!$A$2:$N$28</definedName>
    <definedName name="skv_asistence" localSheetId="3">SKV_nej!$B$11:$C$15</definedName>
    <definedName name="skv_body_1" localSheetId="3">SKV_nej!$B$1:$C$5</definedName>
    <definedName name="skv_goalies" localSheetId="2">SKV!$A$39:$O$42</definedName>
    <definedName name="skv_goly" localSheetId="3">SKV_nej!$B$6:$C$10</definedName>
    <definedName name="skv_prumer" localSheetId="3">SKV_nej!$B$21:$C$24</definedName>
    <definedName name="skv_tm" localSheetId="3">SKV_nej!$B$16:$C$20</definedName>
    <definedName name="skv_vyhry" localSheetId="3">SKV_nej!$B$26:$C$29</definedName>
    <definedName name="tabulka" localSheetId="1">Tabulka!$A$26:$AG$39</definedName>
    <definedName name="vitkovice_asistence" localSheetId="7">VIT_nej!$B$11:$C$15</definedName>
    <definedName name="vitkovice_body" localSheetId="7">VIT_nej!$B$1:$C$5</definedName>
    <definedName name="vitkovice_goalies" localSheetId="6">VIT!$A$39:$O$40</definedName>
    <definedName name="vitkovice_goly" localSheetId="7">VIT_nej!$B$6:$C$10</definedName>
    <definedName name="vitkovice_players" localSheetId="6">VIT!$A$2:$N$25</definedName>
    <definedName name="vitkovice_prumer" localSheetId="7">VIT_nej!$B$21:$C$22</definedName>
    <definedName name="vitkovice_tm" localSheetId="7">VIT_nej!$B$16:$C$20</definedName>
    <definedName name="vitkovice_vyhry" localSheetId="7">VIT_nej!$B$26:$C$27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60" i="11" l="1"/>
  <c r="D90" i="11"/>
  <c r="D91" i="11"/>
  <c r="D92" i="11"/>
  <c r="BG1" i="1"/>
  <c r="BA1" i="1"/>
  <c r="BM50" i="1"/>
  <c r="BL50" i="1"/>
  <c r="BP49" i="1"/>
  <c r="BM48" i="1"/>
  <c r="BL48" i="1"/>
  <c r="BD48" i="1"/>
  <c r="BC48" i="1"/>
  <c r="BP47" i="1"/>
  <c r="BG47" i="1"/>
  <c r="BS44" i="1"/>
  <c r="BP44" i="1"/>
  <c r="BM44" i="1"/>
  <c r="BL44" i="1"/>
  <c r="BH44" i="1"/>
  <c r="BF44" i="1"/>
  <c r="BC44" i="1"/>
  <c r="BR43" i="1"/>
  <c r="BP43" i="1"/>
  <c r="BO43" i="1"/>
  <c r="BM43" i="1"/>
  <c r="BL43" i="1"/>
  <c r="BG43" i="1"/>
  <c r="BE43" i="1"/>
  <c r="BC43" i="1"/>
  <c r="BT42" i="1"/>
  <c r="BS42" i="1"/>
  <c r="BH42" i="1"/>
  <c r="BF42" i="1"/>
  <c r="BD42" i="1"/>
  <c r="BC42" i="1"/>
  <c r="BG41" i="1"/>
  <c r="BF41" i="1"/>
  <c r="BD41" i="1"/>
  <c r="BC41" i="1"/>
  <c r="BS40" i="1"/>
  <c r="BP40" i="1"/>
  <c r="BM40" i="1"/>
  <c r="BL40" i="1"/>
  <c r="BH40" i="1"/>
  <c r="BG40" i="1"/>
  <c r="BR39" i="1"/>
  <c r="BP39" i="1"/>
  <c r="BO39" i="1"/>
  <c r="BM39" i="1"/>
  <c r="BL39" i="1"/>
  <c r="BT38" i="1"/>
  <c r="BS38" i="1"/>
  <c r="BH38" i="1"/>
  <c r="BF38" i="1"/>
  <c r="BC38" i="1"/>
  <c r="BG37" i="1"/>
  <c r="BE37" i="1"/>
  <c r="BC37" i="1"/>
  <c r="BS36" i="1"/>
  <c r="BP36" i="1"/>
  <c r="BM36" i="1"/>
  <c r="BL36" i="1"/>
  <c r="BH36" i="1"/>
  <c r="BF36" i="1"/>
  <c r="BD36" i="1"/>
  <c r="BC36" i="1"/>
  <c r="BR35" i="1"/>
  <c r="BP35" i="1"/>
  <c r="BO35" i="1"/>
  <c r="BM35" i="1"/>
  <c r="BL35" i="1"/>
  <c r="BG35" i="1"/>
  <c r="BF35" i="1"/>
  <c r="BD35" i="1"/>
  <c r="BC35" i="1"/>
  <c r="BT34" i="1"/>
  <c r="BS34" i="1"/>
  <c r="BH34" i="1"/>
  <c r="BG34" i="1"/>
  <c r="BT31" i="1"/>
  <c r="BR31" i="1"/>
  <c r="BO31" i="1"/>
  <c r="BH31" i="1"/>
  <c r="BF31" i="1"/>
  <c r="BC31" i="1"/>
  <c r="BR30" i="1"/>
  <c r="BO30" i="1"/>
  <c r="BF30" i="1"/>
  <c r="BC30" i="1"/>
  <c r="BS29" i="1"/>
  <c r="BR29" i="1"/>
  <c r="BP29" i="1"/>
  <c r="BO29" i="1"/>
  <c r="BG29" i="1"/>
  <c r="BF29" i="1"/>
  <c r="BD29" i="1"/>
  <c r="BC29" i="1"/>
  <c r="BT28" i="1"/>
  <c r="BS28" i="1"/>
  <c r="BN28" i="1"/>
  <c r="BL28" i="1"/>
  <c r="BI28" i="1"/>
  <c r="BH28" i="1"/>
  <c r="BG28" i="1"/>
  <c r="BL27" i="1"/>
  <c r="BI27" i="1"/>
  <c r="BT26" i="1"/>
  <c r="BR26" i="1"/>
  <c r="BO26" i="1"/>
  <c r="BM26" i="1"/>
  <c r="BL26" i="1"/>
  <c r="BJ26" i="1"/>
  <c r="BI26" i="1"/>
  <c r="BH26" i="1"/>
  <c r="BF26" i="1"/>
  <c r="BC26" i="1"/>
  <c r="BR25" i="1"/>
  <c r="BO25" i="1"/>
  <c r="BN25" i="1"/>
  <c r="BM25" i="1"/>
  <c r="BF25" i="1"/>
  <c r="BC25" i="1"/>
  <c r="BS24" i="1"/>
  <c r="BR24" i="1"/>
  <c r="BP24" i="1"/>
  <c r="BO24" i="1"/>
  <c r="BG24" i="1"/>
  <c r="BF24" i="1"/>
  <c r="BD24" i="1"/>
  <c r="BC24" i="1"/>
  <c r="BT23" i="1"/>
  <c r="BS23" i="1"/>
  <c r="BH23" i="1"/>
  <c r="BG23" i="1"/>
  <c r="BT20" i="1"/>
  <c r="BR20" i="1"/>
  <c r="BO20" i="1"/>
  <c r="BH20" i="1"/>
  <c r="BF20" i="1"/>
  <c r="BC20" i="1"/>
  <c r="BR19" i="1"/>
  <c r="BO19" i="1"/>
  <c r="BF19" i="1"/>
  <c r="BC19" i="1"/>
  <c r="BS18" i="1"/>
  <c r="BR18" i="1"/>
  <c r="BP18" i="1"/>
  <c r="BO18" i="1"/>
  <c r="BG18" i="1"/>
  <c r="BF18" i="1"/>
  <c r="BD18" i="1"/>
  <c r="BC18" i="1"/>
  <c r="BT17" i="1"/>
  <c r="BS17" i="1"/>
  <c r="BN17" i="1"/>
  <c r="BL17" i="1"/>
  <c r="BI17" i="1"/>
  <c r="BH17" i="1"/>
  <c r="BG17" i="1"/>
  <c r="BL16" i="1"/>
  <c r="BI16" i="1"/>
  <c r="BT15" i="1"/>
  <c r="BR15" i="1"/>
  <c r="BO15" i="1"/>
  <c r="BM15" i="1"/>
  <c r="BL15" i="1"/>
  <c r="BJ15" i="1"/>
  <c r="BI15" i="1"/>
  <c r="BH15" i="1"/>
  <c r="BF15" i="1"/>
  <c r="BC15" i="1"/>
  <c r="BR14" i="1"/>
  <c r="BO14" i="1"/>
  <c r="BN14" i="1"/>
  <c r="BM14" i="1"/>
  <c r="BF14" i="1"/>
  <c r="BC14" i="1"/>
  <c r="BS13" i="1"/>
  <c r="BR13" i="1"/>
  <c r="BP13" i="1"/>
  <c r="BO13" i="1"/>
  <c r="BG13" i="1"/>
  <c r="BF13" i="1"/>
  <c r="BD13" i="1"/>
  <c r="BC13" i="1"/>
  <c r="BT12" i="1"/>
  <c r="BS12" i="1"/>
  <c r="BH12" i="1"/>
  <c r="BG12" i="1"/>
  <c r="BT9" i="1"/>
  <c r="BR9" i="1"/>
  <c r="BO9" i="1"/>
  <c r="BH9" i="1"/>
  <c r="BF9" i="1"/>
  <c r="BC9" i="1"/>
  <c r="BR8" i="1"/>
  <c r="BO8" i="1"/>
  <c r="BF8" i="1"/>
  <c r="BC8" i="1"/>
  <c r="BS7" i="1"/>
  <c r="BR7" i="1"/>
  <c r="BP7" i="1"/>
  <c r="BO7" i="1"/>
  <c r="BG7" i="1"/>
  <c r="BF7" i="1"/>
  <c r="BD7" i="1"/>
  <c r="BC7" i="1"/>
  <c r="BT6" i="1"/>
  <c r="BS6" i="1"/>
  <c r="BN6" i="1"/>
  <c r="BL6" i="1"/>
  <c r="BI6" i="1"/>
  <c r="BH6" i="1"/>
  <c r="BG6" i="1"/>
  <c r="BL5" i="1"/>
  <c r="BI5" i="1"/>
  <c r="BT4" i="1"/>
  <c r="BR4" i="1"/>
  <c r="BO4" i="1"/>
  <c r="BM4" i="1"/>
  <c r="BL4" i="1"/>
  <c r="BJ4" i="1"/>
  <c r="BI4" i="1"/>
  <c r="BH4" i="1"/>
  <c r="BF4" i="1"/>
  <c r="BC4" i="1"/>
  <c r="BR3" i="1"/>
  <c r="BO3" i="1"/>
  <c r="BN3" i="1"/>
  <c r="BM3" i="1"/>
  <c r="BF3" i="1"/>
  <c r="BC3" i="1"/>
  <c r="BS2" i="1"/>
  <c r="BR2" i="1"/>
  <c r="BP2" i="1"/>
  <c r="BO2" i="1"/>
  <c r="BG2" i="1"/>
  <c r="BF2" i="1"/>
  <c r="BD2" i="1"/>
  <c r="BC2" i="1"/>
  <c r="BT1" i="1"/>
  <c r="BS1" i="1"/>
  <c r="BH1" i="1"/>
  <c r="D1" i="12" l="1"/>
  <c r="D2" i="12"/>
  <c r="D3" i="12"/>
  <c r="D4" i="12"/>
  <c r="D5" i="12"/>
  <c r="F30" i="12"/>
  <c r="D30" i="12"/>
  <c r="F29" i="12"/>
  <c r="D29" i="12"/>
  <c r="F28" i="12"/>
  <c r="D28" i="12"/>
  <c r="F27" i="12"/>
  <c r="D27" i="12"/>
  <c r="F26" i="12"/>
  <c r="D26" i="12"/>
  <c r="F25" i="12"/>
  <c r="D25" i="12"/>
  <c r="F24" i="12"/>
  <c r="D24" i="12"/>
  <c r="F23" i="12"/>
  <c r="D23" i="12"/>
  <c r="F22" i="12"/>
  <c r="D22" i="12"/>
  <c r="F21" i="12"/>
  <c r="D21" i="12"/>
  <c r="D20" i="12"/>
  <c r="D19" i="12"/>
  <c r="D18" i="12"/>
  <c r="D17" i="12"/>
  <c r="D16" i="12"/>
  <c r="D15" i="12"/>
  <c r="D14" i="12"/>
  <c r="D13" i="12"/>
  <c r="D12" i="12"/>
  <c r="D11" i="12"/>
  <c r="D10" i="12"/>
  <c r="D9" i="12"/>
  <c r="D8" i="12"/>
  <c r="D7" i="12"/>
  <c r="D6" i="12"/>
  <c r="O2" i="11"/>
  <c r="O3" i="11"/>
  <c r="O4" i="11"/>
  <c r="O5" i="11"/>
  <c r="O6" i="11"/>
  <c r="O7" i="11"/>
  <c r="O8" i="11"/>
  <c r="O9" i="11"/>
  <c r="O10" i="11"/>
  <c r="O11" i="11"/>
  <c r="O12" i="11"/>
  <c r="O13" i="11"/>
  <c r="O14" i="11"/>
  <c r="O15" i="11"/>
  <c r="O16" i="11"/>
  <c r="O17" i="11"/>
  <c r="O18" i="11"/>
  <c r="O19" i="11"/>
  <c r="O20" i="11"/>
  <c r="O21" i="11"/>
  <c r="O22" i="11"/>
  <c r="O23" i="11"/>
  <c r="O24" i="11"/>
  <c r="O25" i="11"/>
  <c r="A84" i="11"/>
  <c r="W82" i="11"/>
  <c r="V82" i="11"/>
  <c r="U82" i="11"/>
  <c r="T82" i="11"/>
  <c r="S82" i="11"/>
  <c r="P82" i="11"/>
  <c r="O82" i="11"/>
  <c r="H82" i="11"/>
  <c r="D82" i="11"/>
  <c r="W81" i="11"/>
  <c r="V81" i="11"/>
  <c r="U81" i="11"/>
  <c r="T81" i="11"/>
  <c r="S81" i="11"/>
  <c r="P81" i="11"/>
  <c r="O81" i="11"/>
  <c r="H81" i="11"/>
  <c r="D81" i="11"/>
  <c r="W80" i="11"/>
  <c r="V80" i="11"/>
  <c r="U80" i="11"/>
  <c r="T80" i="11"/>
  <c r="S80" i="11"/>
  <c r="P80" i="11"/>
  <c r="O80" i="11"/>
  <c r="H80" i="11"/>
  <c r="D80" i="11"/>
  <c r="W79" i="11"/>
  <c r="V79" i="11"/>
  <c r="U79" i="11"/>
  <c r="T79" i="11"/>
  <c r="S79" i="11"/>
  <c r="P79" i="11"/>
  <c r="O79" i="11"/>
  <c r="H79" i="11"/>
  <c r="D79" i="11"/>
  <c r="W78" i="11"/>
  <c r="V78" i="11"/>
  <c r="U78" i="11"/>
  <c r="T78" i="11"/>
  <c r="S78" i="11"/>
  <c r="P78" i="11"/>
  <c r="O78" i="11"/>
  <c r="H78" i="11"/>
  <c r="D78" i="11"/>
  <c r="W77" i="11"/>
  <c r="V77" i="11"/>
  <c r="U77" i="11"/>
  <c r="T77" i="11"/>
  <c r="S77" i="11"/>
  <c r="P77" i="11"/>
  <c r="O77" i="11"/>
  <c r="H77" i="11"/>
  <c r="D77" i="11"/>
  <c r="W76" i="11"/>
  <c r="V76" i="11"/>
  <c r="U76" i="11"/>
  <c r="T76" i="11"/>
  <c r="S76" i="11"/>
  <c r="P76" i="11"/>
  <c r="O76" i="11"/>
  <c r="H76" i="11"/>
  <c r="D76" i="11"/>
  <c r="W75" i="11"/>
  <c r="V75" i="11"/>
  <c r="U75" i="11"/>
  <c r="T75" i="11"/>
  <c r="S75" i="11"/>
  <c r="P75" i="11"/>
  <c r="O75" i="11"/>
  <c r="H75" i="11"/>
  <c r="D75" i="11"/>
  <c r="W61" i="11"/>
  <c r="U61" i="11"/>
  <c r="S61" i="11"/>
  <c r="P61" i="11"/>
  <c r="H61" i="11"/>
  <c r="O61" i="11" s="1"/>
  <c r="W70" i="11"/>
  <c r="U70" i="11"/>
  <c r="S70" i="11"/>
  <c r="P70" i="11"/>
  <c r="H70" i="11"/>
  <c r="O70" i="11" s="1"/>
  <c r="W55" i="11"/>
  <c r="U55" i="11"/>
  <c r="S55" i="11"/>
  <c r="P55" i="11"/>
  <c r="H55" i="11"/>
  <c r="O55" i="11" s="1"/>
  <c r="W67" i="11"/>
  <c r="U67" i="11"/>
  <c r="S67" i="11"/>
  <c r="P67" i="11"/>
  <c r="H67" i="11"/>
  <c r="O67" i="11" s="1"/>
  <c r="W74" i="11"/>
  <c r="U74" i="11"/>
  <c r="S74" i="11"/>
  <c r="P74" i="11"/>
  <c r="H74" i="11"/>
  <c r="O74" i="11" s="1"/>
  <c r="W51" i="11"/>
  <c r="U51" i="11"/>
  <c r="S51" i="11"/>
  <c r="P51" i="11"/>
  <c r="H51" i="11"/>
  <c r="O51" i="11" s="1"/>
  <c r="W71" i="11"/>
  <c r="U71" i="11"/>
  <c r="S71" i="11"/>
  <c r="P71" i="11"/>
  <c r="H71" i="11"/>
  <c r="O71" i="11" s="1"/>
  <c r="W49" i="11"/>
  <c r="U49" i="11"/>
  <c r="S49" i="11"/>
  <c r="P49" i="11"/>
  <c r="H49" i="11"/>
  <c r="O49" i="11" s="1"/>
  <c r="W56" i="11"/>
  <c r="U56" i="11"/>
  <c r="S56" i="11"/>
  <c r="P56" i="11"/>
  <c r="H56" i="11"/>
  <c r="O56" i="11" s="1"/>
  <c r="W54" i="11"/>
  <c r="U54" i="11"/>
  <c r="S54" i="11"/>
  <c r="P54" i="11"/>
  <c r="H54" i="11"/>
  <c r="O54" i="11" s="1"/>
  <c r="W52" i="11"/>
  <c r="U52" i="11"/>
  <c r="S52" i="11"/>
  <c r="P52" i="11"/>
  <c r="H52" i="11"/>
  <c r="O52" i="11" s="1"/>
  <c r="W48" i="11"/>
  <c r="U48" i="11"/>
  <c r="S48" i="11"/>
  <c r="P48" i="11"/>
  <c r="H48" i="11"/>
  <c r="O48" i="11" s="1"/>
  <c r="W65" i="11"/>
  <c r="U65" i="11"/>
  <c r="S65" i="11"/>
  <c r="P65" i="11"/>
  <c r="O65" i="11"/>
  <c r="H65" i="11"/>
  <c r="W68" i="11"/>
  <c r="U68" i="11"/>
  <c r="S68" i="11"/>
  <c r="P68" i="11"/>
  <c r="H68" i="11"/>
  <c r="O68" i="11" s="1"/>
  <c r="W59" i="11"/>
  <c r="U59" i="11"/>
  <c r="S59" i="11"/>
  <c r="P59" i="11"/>
  <c r="H59" i="11"/>
  <c r="O59" i="11" s="1"/>
  <c r="W66" i="11"/>
  <c r="U66" i="11"/>
  <c r="S66" i="11"/>
  <c r="P66" i="11"/>
  <c r="H66" i="11"/>
  <c r="O66" i="11" s="1"/>
  <c r="W62" i="11"/>
  <c r="U62" i="11"/>
  <c r="S62" i="11"/>
  <c r="P62" i="11"/>
  <c r="H62" i="11"/>
  <c r="O62" i="11" s="1"/>
  <c r="W58" i="11"/>
  <c r="U58" i="11"/>
  <c r="S58" i="11"/>
  <c r="P58" i="11"/>
  <c r="H58" i="11"/>
  <c r="O58" i="11" s="1"/>
  <c r="W72" i="11"/>
  <c r="U72" i="11"/>
  <c r="S72" i="11"/>
  <c r="P72" i="11"/>
  <c r="H72" i="11"/>
  <c r="O72" i="11" s="1"/>
  <c r="W64" i="11"/>
  <c r="U64" i="11"/>
  <c r="S64" i="11"/>
  <c r="P64" i="11"/>
  <c r="H64" i="11"/>
  <c r="O64" i="11" s="1"/>
  <c r="W69" i="11"/>
  <c r="U69" i="11"/>
  <c r="S69" i="11"/>
  <c r="P69" i="11"/>
  <c r="H69" i="11"/>
  <c r="O69" i="11" s="1"/>
  <c r="W73" i="11"/>
  <c r="U73" i="11"/>
  <c r="S73" i="11"/>
  <c r="P73" i="11"/>
  <c r="H73" i="11"/>
  <c r="O73" i="11" s="1"/>
  <c r="W63" i="11"/>
  <c r="U63" i="11"/>
  <c r="S63" i="11"/>
  <c r="P63" i="11"/>
  <c r="H63" i="11"/>
  <c r="O63" i="11" s="1"/>
  <c r="W50" i="11"/>
  <c r="U50" i="11"/>
  <c r="S50" i="11"/>
  <c r="P50" i="11"/>
  <c r="H50" i="11"/>
  <c r="O50" i="11" s="1"/>
  <c r="W53" i="11"/>
  <c r="U53" i="11"/>
  <c r="S53" i="11"/>
  <c r="P53" i="11"/>
  <c r="O53" i="11"/>
  <c r="H53" i="11"/>
  <c r="W57" i="11"/>
  <c r="U57" i="11"/>
  <c r="S57" i="11"/>
  <c r="P57" i="11"/>
  <c r="H57" i="11"/>
  <c r="O57" i="11" s="1"/>
  <c r="W60" i="11"/>
  <c r="U60" i="11"/>
  <c r="S60" i="11"/>
  <c r="P60" i="11"/>
  <c r="H60" i="11"/>
  <c r="A47" i="11"/>
  <c r="D49" i="11" s="1"/>
  <c r="R45" i="11"/>
  <c r="Q45" i="11"/>
  <c r="P45" i="11"/>
  <c r="R44" i="11"/>
  <c r="Q44" i="11"/>
  <c r="P44" i="11"/>
  <c r="R43" i="11"/>
  <c r="Q43" i="11"/>
  <c r="P43" i="11"/>
  <c r="R42" i="11"/>
  <c r="Q42" i="11"/>
  <c r="P42" i="11"/>
  <c r="R41" i="11"/>
  <c r="Q41" i="11"/>
  <c r="P41" i="11"/>
  <c r="R40" i="11"/>
  <c r="Q40" i="11"/>
  <c r="P40" i="11"/>
  <c r="R39" i="11"/>
  <c r="Q39" i="11"/>
  <c r="P39" i="11"/>
  <c r="O36" i="11"/>
  <c r="O35" i="11"/>
  <c r="O34" i="11"/>
  <c r="O33" i="11"/>
  <c r="O32" i="11"/>
  <c r="O31" i="11"/>
  <c r="O30" i="11"/>
  <c r="O29" i="11"/>
  <c r="O28" i="11"/>
  <c r="O27" i="11"/>
  <c r="O26" i="11"/>
  <c r="BJ30" i="1"/>
  <c r="BJ19" i="1"/>
  <c r="D90" i="7"/>
  <c r="D91" i="7"/>
  <c r="D92" i="7"/>
  <c r="D90" i="6"/>
  <c r="D91" i="6"/>
  <c r="D92" i="6"/>
  <c r="D89" i="2"/>
  <c r="D90" i="2"/>
  <c r="D91" i="2"/>
  <c r="D92" i="2"/>
  <c r="AI44" i="1"/>
  <c r="AF44" i="1"/>
  <c r="AB44" i="1"/>
  <c r="V44" i="1"/>
  <c r="S44" i="1"/>
  <c r="Q44" i="1"/>
  <c r="N44" i="1"/>
  <c r="J44" i="1"/>
  <c r="D44" i="1"/>
  <c r="A44" i="1"/>
  <c r="AF43" i="1"/>
  <c r="AC43" i="1"/>
  <c r="AB43" i="1"/>
  <c r="N43" i="1"/>
  <c r="K43" i="1"/>
  <c r="J43" i="1"/>
  <c r="AJ42" i="1"/>
  <c r="AI42" i="1"/>
  <c r="R42" i="1"/>
  <c r="Q42" i="1"/>
  <c r="E41" i="1"/>
  <c r="B41" i="1"/>
  <c r="A41" i="1"/>
  <c r="AI40" i="1"/>
  <c r="AF40" i="1"/>
  <c r="AB40" i="1"/>
  <c r="X40" i="1"/>
  <c r="W40" i="1"/>
  <c r="Q40" i="1"/>
  <c r="N40" i="1"/>
  <c r="J40" i="1"/>
  <c r="F40" i="1"/>
  <c r="E40" i="1"/>
  <c r="AF39" i="1"/>
  <c r="AC39" i="1"/>
  <c r="AB39" i="1"/>
  <c r="N39" i="1"/>
  <c r="K39" i="1"/>
  <c r="J39" i="1"/>
  <c r="AJ38" i="1"/>
  <c r="AI38" i="1"/>
  <c r="V38" i="1"/>
  <c r="S38" i="1"/>
  <c r="R38" i="1"/>
  <c r="Q38" i="1"/>
  <c r="D38" i="1"/>
  <c r="A38" i="1"/>
  <c r="AI36" i="1"/>
  <c r="AF36" i="1"/>
  <c r="AB36" i="1"/>
  <c r="Q36" i="1"/>
  <c r="N36" i="1"/>
  <c r="J36" i="1"/>
  <c r="AF35" i="1"/>
  <c r="AC35" i="1"/>
  <c r="AB35" i="1"/>
  <c r="K35" i="1"/>
  <c r="J35" i="1"/>
  <c r="B35" i="1"/>
  <c r="A35" i="1"/>
  <c r="AJ34" i="1"/>
  <c r="AI34" i="1"/>
  <c r="X34" i="1"/>
  <c r="W34" i="1"/>
  <c r="R34" i="1"/>
  <c r="Q34" i="1"/>
  <c r="F34" i="1"/>
  <c r="E34" i="1"/>
  <c r="AJ31" i="1"/>
  <c r="AH31" i="1"/>
  <c r="AE31" i="1"/>
  <c r="X31" i="1"/>
  <c r="V31" i="1"/>
  <c r="S31" i="1"/>
  <c r="R31" i="1"/>
  <c r="P31" i="1"/>
  <c r="M31" i="1"/>
  <c r="F31" i="1"/>
  <c r="D31" i="1"/>
  <c r="A31" i="1"/>
  <c r="AI29" i="1"/>
  <c r="AF29" i="1"/>
  <c r="AE29" i="1"/>
  <c r="W29" i="1"/>
  <c r="T29" i="1"/>
  <c r="S29" i="1"/>
  <c r="N29" i="1"/>
  <c r="M29" i="1"/>
  <c r="B29" i="1"/>
  <c r="A29" i="1"/>
  <c r="AJ28" i="1"/>
  <c r="AI28" i="1"/>
  <c r="AD28" i="1"/>
  <c r="AB28" i="1"/>
  <c r="Y28" i="1"/>
  <c r="X28" i="1"/>
  <c r="W28" i="1"/>
  <c r="R28" i="1"/>
  <c r="Q28" i="1"/>
  <c r="L28" i="1"/>
  <c r="J28" i="1"/>
  <c r="G28" i="1"/>
  <c r="F28" i="1"/>
  <c r="E28" i="1"/>
  <c r="AJ26" i="1"/>
  <c r="AH26" i="1"/>
  <c r="AE26" i="1"/>
  <c r="AC26" i="1"/>
  <c r="Z26" i="1"/>
  <c r="Y26" i="1"/>
  <c r="X26" i="1"/>
  <c r="V26" i="1"/>
  <c r="S26" i="1"/>
  <c r="R26" i="1"/>
  <c r="P26" i="1"/>
  <c r="M26" i="1"/>
  <c r="H26" i="1"/>
  <c r="G26" i="1"/>
  <c r="F26" i="1"/>
  <c r="D26" i="1"/>
  <c r="A26" i="1"/>
  <c r="AD25" i="1"/>
  <c r="AC25" i="1"/>
  <c r="L25" i="1"/>
  <c r="K25" i="1"/>
  <c r="AI24" i="1"/>
  <c r="AF24" i="1"/>
  <c r="AE24" i="1"/>
  <c r="W24" i="1"/>
  <c r="T24" i="1"/>
  <c r="S24" i="1"/>
  <c r="N24" i="1"/>
  <c r="M24" i="1"/>
  <c r="B24" i="1"/>
  <c r="A24" i="1"/>
  <c r="AJ23" i="1"/>
  <c r="AI23" i="1"/>
  <c r="X23" i="1"/>
  <c r="W23" i="1"/>
  <c r="R23" i="1"/>
  <c r="Q23" i="1"/>
  <c r="F23" i="1"/>
  <c r="E23" i="1"/>
  <c r="AJ20" i="1"/>
  <c r="AH20" i="1"/>
  <c r="AE20" i="1"/>
  <c r="X20" i="1"/>
  <c r="V20" i="1"/>
  <c r="S20" i="1"/>
  <c r="R20" i="1"/>
  <c r="P20" i="1"/>
  <c r="M20" i="1"/>
  <c r="F20" i="1"/>
  <c r="D20" i="1"/>
  <c r="A20" i="1"/>
  <c r="AI18" i="1"/>
  <c r="AF18" i="1"/>
  <c r="AE18" i="1"/>
  <c r="W18" i="1"/>
  <c r="T18" i="1"/>
  <c r="S18" i="1"/>
  <c r="N18" i="1"/>
  <c r="M18" i="1"/>
  <c r="B18" i="1"/>
  <c r="A18" i="1"/>
  <c r="AJ17" i="1"/>
  <c r="AI17" i="1"/>
  <c r="AD17" i="1"/>
  <c r="AB17" i="1"/>
  <c r="Y17" i="1"/>
  <c r="X17" i="1"/>
  <c r="W17" i="1"/>
  <c r="R17" i="1"/>
  <c r="Q17" i="1"/>
  <c r="L17" i="1"/>
  <c r="J17" i="1"/>
  <c r="G17" i="1"/>
  <c r="F17" i="1"/>
  <c r="E17" i="1"/>
  <c r="AJ15" i="1"/>
  <c r="AH15" i="1"/>
  <c r="AE15" i="1"/>
  <c r="AC15" i="1"/>
  <c r="Z15" i="1"/>
  <c r="Y15" i="1"/>
  <c r="X15" i="1"/>
  <c r="V15" i="1"/>
  <c r="S15" i="1"/>
  <c r="R15" i="1"/>
  <c r="P15" i="1"/>
  <c r="M15" i="1"/>
  <c r="H15" i="1"/>
  <c r="G15" i="1"/>
  <c r="F15" i="1"/>
  <c r="D15" i="1"/>
  <c r="A15" i="1"/>
  <c r="AD14" i="1"/>
  <c r="AC14" i="1"/>
  <c r="L14" i="1"/>
  <c r="K14" i="1"/>
  <c r="AI13" i="1"/>
  <c r="AF13" i="1"/>
  <c r="AE13" i="1"/>
  <c r="W13" i="1"/>
  <c r="T13" i="1"/>
  <c r="S13" i="1"/>
  <c r="N13" i="1"/>
  <c r="M13" i="1"/>
  <c r="B13" i="1"/>
  <c r="A13" i="1"/>
  <c r="AJ12" i="1"/>
  <c r="AI12" i="1"/>
  <c r="X12" i="1"/>
  <c r="W12" i="1"/>
  <c r="R12" i="1"/>
  <c r="Q12" i="1"/>
  <c r="F12" i="1"/>
  <c r="E12" i="1"/>
  <c r="AJ9" i="1"/>
  <c r="AH9" i="1"/>
  <c r="AE9" i="1"/>
  <c r="X9" i="1"/>
  <c r="V9" i="1"/>
  <c r="S9" i="1"/>
  <c r="R9" i="1"/>
  <c r="P9" i="1"/>
  <c r="M9" i="1"/>
  <c r="F9" i="1"/>
  <c r="D9" i="1"/>
  <c r="A9" i="1"/>
  <c r="AI7" i="1"/>
  <c r="AF7" i="1"/>
  <c r="AE7" i="1"/>
  <c r="W7" i="1"/>
  <c r="T7" i="1"/>
  <c r="S7" i="1"/>
  <c r="N7" i="1"/>
  <c r="M7" i="1"/>
  <c r="B7" i="1"/>
  <c r="A7" i="1"/>
  <c r="AJ6" i="1"/>
  <c r="AI6" i="1"/>
  <c r="AD6" i="1"/>
  <c r="AB6" i="1"/>
  <c r="Y6" i="1"/>
  <c r="X6" i="1"/>
  <c r="W6" i="1"/>
  <c r="R6" i="1"/>
  <c r="Q6" i="1"/>
  <c r="L6" i="1"/>
  <c r="J6" i="1"/>
  <c r="G6" i="1"/>
  <c r="F6" i="1"/>
  <c r="E6" i="1"/>
  <c r="AJ4" i="1"/>
  <c r="AH4" i="1"/>
  <c r="AE4" i="1"/>
  <c r="AC4" i="1"/>
  <c r="Z4" i="1"/>
  <c r="Y4" i="1"/>
  <c r="X4" i="1"/>
  <c r="V4" i="1"/>
  <c r="S4" i="1"/>
  <c r="R4" i="1"/>
  <c r="P4" i="1"/>
  <c r="M4" i="1"/>
  <c r="H4" i="1"/>
  <c r="G4" i="1"/>
  <c r="F4" i="1"/>
  <c r="D4" i="1"/>
  <c r="A4" i="1"/>
  <c r="AD3" i="1"/>
  <c r="AC3" i="1"/>
  <c r="L3" i="1"/>
  <c r="K3" i="1"/>
  <c r="AI2" i="1"/>
  <c r="AF2" i="1"/>
  <c r="AE2" i="1"/>
  <c r="W2" i="1"/>
  <c r="T2" i="1"/>
  <c r="S2" i="1"/>
  <c r="N2" i="1"/>
  <c r="M2" i="1"/>
  <c r="B2" i="1"/>
  <c r="A2" i="1"/>
  <c r="AJ1" i="1"/>
  <c r="AI1" i="1"/>
  <c r="X1" i="1"/>
  <c r="W1" i="1"/>
  <c r="R1" i="1"/>
  <c r="Q1" i="1"/>
  <c r="F1" i="1"/>
  <c r="E1" i="1"/>
  <c r="O49" i="7"/>
  <c r="O50" i="7"/>
  <c r="O51" i="7"/>
  <c r="O52" i="7"/>
  <c r="O53" i="7"/>
  <c r="O54" i="7"/>
  <c r="O55" i="7"/>
  <c r="O56" i="7"/>
  <c r="O57" i="7"/>
  <c r="O58" i="7"/>
  <c r="O59" i="7"/>
  <c r="O60" i="7"/>
  <c r="O61" i="7"/>
  <c r="O62" i="7"/>
  <c r="O63" i="7"/>
  <c r="O64" i="7"/>
  <c r="O65" i="7"/>
  <c r="O66" i="7"/>
  <c r="O67" i="7"/>
  <c r="O68" i="7"/>
  <c r="O69" i="7"/>
  <c r="O70" i="7"/>
  <c r="O71" i="7"/>
  <c r="O72" i="7"/>
  <c r="O73" i="7"/>
  <c r="O74" i="7"/>
  <c r="O75" i="7"/>
  <c r="O76" i="7"/>
  <c r="O77" i="7"/>
  <c r="O78" i="7"/>
  <c r="O79" i="7"/>
  <c r="O80" i="7"/>
  <c r="O81" i="7"/>
  <c r="O82" i="7"/>
  <c r="O48" i="7"/>
  <c r="O49" i="6"/>
  <c r="AH25" i="1" s="1"/>
  <c r="O50" i="6"/>
  <c r="V30" i="1" s="1"/>
  <c r="O51" i="6"/>
  <c r="AH19" i="1" s="1"/>
  <c r="O52" i="6"/>
  <c r="O53" i="6"/>
  <c r="O54" i="6"/>
  <c r="V19" i="1" s="1"/>
  <c r="O55" i="6"/>
  <c r="AB16" i="1" s="1"/>
  <c r="O56" i="6"/>
  <c r="O57" i="6"/>
  <c r="O58" i="6"/>
  <c r="O59" i="6"/>
  <c r="AH3" i="1" s="1"/>
  <c r="O60" i="6"/>
  <c r="AH14" i="1" s="1"/>
  <c r="O61" i="6"/>
  <c r="V25" i="1" s="1"/>
  <c r="O62" i="6"/>
  <c r="V8" i="1" s="1"/>
  <c r="O63" i="6"/>
  <c r="O64" i="6"/>
  <c r="AC44" i="1" s="1"/>
  <c r="O65" i="6"/>
  <c r="AB5" i="1" s="1"/>
  <c r="O66" i="6"/>
  <c r="AC40" i="1" s="1"/>
  <c r="O67" i="6"/>
  <c r="AB27" i="1" s="1"/>
  <c r="O68" i="6"/>
  <c r="V14" i="1" s="1"/>
  <c r="O69" i="6"/>
  <c r="O70" i="6"/>
  <c r="AC36" i="1" s="1"/>
  <c r="O71" i="6"/>
  <c r="V3" i="1" s="1"/>
  <c r="O72" i="6"/>
  <c r="AH8" i="1" s="1"/>
  <c r="O73" i="6"/>
  <c r="AH30" i="1" s="1"/>
  <c r="O74" i="6"/>
  <c r="O75" i="6"/>
  <c r="O76" i="6"/>
  <c r="O77" i="6"/>
  <c r="O78" i="6"/>
  <c r="O79" i="6"/>
  <c r="O80" i="6"/>
  <c r="O81" i="6"/>
  <c r="O82" i="6"/>
  <c r="O48" i="6"/>
  <c r="O36" i="2"/>
  <c r="O3" i="6"/>
  <c r="O4" i="6"/>
  <c r="O5"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6" i="7"/>
  <c r="O3" i="7"/>
  <c r="O4" i="7"/>
  <c r="O5" i="7"/>
  <c r="O6" i="7"/>
  <c r="O7" i="7"/>
  <c r="O8" i="7"/>
  <c r="O9" i="7"/>
  <c r="O10" i="7"/>
  <c r="O11" i="7"/>
  <c r="O12" i="7"/>
  <c r="O13" i="7"/>
  <c r="O14" i="7"/>
  <c r="O15" i="7"/>
  <c r="O16" i="7"/>
  <c r="O17" i="7"/>
  <c r="O18" i="7"/>
  <c r="O19" i="7"/>
  <c r="O20" i="7"/>
  <c r="O21" i="7"/>
  <c r="O22" i="7"/>
  <c r="O23" i="7"/>
  <c r="O24" i="7"/>
  <c r="O25" i="7"/>
  <c r="O26" i="7"/>
  <c r="O27" i="7"/>
  <c r="O28" i="7"/>
  <c r="O29" i="7"/>
  <c r="O30" i="7"/>
  <c r="O31" i="7"/>
  <c r="O32" i="7"/>
  <c r="O33" i="7"/>
  <c r="O34" i="7"/>
  <c r="O35" i="7"/>
  <c r="O2" i="7"/>
  <c r="O2" i="6"/>
  <c r="O50" i="2"/>
  <c r="D19" i="1" s="1"/>
  <c r="O51" i="2"/>
  <c r="O58" i="2"/>
  <c r="P19" i="1" s="1"/>
  <c r="O59" i="2"/>
  <c r="O66" i="2"/>
  <c r="J5" i="1" s="1"/>
  <c r="O67" i="2"/>
  <c r="J27" i="1" s="1"/>
  <c r="O74" i="2"/>
  <c r="K44" i="1" s="1"/>
  <c r="O75" i="2"/>
  <c r="P3" i="1" s="1"/>
  <c r="O76" i="2"/>
  <c r="O77" i="2"/>
  <c r="O78" i="2"/>
  <c r="O79" i="2"/>
  <c r="O80" i="2"/>
  <c r="O81" i="2"/>
  <c r="O82" i="2"/>
  <c r="O48" i="2"/>
  <c r="D25" i="1" s="1"/>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2" i="2"/>
  <c r="D56" i="7"/>
  <c r="D66" i="7"/>
  <c r="D72" i="7"/>
  <c r="D73" i="7"/>
  <c r="D74" i="7"/>
  <c r="D75" i="7"/>
  <c r="D76" i="7"/>
  <c r="D77" i="7"/>
  <c r="D78" i="7"/>
  <c r="D79" i="7"/>
  <c r="D80" i="7"/>
  <c r="D81" i="7"/>
  <c r="D82" i="7"/>
  <c r="D52" i="6"/>
  <c r="D53" i="6"/>
  <c r="D58" i="6"/>
  <c r="D69" i="6"/>
  <c r="D75" i="6"/>
  <c r="D76" i="6"/>
  <c r="D77" i="6"/>
  <c r="D78" i="6"/>
  <c r="D79" i="6"/>
  <c r="D80" i="6"/>
  <c r="D81" i="6"/>
  <c r="D82" i="6"/>
  <c r="S49" i="7"/>
  <c r="S50" i="7"/>
  <c r="S51" i="7"/>
  <c r="S52" i="7"/>
  <c r="S53" i="7"/>
  <c r="S54" i="7"/>
  <c r="S55" i="7"/>
  <c r="S56" i="7"/>
  <c r="S57" i="7"/>
  <c r="S58" i="7"/>
  <c r="S59" i="7"/>
  <c r="S60" i="7"/>
  <c r="S61" i="7"/>
  <c r="S62" i="7"/>
  <c r="S63" i="7"/>
  <c r="S64" i="7"/>
  <c r="S65" i="7"/>
  <c r="S66" i="7"/>
  <c r="S67" i="7"/>
  <c r="S68" i="7"/>
  <c r="S69" i="7"/>
  <c r="S70" i="7"/>
  <c r="S71" i="7"/>
  <c r="S72" i="7"/>
  <c r="S73" i="7"/>
  <c r="S74" i="7"/>
  <c r="S75" i="7"/>
  <c r="S76" i="7"/>
  <c r="S77" i="7"/>
  <c r="S78" i="7"/>
  <c r="S79" i="7"/>
  <c r="S80" i="7"/>
  <c r="S81" i="7"/>
  <c r="S82" i="7"/>
  <c r="S48" i="7"/>
  <c r="S49" i="6"/>
  <c r="S50" i="6"/>
  <c r="S51" i="6"/>
  <c r="S52" i="6"/>
  <c r="S53" i="6"/>
  <c r="S54" i="6"/>
  <c r="S55" i="6"/>
  <c r="S56" i="6"/>
  <c r="S57" i="6"/>
  <c r="S58" i="6"/>
  <c r="S59" i="6"/>
  <c r="S60" i="6"/>
  <c r="S61" i="6"/>
  <c r="S62" i="6"/>
  <c r="S63" i="6"/>
  <c r="S64" i="6"/>
  <c r="S65" i="6"/>
  <c r="S66" i="6"/>
  <c r="S67" i="6"/>
  <c r="S68" i="6"/>
  <c r="S69" i="6"/>
  <c r="S70" i="6"/>
  <c r="S71" i="6"/>
  <c r="S72" i="6"/>
  <c r="S73" i="6"/>
  <c r="S74" i="6"/>
  <c r="S75" i="6"/>
  <c r="S76" i="6"/>
  <c r="S77" i="6"/>
  <c r="S78" i="6"/>
  <c r="S79" i="6"/>
  <c r="S80" i="6"/>
  <c r="S81" i="6"/>
  <c r="S82" i="6"/>
  <c r="S48" i="6"/>
  <c r="P49" i="7"/>
  <c r="P50" i="7"/>
  <c r="P51" i="7"/>
  <c r="P52" i="7"/>
  <c r="P53" i="7"/>
  <c r="P54" i="7"/>
  <c r="P55" i="7"/>
  <c r="P56" i="7"/>
  <c r="P57" i="7"/>
  <c r="P58" i="7"/>
  <c r="P59" i="7"/>
  <c r="P60" i="7"/>
  <c r="P61" i="7"/>
  <c r="P62" i="7"/>
  <c r="P63" i="7"/>
  <c r="P64" i="7"/>
  <c r="P65" i="7"/>
  <c r="P66" i="7"/>
  <c r="P67" i="7"/>
  <c r="P68" i="7"/>
  <c r="P69" i="7"/>
  <c r="P70" i="7"/>
  <c r="P71" i="7"/>
  <c r="P72" i="7"/>
  <c r="P73" i="7"/>
  <c r="P74" i="7"/>
  <c r="P75" i="7"/>
  <c r="P76" i="7"/>
  <c r="P77" i="7"/>
  <c r="P78" i="7"/>
  <c r="P79" i="7"/>
  <c r="P80" i="7"/>
  <c r="P81" i="7"/>
  <c r="P82"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P49" i="6"/>
  <c r="P50" i="6"/>
  <c r="P51" i="6"/>
  <c r="P52" i="6"/>
  <c r="P53" i="6"/>
  <c r="P54" i="6"/>
  <c r="P55" i="6"/>
  <c r="P56" i="6"/>
  <c r="P57" i="6"/>
  <c r="P58" i="6"/>
  <c r="P59" i="6"/>
  <c r="P60" i="6"/>
  <c r="P61" i="6"/>
  <c r="P62" i="6"/>
  <c r="P63" i="6"/>
  <c r="P64" i="6"/>
  <c r="P65" i="6"/>
  <c r="P66" i="6"/>
  <c r="P67" i="6"/>
  <c r="P68" i="6"/>
  <c r="P69" i="6"/>
  <c r="P70" i="6"/>
  <c r="P71" i="6"/>
  <c r="P72" i="6"/>
  <c r="P73" i="6"/>
  <c r="P74" i="6"/>
  <c r="P75" i="6"/>
  <c r="P76" i="6"/>
  <c r="P77" i="6"/>
  <c r="P78" i="6"/>
  <c r="P79" i="6"/>
  <c r="P80" i="6"/>
  <c r="P81" i="6"/>
  <c r="P82" i="6"/>
  <c r="P48" i="7"/>
  <c r="P48" i="6"/>
  <c r="H48" i="7"/>
  <c r="H48" i="6"/>
  <c r="P40" i="7"/>
  <c r="Q40" i="7"/>
  <c r="R40" i="7"/>
  <c r="P41" i="7"/>
  <c r="Q41" i="7"/>
  <c r="R41" i="7"/>
  <c r="P42" i="7"/>
  <c r="Q42" i="7"/>
  <c r="R42" i="7"/>
  <c r="P43" i="7"/>
  <c r="Q43" i="7"/>
  <c r="R43" i="7"/>
  <c r="P44" i="7"/>
  <c r="Q44" i="7"/>
  <c r="R44" i="7"/>
  <c r="P45" i="7"/>
  <c r="Q45" i="7"/>
  <c r="R45" i="7"/>
  <c r="R39" i="7"/>
  <c r="Q39" i="7"/>
  <c r="P39" i="7"/>
  <c r="P40" i="6"/>
  <c r="Q40" i="6"/>
  <c r="R40" i="6"/>
  <c r="P41" i="6"/>
  <c r="Q41" i="6"/>
  <c r="R41" i="6"/>
  <c r="P42" i="6"/>
  <c r="Q42" i="6"/>
  <c r="R42" i="6"/>
  <c r="P43" i="6"/>
  <c r="Q43" i="6"/>
  <c r="R43" i="6"/>
  <c r="P44" i="6"/>
  <c r="Q44" i="6"/>
  <c r="R44" i="6"/>
  <c r="P45" i="6"/>
  <c r="Q45" i="6"/>
  <c r="R45" i="6"/>
  <c r="R39" i="6"/>
  <c r="Q39" i="6"/>
  <c r="P39" i="6"/>
  <c r="R40" i="2"/>
  <c r="R41" i="2"/>
  <c r="R42" i="2"/>
  <c r="R43" i="2"/>
  <c r="R44" i="2"/>
  <c r="R45" i="2"/>
  <c r="R39" i="2"/>
  <c r="Q40" i="2"/>
  <c r="Q41" i="2"/>
  <c r="Q42" i="2"/>
  <c r="Q43" i="2"/>
  <c r="Q44" i="2"/>
  <c r="Q45" i="2"/>
  <c r="Q39" i="2"/>
  <c r="P40" i="2"/>
  <c r="P41" i="2"/>
  <c r="P42" i="2"/>
  <c r="P43" i="2"/>
  <c r="P44" i="2"/>
  <c r="P45" i="2"/>
  <c r="P39" i="2"/>
  <c r="U49" i="7"/>
  <c r="V49" i="7" s="1"/>
  <c r="T49" i="7" s="1"/>
  <c r="W49" i="7"/>
  <c r="U50" i="7"/>
  <c r="V50" i="7" s="1"/>
  <c r="T50" i="7" s="1"/>
  <c r="W50" i="7"/>
  <c r="U51" i="7"/>
  <c r="V51" i="7" s="1"/>
  <c r="T51" i="7" s="1"/>
  <c r="W51" i="7"/>
  <c r="U52" i="7"/>
  <c r="V52" i="7" s="1"/>
  <c r="T52" i="7" s="1"/>
  <c r="W52" i="7"/>
  <c r="U53" i="7"/>
  <c r="V53" i="7" s="1"/>
  <c r="T53" i="7" s="1"/>
  <c r="W53" i="7"/>
  <c r="U54" i="7"/>
  <c r="V54" i="7" s="1"/>
  <c r="T54" i="7" s="1"/>
  <c r="W54" i="7"/>
  <c r="U55" i="7"/>
  <c r="V55" i="7" s="1"/>
  <c r="T55" i="7" s="1"/>
  <c r="W55" i="7"/>
  <c r="U56" i="7"/>
  <c r="V56" i="7" s="1"/>
  <c r="T56" i="7" s="1"/>
  <c r="W56" i="7"/>
  <c r="U57" i="7"/>
  <c r="V57" i="7" s="1"/>
  <c r="T57" i="7" s="1"/>
  <c r="W57" i="7"/>
  <c r="U58" i="7"/>
  <c r="V58" i="7" s="1"/>
  <c r="T58" i="7" s="1"/>
  <c r="W58" i="7"/>
  <c r="U59" i="7"/>
  <c r="V59" i="7" s="1"/>
  <c r="T59" i="7" s="1"/>
  <c r="W59" i="7"/>
  <c r="U60" i="7"/>
  <c r="V60" i="7" s="1"/>
  <c r="T60" i="7" s="1"/>
  <c r="W60" i="7"/>
  <c r="U61" i="7"/>
  <c r="V61" i="7" s="1"/>
  <c r="T61" i="7" s="1"/>
  <c r="W61" i="7"/>
  <c r="U62" i="7"/>
  <c r="V62" i="7" s="1"/>
  <c r="T62" i="7" s="1"/>
  <c r="W62" i="7"/>
  <c r="U63" i="7"/>
  <c r="V63" i="7" s="1"/>
  <c r="T63" i="7" s="1"/>
  <c r="W63" i="7"/>
  <c r="U64" i="7"/>
  <c r="V64" i="7" s="1"/>
  <c r="T64" i="7" s="1"/>
  <c r="W64" i="7"/>
  <c r="U65" i="7"/>
  <c r="V65" i="7" s="1"/>
  <c r="T65" i="7" s="1"/>
  <c r="W65" i="7"/>
  <c r="U66" i="7"/>
  <c r="V66" i="7" s="1"/>
  <c r="T66" i="7" s="1"/>
  <c r="W66" i="7"/>
  <c r="U67" i="7"/>
  <c r="V67" i="7" s="1"/>
  <c r="T67" i="7" s="1"/>
  <c r="W67" i="7"/>
  <c r="U68" i="7"/>
  <c r="V68" i="7" s="1"/>
  <c r="T68" i="7" s="1"/>
  <c r="W68" i="7"/>
  <c r="U69" i="7"/>
  <c r="V69" i="7" s="1"/>
  <c r="T69" i="7" s="1"/>
  <c r="W69" i="7"/>
  <c r="U70" i="7"/>
  <c r="V70" i="7" s="1"/>
  <c r="T70" i="7" s="1"/>
  <c r="W70" i="7"/>
  <c r="U71" i="7"/>
  <c r="V71" i="7" s="1"/>
  <c r="T71" i="7" s="1"/>
  <c r="W71" i="7"/>
  <c r="T72" i="7"/>
  <c r="U72" i="7"/>
  <c r="V72" i="7"/>
  <c r="W72" i="7"/>
  <c r="T73" i="7"/>
  <c r="U73" i="7"/>
  <c r="V73" i="7"/>
  <c r="W73" i="7"/>
  <c r="T74" i="7"/>
  <c r="U74" i="7"/>
  <c r="V74" i="7"/>
  <c r="W74" i="7"/>
  <c r="T75" i="7"/>
  <c r="U75" i="7"/>
  <c r="V75" i="7"/>
  <c r="W75" i="7"/>
  <c r="T76" i="7"/>
  <c r="U76" i="7"/>
  <c r="V76" i="7"/>
  <c r="W76" i="7"/>
  <c r="T77" i="7"/>
  <c r="U77" i="7"/>
  <c r="V77" i="7"/>
  <c r="W77" i="7"/>
  <c r="T78" i="7"/>
  <c r="U78" i="7"/>
  <c r="V78" i="7"/>
  <c r="W78" i="7"/>
  <c r="T79" i="7"/>
  <c r="U79" i="7"/>
  <c r="V79" i="7"/>
  <c r="W79" i="7"/>
  <c r="T80" i="7"/>
  <c r="U80" i="7"/>
  <c r="V80" i="7"/>
  <c r="W80" i="7"/>
  <c r="T81" i="7"/>
  <c r="U81" i="7"/>
  <c r="V81" i="7"/>
  <c r="W81" i="7"/>
  <c r="T82" i="7"/>
  <c r="U82" i="7"/>
  <c r="V82" i="7"/>
  <c r="W82" i="7"/>
  <c r="W48" i="7"/>
  <c r="V48" i="7"/>
  <c r="T48" i="7" s="1"/>
  <c r="U48" i="7"/>
  <c r="U49" i="6"/>
  <c r="V49" i="6" s="1"/>
  <c r="T49" i="6" s="1"/>
  <c r="W49" i="6"/>
  <c r="U50" i="6"/>
  <c r="V50" i="6"/>
  <c r="T50" i="6" s="1"/>
  <c r="W50" i="6"/>
  <c r="U51" i="6"/>
  <c r="V51" i="6" s="1"/>
  <c r="T51" i="6" s="1"/>
  <c r="W51" i="6"/>
  <c r="U52" i="6"/>
  <c r="V52" i="6"/>
  <c r="T52" i="6" s="1"/>
  <c r="W52" i="6"/>
  <c r="U53" i="6"/>
  <c r="V53" i="6" s="1"/>
  <c r="T53" i="6" s="1"/>
  <c r="W53" i="6"/>
  <c r="U54" i="6"/>
  <c r="V54" i="6"/>
  <c r="T54" i="6" s="1"/>
  <c r="W54" i="6"/>
  <c r="U55" i="6"/>
  <c r="V55" i="6" s="1"/>
  <c r="T55" i="6" s="1"/>
  <c r="W55" i="6"/>
  <c r="U56" i="6"/>
  <c r="V56" i="6"/>
  <c r="T56" i="6" s="1"/>
  <c r="W56" i="6"/>
  <c r="U57" i="6"/>
  <c r="V57" i="6" s="1"/>
  <c r="T57" i="6" s="1"/>
  <c r="W57" i="6"/>
  <c r="U58" i="6"/>
  <c r="V58" i="6"/>
  <c r="T58" i="6" s="1"/>
  <c r="W58" i="6"/>
  <c r="U59" i="6"/>
  <c r="V59" i="6" s="1"/>
  <c r="T59" i="6" s="1"/>
  <c r="W59" i="6"/>
  <c r="U60" i="6"/>
  <c r="V60" i="6"/>
  <c r="T60" i="6" s="1"/>
  <c r="W60" i="6"/>
  <c r="U61" i="6"/>
  <c r="V61" i="6" s="1"/>
  <c r="T61" i="6" s="1"/>
  <c r="W61" i="6"/>
  <c r="U62" i="6"/>
  <c r="V62" i="6"/>
  <c r="T62" i="6" s="1"/>
  <c r="W62" i="6"/>
  <c r="U63" i="6"/>
  <c r="V63" i="6" s="1"/>
  <c r="T63" i="6" s="1"/>
  <c r="W63" i="6"/>
  <c r="U64" i="6"/>
  <c r="V64" i="6"/>
  <c r="T64" i="6" s="1"/>
  <c r="W64" i="6"/>
  <c r="U65" i="6"/>
  <c r="V65" i="6" s="1"/>
  <c r="T65" i="6" s="1"/>
  <c r="W65" i="6"/>
  <c r="U66" i="6"/>
  <c r="V66" i="6"/>
  <c r="T66" i="6" s="1"/>
  <c r="W66" i="6"/>
  <c r="U67" i="6"/>
  <c r="V67" i="6" s="1"/>
  <c r="T67" i="6" s="1"/>
  <c r="W67" i="6"/>
  <c r="U68" i="6"/>
  <c r="V68" i="6"/>
  <c r="T68" i="6" s="1"/>
  <c r="W68" i="6"/>
  <c r="U69" i="6"/>
  <c r="V69" i="6" s="1"/>
  <c r="T69" i="6" s="1"/>
  <c r="W69" i="6"/>
  <c r="U70" i="6"/>
  <c r="V70" i="6"/>
  <c r="T70" i="6" s="1"/>
  <c r="W70" i="6"/>
  <c r="U71" i="6"/>
  <c r="V71" i="6" s="1"/>
  <c r="T71" i="6" s="1"/>
  <c r="W71" i="6"/>
  <c r="U72" i="6"/>
  <c r="V72" i="6"/>
  <c r="T72" i="6" s="1"/>
  <c r="W72" i="6"/>
  <c r="U73" i="6"/>
  <c r="V73" i="6" s="1"/>
  <c r="T73" i="6" s="1"/>
  <c r="W73" i="6"/>
  <c r="U74" i="6"/>
  <c r="V74" i="6"/>
  <c r="T74" i="6" s="1"/>
  <c r="W74" i="6"/>
  <c r="T75" i="6"/>
  <c r="U75" i="6"/>
  <c r="V75" i="6"/>
  <c r="W75" i="6"/>
  <c r="T76" i="6"/>
  <c r="U76" i="6"/>
  <c r="V76" i="6"/>
  <c r="W76" i="6"/>
  <c r="T77" i="6"/>
  <c r="U77" i="6"/>
  <c r="V77" i="6"/>
  <c r="W77" i="6"/>
  <c r="T78" i="6"/>
  <c r="U78" i="6"/>
  <c r="V78" i="6"/>
  <c r="W78" i="6"/>
  <c r="T79" i="6"/>
  <c r="U79" i="6"/>
  <c r="V79" i="6"/>
  <c r="W79" i="6"/>
  <c r="T80" i="6"/>
  <c r="U80" i="6"/>
  <c r="V80" i="6"/>
  <c r="W80" i="6"/>
  <c r="T81" i="6"/>
  <c r="U81" i="6"/>
  <c r="V81" i="6"/>
  <c r="W81" i="6"/>
  <c r="T82" i="6"/>
  <c r="U82" i="6"/>
  <c r="V82" i="6"/>
  <c r="W82" i="6"/>
  <c r="W48" i="6"/>
  <c r="U48" i="6"/>
  <c r="V48" i="6" s="1"/>
  <c r="T48" i="6" s="1"/>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48" i="2"/>
  <c r="V76" i="2"/>
  <c r="V77" i="2"/>
  <c r="V78" i="2"/>
  <c r="V79" i="2"/>
  <c r="V80" i="2"/>
  <c r="V81" i="2"/>
  <c r="V82" i="2"/>
  <c r="U49" i="2"/>
  <c r="U50" i="2"/>
  <c r="V50" i="2" s="1"/>
  <c r="U51" i="2"/>
  <c r="V51" i="2" s="1"/>
  <c r="U52" i="2"/>
  <c r="V52" i="2" s="1"/>
  <c r="U53" i="2"/>
  <c r="V53" i="2" s="1"/>
  <c r="U54" i="2"/>
  <c r="V72" i="2" s="1"/>
  <c r="U55" i="2"/>
  <c r="V55" i="2" s="1"/>
  <c r="U56" i="2"/>
  <c r="U57" i="2"/>
  <c r="U58" i="2"/>
  <c r="V58" i="2" s="1"/>
  <c r="U59" i="2"/>
  <c r="V59" i="2" s="1"/>
  <c r="U60" i="2"/>
  <c r="V60" i="2" s="1"/>
  <c r="U61" i="2"/>
  <c r="V61" i="2" s="1"/>
  <c r="U62" i="2"/>
  <c r="V62" i="2" s="1"/>
  <c r="U63" i="2"/>
  <c r="V63" i="2" s="1"/>
  <c r="U64" i="2"/>
  <c r="U65" i="2"/>
  <c r="U66" i="2"/>
  <c r="V66" i="2" s="1"/>
  <c r="U67" i="2"/>
  <c r="V67" i="2" s="1"/>
  <c r="U68" i="2"/>
  <c r="V68" i="2" s="1"/>
  <c r="U69" i="2"/>
  <c r="V69" i="2" s="1"/>
  <c r="U70" i="2"/>
  <c r="V70" i="2" s="1"/>
  <c r="U71" i="2"/>
  <c r="V71" i="2" s="1"/>
  <c r="U72" i="2"/>
  <c r="U73" i="2"/>
  <c r="U74" i="2"/>
  <c r="V74" i="2" s="1"/>
  <c r="U75" i="2"/>
  <c r="V75" i="2" s="1"/>
  <c r="U76" i="2"/>
  <c r="U77" i="2"/>
  <c r="U78" i="2"/>
  <c r="U79" i="2"/>
  <c r="U80" i="2"/>
  <c r="U81" i="2"/>
  <c r="U82" i="2"/>
  <c r="U48" i="2"/>
  <c r="V48" i="2" s="1"/>
  <c r="S49" i="2"/>
  <c r="S50" i="2"/>
  <c r="S51" i="2"/>
  <c r="S52" i="2"/>
  <c r="S53" i="2"/>
  <c r="S54" i="2"/>
  <c r="S55" i="2"/>
  <c r="E37" i="1" s="1"/>
  <c r="S56" i="2"/>
  <c r="E43" i="1" s="1"/>
  <c r="S57" i="2"/>
  <c r="S58" i="2"/>
  <c r="S59" i="2"/>
  <c r="S60" i="2"/>
  <c r="S61" i="2"/>
  <c r="S62" i="2"/>
  <c r="S63" i="2"/>
  <c r="S64" i="2"/>
  <c r="S65" i="2"/>
  <c r="S66" i="2"/>
  <c r="S67" i="2"/>
  <c r="S68" i="2"/>
  <c r="S69" i="2"/>
  <c r="S70" i="2"/>
  <c r="S71" i="2"/>
  <c r="S72" i="2"/>
  <c r="S73" i="2"/>
  <c r="S74" i="2"/>
  <c r="S75" i="2"/>
  <c r="S48" i="2"/>
  <c r="T76" i="2"/>
  <c r="T77" i="2"/>
  <c r="T78" i="2"/>
  <c r="T79" i="2"/>
  <c r="T80" i="2"/>
  <c r="T81" i="2"/>
  <c r="T82" i="2"/>
  <c r="H49" i="2"/>
  <c r="O49" i="2" s="1"/>
  <c r="H50" i="2"/>
  <c r="H51" i="2"/>
  <c r="H52" i="2"/>
  <c r="O52" i="2" s="1"/>
  <c r="H53" i="2"/>
  <c r="O53" i="2" s="1"/>
  <c r="D3" i="1" s="1"/>
  <c r="H54" i="2"/>
  <c r="O54" i="2" s="1"/>
  <c r="K36" i="1" s="1"/>
  <c r="H55" i="2"/>
  <c r="O55" i="2" s="1"/>
  <c r="H56" i="2"/>
  <c r="O56" i="2" s="1"/>
  <c r="H57" i="2"/>
  <c r="O57" i="2" s="1"/>
  <c r="P25" i="1" s="1"/>
  <c r="H58" i="2"/>
  <c r="H59" i="2"/>
  <c r="H60" i="2"/>
  <c r="O60" i="2" s="1"/>
  <c r="D30" i="1" s="1"/>
  <c r="H61" i="2"/>
  <c r="O61" i="2" s="1"/>
  <c r="H62" i="2"/>
  <c r="O62" i="2" s="1"/>
  <c r="H63" i="2"/>
  <c r="O63" i="2" s="1"/>
  <c r="K40" i="1" s="1"/>
  <c r="H64" i="2"/>
  <c r="O64" i="2" s="1"/>
  <c r="H65" i="2"/>
  <c r="O65" i="2" s="1"/>
  <c r="J16" i="1" s="1"/>
  <c r="H66" i="2"/>
  <c r="H67" i="2"/>
  <c r="H68" i="2"/>
  <c r="O68" i="2" s="1"/>
  <c r="D8" i="1" s="1"/>
  <c r="H69" i="2"/>
  <c r="O69" i="2" s="1"/>
  <c r="D14" i="1" s="1"/>
  <c r="H70" i="2"/>
  <c r="O70" i="2" s="1"/>
  <c r="P14" i="1" s="1"/>
  <c r="H71" i="2"/>
  <c r="O71" i="2" s="1"/>
  <c r="P8" i="1" s="1"/>
  <c r="H72" i="2"/>
  <c r="O72" i="2" s="1"/>
  <c r="H73" i="2"/>
  <c r="O73" i="2" s="1"/>
  <c r="P30" i="1" s="1"/>
  <c r="H75" i="2"/>
  <c r="H74" i="2"/>
  <c r="H76" i="2"/>
  <c r="H77" i="2"/>
  <c r="H78" i="2"/>
  <c r="H79" i="2"/>
  <c r="H80" i="2"/>
  <c r="H81" i="2"/>
  <c r="H82" i="2"/>
  <c r="H48" i="2"/>
  <c r="P49" i="2"/>
  <c r="P50" i="2"/>
  <c r="E18" i="1" s="1"/>
  <c r="P51" i="2"/>
  <c r="P52" i="2"/>
  <c r="P53" i="2"/>
  <c r="E2" i="1" s="1"/>
  <c r="P54" i="2"/>
  <c r="N35" i="1" s="1"/>
  <c r="P55" i="2"/>
  <c r="E35" i="1" s="1"/>
  <c r="P56" i="2"/>
  <c r="P57" i="2"/>
  <c r="Q24" i="1" s="1"/>
  <c r="P58" i="2"/>
  <c r="Q18" i="1" s="1"/>
  <c r="P59" i="2"/>
  <c r="P60" i="2"/>
  <c r="E29" i="1" s="1"/>
  <c r="P61" i="2"/>
  <c r="P62" i="2"/>
  <c r="P63" i="2"/>
  <c r="P64" i="2"/>
  <c r="P65" i="2"/>
  <c r="K15" i="1" s="1"/>
  <c r="P66" i="2"/>
  <c r="K4" i="1" s="1"/>
  <c r="P67" i="2"/>
  <c r="K26" i="1" s="1"/>
  <c r="P68" i="2"/>
  <c r="E7" i="1" s="1"/>
  <c r="P69" i="2"/>
  <c r="E13" i="1" s="1"/>
  <c r="P70" i="2"/>
  <c r="Q13" i="1" s="1"/>
  <c r="P71" i="2"/>
  <c r="Q7" i="1" s="1"/>
  <c r="P72" i="2"/>
  <c r="P73" i="2"/>
  <c r="Q29" i="1" s="1"/>
  <c r="P75" i="2"/>
  <c r="Q2" i="1" s="1"/>
  <c r="P74" i="2"/>
  <c r="P76" i="2"/>
  <c r="P77" i="2"/>
  <c r="P78" i="2"/>
  <c r="P79" i="2"/>
  <c r="P80" i="2"/>
  <c r="P81" i="2"/>
  <c r="P82" i="2"/>
  <c r="P48" i="2"/>
  <c r="E24" i="1" s="1"/>
  <c r="D62" i="2"/>
  <c r="D76" i="2"/>
  <c r="D77" i="2"/>
  <c r="D78" i="2"/>
  <c r="D79" i="2"/>
  <c r="D80" i="2"/>
  <c r="D81" i="2"/>
  <c r="D82" i="2"/>
  <c r="AZ43" i="1"/>
  <c r="AZ39" i="1"/>
  <c r="AZ35" i="1"/>
  <c r="AW30" i="1"/>
  <c r="AK30" i="1"/>
  <c r="AQ27" i="1"/>
  <c r="AW25" i="1"/>
  <c r="AK25" i="1"/>
  <c r="AW19" i="1"/>
  <c r="AK19" i="1"/>
  <c r="AQ16" i="1"/>
  <c r="AW14" i="1"/>
  <c r="AK14" i="1"/>
  <c r="AW8" i="1"/>
  <c r="AK8" i="1"/>
  <c r="AQ5" i="1"/>
  <c r="AW3" i="1"/>
  <c r="AK3" i="1"/>
  <c r="BA44" i="1"/>
  <c r="AX44" i="1"/>
  <c r="AU44" i="1"/>
  <c r="AT44" i="1"/>
  <c r="AN44" i="1"/>
  <c r="AK44" i="1"/>
  <c r="AX43" i="1"/>
  <c r="AW43" i="1"/>
  <c r="AU43" i="1"/>
  <c r="AT43" i="1"/>
  <c r="AO43" i="1"/>
  <c r="BB42" i="1"/>
  <c r="BA42" i="1"/>
  <c r="AO41" i="1"/>
  <c r="AN41" i="1"/>
  <c r="AL41" i="1"/>
  <c r="AK41" i="1"/>
  <c r="BA40" i="1"/>
  <c r="AX40" i="1"/>
  <c r="AU40" i="1"/>
  <c r="AT40" i="1"/>
  <c r="AP40" i="1"/>
  <c r="AO40" i="1"/>
  <c r="AX39" i="1"/>
  <c r="AW39" i="1"/>
  <c r="AU39" i="1"/>
  <c r="AT39" i="1"/>
  <c r="BB38" i="1"/>
  <c r="BA38" i="1"/>
  <c r="AN38" i="1"/>
  <c r="AK38" i="1"/>
  <c r="AO37" i="1"/>
  <c r="BA36" i="1"/>
  <c r="AX36" i="1"/>
  <c r="AU36" i="1"/>
  <c r="AT36" i="1"/>
  <c r="AX35" i="1"/>
  <c r="AW35" i="1"/>
  <c r="AU35" i="1"/>
  <c r="AT35" i="1"/>
  <c r="AO35" i="1"/>
  <c r="AN35" i="1"/>
  <c r="AL35" i="1"/>
  <c r="AK35" i="1"/>
  <c r="BB34" i="1"/>
  <c r="BA34" i="1"/>
  <c r="AP34" i="1"/>
  <c r="AO34" i="1"/>
  <c r="BB31" i="1"/>
  <c r="AZ31" i="1"/>
  <c r="AW31" i="1"/>
  <c r="AP31" i="1"/>
  <c r="AN31" i="1"/>
  <c r="AK31" i="1"/>
  <c r="AZ30" i="1"/>
  <c r="AN30" i="1"/>
  <c r="BA29" i="1"/>
  <c r="AZ29" i="1"/>
  <c r="AX29" i="1"/>
  <c r="AW29" i="1"/>
  <c r="AO29" i="1"/>
  <c r="AN29" i="1"/>
  <c r="AL29" i="1"/>
  <c r="AK29" i="1"/>
  <c r="BB28" i="1"/>
  <c r="BA28" i="1"/>
  <c r="AV28" i="1"/>
  <c r="AT28" i="1"/>
  <c r="AQ28" i="1"/>
  <c r="AP28" i="1"/>
  <c r="AO28" i="1"/>
  <c r="AT27" i="1"/>
  <c r="BB26" i="1"/>
  <c r="AZ26" i="1"/>
  <c r="AW26" i="1"/>
  <c r="AU26" i="1"/>
  <c r="AT26" i="1"/>
  <c r="AR26" i="1"/>
  <c r="AQ26" i="1"/>
  <c r="AP26" i="1"/>
  <c r="AN26" i="1"/>
  <c r="AK26" i="1"/>
  <c r="AZ25" i="1"/>
  <c r="AV25" i="1"/>
  <c r="AU25" i="1"/>
  <c r="AN25" i="1"/>
  <c r="BA24" i="1"/>
  <c r="AZ24" i="1"/>
  <c r="AX24" i="1"/>
  <c r="AW24" i="1"/>
  <c r="AO24" i="1"/>
  <c r="AN24" i="1"/>
  <c r="AL24" i="1"/>
  <c r="AK24" i="1"/>
  <c r="BB23" i="1"/>
  <c r="BA23" i="1"/>
  <c r="AP23" i="1"/>
  <c r="AO23" i="1"/>
  <c r="BB20" i="1"/>
  <c r="AZ20" i="1"/>
  <c r="AW20" i="1"/>
  <c r="AP20" i="1"/>
  <c r="AN20" i="1"/>
  <c r="AK20" i="1"/>
  <c r="AZ19" i="1"/>
  <c r="AN19" i="1"/>
  <c r="BA18" i="1"/>
  <c r="AZ18" i="1"/>
  <c r="AX18" i="1"/>
  <c r="AW18" i="1"/>
  <c r="AO18" i="1"/>
  <c r="AN18" i="1"/>
  <c r="AL18" i="1"/>
  <c r="AK18" i="1"/>
  <c r="BB17" i="1"/>
  <c r="BA17" i="1"/>
  <c r="AV17" i="1"/>
  <c r="AT17" i="1"/>
  <c r="AQ17" i="1"/>
  <c r="AP17" i="1"/>
  <c r="AO17" i="1"/>
  <c r="AT16" i="1"/>
  <c r="BB15" i="1"/>
  <c r="AZ15" i="1"/>
  <c r="AW15" i="1"/>
  <c r="AU15" i="1"/>
  <c r="AT15" i="1"/>
  <c r="AR15" i="1"/>
  <c r="AQ15" i="1"/>
  <c r="AP15" i="1"/>
  <c r="AN15" i="1"/>
  <c r="AK15" i="1"/>
  <c r="AZ14" i="1"/>
  <c r="AV14" i="1"/>
  <c r="AU14" i="1"/>
  <c r="AN14" i="1"/>
  <c r="BA13" i="1"/>
  <c r="AZ13" i="1"/>
  <c r="AX13" i="1"/>
  <c r="AW13" i="1"/>
  <c r="AO13" i="1"/>
  <c r="AN13" i="1"/>
  <c r="AL13" i="1"/>
  <c r="AK13" i="1"/>
  <c r="BB12" i="1"/>
  <c r="BA12" i="1"/>
  <c r="AP12" i="1"/>
  <c r="AO12" i="1"/>
  <c r="BB9" i="1"/>
  <c r="AZ9" i="1"/>
  <c r="AW9" i="1"/>
  <c r="AP9" i="1"/>
  <c r="AN9" i="1"/>
  <c r="AK9" i="1"/>
  <c r="AZ8" i="1"/>
  <c r="AN8" i="1"/>
  <c r="BA7" i="1"/>
  <c r="AZ7" i="1"/>
  <c r="AX7" i="1"/>
  <c r="AW7" i="1"/>
  <c r="AO7" i="1"/>
  <c r="AN7" i="1"/>
  <c r="AL7" i="1"/>
  <c r="AK7" i="1"/>
  <c r="BB6" i="1"/>
  <c r="BA6" i="1"/>
  <c r="AV6" i="1"/>
  <c r="AT6" i="1"/>
  <c r="AQ6" i="1"/>
  <c r="AP6" i="1"/>
  <c r="AO6" i="1"/>
  <c r="AT5" i="1"/>
  <c r="BB4" i="1"/>
  <c r="AZ4" i="1"/>
  <c r="AW4" i="1"/>
  <c r="AU4" i="1"/>
  <c r="AT4" i="1"/>
  <c r="AR4" i="1"/>
  <c r="AQ4" i="1"/>
  <c r="AP4" i="1"/>
  <c r="AN4" i="1"/>
  <c r="AK4" i="1"/>
  <c r="AZ3" i="1"/>
  <c r="AV3" i="1"/>
  <c r="AU3" i="1"/>
  <c r="AN3" i="1"/>
  <c r="BA2" i="1"/>
  <c r="AZ2" i="1"/>
  <c r="AX2" i="1"/>
  <c r="AW2" i="1"/>
  <c r="AO2" i="1"/>
  <c r="AN2" i="1"/>
  <c r="AL2" i="1"/>
  <c r="AK2" i="1"/>
  <c r="BB1" i="1"/>
  <c r="AP1" i="1"/>
  <c r="AO1" i="1"/>
  <c r="AU50" i="1"/>
  <c r="AC50" i="1"/>
  <c r="AX49" i="1"/>
  <c r="AF49" i="1"/>
  <c r="AU48" i="1"/>
  <c r="AL48" i="1"/>
  <c r="AC48" i="1"/>
  <c r="T48" i="1"/>
  <c r="AX47" i="1"/>
  <c r="AO47" i="1"/>
  <c r="AF47" i="1"/>
  <c r="W47" i="1"/>
  <c r="W41" i="1"/>
  <c r="T41" i="1"/>
  <c r="S41" i="1"/>
  <c r="W35" i="1"/>
  <c r="T35" i="1"/>
  <c r="S35" i="1"/>
  <c r="AL42" i="1"/>
  <c r="AL36" i="1"/>
  <c r="K50" i="1"/>
  <c r="J50" i="1"/>
  <c r="N49" i="1"/>
  <c r="K48" i="1"/>
  <c r="B48" i="1"/>
  <c r="N47" i="1"/>
  <c r="E47" i="1"/>
  <c r="F30" i="10"/>
  <c r="D30" i="10"/>
  <c r="F29" i="10"/>
  <c r="D29" i="10"/>
  <c r="F28" i="10"/>
  <c r="D28" i="10"/>
  <c r="F27" i="10"/>
  <c r="D27" i="10"/>
  <c r="F26" i="10"/>
  <c r="D26" i="10"/>
  <c r="F25" i="10"/>
  <c r="D25" i="10"/>
  <c r="F24" i="10"/>
  <c r="D24" i="10"/>
  <c r="F23" i="10"/>
  <c r="D23" i="10"/>
  <c r="F22" i="10"/>
  <c r="D22" i="10"/>
  <c r="F21" i="10"/>
  <c r="D21" i="10"/>
  <c r="D20" i="10"/>
  <c r="D19" i="10"/>
  <c r="D18" i="10"/>
  <c r="D17" i="10"/>
  <c r="D16" i="10"/>
  <c r="D15" i="10"/>
  <c r="D14" i="10"/>
  <c r="D13" i="10"/>
  <c r="D12" i="10"/>
  <c r="D11" i="10"/>
  <c r="D10" i="10"/>
  <c r="D9" i="10"/>
  <c r="D8" i="10"/>
  <c r="D7" i="10"/>
  <c r="D6" i="10"/>
  <c r="D5" i="10"/>
  <c r="D4" i="10"/>
  <c r="D3" i="10"/>
  <c r="D2" i="10"/>
  <c r="D1" i="10"/>
  <c r="F30" i="9"/>
  <c r="D30" i="9"/>
  <c r="F29" i="9"/>
  <c r="D29" i="9"/>
  <c r="F28" i="9"/>
  <c r="D28" i="9"/>
  <c r="F27" i="9"/>
  <c r="D27" i="9"/>
  <c r="F26" i="9"/>
  <c r="D26" i="9"/>
  <c r="F25" i="9"/>
  <c r="D25" i="9"/>
  <c r="F24" i="9"/>
  <c r="D24" i="9"/>
  <c r="F23" i="9"/>
  <c r="D23" i="9"/>
  <c r="F22" i="9"/>
  <c r="D22" i="9"/>
  <c r="F21" i="9"/>
  <c r="D21" i="9"/>
  <c r="D20" i="9"/>
  <c r="D19" i="9"/>
  <c r="D18" i="9"/>
  <c r="D17" i="9"/>
  <c r="D16" i="9"/>
  <c r="D15" i="9"/>
  <c r="D14" i="9"/>
  <c r="D13" i="9"/>
  <c r="D12" i="9"/>
  <c r="D11" i="9"/>
  <c r="D10" i="9"/>
  <c r="D9" i="9"/>
  <c r="D8" i="9"/>
  <c r="D7" i="9"/>
  <c r="D6" i="9"/>
  <c r="D5" i="9"/>
  <c r="D4" i="9"/>
  <c r="D3" i="9"/>
  <c r="D2" i="9"/>
  <c r="D1" i="9"/>
  <c r="F30" i="8"/>
  <c r="D30" i="8"/>
  <c r="F29" i="8"/>
  <c r="D29" i="8"/>
  <c r="F28" i="8"/>
  <c r="D28" i="8"/>
  <c r="F27" i="8"/>
  <c r="D27" i="8"/>
  <c r="F26" i="8"/>
  <c r="D26" i="8"/>
  <c r="F25" i="8"/>
  <c r="D25" i="8"/>
  <c r="F24" i="8"/>
  <c r="D24" i="8"/>
  <c r="F23" i="8"/>
  <c r="D23" i="8"/>
  <c r="F22" i="8"/>
  <c r="D22" i="8"/>
  <c r="F21" i="8"/>
  <c r="D21" i="8"/>
  <c r="D20" i="8"/>
  <c r="D19" i="8"/>
  <c r="D18" i="8"/>
  <c r="D17" i="8"/>
  <c r="D16" i="8"/>
  <c r="D15" i="8"/>
  <c r="D14" i="8"/>
  <c r="D13" i="8"/>
  <c r="D12" i="8"/>
  <c r="D11" i="8"/>
  <c r="D10" i="8"/>
  <c r="D9" i="8"/>
  <c r="D8" i="8"/>
  <c r="D7" i="8"/>
  <c r="D6" i="8"/>
  <c r="D5" i="8"/>
  <c r="D4" i="8"/>
  <c r="D3" i="8"/>
  <c r="D2" i="8"/>
  <c r="D1" i="8"/>
  <c r="A73" i="1"/>
  <c r="A79" i="1"/>
  <c r="F74" i="1"/>
  <c r="F81" i="1"/>
  <c r="C81" i="1"/>
  <c r="F71" i="1"/>
  <c r="D73" i="1"/>
  <c r="O82" i="1"/>
  <c r="D82" i="1"/>
  <c r="O73" i="1"/>
  <c r="C79" i="1"/>
  <c r="C72" i="1"/>
  <c r="R71" i="1"/>
  <c r="O81" i="1"/>
  <c r="F78" i="1"/>
  <c r="P82" i="1"/>
  <c r="R80" i="1"/>
  <c r="I80" i="1"/>
  <c r="R75" i="1"/>
  <c r="I71" i="1"/>
  <c r="D75" i="1"/>
  <c r="L79" i="1"/>
  <c r="G80" i="1"/>
  <c r="G82" i="1"/>
  <c r="F73" i="1"/>
  <c r="F75" i="1"/>
  <c r="A74" i="1"/>
  <c r="L82" i="1"/>
  <c r="I72" i="1"/>
  <c r="D74" i="1"/>
  <c r="R78" i="1"/>
  <c r="D79" i="1"/>
  <c r="O74" i="1"/>
  <c r="F82" i="1"/>
  <c r="O80" i="1"/>
  <c r="R82" i="1"/>
  <c r="C82" i="1"/>
  <c r="G81" i="1"/>
  <c r="I75" i="1"/>
  <c r="A75" i="1"/>
  <c r="R72" i="1"/>
  <c r="C73" i="1"/>
  <c r="D81" i="1"/>
  <c r="L80" i="1"/>
  <c r="A72" i="1"/>
  <c r="L71" i="1"/>
  <c r="I81" i="1"/>
  <c r="A80" i="1"/>
  <c r="O79" i="1"/>
  <c r="C80" i="1"/>
  <c r="G74" i="1"/>
  <c r="R81" i="1"/>
  <c r="G79" i="1"/>
  <c r="D80" i="1"/>
  <c r="R79" i="1"/>
  <c r="A71" i="1"/>
  <c r="O75" i="1"/>
  <c r="I78" i="1"/>
  <c r="F80" i="1"/>
  <c r="I73" i="1"/>
  <c r="A81" i="1"/>
  <c r="R74" i="1"/>
  <c r="R73" i="1"/>
  <c r="C75" i="1"/>
  <c r="G75" i="1"/>
  <c r="O78" i="1"/>
  <c r="I82" i="1"/>
  <c r="G71" i="1"/>
  <c r="L81" i="1"/>
  <c r="G73" i="1"/>
  <c r="L72" i="1"/>
  <c r="C78" i="1"/>
  <c r="O72" i="1"/>
  <c r="I74" i="1"/>
  <c r="D72" i="1"/>
  <c r="O71" i="1"/>
  <c r="G78" i="1"/>
  <c r="M82" i="1"/>
  <c r="A82" i="1"/>
  <c r="L75" i="1"/>
  <c r="C74" i="1"/>
  <c r="A78" i="1"/>
  <c r="L73" i="1"/>
  <c r="F79" i="1"/>
  <c r="F72" i="1"/>
  <c r="C71" i="1"/>
  <c r="D71" i="1"/>
  <c r="L78" i="1"/>
  <c r="I79" i="1"/>
  <c r="D78" i="1"/>
  <c r="G72" i="1"/>
  <c r="L74" i="1"/>
  <c r="D72" i="11" l="1"/>
  <c r="D56" i="11"/>
  <c r="D55" i="11"/>
  <c r="V68" i="11"/>
  <c r="T68" i="11" s="1"/>
  <c r="V61" i="11"/>
  <c r="T61" i="11" s="1"/>
  <c r="V51" i="11"/>
  <c r="T51" i="11" s="1"/>
  <c r="V70" i="11"/>
  <c r="T70" i="11" s="1"/>
  <c r="D61" i="11"/>
  <c r="D70" i="11"/>
  <c r="D88" i="11"/>
  <c r="D89" i="11"/>
  <c r="D86" i="11"/>
  <c r="D87" i="11"/>
  <c r="D85" i="11"/>
  <c r="V73" i="2"/>
  <c r="V49" i="2"/>
  <c r="V56" i="2"/>
  <c r="V57" i="2"/>
  <c r="T57" i="2" s="1"/>
  <c r="V54" i="2"/>
  <c r="T54" i="2" s="1"/>
  <c r="V64" i="2"/>
  <c r="T64" i="2" s="1"/>
  <c r="V65" i="2"/>
  <c r="T65" i="2" s="1"/>
  <c r="T58" i="2"/>
  <c r="V52" i="11"/>
  <c r="T52" i="11" s="1"/>
  <c r="V63" i="11"/>
  <c r="T63" i="11" s="1"/>
  <c r="V72" i="11"/>
  <c r="T72" i="11" s="1"/>
  <c r="V74" i="11"/>
  <c r="T74" i="11" s="1"/>
  <c r="V73" i="11"/>
  <c r="T73" i="11" s="1"/>
  <c r="V71" i="11"/>
  <c r="T71" i="11" s="1"/>
  <c r="V55" i="11"/>
  <c r="T55" i="11" s="1"/>
  <c r="V65" i="11"/>
  <c r="T65" i="11" s="1"/>
  <c r="V56" i="11"/>
  <c r="T56" i="11" s="1"/>
  <c r="V54" i="11"/>
  <c r="T54" i="11" s="1"/>
  <c r="V62" i="11"/>
  <c r="T62" i="11" s="1"/>
  <c r="V53" i="11"/>
  <c r="T53" i="11" s="1"/>
  <c r="D60" i="11"/>
  <c r="D59" i="11"/>
  <c r="D71" i="11"/>
  <c r="D50" i="11"/>
  <c r="D69" i="11"/>
  <c r="D63" i="11"/>
  <c r="D53" i="11"/>
  <c r="D73" i="11"/>
  <c r="V69" i="11"/>
  <c r="T69" i="11" s="1"/>
  <c r="D68" i="11"/>
  <c r="D51" i="11"/>
  <c r="V64" i="11"/>
  <c r="T64" i="11" s="1"/>
  <c r="D65" i="11"/>
  <c r="V48" i="11"/>
  <c r="T48" i="11" s="1"/>
  <c r="D74" i="11"/>
  <c r="V67" i="11"/>
  <c r="T67" i="11" s="1"/>
  <c r="V60" i="11"/>
  <c r="T60" i="11" s="1"/>
  <c r="D64" i="11"/>
  <c r="D48" i="11"/>
  <c r="D67" i="11"/>
  <c r="V57" i="11"/>
  <c r="T57" i="11" s="1"/>
  <c r="V58" i="11"/>
  <c r="T58" i="11" s="1"/>
  <c r="D52" i="11"/>
  <c r="D57" i="11"/>
  <c r="D58" i="11"/>
  <c r="D54" i="11"/>
  <c r="V50" i="11"/>
  <c r="T50" i="11" s="1"/>
  <c r="D62" i="11"/>
  <c r="V66" i="11"/>
  <c r="T66" i="11" s="1"/>
  <c r="V49" i="11"/>
  <c r="T49" i="11" s="1"/>
  <c r="D66" i="11"/>
  <c r="V59" i="11"/>
  <c r="T59" i="11" s="1"/>
  <c r="T50" i="2"/>
  <c r="T74" i="2"/>
  <c r="T66" i="2"/>
  <c r="T73" i="2"/>
  <c r="T49" i="2"/>
  <c r="T72" i="2"/>
  <c r="T56" i="2"/>
  <c r="T71" i="2"/>
  <c r="T63" i="2"/>
  <c r="T55" i="2"/>
  <c r="T70" i="2"/>
  <c r="T62" i="2"/>
  <c r="T69" i="2"/>
  <c r="T61" i="2"/>
  <c r="T53" i="2"/>
  <c r="T48" i="2"/>
  <c r="T68" i="2"/>
  <c r="T60" i="2"/>
  <c r="T52" i="2"/>
  <c r="T75" i="2"/>
  <c r="T67" i="2"/>
  <c r="T59" i="2"/>
  <c r="T51" i="2"/>
  <c r="AP44" i="1"/>
  <c r="AM43" i="1"/>
  <c r="AK43" i="1"/>
  <c r="AP42" i="1"/>
  <c r="AN42" i="1"/>
  <c r="AK42" i="1"/>
  <c r="AP38" i="1"/>
  <c r="AM37" i="1"/>
  <c r="AK37" i="1"/>
  <c r="AP36" i="1"/>
  <c r="AN36" i="1"/>
  <c r="AK36" i="1"/>
  <c r="AR19" i="1"/>
  <c r="AR30" i="1"/>
  <c r="H30" i="1"/>
  <c r="H19" i="1"/>
  <c r="M71" i="1"/>
  <c r="J72" i="1"/>
  <c r="J71" i="1"/>
  <c r="J81" i="1"/>
  <c r="P78" i="1"/>
  <c r="M79" i="1"/>
  <c r="M75" i="1"/>
  <c r="M73" i="1"/>
  <c r="J79" i="1"/>
  <c r="P80" i="1"/>
  <c r="J75" i="1"/>
  <c r="P74" i="1"/>
  <c r="M74" i="1"/>
  <c r="P81" i="1"/>
  <c r="M78" i="1"/>
  <c r="J78" i="1"/>
  <c r="M80" i="1"/>
  <c r="P75" i="1"/>
  <c r="J80" i="1"/>
  <c r="P72" i="1"/>
  <c r="P73" i="1"/>
  <c r="J82" i="1"/>
  <c r="M81" i="1"/>
  <c r="P71" i="1"/>
  <c r="J74" i="1"/>
  <c r="M72" i="1"/>
  <c r="P79" i="1"/>
  <c r="J73" i="1"/>
  <c r="A84" i="7" l="1"/>
  <c r="A47" i="7"/>
  <c r="D86" i="7" l="1"/>
  <c r="D87" i="7"/>
  <c r="D88" i="7"/>
  <c r="D89" i="7"/>
  <c r="D85" i="7"/>
  <c r="D49" i="7"/>
  <c r="D57" i="7"/>
  <c r="D65" i="7"/>
  <c r="D50" i="7"/>
  <c r="D58" i="7"/>
  <c r="D71" i="7"/>
  <c r="D51" i="7"/>
  <c r="D59" i="7"/>
  <c r="D67" i="7"/>
  <c r="D52" i="7"/>
  <c r="D60" i="7"/>
  <c r="D68" i="7"/>
  <c r="D55" i="7"/>
  <c r="D53" i="7"/>
  <c r="D61" i="7"/>
  <c r="D69" i="7"/>
  <c r="D63" i="7"/>
  <c r="D54" i="7"/>
  <c r="D62" i="7"/>
  <c r="D70" i="7"/>
  <c r="D64" i="7"/>
  <c r="D48" i="7"/>
  <c r="N87" i="1"/>
  <c r="J87" i="1"/>
  <c r="N86" i="1"/>
  <c r="E87" i="1"/>
  <c r="E86" i="1"/>
  <c r="A87" i="1"/>
  <c r="J86" i="1"/>
  <c r="A86" i="1"/>
  <c r="AT48" i="1" l="1"/>
  <c r="AK48" i="1"/>
  <c r="AT50" i="1"/>
  <c r="AE3" i="1"/>
  <c r="G16" i="1"/>
  <c r="Z30" i="1"/>
  <c r="Z19" i="1"/>
  <c r="R55" i="1"/>
  <c r="Q55" i="1"/>
  <c r="P55" i="1"/>
  <c r="N55" i="1"/>
  <c r="M55" i="1"/>
  <c r="L55" i="1"/>
  <c r="C55" i="1"/>
  <c r="I55" i="1"/>
  <c r="H55" i="1"/>
  <c r="G55" i="1"/>
  <c r="E55" i="1"/>
  <c r="D55" i="1"/>
  <c r="AK27" i="4"/>
  <c r="AK28" i="4"/>
  <c r="AK29" i="4"/>
  <c r="AK30" i="4"/>
  <c r="AK31" i="4"/>
  <c r="AK32" i="4"/>
  <c r="AK33" i="4"/>
  <c r="AK34" i="4"/>
  <c r="AK35" i="4"/>
  <c r="AK36" i="4"/>
  <c r="AK37" i="4"/>
  <c r="AK38" i="4"/>
  <c r="AK39" i="4"/>
  <c r="AK26" i="4"/>
  <c r="X44" i="1"/>
  <c r="S43" i="1"/>
  <c r="V42" i="1"/>
  <c r="S42" i="1"/>
  <c r="X38" i="1"/>
  <c r="V36" i="1"/>
  <c r="S37" i="1"/>
  <c r="S36" i="1"/>
  <c r="F44" i="1"/>
  <c r="A43" i="1"/>
  <c r="D42" i="1"/>
  <c r="A42" i="1"/>
  <c r="F38" i="1"/>
  <c r="D36" i="1"/>
  <c r="A37" i="1"/>
  <c r="A36" i="1"/>
  <c r="W43" i="1"/>
  <c r="W37" i="1"/>
  <c r="A84" i="6"/>
  <c r="A47" i="6"/>
  <c r="T42" i="1"/>
  <c r="X42" i="1"/>
  <c r="U43" i="1"/>
  <c r="T36" i="1"/>
  <c r="X36" i="1"/>
  <c r="U37" i="1"/>
  <c r="AE30" i="1"/>
  <c r="AH39" i="1"/>
  <c r="AH35" i="1"/>
  <c r="AE14" i="1"/>
  <c r="AH43" i="1"/>
  <c r="AE19" i="1"/>
  <c r="S25" i="1"/>
  <c r="S30" i="1"/>
  <c r="AE25" i="1"/>
  <c r="Y27" i="1"/>
  <c r="S19" i="1"/>
  <c r="Y16" i="1"/>
  <c r="S8" i="1"/>
  <c r="AE8" i="1"/>
  <c r="S14" i="1"/>
  <c r="Y5" i="1"/>
  <c r="S3" i="1"/>
  <c r="D86" i="6" l="1"/>
  <c r="D87" i="6"/>
  <c r="AB48" i="1" s="1"/>
  <c r="D88" i="6"/>
  <c r="AB50" i="1" s="1"/>
  <c r="D89" i="6"/>
  <c r="D85" i="6"/>
  <c r="S48" i="1" s="1"/>
  <c r="D48" i="6"/>
  <c r="D49" i="6"/>
  <c r="AH24" i="1" s="1"/>
  <c r="D57" i="6"/>
  <c r="V41" i="1" s="1"/>
  <c r="D65" i="6"/>
  <c r="AB4" i="1" s="1"/>
  <c r="D73" i="6"/>
  <c r="AH29" i="1" s="1"/>
  <c r="D50" i="6"/>
  <c r="V29" i="1" s="1"/>
  <c r="D66" i="6"/>
  <c r="AE39" i="1" s="1"/>
  <c r="D74" i="6"/>
  <c r="V35" i="1" s="1"/>
  <c r="D61" i="6"/>
  <c r="V24" i="1" s="1"/>
  <c r="D51" i="6"/>
  <c r="AH18" i="1" s="1"/>
  <c r="D59" i="6"/>
  <c r="AH2" i="1" s="1"/>
  <c r="D67" i="6"/>
  <c r="AB26" i="1" s="1"/>
  <c r="D60" i="6"/>
  <c r="AH13" i="1" s="1"/>
  <c r="D68" i="6"/>
  <c r="V13" i="1" s="1"/>
  <c r="D54" i="6"/>
  <c r="V18" i="1" s="1"/>
  <c r="D62" i="6"/>
  <c r="V7" i="1" s="1"/>
  <c r="D70" i="6"/>
  <c r="AE35" i="1" s="1"/>
  <c r="D64" i="6"/>
  <c r="AE43" i="1" s="1"/>
  <c r="D72" i="6"/>
  <c r="AH7" i="1" s="1"/>
  <c r="D55" i="6"/>
  <c r="AB15" i="1" s="1"/>
  <c r="D63" i="6"/>
  <c r="D71" i="6"/>
  <c r="V2" i="1" s="1"/>
  <c r="D56" i="6"/>
  <c r="A55" i="1"/>
  <c r="J55" i="1"/>
  <c r="AJ27" i="4"/>
  <c r="AJ28" i="4"/>
  <c r="AJ29" i="4"/>
  <c r="AJ30" i="4"/>
  <c r="AJ31" i="4"/>
  <c r="AJ32" i="4"/>
  <c r="AJ33" i="4"/>
  <c r="AJ34" i="4"/>
  <c r="AJ35" i="4"/>
  <c r="AJ36" i="4"/>
  <c r="AJ37" i="4"/>
  <c r="AJ38" i="4"/>
  <c r="AJ39" i="4"/>
  <c r="AJ26" i="4"/>
  <c r="AI27" i="4"/>
  <c r="AI28" i="4"/>
  <c r="AI29" i="4"/>
  <c r="AI30" i="4"/>
  <c r="AI31" i="4"/>
  <c r="AI32" i="4"/>
  <c r="AI33" i="4"/>
  <c r="AI34" i="4"/>
  <c r="AI35" i="4"/>
  <c r="AI36" i="4"/>
  <c r="AI37" i="4"/>
  <c r="AI38" i="4"/>
  <c r="AI39" i="4"/>
  <c r="AI26" i="4"/>
  <c r="AH27" i="4"/>
  <c r="AH28" i="4"/>
  <c r="AH29" i="4"/>
  <c r="AH30" i="4"/>
  <c r="AH31" i="4"/>
  <c r="AH32" i="4"/>
  <c r="AH33" i="4"/>
  <c r="AH34" i="4"/>
  <c r="AH35" i="4"/>
  <c r="AH36" i="4"/>
  <c r="AH37" i="4"/>
  <c r="AH38" i="4"/>
  <c r="AH39" i="4"/>
  <c r="AH26" i="4"/>
  <c r="M25" i="1"/>
  <c r="G5" i="1"/>
  <c r="M14" i="1"/>
  <c r="A3" i="1"/>
  <c r="A8" i="1"/>
  <c r="A14" i="1"/>
  <c r="M3" i="1"/>
  <c r="M19" i="1"/>
  <c r="P35" i="1"/>
  <c r="M8" i="1"/>
  <c r="A25" i="1"/>
  <c r="G27" i="1"/>
  <c r="A19" i="1"/>
  <c r="A30" i="1"/>
  <c r="M30" i="1"/>
  <c r="T3" i="4"/>
  <c r="U3" i="4"/>
  <c r="V3" i="4"/>
  <c r="T4" i="4"/>
  <c r="U4" i="4"/>
  <c r="V4" i="4"/>
  <c r="T5" i="4"/>
  <c r="U5" i="4"/>
  <c r="V5" i="4"/>
  <c r="T6" i="4"/>
  <c r="U6" i="4"/>
  <c r="V6" i="4"/>
  <c r="T7" i="4"/>
  <c r="U7" i="4"/>
  <c r="V7" i="4"/>
  <c r="T8" i="4"/>
  <c r="U8" i="4"/>
  <c r="V8" i="4"/>
  <c r="T9" i="4"/>
  <c r="U9" i="4"/>
  <c r="V9" i="4"/>
  <c r="T10" i="4"/>
  <c r="U10" i="4"/>
  <c r="V10" i="4"/>
  <c r="T11" i="4"/>
  <c r="U11" i="4"/>
  <c r="V11" i="4"/>
  <c r="T12" i="4"/>
  <c r="U12" i="4"/>
  <c r="V12" i="4"/>
  <c r="T13" i="4"/>
  <c r="U13" i="4"/>
  <c r="V13" i="4"/>
  <c r="T14" i="4"/>
  <c r="U14" i="4"/>
  <c r="V14" i="4"/>
  <c r="T15" i="4"/>
  <c r="U15" i="4"/>
  <c r="V15" i="4"/>
  <c r="U2" i="4"/>
  <c r="V2" i="4"/>
  <c r="T2" i="4"/>
  <c r="L2" i="4"/>
  <c r="M2" i="4"/>
  <c r="N2" i="4"/>
  <c r="O2" i="4"/>
  <c r="P2" i="4"/>
  <c r="Q2" i="4"/>
  <c r="R2" i="4"/>
  <c r="S2" i="4"/>
  <c r="L3" i="4"/>
  <c r="M3" i="4"/>
  <c r="N3" i="4"/>
  <c r="O3" i="4"/>
  <c r="P3" i="4"/>
  <c r="Q3" i="4"/>
  <c r="R3" i="4"/>
  <c r="S3" i="4"/>
  <c r="L4" i="4"/>
  <c r="M4" i="4"/>
  <c r="N4" i="4"/>
  <c r="O4" i="4"/>
  <c r="P4" i="4"/>
  <c r="Q4" i="4"/>
  <c r="R4" i="4"/>
  <c r="S4" i="4"/>
  <c r="L5" i="4"/>
  <c r="M5" i="4"/>
  <c r="N5" i="4"/>
  <c r="O5" i="4"/>
  <c r="P5" i="4"/>
  <c r="Q5" i="4"/>
  <c r="R5" i="4"/>
  <c r="S5" i="4"/>
  <c r="L6" i="4"/>
  <c r="M6" i="4"/>
  <c r="N6" i="4"/>
  <c r="O6" i="4"/>
  <c r="P6" i="4"/>
  <c r="Q6" i="4"/>
  <c r="R6" i="4"/>
  <c r="S6" i="4"/>
  <c r="L7" i="4"/>
  <c r="M7" i="4"/>
  <c r="N7" i="4"/>
  <c r="O7" i="4"/>
  <c r="P7" i="4"/>
  <c r="Q7" i="4"/>
  <c r="R7" i="4"/>
  <c r="S7" i="4"/>
  <c r="L8" i="4"/>
  <c r="M8" i="4"/>
  <c r="N8" i="4"/>
  <c r="O8" i="4"/>
  <c r="P8" i="4"/>
  <c r="Q8" i="4"/>
  <c r="R8" i="4"/>
  <c r="S8" i="4"/>
  <c r="L9" i="4"/>
  <c r="M9" i="4"/>
  <c r="N9" i="4"/>
  <c r="O9" i="4"/>
  <c r="P9" i="4"/>
  <c r="Q9" i="4"/>
  <c r="R9" i="4"/>
  <c r="S9" i="4"/>
  <c r="L10" i="4"/>
  <c r="M10" i="4"/>
  <c r="N10" i="4"/>
  <c r="O10" i="4"/>
  <c r="P10" i="4"/>
  <c r="Q10" i="4"/>
  <c r="R10" i="4"/>
  <c r="S10" i="4"/>
  <c r="L11" i="4"/>
  <c r="M11" i="4"/>
  <c r="N11" i="4"/>
  <c r="O11" i="4"/>
  <c r="P11" i="4"/>
  <c r="Q11" i="4"/>
  <c r="R11" i="4"/>
  <c r="S11" i="4"/>
  <c r="L12" i="4"/>
  <c r="M12" i="4"/>
  <c r="N12" i="4"/>
  <c r="O12" i="4"/>
  <c r="P12" i="4"/>
  <c r="Q12" i="4"/>
  <c r="R12" i="4"/>
  <c r="S12" i="4"/>
  <c r="L13" i="4"/>
  <c r="M13" i="4"/>
  <c r="N13" i="4"/>
  <c r="O13" i="4"/>
  <c r="P13" i="4"/>
  <c r="Q13" i="4"/>
  <c r="R13" i="4"/>
  <c r="S13" i="4"/>
  <c r="L14" i="4"/>
  <c r="M14" i="4"/>
  <c r="N14" i="4"/>
  <c r="O14" i="4"/>
  <c r="P14" i="4"/>
  <c r="Q14" i="4"/>
  <c r="R14" i="4"/>
  <c r="S14" i="4"/>
  <c r="L15" i="4"/>
  <c r="M15" i="4"/>
  <c r="N15" i="4"/>
  <c r="O15" i="4"/>
  <c r="P15" i="4"/>
  <c r="Q15" i="4"/>
  <c r="R15" i="4"/>
  <c r="S15" i="4"/>
  <c r="B3" i="4"/>
  <c r="C3" i="4"/>
  <c r="D3" i="4"/>
  <c r="E3" i="4"/>
  <c r="F3" i="4"/>
  <c r="G3" i="4"/>
  <c r="H3" i="4"/>
  <c r="I3" i="4"/>
  <c r="J3" i="4"/>
  <c r="K3" i="4"/>
  <c r="B4" i="4"/>
  <c r="C4" i="4"/>
  <c r="D4" i="4"/>
  <c r="E4" i="4"/>
  <c r="F4" i="4"/>
  <c r="G4" i="4"/>
  <c r="H4" i="4"/>
  <c r="I4" i="4"/>
  <c r="J4" i="4"/>
  <c r="K4" i="4"/>
  <c r="B5" i="4"/>
  <c r="C5" i="4"/>
  <c r="D5" i="4"/>
  <c r="E5" i="4"/>
  <c r="F5" i="4"/>
  <c r="G5" i="4"/>
  <c r="H5" i="4"/>
  <c r="I5" i="4"/>
  <c r="J5" i="4"/>
  <c r="K5" i="4"/>
  <c r="B6" i="4"/>
  <c r="C6" i="4"/>
  <c r="D6" i="4"/>
  <c r="E6" i="4"/>
  <c r="F6" i="4"/>
  <c r="G6" i="4"/>
  <c r="H6" i="4"/>
  <c r="I6" i="4"/>
  <c r="J6" i="4"/>
  <c r="K6" i="4"/>
  <c r="B7" i="4"/>
  <c r="C7" i="4"/>
  <c r="D7" i="4"/>
  <c r="E7" i="4"/>
  <c r="F7" i="4"/>
  <c r="G7" i="4"/>
  <c r="H7" i="4"/>
  <c r="I7" i="4"/>
  <c r="J7" i="4"/>
  <c r="K7" i="4"/>
  <c r="B8" i="4"/>
  <c r="C8" i="4"/>
  <c r="D8" i="4"/>
  <c r="E8" i="4"/>
  <c r="F8" i="4"/>
  <c r="G8" i="4"/>
  <c r="H8" i="4"/>
  <c r="I8" i="4"/>
  <c r="J8" i="4"/>
  <c r="K8" i="4"/>
  <c r="B9" i="4"/>
  <c r="C9" i="4"/>
  <c r="D9" i="4"/>
  <c r="E9" i="4"/>
  <c r="F9" i="4"/>
  <c r="G9" i="4"/>
  <c r="H9" i="4"/>
  <c r="I9" i="4"/>
  <c r="J9" i="4"/>
  <c r="K9" i="4"/>
  <c r="B10" i="4"/>
  <c r="C10" i="4"/>
  <c r="D10" i="4"/>
  <c r="E10" i="4"/>
  <c r="F10" i="4"/>
  <c r="G10" i="4"/>
  <c r="H10" i="4"/>
  <c r="I10" i="4"/>
  <c r="J10" i="4"/>
  <c r="K10" i="4"/>
  <c r="B11" i="4"/>
  <c r="C11" i="4"/>
  <c r="D11" i="4"/>
  <c r="E11" i="4"/>
  <c r="F11" i="4"/>
  <c r="G11" i="4"/>
  <c r="H11" i="4"/>
  <c r="I11" i="4"/>
  <c r="J11" i="4"/>
  <c r="K11" i="4"/>
  <c r="B12" i="4"/>
  <c r="C12" i="4"/>
  <c r="D12" i="4"/>
  <c r="E12" i="4"/>
  <c r="F12" i="4"/>
  <c r="G12" i="4"/>
  <c r="H12" i="4"/>
  <c r="I12" i="4"/>
  <c r="J12" i="4"/>
  <c r="K12" i="4"/>
  <c r="B13" i="4"/>
  <c r="C13" i="4"/>
  <c r="D13" i="4"/>
  <c r="E13" i="4"/>
  <c r="F13" i="4"/>
  <c r="G13" i="4"/>
  <c r="H13" i="4"/>
  <c r="I13" i="4"/>
  <c r="J13" i="4"/>
  <c r="K13" i="4"/>
  <c r="B14" i="4"/>
  <c r="C14" i="4"/>
  <c r="D14" i="4"/>
  <c r="E14" i="4"/>
  <c r="F14" i="4"/>
  <c r="G14" i="4"/>
  <c r="H14" i="4"/>
  <c r="I14" i="4"/>
  <c r="J14" i="4"/>
  <c r="K14" i="4"/>
  <c r="B15" i="4"/>
  <c r="C15" i="4"/>
  <c r="D15" i="4"/>
  <c r="E15" i="4"/>
  <c r="F15" i="4"/>
  <c r="G15" i="4"/>
  <c r="H15" i="4"/>
  <c r="I15" i="4"/>
  <c r="J15" i="4"/>
  <c r="K15" i="4"/>
  <c r="I2" i="4"/>
  <c r="J2" i="4"/>
  <c r="K2" i="4"/>
  <c r="C2" i="4"/>
  <c r="D2" i="4"/>
  <c r="E2" i="4"/>
  <c r="F2" i="4"/>
  <c r="G2" i="4"/>
  <c r="H2" i="4"/>
  <c r="B2" i="4"/>
  <c r="A84" i="2"/>
  <c r="B42" i="1"/>
  <c r="F36" i="1"/>
  <c r="C37" i="1"/>
  <c r="A47" i="2"/>
  <c r="D74" i="2" s="1"/>
  <c r="M43" i="1" s="1"/>
  <c r="D86" i="2" l="1"/>
  <c r="J48" i="1" s="1"/>
  <c r="D87" i="2"/>
  <c r="D88" i="2"/>
  <c r="D85" i="2"/>
  <c r="A48" i="1" s="1"/>
  <c r="C43" i="1"/>
  <c r="B36" i="1"/>
  <c r="F42" i="1"/>
  <c r="D48" i="2"/>
  <c r="D24" i="1" s="1"/>
  <c r="D49" i="2"/>
  <c r="D57" i="2"/>
  <c r="P24" i="1" s="1"/>
  <c r="D65" i="2"/>
  <c r="J15" i="1" s="1"/>
  <c r="D73" i="2"/>
  <c r="P29" i="1" s="1"/>
  <c r="D71" i="2"/>
  <c r="P7" i="1" s="1"/>
  <c r="D50" i="2"/>
  <c r="D18" i="1" s="1"/>
  <c r="D58" i="2"/>
  <c r="P18" i="1" s="1"/>
  <c r="D66" i="2"/>
  <c r="J4" i="1" s="1"/>
  <c r="D75" i="2"/>
  <c r="P2" i="1" s="1"/>
  <c r="D51" i="2"/>
  <c r="D59" i="2"/>
  <c r="D67" i="2"/>
  <c r="J26" i="1" s="1"/>
  <c r="D52" i="2"/>
  <c r="D60" i="2"/>
  <c r="D29" i="1" s="1"/>
  <c r="D68" i="2"/>
  <c r="D7" i="1" s="1"/>
  <c r="D63" i="2"/>
  <c r="M39" i="1" s="1"/>
  <c r="D53" i="2"/>
  <c r="D2" i="1" s="1"/>
  <c r="D61" i="2"/>
  <c r="D69" i="2"/>
  <c r="D13" i="1" s="1"/>
  <c r="D54" i="2"/>
  <c r="M35" i="1" s="1"/>
  <c r="D70" i="2"/>
  <c r="P13" i="1" s="1"/>
  <c r="D55" i="2"/>
  <c r="D35" i="1" s="1"/>
  <c r="D56" i="2"/>
  <c r="D41" i="1" s="1"/>
  <c r="D64" i="2"/>
  <c r="D72" i="2"/>
  <c r="I56" i="1"/>
  <c r="Q56" i="1"/>
  <c r="P43" i="1"/>
  <c r="P39" i="1"/>
  <c r="P56" i="1"/>
  <c r="H56" i="1"/>
  <c r="G56" i="1"/>
  <c r="R56" i="1"/>
</calcChain>
</file>

<file path=xl/connections.xml><?xml version="1.0" encoding="utf-8"?>
<connections xmlns="http://schemas.openxmlformats.org/spreadsheetml/2006/main">
  <connection id="1" name="boleslav_asistence" type="6" refreshedVersion="5" background="1" refreshOnLoad="1" saveData="1">
    <textPr prompt="0" codePage="65001" sourceFile="D:\klima\Documents\SKV\pripravy\csv_2021\boleslav_asistence.csv" thousands=" " tab="0" comma="1" consecutive="1">
      <textFields count="3">
        <textField type="skip"/>
        <textField/>
        <textField/>
      </textFields>
    </textPr>
  </connection>
  <connection id="2" name="boleslav_body" type="6" refreshedVersion="5" background="1" refreshOnLoad="1" saveData="1">
    <textPr prompt="0" codePage="65001" sourceFile="D:\klima\Documents\SKV\pripravy\csv_2021\boleslav_body.csv" thousands=" " tab="0" comma="1" consecutive="1">
      <textFields count="3">
        <textField type="skip"/>
        <textField/>
        <textField/>
      </textFields>
    </textPr>
  </connection>
  <connection id="3" name="boleslav_goalies" type="6" refreshedVersion="5" background="1" refreshOnLoad="1" saveData="1">
    <textPr prompt="0" codePage="65001" firstRow="6" sourceFile="D:\klima\Documents\SKV\pripravy\csv_2021\boleslav_goalies.csv" thousands=" " tab="0" comma="1">
      <textFields count="14">
        <textField/>
        <textField/>
        <textField/>
        <textField/>
        <textField/>
        <textField/>
        <textField/>
        <textField/>
        <textField/>
        <textField/>
        <textField/>
        <textField/>
        <textField/>
        <textField/>
      </textFields>
    </textPr>
  </connection>
  <connection id="4" name="boleslav_goly" type="6" refreshedVersion="5" background="1" refreshOnLoad="1" saveData="1">
    <textPr prompt="0" codePage="65001" sourceFile="D:\klima\Documents\SKV\pripravy\csv_2021\boleslav_goly.csv" thousands=" " tab="0" comma="1" consecutive="1">
      <textFields count="3">
        <textField type="skip"/>
        <textField/>
        <textField/>
      </textFields>
    </textPr>
  </connection>
  <connection id="5" name="boleslav_players" type="6" refreshedVersion="5" background="1" refreshOnLoad="1" saveData="1">
    <textPr prompt="0" codePage="65001" firstRow="6" sourceFile="D:\klima\Documents\SKV\pripravy\csv_2021\boleslav_players.csv" thousands=" " tab="0" comma="1">
      <textFields count="13">
        <textField/>
        <textField/>
        <textField/>
        <textField/>
        <textField/>
        <textField/>
        <textField/>
        <textField/>
        <textField/>
        <textField/>
        <textField/>
        <textField/>
        <textField/>
      </textFields>
    </textPr>
  </connection>
  <connection id="6" name="boleslav_prumer" type="6" refreshedVersion="5" background="1" refreshOnLoad="1" saveData="1">
    <textPr prompt="0" codePage="65001" sourceFile="D:\klima\Documents\SKV\pripravy\csv_2021\boleslav_prumer.csv" thousands=" " tab="0" comma="1" consecutive="1">
      <textFields count="3">
        <textField type="skip"/>
        <textField/>
        <textField/>
      </textFields>
    </textPr>
  </connection>
  <connection id="7" name="boleslav_tm" type="6" refreshedVersion="5" background="1" refreshOnLoad="1" saveData="1">
    <textPr prompt="0" codePage="65001" sourceFile="D:\klima\Documents\SKV\pripravy\csv_2021\boleslav_tm.csv" thousands=" " tab="0" comma="1" consecutive="1">
      <textFields count="3">
        <textField type="skip"/>
        <textField/>
        <textField/>
      </textFields>
    </textPr>
  </connection>
  <connection id="8" name="boleslav_vyhry" type="6" refreshedVersion="5" background="1" refreshOnLoad="1" saveData="1">
    <textPr prompt="0" codePage="65001" sourceFile="D:\klima\Documents\SKV\pripravy\csv_2021\boleslav_vyhry.csv" thousands=" " tab="0" comma="1" consecutive="1">
      <textFields count="3">
        <textField type="skip"/>
        <textField/>
        <textField/>
      </textFields>
    </textPr>
  </connection>
  <connection id="9" name="chodov" type="6" refreshedVersion="5" background="1" saveData="1">
    <textPr prompt="0" codePage="65001" firstRow="6" sourceFile="D:\klima\Documents\SKV\pripravy\csv_2021\chodov_players.csv" thousands=" " tab="0" comma="1">
      <textFields count="13">
        <textField/>
        <textField/>
        <textField/>
        <textField/>
        <textField/>
        <textField/>
        <textField/>
        <textField/>
        <textField/>
        <textField/>
        <textField/>
        <textField/>
        <textField/>
      </textFields>
    </textPr>
  </connection>
  <connection id="10" name="chodov_asistence" type="6" refreshedVersion="5" background="1" refreshOnLoad="1" saveData="1">
    <textPr prompt="0" codePage="65001" sourceFile="D:\klima\Documents\SKV\pripravy\csv_2021\chodov_asistence.csv" thousands=" " tab="0" comma="1" consecutive="1">
      <textFields count="3">
        <textField type="skip"/>
        <textField/>
        <textField/>
      </textFields>
    </textPr>
  </connection>
  <connection id="11" name="chodov_body" type="6" refreshedVersion="5" background="1" refreshOnLoad="1" saveData="1">
    <textPr prompt="0" codePage="65001" sourceFile="D:\klima\Documents\SKV\pripravy\csv_2021\chodov_body.csv" thousands=" " tab="0" comma="1" consecutive="1">
      <textFields count="3">
        <textField type="skip"/>
        <textField/>
        <textField/>
      </textFields>
    </textPr>
  </connection>
  <connection id="12" name="chodov_goalies" type="6" refreshedVersion="5" background="1" refreshOnLoad="1" saveData="1">
    <textPr prompt="0" codePage="65001" firstRow="6" sourceFile="D:\klima\Documents\SKV\pripravy\csv_2021\chodov_goalies.csv" thousands=" " tab="0" comma="1">
      <textFields count="15">
        <textField/>
        <textField/>
        <textField/>
        <textField/>
        <textField/>
        <textField/>
        <textField/>
        <textField/>
        <textField/>
        <textField/>
        <textField/>
        <textField/>
        <textField/>
        <textField/>
        <textField/>
      </textFields>
    </textPr>
  </connection>
  <connection id="13" name="chodov_goly" type="6" refreshedVersion="5" background="1" refreshOnLoad="1" saveData="1">
    <textPr prompt="0" codePage="65001" sourceFile="D:\klima\Documents\SKV\pripravy\csv_2021\chodov_goly.csv" thousands=" " tab="0" comma="1" consecutive="1">
      <textFields count="3">
        <textField type="skip"/>
        <textField/>
        <textField/>
      </textFields>
    </textPr>
  </connection>
  <connection id="14" name="chodov_prumer" type="6" refreshedVersion="5" background="1" refreshOnLoad="1" saveData="1">
    <textPr prompt="0" codePage="65001" sourceFile="D:\klima\Documents\SKV\pripravy\csv_2021\chodov_prumer.csv" thousands=" " tab="0" comma="1" consecutive="1">
      <textFields count="3">
        <textField type="skip"/>
        <textField/>
        <textField/>
      </textFields>
    </textPr>
  </connection>
  <connection id="15" name="chodov_tm" type="6" refreshedVersion="5" background="1" refreshOnLoad="1" saveData="1">
    <textPr prompt="0" codePage="65001" sourceFile="D:\klima\Documents\SKV\pripravy\csv_2021\chodov_tm.csv" thousands=" " tab="0" comma="1" consecutive="1">
      <textFields count="3">
        <textField type="skip"/>
        <textField/>
        <textField/>
      </textFields>
    </textPr>
  </connection>
  <connection id="16" name="chodov_vyhry" type="6" refreshedVersion="5" background="1" refreshOnLoad="1" saveData="1">
    <textPr prompt="0" codePage="65001" sourceFile="D:\klima\Documents\SKV\pripravy\csv_2021\chodov_vyhry.csv" thousands=" " tab="0" comma="1" consecutive="1">
      <textFields count="3">
        <textField type="skip"/>
        <textField/>
        <textField/>
      </textFields>
    </textPr>
  </connection>
  <connection id="17" name="skv" type="6" refreshedVersion="5" background="1" saveData="1">
    <textPr prompt="0" codePage="65001" sourceFile="D:\klima\Documents\SKV\pripravy\csv_2021\skv_players.csv" thousands=" " tab="0" comma="1">
      <textFields count="14">
        <textField/>
        <textField/>
        <textField/>
        <textField/>
        <textField/>
        <textField/>
        <textField/>
        <textField/>
        <textField/>
        <textField/>
        <textField/>
        <textField/>
        <textField/>
        <textField/>
      </textFields>
    </textPr>
  </connection>
  <connection id="18" name="skv_asistence" type="6" refreshedVersion="5" background="1" refreshOnLoad="1" saveData="1">
    <textPr prompt="0" codePage="65001" sourceFile="D:\klima\Documents\SKV\pripravy\csv_2021\skv_asistence.csv" thousands=" " tab="0" comma="1" consecutive="1">
      <textFields count="3">
        <textField type="skip"/>
        <textField/>
        <textField/>
      </textFields>
    </textPr>
  </connection>
  <connection id="19" name="skv_body" type="6" refreshedVersion="5" background="1" refreshOnLoad="1" saveData="1">
    <textPr prompt="0" codePage="65001" sourceFile="D:\klima\Documents\SKV\pripravy\csv_2021\skv_body.csv" thousands=" " tab="0" comma="1" consecutive="1">
      <textFields count="3">
        <textField type="skip"/>
        <textField/>
        <textField/>
      </textFields>
    </textPr>
  </connection>
  <connection id="20" name="skv_goalies" type="6" refreshedVersion="5" background="1" refreshOnLoad="1" saveData="1">
    <textPr prompt="0" codePage="65001" firstRow="6" sourceFile="D:\klima\Documents\SKV\pripravy\csv_2021\skv_goalies.csv" decimal="," thousands=" " tab="0" comma="1">
      <textFields count="14">
        <textField/>
        <textField/>
        <textField/>
        <textField/>
        <textField/>
        <textField/>
        <textField/>
        <textField/>
        <textField/>
        <textField/>
        <textField/>
        <textField/>
        <textField/>
        <textField/>
      </textFields>
    </textPr>
  </connection>
  <connection id="21" name="skv_goly" type="6" refreshedVersion="5" background="1" refreshOnLoad="1" saveData="1">
    <textPr prompt="0" codePage="65001" sourceFile="D:\klima\Documents\SKV\pripravy\csv_2021\skv_goly.csv" thousands=" " tab="0" comma="1" consecutive="1">
      <textFields count="3">
        <textField type="skip"/>
        <textField/>
        <textField/>
      </textFields>
    </textPr>
  </connection>
  <connection id="22" name="skv_prumer" type="6" refreshedVersion="5" background="1" refreshOnLoad="1" saveData="1">
    <textPr prompt="0" codePage="65001" sourceFile="D:\klima\Documents\SKV\pripravy\csv_2021\skv_prumer.csv" thousands=" " comma="1" consecutive="1">
      <textFields count="3">
        <textField type="skip"/>
        <textField/>
        <textField/>
      </textFields>
    </textPr>
  </connection>
  <connection id="23" name="skv_tm" type="6" refreshedVersion="5" background="1" refreshOnLoad="1" saveData="1">
    <textPr prompt="0" codePage="65001" sourceFile="D:\klima\Documents\SKV\pripravy\csv_2021\skv_tm.csv" thousands=" " tab="0" comma="1" consecutive="1">
      <textFields count="3">
        <textField type="skip"/>
        <textField/>
        <textField/>
      </textFields>
    </textPr>
  </connection>
  <connection id="24" name="skv_vyhry" type="6" refreshedVersion="5" background="1" refreshOnLoad="1" saveData="1">
    <textPr prompt="0" codePage="65001" sourceFile="D:\klima\Documents\SKV\pripravy\csv_2021\skv_vyhry.csv" thousands=" " tab="0" comma="1" consecutive="1">
      <textFields count="3">
        <textField type="skip"/>
        <textField/>
        <textField/>
      </textFields>
    </textPr>
  </connection>
  <connection id="25" name="tabulka" type="6" refreshedVersion="5" background="1" refreshOnLoad="1" saveData="1">
    <textPr prompt="0" codePage="65001" sourceFile="D:\klima\Documents\SKV\pripravy\csv_2021\tabulka.csv" thousands=" " tab="0" comma="1" consecutive="1">
      <textFields count="3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6" name="vitkovice_asistence" type="6" refreshedVersion="5" background="1" refreshOnLoad="1" saveData="1">
    <textPr prompt="0" codePage="65001" sourceFile="D:\klima\Documents\SKV\pripravy\csv_2021\vitkovice_asistence.csv" thousands=" " tab="0" comma="1" consecutive="1">
      <textFields count="3">
        <textField type="skip"/>
        <textField/>
        <textField/>
      </textFields>
    </textPr>
  </connection>
  <connection id="27" name="vitkovice_body" type="6" refreshedVersion="5" background="1" refreshOnLoad="1" saveData="1">
    <textPr prompt="0" codePage="65001" sourceFile="D:\klima\Documents\SKV\pripravy\csv_2021\vitkovice_body.csv" thousands=" " tab="0" comma="1" consecutive="1">
      <textFields count="3">
        <textField type="skip"/>
        <textField/>
        <textField/>
      </textFields>
    </textPr>
  </connection>
  <connection id="28" name="vitkovice_goalies" type="6" refreshedVersion="5" background="1" refreshOnLoad="1" saveData="1">
    <textPr prompt="0" codePage="65001" firstRow="6" sourceFile="D:\klima\Documents\SKV\pripravy\csv_2021\vitkovice_goalies.csv" thousands=" " tab="0" comma="1">
      <textFields count="15">
        <textField/>
        <textField/>
        <textField/>
        <textField/>
        <textField/>
        <textField/>
        <textField/>
        <textField/>
        <textField/>
        <textField/>
        <textField/>
        <textField/>
        <textField/>
        <textField/>
        <textField/>
      </textFields>
    </textPr>
  </connection>
  <connection id="29" name="vitkovice_goly" type="6" refreshedVersion="5" background="1" refreshOnLoad="1" saveData="1">
    <textPr prompt="0" codePage="65001" sourceFile="D:\klima\Documents\SKV\pripravy\csv_2021\vitkovice_goly.csv" thousands=" " tab="0" comma="1" consecutive="1">
      <textFields count="3">
        <textField type="skip"/>
        <textField/>
        <textField/>
      </textFields>
    </textPr>
  </connection>
  <connection id="30" name="vitkovice_players" type="6" refreshedVersion="5" background="1" refreshOnLoad="1" saveData="1">
    <textPr prompt="0" codePage="65001" firstRow="6" sourceFile="D:\klima\Documents\SKV\pripravy\csv_2021\vitkovice_players.csv" thousands=" " tab="0" comma="1">
      <textFields count="14">
        <textField/>
        <textField/>
        <textField/>
        <textField/>
        <textField/>
        <textField/>
        <textField/>
        <textField/>
        <textField/>
        <textField/>
        <textField/>
        <textField/>
        <textField/>
        <textField/>
      </textFields>
    </textPr>
  </connection>
  <connection id="31" name="vitkovice_prumer" type="6" refreshedVersion="5" background="1" refreshOnLoad="1" saveData="1">
    <textPr prompt="0" codePage="65001" sourceFile="D:\klima\Documents\SKV\pripravy\csv_2021\vitkovice_prumer.csv" thousands=" " tab="0" comma="1" consecutive="1">
      <textFields count="3">
        <textField type="skip"/>
        <textField/>
        <textField/>
      </textFields>
    </textPr>
  </connection>
  <connection id="32" name="vitkovice_tm" type="6" refreshedVersion="5" background="1" refreshOnLoad="1" saveData="1">
    <textPr prompt="0" codePage="65001" sourceFile="D:\klima\Documents\SKV\pripravy\csv_2021\vitkovice_tm.csv" thousands=" " tab="0" comma="1" consecutive="1">
      <textFields count="3">
        <textField type="skip"/>
        <textField/>
        <textField/>
      </textFields>
    </textPr>
  </connection>
  <connection id="33" name="vitkovice_vyhry" type="6" refreshedVersion="5" background="1" refreshOnLoad="1" saveData="1">
    <textPr prompt="0" codePage="65001" sourceFile="D:\klima\Documents\SKV\pripravy\csv_2021\vitkovice_vyhry.csv" thousands=" " tab="0" comma="1" consecutive="1">
      <textFields count="3">
        <textField type="skip"/>
        <textField/>
        <textField/>
      </textFields>
    </textPr>
  </connection>
</connections>
</file>

<file path=xl/sharedStrings.xml><?xml version="1.0" encoding="utf-8"?>
<sst xmlns="http://schemas.openxmlformats.org/spreadsheetml/2006/main" count="1157" uniqueCount="447">
  <si>
    <t>Daniel Cabejšek</t>
  </si>
  <si>
    <t>Black Angels</t>
  </si>
  <si>
    <t>Martin Skřivánek</t>
  </si>
  <si>
    <t>Petr Hartman</t>
  </si>
  <si>
    <t>Jan Fiala</t>
  </si>
  <si>
    <t>Lukáš Lanc</t>
  </si>
  <si>
    <t>Future</t>
  </si>
  <si>
    <t>FBK Kunovští Orli</t>
  </si>
  <si>
    <t>Chodov</t>
  </si>
  <si>
    <t>SC Sportcentrum</t>
  </si>
  <si>
    <t>Jan Svoboda</t>
  </si>
  <si>
    <t>RKČF</t>
  </si>
  <si>
    <t>Milan Bína</t>
  </si>
  <si>
    <t>Pelhřimov</t>
  </si>
  <si>
    <t>Michal Strachota</t>
  </si>
  <si>
    <t>FC Vlci</t>
  </si>
  <si>
    <t>Lhokamo</t>
  </si>
  <si>
    <t>Radovan Vnuk</t>
  </si>
  <si>
    <t>Česká Lípa</t>
  </si>
  <si>
    <t>Jan Procházka</t>
  </si>
  <si>
    <t>Zbyněk Stuchlík</t>
  </si>
  <si>
    <t>Lukáš Gregor</t>
  </si>
  <si>
    <t>ASP Hr. Králové</t>
  </si>
  <si>
    <t>Marian Jelínek</t>
  </si>
  <si>
    <t>Štěpán Čuda</t>
  </si>
  <si>
    <t>Bohemians</t>
  </si>
  <si>
    <t>Oliver Gold</t>
  </si>
  <si>
    <t>Bulldogs Brno</t>
  </si>
  <si>
    <t>Jan Pinkas</t>
  </si>
  <si>
    <t>SKV</t>
  </si>
  <si>
    <t>-</t>
  </si>
  <si>
    <t>Pavel Hájek</t>
  </si>
  <si>
    <t>Karel Šantora</t>
  </si>
  <si>
    <t>Jiří Buchta</t>
  </si>
  <si>
    <t>FBK Atlas Sloup</t>
  </si>
  <si>
    <t>G</t>
  </si>
  <si>
    <t>B</t>
  </si>
  <si>
    <t>A</t>
  </si>
  <si>
    <t>TM</t>
  </si>
  <si>
    <t>5:8</t>
  </si>
  <si>
    <t>Série:</t>
  </si>
  <si>
    <t>V</t>
  </si>
  <si>
    <t>P</t>
  </si>
  <si>
    <t>Skóre</t>
  </si>
  <si>
    <t>%P</t>
  </si>
  <si>
    <t>%O</t>
  </si>
  <si>
    <t>Vzájemné zápasy</t>
  </si>
  <si>
    <t>Sezona</t>
  </si>
  <si>
    <t>CHO - SKV</t>
  </si>
  <si>
    <t>Zajímavosti</t>
  </si>
  <si>
    <t>2.</t>
  </si>
  <si>
    <t>1.</t>
  </si>
  <si>
    <t>O</t>
  </si>
  <si>
    <t>Dominik Záň</t>
  </si>
  <si>
    <t>3.</t>
  </si>
  <si>
    <t>4.</t>
  </si>
  <si>
    <t>Jan Linhart</t>
  </si>
  <si>
    <t>U</t>
  </si>
  <si>
    <t>Marek Paštika</t>
  </si>
  <si>
    <t>Martin Šolaja</t>
  </si>
  <si>
    <t>Matyáš Lorenc</t>
  </si>
  <si>
    <t>Matěj Šaroch</t>
  </si>
  <si>
    <t>Ondřej Stuchlík</t>
  </si>
  <si>
    <t>Rastislav Mazák</t>
  </si>
  <si>
    <t>#</t>
  </si>
  <si>
    <t>Jméno</t>
  </si>
  <si>
    <t>Post</t>
  </si>
  <si>
    <t>OZ</t>
  </si>
  <si>
    <t>GP</t>
  </si>
  <si>
    <t>GO</t>
  </si>
  <si>
    <t>+</t>
  </si>
  <si>
    <t>±</t>
  </si>
  <si>
    <t>DN</t>
  </si>
  <si>
    <t>Věk</t>
  </si>
  <si>
    <t>Výška</t>
  </si>
  <si>
    <t>Váha</t>
  </si>
  <si>
    <t>HOZ</t>
  </si>
  <si>
    <t>HG</t>
  </si>
  <si>
    <t>HA</t>
  </si>
  <si>
    <t>HB</t>
  </si>
  <si>
    <t>1. klub</t>
  </si>
  <si>
    <t>1. sezona</t>
  </si>
  <si>
    <t>Slovan J. Hradec</t>
  </si>
  <si>
    <t>Hůl</t>
  </si>
  <si>
    <t>L</t>
  </si>
  <si>
    <t>R</t>
  </si>
  <si>
    <t>Sez. STR</t>
  </si>
  <si>
    <t>His. STR</t>
  </si>
  <si>
    <t>V/V STR</t>
  </si>
  <si>
    <t>Z</t>
  </si>
  <si>
    <t>ZCh</t>
  </si>
  <si>
    <t>Minuty</t>
  </si>
  <si>
    <t>OG</t>
  </si>
  <si>
    <t>ČK</t>
  </si>
  <si>
    <t>S</t>
  </si>
  <si>
    <t>Zákroky</t>
  </si>
  <si>
    <t>532.26</t>
  </si>
  <si>
    <t>117.50</t>
  </si>
  <si>
    <t>58.48</t>
  </si>
  <si>
    <t>0.00</t>
  </si>
  <si>
    <t>OG/Z</t>
  </si>
  <si>
    <t>%Z</t>
  </si>
  <si>
    <t>V-P STR</t>
  </si>
  <si>
    <t>Golm. STR</t>
  </si>
  <si>
    <t>pozice</t>
  </si>
  <si>
    <t>Michal Kotlas</t>
  </si>
  <si>
    <t>David Bouša</t>
  </si>
  <si>
    <t>David Pálek</t>
  </si>
  <si>
    <t>Miroslav Purkrábek</t>
  </si>
  <si>
    <t>trenér</t>
  </si>
  <si>
    <t>úspěchy</t>
  </si>
  <si>
    <t>kondiční trenér</t>
  </si>
  <si>
    <t>video konzultant</t>
  </si>
  <si>
    <t>postup do Tipsport superligy (trenér)</t>
  </si>
  <si>
    <t>1. SC TEMPISH Vítkovice</t>
  </si>
  <si>
    <t>Předvýběr.CZ Florbal MB</t>
  </si>
  <si>
    <t>Tatran Teka Střešovice</t>
  </si>
  <si>
    <t>FbŠ Bohemians</t>
  </si>
  <si>
    <t>FAT PIPE FLORBAL CHODOV</t>
  </si>
  <si>
    <t>FBC ČPP OSTRAVA</t>
  </si>
  <si>
    <t>ACEMA Sparta Praha</t>
  </si>
  <si>
    <t>BLACK ANGELS</t>
  </si>
  <si>
    <t>FBC Liberec</t>
  </si>
  <si>
    <t>FBŠ Hummel Hattrick Brno</t>
  </si>
  <si>
    <t>FBC 4CLEAN Česká Lípa</t>
  </si>
  <si>
    <t>SOKOLI Pardubice</t>
  </si>
  <si>
    <t>Hu-Fa PANTHERS OTROKOVICE</t>
  </si>
  <si>
    <t>TJ Sokol Královské Vinohrady</t>
  </si>
  <si>
    <t>Družstvo</t>
  </si>
  <si>
    <t>VP</t>
  </si>
  <si>
    <t>PP</t>
  </si>
  <si>
    <t>GV</t>
  </si>
  <si>
    <t>GR</t>
  </si>
  <si>
    <t>PP%</t>
  </si>
  <si>
    <t>GOO</t>
  </si>
  <si>
    <t>GVP</t>
  </si>
  <si>
    <t>GOP</t>
  </si>
  <si>
    <t>GVO</t>
  </si>
  <si>
    <t>O%</t>
  </si>
  <si>
    <t>ČK1</t>
  </si>
  <si>
    <t>ČK2</t>
  </si>
  <si>
    <t>ČK3</t>
  </si>
  <si>
    <t>S%</t>
  </si>
  <si>
    <t>DD</t>
  </si>
  <si>
    <t>DV</t>
  </si>
  <si>
    <t>ØDD</t>
  </si>
  <si>
    <t>ØDV</t>
  </si>
  <si>
    <t>ØD</t>
  </si>
  <si>
    <t>Rank P</t>
  </si>
  <si>
    <t>Rank O</t>
  </si>
  <si>
    <t>Rank TM</t>
  </si>
  <si>
    <t>VIT</t>
  </si>
  <si>
    <t>TAT</t>
  </si>
  <si>
    <t>BOH</t>
  </si>
  <si>
    <t>LIB</t>
  </si>
  <si>
    <t>CHO</t>
  </si>
  <si>
    <t>OST</t>
  </si>
  <si>
    <t>PAR</t>
  </si>
  <si>
    <t>SPA</t>
  </si>
  <si>
    <t>BA</t>
  </si>
  <si>
    <t>MB</t>
  </si>
  <si>
    <t>HAT</t>
  </si>
  <si>
    <t>CLP</t>
  </si>
  <si>
    <t>OTR</t>
  </si>
  <si>
    <t>1. řada</t>
  </si>
  <si>
    <t>2. řada</t>
  </si>
  <si>
    <t>3. řada</t>
  </si>
  <si>
    <t>Brankáři a náhradníci</t>
  </si>
  <si>
    <t>Kr. STR</t>
  </si>
  <si>
    <t>Pozn.</t>
  </si>
  <si>
    <t>Marek Vávra</t>
  </si>
  <si>
    <t>Tom Ondrušek</t>
  </si>
  <si>
    <t>Ondřej Mikeš</t>
  </si>
  <si>
    <t>Petr Majer</t>
  </si>
  <si>
    <t>Tomáš Sýkora</t>
  </si>
  <si>
    <t>Michal Podhráský</t>
  </si>
  <si>
    <t>Jiří Koutný</t>
  </si>
  <si>
    <t>Jiří Bauer</t>
  </si>
  <si>
    <t>Ondřej Vošta</t>
  </si>
  <si>
    <t>Daniel Eremiáš</t>
  </si>
  <si>
    <t>Daniel Maxa</t>
  </si>
  <si>
    <t>Martin Řezáč</t>
  </si>
  <si>
    <t>David Horký</t>
  </si>
  <si>
    <t>Michal Strnad</t>
  </si>
  <si>
    <t>Martin Koutný</t>
  </si>
  <si>
    <t>Šimon Doubek</t>
  </si>
  <si>
    <t>Ondřej Plíhal</t>
  </si>
  <si>
    <t>Dan Kašovský</t>
  </si>
  <si>
    <t>Karel Pergler</t>
  </si>
  <si>
    <t>Ivan Pergler</t>
  </si>
  <si>
    <t>Radim Slunečko</t>
  </si>
  <si>
    <t>Jiří Lebeda</t>
  </si>
  <si>
    <t>Jakub Dufek</t>
  </si>
  <si>
    <t>Karel Hodík</t>
  </si>
  <si>
    <t>Michal Rebro</t>
  </si>
  <si>
    <t>Tomáš Vávra</t>
  </si>
  <si>
    <t>Vojtěch Šimůnek</t>
  </si>
  <si>
    <t>David Podhráský</t>
  </si>
  <si>
    <t>hlavní trenér</t>
  </si>
  <si>
    <t>mistr české ligy (Tatran), 2x vítěz Poháru (Tatran, Chodov), 2x mistr ligy (trenér)</t>
  </si>
  <si>
    <t>Milan Šindelář</t>
  </si>
  <si>
    <t>asistent trenéra</t>
  </si>
  <si>
    <t>2x mistr české ligy (Tatran), 4x mistr české ligy (trenér), mistr juniorské ligy (trenér)</t>
  </si>
  <si>
    <t>Adam Štegl</t>
  </si>
  <si>
    <t>mistr české ligy (Chodov)</t>
  </si>
  <si>
    <t>vicemistr světa (2004), all-star tým juniorského MS, 2x mistr české ligy (Chodov)</t>
  </si>
  <si>
    <t>mistr české ligy, stříbro z MS juniorů</t>
  </si>
  <si>
    <t>Karel Myšák</t>
  </si>
  <si>
    <t>vedoucí týmu</t>
  </si>
  <si>
    <t>2x mistr české ligy</t>
  </si>
  <si>
    <t>Jan Barák</t>
  </si>
  <si>
    <t>manažer týmu</t>
  </si>
  <si>
    <t>2x mistr české ligy (Chodov), vítěz poháru, vítěz AMS, stříbro z MS juniorů, bronz z MS</t>
  </si>
  <si>
    <t>Florbal Benešov</t>
  </si>
  <si>
    <t>TJ Sokol Rokycany</t>
  </si>
  <si>
    <t>Wizards DDM</t>
  </si>
  <si>
    <t>Tatran Střešovice</t>
  </si>
  <si>
    <t>FBC Ostrava</t>
  </si>
  <si>
    <t>SK Juvenis Přibyslav</t>
  </si>
  <si>
    <t>SK JeMoBu</t>
  </si>
  <si>
    <t>SK Dvojka Praha</t>
  </si>
  <si>
    <t>Faraos Praha</t>
  </si>
  <si>
    <t>FBK Vosy Praha</t>
  </si>
  <si>
    <t>TJ Znojmo</t>
  </si>
  <si>
    <t>Florbal Chodov</t>
  </si>
  <si>
    <t>FBC Plzeň</t>
  </si>
  <si>
    <t>SPA Sokol Brno I.</t>
  </si>
  <si>
    <t>Sokol Brno III</t>
  </si>
  <si>
    <t>FC Bučis Team</t>
  </si>
  <si>
    <t>FBC Falcon</t>
  </si>
  <si>
    <t>FbC Hr. Králové</t>
  </si>
  <si>
    <t>SKV 2013</t>
  </si>
  <si>
    <t>Rank</t>
  </si>
  <si>
    <t>Tabulka</t>
  </si>
  <si>
    <t>C</t>
  </si>
  <si>
    <t>P - V - P - P - P - P - P - V - PP - P</t>
  </si>
  <si>
    <t>V - P - V - V - V - PP - P - V - V - V</t>
  </si>
  <si>
    <t>Následující zápasy:</t>
  </si>
  <si>
    <t>Posledních 5 zápasů:</t>
  </si>
  <si>
    <t>BOL</t>
  </si>
  <si>
    <t>2:7</t>
  </si>
  <si>
    <t>3:4p</t>
  </si>
  <si>
    <t>3:0</t>
  </si>
  <si>
    <t>5:10</t>
  </si>
  <si>
    <t>8:6</t>
  </si>
  <si>
    <t>11:7</t>
  </si>
  <si>
    <t>8:9</t>
  </si>
  <si>
    <t>3:4sn</t>
  </si>
  <si>
    <t>STATISTIKY</t>
  </si>
  <si>
    <t>Body</t>
  </si>
  <si>
    <t>Góly</t>
  </si>
  <si>
    <t>Asistence</t>
  </si>
  <si>
    <t>Trestné minuty</t>
  </si>
  <si>
    <t>Výhry</t>
  </si>
  <si>
    <t>Gregor - 4 GP</t>
  </si>
  <si>
    <t>Stuchlík O. - 3 GP</t>
  </si>
  <si>
    <t>Lanc -    -13 ±</t>
  </si>
  <si>
    <t>Sýkora -    +15 ±</t>
  </si>
  <si>
    <t>7:8p</t>
  </si>
  <si>
    <t>SKV - CHO</t>
  </si>
  <si>
    <t>2:10</t>
  </si>
  <si>
    <t>13:4</t>
  </si>
  <si>
    <t>5:6</t>
  </si>
  <si>
    <t>2:14</t>
  </si>
  <si>
    <t>10:7</t>
  </si>
  <si>
    <t>4:9</t>
  </si>
  <si>
    <t>7:5</t>
  </si>
  <si>
    <t>FBC GT12 Košice</t>
  </si>
  <si>
    <t>1. Michal Strachota</t>
  </si>
  <si>
    <t>2. Lukáš Gregor</t>
  </si>
  <si>
    <t>3. Milan Bína</t>
  </si>
  <si>
    <t>4. Martin Skřivánek</t>
  </si>
  <si>
    <t>5. Petr Hartman</t>
  </si>
  <si>
    <t>G/Z</t>
  </si>
  <si>
    <t>1. Lukáš Gregor</t>
  </si>
  <si>
    <t>2. Michal Strachota</t>
  </si>
  <si>
    <t>4. Ondřej Stuchlík</t>
  </si>
  <si>
    <t>1. Martin Skřivánek</t>
  </si>
  <si>
    <t>4. Jan Procházka</t>
  </si>
  <si>
    <t>5. Pavel Hájek</t>
  </si>
  <si>
    <t>2. Jan Svoboda</t>
  </si>
  <si>
    <t>3. Zbyněk Stuchlík</t>
  </si>
  <si>
    <t>1. Karel Šantora</t>
  </si>
  <si>
    <t>5,97</t>
  </si>
  <si>
    <t>2. Matyáš Lorenc</t>
  </si>
  <si>
    <t>0,00</t>
  </si>
  <si>
    <t>3. Rastislav Mazák</t>
  </si>
  <si>
    <t>7,18</t>
  </si>
  <si>
    <t>4. Jiří Buchta</t>
  </si>
  <si>
    <t>7,66</t>
  </si>
  <si>
    <t>2. Jiří Buchta</t>
  </si>
  <si>
    <t>3. Matyáš Lorenc</t>
  </si>
  <si>
    <t>4. Rastislav Mazák</t>
  </si>
  <si>
    <t>1. Marek Vávra</t>
  </si>
  <si>
    <t>2. Tom Ondrušek</t>
  </si>
  <si>
    <t>3. Ondřej Mikeš</t>
  </si>
  <si>
    <t>4. Petr Majer</t>
  </si>
  <si>
    <t>5. Tomáš Sýkora</t>
  </si>
  <si>
    <t>3. Petr Majer</t>
  </si>
  <si>
    <t>4. Ondřej Mikeš</t>
  </si>
  <si>
    <t>5. Daniel Eremiáš</t>
  </si>
  <si>
    <t>1. Tom Ondrušek</t>
  </si>
  <si>
    <t>2. Tomáš Sýkora</t>
  </si>
  <si>
    <t>3. Marek Vávra</t>
  </si>
  <si>
    <t>5. Jiří Koutný</t>
  </si>
  <si>
    <t>1. Jiří Bauer</t>
  </si>
  <si>
    <t>2. Tomáš Vávra</t>
  </si>
  <si>
    <t>3. Michal Strnad</t>
  </si>
  <si>
    <t>4. David Horký</t>
  </si>
  <si>
    <t>5. Petr Majer</t>
  </si>
  <si>
    <t>1. Michal Rebro</t>
  </si>
  <si>
    <t>4,32</t>
  </si>
  <si>
    <t>2. Vojtěch Šimůnek</t>
  </si>
  <si>
    <t>6,31</t>
  </si>
  <si>
    <t>3. Karel Pergler</t>
  </si>
  <si>
    <t>4. Karel Hodík</t>
  </si>
  <si>
    <t>5,50</t>
  </si>
  <si>
    <t>3. Karel Hodík</t>
  </si>
  <si>
    <t>4. Karel Pergler</t>
  </si>
  <si>
    <t>Adam Delong</t>
  </si>
  <si>
    <t>Rostislav Gattnar</t>
  </si>
  <si>
    <t>Matyáš Šindler</t>
  </si>
  <si>
    <t>Lukáš Hájek</t>
  </si>
  <si>
    <t>Marek Matejčík</t>
  </si>
  <si>
    <t>Jan Šebesta</t>
  </si>
  <si>
    <t>Marek Bräuer</t>
  </si>
  <si>
    <t>Jiří Besta</t>
  </si>
  <si>
    <t>Ondřej Sidunov</t>
  </si>
  <si>
    <t>Jakub Hubálek</t>
  </si>
  <si>
    <t>Šimon Kuczera</t>
  </si>
  <si>
    <t>Tomáš Sladký</t>
  </si>
  <si>
    <t>Adam Choma</t>
  </si>
  <si>
    <t>Martin Nehera</t>
  </si>
  <si>
    <t>Daniels Janis Anis</t>
  </si>
  <si>
    <t>Filip Čonka-Skyba</t>
  </si>
  <si>
    <t>Marek Švajný</t>
  </si>
  <si>
    <t>Šimon Hatala</t>
  </si>
  <si>
    <t>Štěpán Kaleta</t>
  </si>
  <si>
    <t>Lukáš Souček</t>
  </si>
  <si>
    <t>Ondřej Svoboda</t>
  </si>
  <si>
    <t>Jan Jastřembský</t>
  </si>
  <si>
    <t>Jan Vojáček</t>
  </si>
  <si>
    <t>Denis Jasiok</t>
  </si>
  <si>
    <t>1. Adam Delong</t>
  </si>
  <si>
    <t>2. Rostislav Gattnar</t>
  </si>
  <si>
    <t>3. Matyáš Šindler</t>
  </si>
  <si>
    <t>4. Lukáš Hájek</t>
  </si>
  <si>
    <t>5. Marek Matejčík</t>
  </si>
  <si>
    <t>3. Lukáš Hájek</t>
  </si>
  <si>
    <t>4. Jan Šebesta</t>
  </si>
  <si>
    <t>5. Marek Bräuer</t>
  </si>
  <si>
    <t>1. Matyáš Šindler</t>
  </si>
  <si>
    <t>2. Adam Delong</t>
  </si>
  <si>
    <t>3. Marek Matejčík</t>
  </si>
  <si>
    <t>4. Rostislav Gattnar</t>
  </si>
  <si>
    <t>5. Lukáš Hájek</t>
  </si>
  <si>
    <t>1. Tomáš Sladký</t>
  </si>
  <si>
    <t>2. Daniels Janis Anis</t>
  </si>
  <si>
    <t>3. Jan Šebesta</t>
  </si>
  <si>
    <t>4. Marek Bräuer</t>
  </si>
  <si>
    <t>5. Martin Nehera</t>
  </si>
  <si>
    <t>1. Lukáš Souček</t>
  </si>
  <si>
    <t>3,94</t>
  </si>
  <si>
    <t>2. Denis Jasiok</t>
  </si>
  <si>
    <t>5,33</t>
  </si>
  <si>
    <t>Pavel Brus</t>
  </si>
  <si>
    <t>3x mistr české ligy, 2x vítěz Poháru ČP</t>
  </si>
  <si>
    <t>David Matúš</t>
  </si>
  <si>
    <t>Tomáš Veltšmíd</t>
  </si>
  <si>
    <t>vedoucí družstva</t>
  </si>
  <si>
    <t>Jiří Frömmel</t>
  </si>
  <si>
    <t>Radek Vytísk</t>
  </si>
  <si>
    <t>Skřivánek - zraněné stehno</t>
  </si>
  <si>
    <t>Vojtěch Klápa</t>
  </si>
  <si>
    <t>Příjmení</t>
  </si>
  <si>
    <t>Dupl.</t>
  </si>
  <si>
    <t>Iniciál</t>
  </si>
  <si>
    <t>SK Florbal Benešov</t>
  </si>
  <si>
    <t>± první řady a ostatních</t>
  </si>
  <si>
    <t>vs. CLP 8:9, vs. OST 5:9</t>
  </si>
  <si>
    <t>úmrtí Michala Rebra</t>
  </si>
  <si>
    <t>Komp. G</t>
  </si>
  <si>
    <t>Komp. A</t>
  </si>
  <si>
    <t>Komp. Z</t>
  </si>
  <si>
    <t>Letošní statistiky hráče v předchozích týmech</t>
  </si>
  <si>
    <t>1. řada dohromady - 114 B</t>
  </si>
  <si>
    <t>Jiří Curney</t>
  </si>
  <si>
    <t>Jan Natov</t>
  </si>
  <si>
    <t>Jakub Bína</t>
  </si>
  <si>
    <t>Daniel Šebek</t>
  </si>
  <si>
    <t>Martin Tokoš</t>
  </si>
  <si>
    <t>Tomáš Chroust</t>
  </si>
  <si>
    <t>Petr Krzyžanek</t>
  </si>
  <si>
    <t>Mikuláš Komárek</t>
  </si>
  <si>
    <t>Tadeáš Chroust</t>
  </si>
  <si>
    <t>Jan Řehoř</t>
  </si>
  <si>
    <t>Marek Korych</t>
  </si>
  <si>
    <t>Milan Tomašík</t>
  </si>
  <si>
    <t>Jan Zoufalý</t>
  </si>
  <si>
    <t>Patrik Suchánek</t>
  </si>
  <si>
    <t>Milan Tichý</t>
  </si>
  <si>
    <t>Aleš Höffer</t>
  </si>
  <si>
    <t>Filip Zakonov</t>
  </si>
  <si>
    <t>Jakub Gruber</t>
  </si>
  <si>
    <t>Jan Daniš</t>
  </si>
  <si>
    <t>Daniel Goll</t>
  </si>
  <si>
    <t>Štepán Švejda</t>
  </si>
  <si>
    <t>Filip Kučera</t>
  </si>
  <si>
    <t>Zdeněk Vyhnánek</t>
  </si>
  <si>
    <t>Ondřej Tomšík</t>
  </si>
  <si>
    <t>Jakub Pařízek</t>
  </si>
  <si>
    <t>Petr Musil</t>
  </si>
  <si>
    <t>Lukáš Bauer</t>
  </si>
  <si>
    <t>1. Jiří Curney</t>
  </si>
  <si>
    <t>2. Jan Natov</t>
  </si>
  <si>
    <t>3. Jakub Bína</t>
  </si>
  <si>
    <t>4. Daniel Šebek</t>
  </si>
  <si>
    <t>5. Martin Tokoš</t>
  </si>
  <si>
    <t>1. Jakub Bína</t>
  </si>
  <si>
    <t>3. Jiří Curney</t>
  </si>
  <si>
    <t>4. Martin Tokoš</t>
  </si>
  <si>
    <t>5. Mikuláš Komárek</t>
  </si>
  <si>
    <t>3. Daniel Šebek</t>
  </si>
  <si>
    <t>4. Milan Tomašík</t>
  </si>
  <si>
    <t>5. Petr Krzyžanek</t>
  </si>
  <si>
    <t>1. Jan Natov</t>
  </si>
  <si>
    <t>2. Martin Tokoš</t>
  </si>
  <si>
    <t>3. Jan Řehoř</t>
  </si>
  <si>
    <t>4. Aleš Höffer</t>
  </si>
  <si>
    <t>5. Daniel Šebek</t>
  </si>
  <si>
    <t>1. Lukáš Bauer</t>
  </si>
  <si>
    <t>3,51</t>
  </si>
  <si>
    <t>2. Petr Musil</t>
  </si>
  <si>
    <t>4,74</t>
  </si>
  <si>
    <t>3. Ondřej Tomšík</t>
  </si>
  <si>
    <t>15,00</t>
  </si>
  <si>
    <t>Petr Novotný</t>
  </si>
  <si>
    <t>mistr české ligy, 3x vítěz Poháru, 2x 4. místo na MS</t>
  </si>
  <si>
    <t>Radek Gwuźdź</t>
  </si>
  <si>
    <t>3x vítěz Poháru (hráč), mistr české ligy (kondiční trenér)</t>
  </si>
  <si>
    <t>Jiří Stožický</t>
  </si>
  <si>
    <t>5. místo v ZČ KB ligy juniorů (trenér)</t>
  </si>
  <si>
    <t>Milan Peterka</t>
  </si>
  <si>
    <t>trenér brankářů</t>
  </si>
  <si>
    <t>mistr české ligy, vítěz Poháru, 4. místo na MS (vše jako trenér brankářů)</t>
  </si>
  <si>
    <t>Barbora Hegmonová</t>
  </si>
  <si>
    <t>fyzioterapeutka</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</si>
</sst>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quot;#&quot;0"/>
    <numFmt numFmtId="165" formatCode="0."/>
    <numFmt numFmtId="166" formatCode="0&quot; OZ&quot;"/>
    <numFmt numFmtId="167" formatCode="0&quot; ČK&quot;"/>
    <numFmt numFmtId="168" formatCode="0.00&quot; G/Z&quot;"/>
    <numFmt numFmtId="169" formatCode="0&quot; OG&quot;"/>
    <numFmt numFmtId="170" formatCode="0.00&quot; min&quot;"/>
    <numFmt numFmtId="171" formatCode="0.0"/>
    <numFmt numFmtId="172" formatCode="d/m;@"/>
  </numFmts>
  <fonts count="11" x14ac:knownFonts="1">
    <font>
      <sz val="11"/>
      <color theme="1"/>
      <name val="Calibri"/>
      <family val="2"/>
      <charset val="238"/>
      <scheme val="minor"/>
    </font>
    <font>
      <b/>
      <sz val="11"/>
      <color theme="1"/>
      <name val="Calibri"/>
      <family val="2"/>
      <charset val="238"/>
      <scheme val="minor"/>
    </font>
    <font>
      <b/>
      <sz val="11"/>
      <color theme="1"/>
      <name val="Calibri"/>
      <family val="2"/>
      <charset val="238"/>
    </font>
    <font>
      <b/>
      <sz val="11"/>
      <color theme="1"/>
      <name val="Bahnschrift SemiLight Condensed"/>
      <family val="2"/>
      <charset val="238"/>
    </font>
    <font>
      <b/>
      <sz val="11"/>
      <color rgb="FF00B050"/>
      <name val="Bahnschrift SemiLight Condensed"/>
      <family val="2"/>
      <charset val="238"/>
    </font>
    <font>
      <sz val="11"/>
      <color theme="1"/>
      <name val="Bahnschrift SemiLight Condensed"/>
      <family val="2"/>
      <charset val="238"/>
    </font>
    <font>
      <b/>
      <sz val="11"/>
      <color rgb="FFFF0000"/>
      <name val="Bahnschrift SemiLight Condensed"/>
      <family val="2"/>
      <charset val="238"/>
    </font>
    <font>
      <b/>
      <i/>
      <sz val="11"/>
      <color theme="1"/>
      <name val="Bahnschrift SemiLight Condensed"/>
      <family val="2"/>
      <charset val="238"/>
    </font>
    <font>
      <i/>
      <sz val="11"/>
      <color theme="1"/>
      <name val="Bahnschrift SemiLight Condensed"/>
      <family val="2"/>
      <charset val="238"/>
    </font>
    <font>
      <b/>
      <sz val="20"/>
      <color theme="1"/>
      <name val="Bahnschrift SemiLight Condensed"/>
      <family val="2"/>
      <charset val="238"/>
    </font>
    <font>
      <b/>
      <i/>
      <sz val="10"/>
      <color theme="1"/>
      <name val="Bahnschrift SemiLight Condensed"/>
      <family val="2"/>
      <charset val="238"/>
    </font>
  </fonts>
  <fills count="5">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0" tint="-0.249977111117893"/>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ck">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style="thick">
        <color indexed="64"/>
      </top>
      <bottom style="medium">
        <color indexed="64"/>
      </bottom>
      <diagonal/>
    </border>
    <border>
      <left/>
      <right style="thin">
        <color indexed="64"/>
      </right>
      <top style="thick">
        <color indexed="64"/>
      </top>
      <bottom style="medium">
        <color indexed="64"/>
      </bottom>
      <diagonal/>
    </border>
    <border>
      <left style="thin">
        <color auto="1"/>
      </left>
      <right style="thick">
        <color auto="1"/>
      </right>
      <top style="thick">
        <color auto="1"/>
      </top>
      <bottom style="thin">
        <color auto="1"/>
      </bottom>
      <diagonal/>
    </border>
    <border>
      <left/>
      <right/>
      <top/>
      <bottom style="thick">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right style="thin">
        <color auto="1"/>
      </right>
      <top/>
      <bottom style="thin">
        <color auto="1"/>
      </bottom>
      <diagonal/>
    </border>
    <border>
      <left/>
      <right style="thin">
        <color auto="1"/>
      </right>
      <top style="thick">
        <color auto="1"/>
      </top>
      <bottom style="thin">
        <color auto="1"/>
      </bottom>
      <diagonal/>
    </border>
    <border>
      <left style="thin">
        <color indexed="64"/>
      </left>
      <right/>
      <top style="thin">
        <color indexed="64"/>
      </top>
      <bottom style="thick">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style="thick">
        <color indexed="64"/>
      </left>
      <right/>
      <top style="thick">
        <color indexed="64"/>
      </top>
      <bottom/>
      <diagonal/>
    </border>
    <border>
      <left/>
      <right/>
      <top style="thick">
        <color indexed="64"/>
      </top>
      <bottom/>
      <diagonal/>
    </border>
    <border>
      <left style="thin">
        <color indexed="64"/>
      </left>
      <right/>
      <top style="thick">
        <color indexed="64"/>
      </top>
      <bottom style="medium">
        <color indexed="64"/>
      </bottom>
      <diagonal/>
    </border>
    <border>
      <left style="thin">
        <color indexed="64"/>
      </left>
      <right style="medium">
        <color indexed="64"/>
      </right>
      <top style="thin">
        <color indexed="64"/>
      </top>
      <bottom style="thick">
        <color indexed="64"/>
      </bottom>
      <diagonal/>
    </border>
    <border>
      <left style="medium">
        <color indexed="64"/>
      </left>
      <right style="thin">
        <color indexed="64"/>
      </right>
      <top style="thick">
        <color indexed="64"/>
      </top>
      <bottom style="medium">
        <color indexed="64"/>
      </bottom>
      <diagonal/>
    </border>
    <border>
      <left style="thin">
        <color indexed="64"/>
      </left>
      <right style="medium">
        <color indexed="64"/>
      </right>
      <top style="thick">
        <color indexed="64"/>
      </top>
      <bottom style="medium">
        <color indexed="64"/>
      </bottom>
      <diagonal/>
    </border>
    <border>
      <left/>
      <right/>
      <top style="thick">
        <color indexed="64"/>
      </top>
      <bottom style="medium">
        <color indexed="64"/>
      </bottom>
      <diagonal/>
    </border>
    <border>
      <left style="thick">
        <color indexed="64"/>
      </left>
      <right/>
      <top style="medium">
        <color indexed="64"/>
      </top>
      <bottom style="thin">
        <color indexed="64"/>
      </bottom>
      <diagonal/>
    </border>
    <border>
      <left style="thin">
        <color indexed="64"/>
      </left>
      <right style="thick">
        <color indexed="64"/>
      </right>
      <top style="medium">
        <color indexed="64"/>
      </top>
      <bottom style="thick">
        <color indexed="64"/>
      </bottom>
      <diagonal/>
    </border>
    <border>
      <left style="thin">
        <color indexed="64"/>
      </left>
      <right style="thick">
        <color indexed="64"/>
      </right>
      <top style="medium">
        <color indexed="64"/>
      </top>
      <bottom style="thin">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ck">
        <color auto="1"/>
      </left>
      <right style="thin">
        <color auto="1"/>
      </right>
      <top style="medium">
        <color auto="1"/>
      </top>
      <bottom style="thick">
        <color indexed="64"/>
      </bottom>
      <diagonal/>
    </border>
    <border>
      <left style="thin">
        <color auto="1"/>
      </left>
      <right style="thin">
        <color auto="1"/>
      </right>
      <top style="medium">
        <color auto="1"/>
      </top>
      <bottom style="thick">
        <color indexed="64"/>
      </bottom>
      <diagonal/>
    </border>
    <border>
      <left style="thin">
        <color indexed="64"/>
      </left>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right style="thick">
        <color auto="1"/>
      </right>
      <top style="thick">
        <color auto="1"/>
      </top>
      <bottom style="medium">
        <color auto="1"/>
      </bottom>
      <diagonal/>
    </border>
    <border>
      <left/>
      <right style="thin">
        <color indexed="64"/>
      </right>
      <top style="medium">
        <color indexed="64"/>
      </top>
      <bottom style="thin">
        <color indexed="64"/>
      </bottom>
      <diagonal/>
    </border>
    <border>
      <left/>
      <right/>
      <top style="thick">
        <color indexed="64"/>
      </top>
      <bottom style="thick">
        <color indexed="64"/>
      </bottom>
      <diagonal/>
    </border>
    <border>
      <left style="thick">
        <color indexed="64"/>
      </left>
      <right/>
      <top/>
      <bottom style="thick">
        <color indexed="64"/>
      </bottom>
      <diagonal/>
    </border>
    <border>
      <left/>
      <right style="thick">
        <color indexed="64"/>
      </right>
      <top/>
      <bottom style="thick">
        <color indexed="64"/>
      </bottom>
      <diagonal/>
    </border>
    <border>
      <left style="thick">
        <color indexed="64"/>
      </left>
      <right style="medium">
        <color indexed="64"/>
      </right>
      <top style="thin">
        <color indexed="64"/>
      </top>
      <bottom style="medium">
        <color indexed="64"/>
      </bottom>
      <diagonal/>
    </border>
    <border>
      <left style="thick">
        <color auto="1"/>
      </left>
      <right/>
      <top/>
      <bottom/>
      <diagonal/>
    </border>
    <border>
      <left/>
      <right style="thick">
        <color auto="1"/>
      </right>
      <top/>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medium">
        <color indexed="64"/>
      </left>
      <right style="thin">
        <color indexed="64"/>
      </right>
      <top style="thin">
        <color indexed="64"/>
      </top>
      <bottom style="thick">
        <color indexed="64"/>
      </bottom>
      <diagonal/>
    </border>
    <border>
      <left/>
      <right/>
      <top style="thin">
        <color indexed="64"/>
      </top>
      <bottom/>
      <diagonal/>
    </border>
  </borders>
  <cellStyleXfs count="1">
    <xf numFmtId="0" fontId="0" fillId="0" borderId="0"/>
  </cellStyleXfs>
  <cellXfs count="291">
    <xf numFmtId="0" fontId="0" fillId="0" borderId="0" xfId="0"/>
    <xf numFmtId="0" fontId="0" fillId="0" borderId="0" xfId="0" applyAlignment="1">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vertical="center"/>
    </xf>
    <xf numFmtId="14" fontId="1" fillId="0" borderId="0" xfId="0" applyNumberFormat="1" applyFont="1" applyAlignment="1">
      <alignment horizontal="center" vertical="center"/>
    </xf>
    <xf numFmtId="0" fontId="0" fillId="0" borderId="0" xfId="0" applyAlignment="1">
      <alignment horizontal="right" vertical="center"/>
    </xf>
    <xf numFmtId="0" fontId="1" fillId="0" borderId="0" xfId="0" applyFont="1" applyAlignment="1">
      <alignment horizontal="right" vertical="center"/>
    </xf>
    <xf numFmtId="14" fontId="0" fillId="0" borderId="0" xfId="0" applyNumberFormat="1" applyAlignment="1">
      <alignment vertical="center"/>
    </xf>
    <xf numFmtId="0" fontId="1" fillId="0" borderId="0" xfId="0" applyFont="1" applyAlignment="1">
      <alignment horizontal="left" vertical="center"/>
    </xf>
    <xf numFmtId="0" fontId="0" fillId="0" borderId="0" xfId="0" applyAlignment="1">
      <alignment horizontal="left" vertical="center"/>
    </xf>
    <xf numFmtId="2" fontId="0" fillId="0" borderId="0" xfId="0" applyNumberFormat="1" applyAlignment="1">
      <alignment horizontal="center" vertical="center"/>
    </xf>
    <xf numFmtId="0" fontId="0" fillId="3" borderId="0" xfId="0" applyFill="1" applyAlignment="1">
      <alignment vertical="center"/>
    </xf>
    <xf numFmtId="0" fontId="1" fillId="4" borderId="0" xfId="0" applyFont="1" applyFill="1" applyAlignment="1">
      <alignment horizontal="center" vertical="center"/>
    </xf>
    <xf numFmtId="0" fontId="2" fillId="4" borderId="0" xfId="0" applyFont="1" applyFill="1" applyAlignment="1">
      <alignment horizontal="center" vertical="center"/>
    </xf>
    <xf numFmtId="0" fontId="3" fillId="4" borderId="17" xfId="0" applyFont="1" applyFill="1" applyBorder="1" applyAlignment="1">
      <alignment horizontal="right" vertical="center"/>
    </xf>
    <xf numFmtId="0" fontId="3" fillId="4" borderId="41" xfId="0" applyFont="1" applyFill="1" applyBorder="1" applyAlignment="1">
      <alignment horizontal="center" vertical="center"/>
    </xf>
    <xf numFmtId="0" fontId="3" fillId="2" borderId="41" xfId="0" applyFont="1" applyFill="1" applyBorder="1" applyAlignment="1">
      <alignment horizontal="center" vertical="center"/>
    </xf>
    <xf numFmtId="0" fontId="3" fillId="4" borderId="52" xfId="0" applyFont="1" applyFill="1" applyBorder="1" applyAlignment="1">
      <alignment horizontal="center" vertical="center"/>
    </xf>
    <xf numFmtId="165" fontId="4" fillId="0" borderId="58" xfId="0" applyNumberFormat="1" applyFont="1" applyBorder="1" applyAlignment="1">
      <alignment horizontal="right" vertical="center"/>
    </xf>
    <xf numFmtId="0" fontId="5" fillId="0" borderId="0" xfId="0" applyFont="1" applyBorder="1" applyAlignment="1">
      <alignment vertical="center"/>
    </xf>
    <xf numFmtId="0" fontId="5" fillId="0" borderId="0" xfId="0" applyFont="1" applyBorder="1" applyAlignment="1">
      <alignment horizontal="center" vertical="center"/>
    </xf>
    <xf numFmtId="0" fontId="3" fillId="2" borderId="0" xfId="0" applyFont="1" applyFill="1" applyBorder="1" applyAlignment="1">
      <alignment horizontal="center" vertical="center"/>
    </xf>
    <xf numFmtId="2" fontId="5" fillId="0" borderId="0" xfId="0" applyNumberFormat="1" applyFont="1" applyBorder="1" applyAlignment="1">
      <alignment horizontal="center" vertical="center"/>
    </xf>
    <xf numFmtId="2" fontId="5" fillId="0" borderId="59" xfId="0" applyNumberFormat="1" applyFont="1" applyBorder="1" applyAlignment="1">
      <alignment horizontal="center" vertical="center"/>
    </xf>
    <xf numFmtId="165" fontId="4" fillId="3" borderId="58" xfId="0" applyNumberFormat="1" applyFont="1" applyFill="1" applyBorder="1" applyAlignment="1">
      <alignment horizontal="right" vertical="center"/>
    </xf>
    <xf numFmtId="0" fontId="5" fillId="3" borderId="0" xfId="0" applyFont="1" applyFill="1" applyBorder="1" applyAlignment="1">
      <alignment vertical="center"/>
    </xf>
    <xf numFmtId="0" fontId="5" fillId="3" borderId="0" xfId="0" applyFont="1" applyFill="1" applyBorder="1" applyAlignment="1">
      <alignment horizontal="center" vertical="center"/>
    </xf>
    <xf numFmtId="2" fontId="5" fillId="3" borderId="0" xfId="0" applyNumberFormat="1" applyFont="1" applyFill="1" applyBorder="1" applyAlignment="1">
      <alignment horizontal="center" vertical="center"/>
    </xf>
    <xf numFmtId="2" fontId="5" fillId="3" borderId="59" xfId="0" applyNumberFormat="1" applyFont="1" applyFill="1" applyBorder="1" applyAlignment="1">
      <alignment horizontal="center" vertical="center"/>
    </xf>
    <xf numFmtId="165" fontId="3" fillId="0" borderId="58" xfId="0" applyNumberFormat="1" applyFont="1" applyBorder="1" applyAlignment="1">
      <alignment horizontal="right" vertical="center"/>
    </xf>
    <xf numFmtId="165" fontId="3" fillId="3" borderId="58" xfId="0" applyNumberFormat="1" applyFont="1" applyFill="1" applyBorder="1" applyAlignment="1">
      <alignment horizontal="right" vertical="center"/>
    </xf>
    <xf numFmtId="165" fontId="6" fillId="0" borderId="58" xfId="0" applyNumberFormat="1" applyFont="1" applyBorder="1" applyAlignment="1">
      <alignment horizontal="right" vertical="center"/>
    </xf>
    <xf numFmtId="165" fontId="6" fillId="3" borderId="58" xfId="0" applyNumberFormat="1" applyFont="1" applyFill="1" applyBorder="1" applyAlignment="1">
      <alignment horizontal="right" vertical="center"/>
    </xf>
    <xf numFmtId="165" fontId="6" fillId="3" borderId="55" xfId="0" applyNumberFormat="1" applyFont="1" applyFill="1" applyBorder="1" applyAlignment="1">
      <alignment horizontal="right" vertical="center"/>
    </xf>
    <xf numFmtId="0" fontId="5" fillId="3" borderId="20" xfId="0" applyFont="1" applyFill="1" applyBorder="1" applyAlignment="1">
      <alignment vertical="center"/>
    </xf>
    <xf numFmtId="0" fontId="5" fillId="3" borderId="20" xfId="0" applyFont="1" applyFill="1" applyBorder="1" applyAlignment="1">
      <alignment horizontal="center" vertical="center"/>
    </xf>
    <xf numFmtId="0" fontId="3" fillId="2" borderId="20" xfId="0" applyFont="1" applyFill="1" applyBorder="1" applyAlignment="1">
      <alignment horizontal="center" vertical="center"/>
    </xf>
    <xf numFmtId="2" fontId="5" fillId="3" borderId="20" xfId="0" applyNumberFormat="1" applyFont="1" applyFill="1" applyBorder="1" applyAlignment="1">
      <alignment horizontal="center" vertical="center"/>
    </xf>
    <xf numFmtId="2" fontId="5" fillId="3" borderId="56" xfId="0" applyNumberFormat="1" applyFont="1" applyFill="1" applyBorder="1" applyAlignment="1">
      <alignment horizontal="center" vertical="center"/>
    </xf>
    <xf numFmtId="0" fontId="3" fillId="0" borderId="18" xfId="0" applyFont="1" applyBorder="1" applyAlignment="1">
      <alignment horizontal="right" vertical="center"/>
    </xf>
    <xf numFmtId="0" fontId="5" fillId="0" borderId="0" xfId="0" applyFont="1" applyAlignment="1">
      <alignment vertical="center"/>
    </xf>
    <xf numFmtId="0" fontId="3" fillId="0" borderId="57" xfId="0" applyFont="1" applyBorder="1" applyAlignment="1">
      <alignment horizontal="center" vertical="center"/>
    </xf>
    <xf numFmtId="0" fontId="5" fillId="0" borderId="6" xfId="0" applyFont="1" applyBorder="1" applyAlignment="1">
      <alignment horizontal="center" vertical="center"/>
    </xf>
    <xf numFmtId="0" fontId="3" fillId="0" borderId="16" xfId="0" applyFont="1" applyBorder="1" applyAlignment="1">
      <alignment horizontal="center" vertical="center"/>
    </xf>
    <xf numFmtId="0" fontId="5" fillId="0" borderId="20" xfId="0" applyFont="1" applyBorder="1" applyAlignment="1">
      <alignment horizontal="left" vertical="center"/>
    </xf>
    <xf numFmtId="0" fontId="5" fillId="0" borderId="20" xfId="0" applyFont="1" applyBorder="1" applyAlignment="1">
      <alignment horizontal="center" vertical="center"/>
    </xf>
    <xf numFmtId="0" fontId="5" fillId="0" borderId="20" xfId="0" applyFont="1" applyBorder="1" applyAlignment="1">
      <alignment vertical="center"/>
    </xf>
    <xf numFmtId="0" fontId="5" fillId="0" borderId="36" xfId="0" applyFont="1" applyBorder="1" applyAlignment="1">
      <alignment vertical="center"/>
    </xf>
    <xf numFmtId="0" fontId="5" fillId="0" borderId="54" xfId="0" applyFont="1" applyBorder="1" applyAlignment="1">
      <alignment vertical="center"/>
    </xf>
    <xf numFmtId="165" fontId="3" fillId="0" borderId="57" xfId="0" applyNumberFormat="1" applyFont="1" applyBorder="1" applyAlignment="1">
      <alignment horizontal="center" vertical="center"/>
    </xf>
    <xf numFmtId="0" fontId="5" fillId="0" borderId="2" xfId="0" applyFont="1" applyBorder="1" applyAlignment="1">
      <alignment horizontal="center" vertical="center"/>
    </xf>
    <xf numFmtId="166" fontId="5" fillId="0" borderId="10" xfId="0" applyNumberFormat="1" applyFont="1" applyBorder="1" applyAlignment="1">
      <alignment horizontal="center" vertical="center"/>
    </xf>
    <xf numFmtId="171" fontId="5" fillId="0" borderId="13" xfId="0" applyNumberFormat="1" applyFont="1" applyBorder="1" applyAlignment="1">
      <alignment horizontal="center" vertical="center"/>
    </xf>
    <xf numFmtId="0" fontId="3" fillId="0" borderId="48" xfId="0" applyFont="1" applyBorder="1" applyAlignment="1">
      <alignment horizontal="center" vertical="center"/>
    </xf>
    <xf numFmtId="167" fontId="5" fillId="0" borderId="16" xfId="0" applyNumberFormat="1" applyFont="1" applyBorder="1" applyAlignment="1">
      <alignment horizontal="center" vertical="center"/>
    </xf>
    <xf numFmtId="0" fontId="3" fillId="0" borderId="0" xfId="0" applyFont="1" applyBorder="1" applyAlignment="1">
      <alignment vertical="center"/>
    </xf>
    <xf numFmtId="164" fontId="7" fillId="0" borderId="0" xfId="0" applyNumberFormat="1" applyFont="1" applyBorder="1" applyAlignment="1">
      <alignment horizontal="right" vertical="center"/>
    </xf>
    <xf numFmtId="0" fontId="3" fillId="0" borderId="54" xfId="0" applyFont="1" applyBorder="1" applyAlignment="1">
      <alignment vertical="center"/>
    </xf>
    <xf numFmtId="164" fontId="7" fillId="0" borderId="54" xfId="0" applyNumberFormat="1" applyFont="1" applyBorder="1" applyAlignment="1">
      <alignment horizontal="right" vertical="center"/>
    </xf>
    <xf numFmtId="0" fontId="5" fillId="0" borderId="14" xfId="0" applyFont="1" applyBorder="1" applyAlignment="1">
      <alignment horizontal="center" vertical="center"/>
    </xf>
    <xf numFmtId="164" fontId="3" fillId="0" borderId="9" xfId="0" applyNumberFormat="1" applyFont="1" applyBorder="1" applyAlignment="1">
      <alignment horizontal="center" vertical="center"/>
    </xf>
    <xf numFmtId="165" fontId="0" fillId="0" borderId="0" xfId="0" applyNumberFormat="1" applyAlignment="1">
      <alignment horizontal="right" vertical="center" wrapText="1"/>
    </xf>
    <xf numFmtId="165" fontId="0" fillId="0" borderId="0" xfId="0" applyNumberFormat="1" applyAlignment="1">
      <alignment horizontal="right" vertical="center"/>
    </xf>
    <xf numFmtId="0" fontId="8" fillId="0" borderId="0" xfId="0" applyFont="1" applyBorder="1" applyAlignment="1">
      <alignment vertical="center" wrapText="1"/>
    </xf>
    <xf numFmtId="0" fontId="8" fillId="0" borderId="0" xfId="0" applyFont="1" applyBorder="1" applyAlignment="1">
      <alignment vertical="center"/>
    </xf>
    <xf numFmtId="0" fontId="3" fillId="0" borderId="0" xfId="0" applyFont="1" applyFill="1" applyBorder="1" applyAlignment="1">
      <alignment vertical="center"/>
    </xf>
    <xf numFmtId="0" fontId="3" fillId="0" borderId="0" xfId="0" applyFont="1" applyFill="1" applyBorder="1" applyAlignment="1">
      <alignment horizontal="right" vertical="center"/>
    </xf>
    <xf numFmtId="164" fontId="3" fillId="0" borderId="0" xfId="0" applyNumberFormat="1" applyFont="1" applyFill="1" applyBorder="1" applyAlignment="1">
      <alignment horizontal="center" vertical="center"/>
    </xf>
    <xf numFmtId="0" fontId="5" fillId="0" borderId="0" xfId="0" applyFont="1" applyFill="1" applyBorder="1" applyAlignment="1">
      <alignment vertical="center"/>
    </xf>
    <xf numFmtId="0" fontId="3"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3" fillId="0" borderId="0" xfId="0" applyFont="1" applyFill="1" applyBorder="1" applyAlignment="1">
      <alignment vertical="center" textRotation="90"/>
    </xf>
    <xf numFmtId="165" fontId="3" fillId="0" borderId="0" xfId="0" applyNumberFormat="1" applyFont="1" applyFill="1" applyBorder="1" applyAlignment="1">
      <alignment horizontal="center" vertical="center"/>
    </xf>
    <xf numFmtId="166" fontId="5" fillId="0" borderId="0" xfId="0" applyNumberFormat="1" applyFont="1" applyFill="1" applyBorder="1" applyAlignment="1">
      <alignment horizontal="center" vertical="center"/>
    </xf>
    <xf numFmtId="166" fontId="5" fillId="0" borderId="0" xfId="0" applyNumberFormat="1" applyFont="1" applyFill="1" applyBorder="1" applyAlignment="1">
      <alignment vertical="center"/>
    </xf>
    <xf numFmtId="169" fontId="5" fillId="0" borderId="0" xfId="0" applyNumberFormat="1" applyFont="1" applyFill="1" applyBorder="1" applyAlignment="1">
      <alignment vertical="center"/>
    </xf>
    <xf numFmtId="171" fontId="5" fillId="0" borderId="0" xfId="0" applyNumberFormat="1" applyFont="1" applyFill="1" applyBorder="1" applyAlignment="1">
      <alignment horizontal="center" vertical="center"/>
    </xf>
    <xf numFmtId="170" fontId="5" fillId="0" borderId="0" xfId="0" applyNumberFormat="1" applyFont="1" applyFill="1" applyBorder="1" applyAlignment="1">
      <alignment vertical="center"/>
    </xf>
    <xf numFmtId="168" fontId="5" fillId="0" borderId="0" xfId="0" applyNumberFormat="1" applyFont="1" applyFill="1" applyBorder="1" applyAlignment="1">
      <alignment vertical="center"/>
    </xf>
    <xf numFmtId="164" fontId="7" fillId="0" borderId="0" xfId="0" applyNumberFormat="1" applyFont="1" applyFill="1" applyBorder="1" applyAlignment="1">
      <alignment horizontal="right" vertical="center"/>
    </xf>
    <xf numFmtId="0" fontId="8" fillId="0" borderId="0" xfId="0" applyFont="1" applyFill="1" applyBorder="1" applyAlignment="1">
      <alignment vertical="center" wrapText="1"/>
    </xf>
    <xf numFmtId="0" fontId="8" fillId="0" borderId="0" xfId="0" applyFont="1" applyFill="1" applyBorder="1" applyAlignment="1">
      <alignment vertical="center"/>
    </xf>
    <xf numFmtId="0" fontId="3" fillId="0" borderId="8" xfId="0" applyFont="1" applyFill="1" applyBorder="1" applyAlignment="1">
      <alignment horizontal="center" vertical="center"/>
    </xf>
    <xf numFmtId="0" fontId="3" fillId="0" borderId="9" xfId="0" applyFont="1" applyFill="1" applyBorder="1" applyAlignment="1">
      <alignment horizontal="center" vertical="center"/>
    </xf>
    <xf numFmtId="0" fontId="5" fillId="0" borderId="49" xfId="0" applyFont="1" applyFill="1" applyBorder="1" applyAlignment="1">
      <alignment horizontal="center" vertical="center"/>
    </xf>
    <xf numFmtId="0" fontId="5" fillId="0" borderId="43" xfId="0" applyFont="1" applyFill="1" applyBorder="1" applyAlignment="1">
      <alignment horizontal="center" vertical="center"/>
    </xf>
    <xf numFmtId="0" fontId="5" fillId="0" borderId="50" xfId="0" applyFont="1" applyFill="1" applyBorder="1" applyAlignment="1">
      <alignment horizontal="center" vertical="center"/>
    </xf>
    <xf numFmtId="165" fontId="10" fillId="0" borderId="0" xfId="0" applyNumberFormat="1" applyFont="1" applyFill="1" applyBorder="1" applyAlignment="1">
      <alignment horizontal="center" vertical="center"/>
    </xf>
    <xf numFmtId="0" fontId="5" fillId="0" borderId="21" xfId="0" applyFont="1" applyFill="1" applyBorder="1" applyAlignment="1">
      <alignment horizontal="center" vertical="center"/>
    </xf>
    <xf numFmtId="0" fontId="5" fillId="0" borderId="28" xfId="0" applyFont="1" applyFill="1" applyBorder="1" applyAlignment="1">
      <alignment horizontal="center" vertical="center"/>
    </xf>
    <xf numFmtId="0" fontId="5" fillId="0" borderId="5" xfId="0" applyFont="1" applyFill="1" applyBorder="1" applyAlignment="1">
      <alignment horizontal="center" vertical="center"/>
    </xf>
    <xf numFmtId="0" fontId="5" fillId="0" borderId="38" xfId="0" applyFont="1" applyFill="1" applyBorder="1" applyAlignment="1">
      <alignment horizontal="center" vertical="center"/>
    </xf>
    <xf numFmtId="0" fontId="5" fillId="3" borderId="21"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13"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38"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9" xfId="0" applyFont="1" applyFill="1" applyBorder="1" applyAlignment="1">
      <alignment horizontal="center" vertical="center"/>
    </xf>
    <xf numFmtId="0" fontId="5" fillId="3" borderId="49" xfId="0" applyFont="1" applyFill="1" applyBorder="1" applyAlignment="1">
      <alignment horizontal="center" vertical="center"/>
    </xf>
    <xf numFmtId="0" fontId="5" fillId="3" borderId="50" xfId="0" applyFont="1" applyFill="1" applyBorder="1" applyAlignment="1">
      <alignment horizontal="center" vertical="center"/>
    </xf>
    <xf numFmtId="0" fontId="5" fillId="3" borderId="43" xfId="0" applyFont="1" applyFill="1" applyBorder="1" applyAlignment="1">
      <alignment horizontal="center" vertical="center"/>
    </xf>
    <xf numFmtId="2" fontId="5" fillId="3" borderId="5" xfId="0" applyNumberFormat="1" applyFont="1" applyFill="1" applyBorder="1" applyAlignment="1">
      <alignment horizontal="center" vertical="center"/>
    </xf>
    <xf numFmtId="2" fontId="5" fillId="3" borderId="38" xfId="0" applyNumberFormat="1" applyFont="1" applyFill="1" applyBorder="1" applyAlignment="1">
      <alignment horizontal="center" vertical="center"/>
    </xf>
    <xf numFmtId="2" fontId="5" fillId="0" borderId="5" xfId="0" applyNumberFormat="1" applyFont="1" applyFill="1" applyBorder="1" applyAlignment="1">
      <alignment horizontal="center" vertical="center"/>
    </xf>
    <xf numFmtId="2" fontId="5" fillId="0" borderId="38" xfId="0" applyNumberFormat="1" applyFont="1" applyFill="1" applyBorder="1" applyAlignment="1">
      <alignment horizontal="center" vertical="center"/>
    </xf>
    <xf numFmtId="49" fontId="5" fillId="0" borderId="3" xfId="0" applyNumberFormat="1" applyFont="1" applyFill="1" applyBorder="1" applyAlignment="1">
      <alignment horizontal="center" vertical="center"/>
    </xf>
    <xf numFmtId="49" fontId="5" fillId="0" borderId="5" xfId="0" applyNumberFormat="1" applyFont="1" applyFill="1" applyBorder="1" applyAlignment="1">
      <alignment horizontal="center" vertical="center"/>
    </xf>
    <xf numFmtId="49" fontId="5" fillId="0" borderId="38" xfId="0" applyNumberFormat="1" applyFont="1" applyFill="1" applyBorder="1" applyAlignment="1">
      <alignment horizontal="center" vertical="center"/>
    </xf>
    <xf numFmtId="0" fontId="5" fillId="3" borderId="16" xfId="0" applyFont="1" applyFill="1" applyBorder="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5" fillId="0" borderId="3" xfId="0" applyFont="1" applyFill="1" applyBorder="1" applyAlignment="1">
      <alignment horizontal="center" vertical="center"/>
    </xf>
    <xf numFmtId="0" fontId="0" fillId="0" borderId="0" xfId="0" applyAlignment="1">
      <alignment horizontal="left" vertical="center"/>
    </xf>
    <xf numFmtId="49" fontId="5" fillId="0" borderId="0" xfId="0" applyNumberFormat="1" applyFont="1" applyFill="1" applyBorder="1" applyAlignment="1">
      <alignment vertical="center"/>
    </xf>
    <xf numFmtId="172" fontId="5" fillId="0" borderId="0" xfId="0" applyNumberFormat="1" applyFont="1" applyFill="1" applyBorder="1" applyAlignment="1">
      <alignment vertical="center"/>
    </xf>
    <xf numFmtId="0" fontId="5" fillId="3" borderId="3" xfId="0" applyFont="1" applyFill="1" applyBorder="1" applyAlignment="1">
      <alignment horizontal="center" vertical="center"/>
    </xf>
    <xf numFmtId="0" fontId="5" fillId="0" borderId="14" xfId="0" applyFont="1" applyBorder="1" applyAlignment="1">
      <alignment horizontal="center" vertical="center"/>
    </xf>
    <xf numFmtId="0" fontId="5" fillId="0" borderId="2" xfId="0" applyFont="1" applyBorder="1" applyAlignment="1">
      <alignment horizontal="center" vertical="center"/>
    </xf>
    <xf numFmtId="0" fontId="5" fillId="0" borderId="6" xfId="0" applyFont="1" applyBorder="1" applyAlignment="1">
      <alignment horizontal="center" vertical="center"/>
    </xf>
    <xf numFmtId="0" fontId="0" fillId="0" borderId="0" xfId="0" applyAlignment="1">
      <alignment horizontal="center" vertical="center"/>
    </xf>
    <xf numFmtId="0" fontId="5" fillId="0" borderId="2" xfId="0" applyFont="1" applyBorder="1" applyAlignment="1">
      <alignment horizontal="center" vertical="center"/>
    </xf>
    <xf numFmtId="0" fontId="5" fillId="0" borderId="6" xfId="0" applyFont="1" applyBorder="1" applyAlignment="1">
      <alignment horizontal="center" vertical="center"/>
    </xf>
    <xf numFmtId="0" fontId="5" fillId="0" borderId="14" xfId="0" applyFont="1" applyBorder="1" applyAlignment="1">
      <alignment horizontal="center" vertical="center"/>
    </xf>
    <xf numFmtId="0" fontId="5" fillId="0" borderId="16" xfId="0" applyFont="1" applyFill="1" applyBorder="1" applyAlignment="1">
      <alignment horizontal="center" vertical="center"/>
    </xf>
    <xf numFmtId="0" fontId="5" fillId="0" borderId="13" xfId="0" applyFont="1" applyFill="1" applyBorder="1" applyAlignment="1">
      <alignment horizontal="center" vertical="center"/>
    </xf>
    <xf numFmtId="0" fontId="1"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2" fontId="5" fillId="3" borderId="3" xfId="0" applyNumberFormat="1" applyFont="1" applyFill="1" applyBorder="1" applyAlignment="1">
      <alignment horizontal="center" vertical="center"/>
    </xf>
    <xf numFmtId="0" fontId="5" fillId="0" borderId="0" xfId="0" applyFont="1" applyAlignment="1">
      <alignment horizontal="center" vertical="center"/>
    </xf>
    <xf numFmtId="0" fontId="3" fillId="0" borderId="0" xfId="0" applyFont="1" applyAlignment="1">
      <alignment horizontal="center" vertical="center"/>
    </xf>
    <xf numFmtId="2" fontId="5" fillId="0" borderId="3" xfId="0" applyNumberFormat="1" applyFont="1" applyFill="1" applyBorder="1" applyAlignment="1">
      <alignment horizontal="center" vertical="center"/>
    </xf>
    <xf numFmtId="0" fontId="0" fillId="0" borderId="0" xfId="0" applyAlignment="1">
      <alignment horizontal="center" vertical="center"/>
    </xf>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8" fillId="0" borderId="1"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5" xfId="0" applyFont="1" applyBorder="1" applyAlignment="1">
      <alignment horizontal="center" vertical="center" wrapText="1"/>
    </xf>
    <xf numFmtId="0" fontId="8" fillId="0" borderId="16" xfId="0" applyFont="1" applyBorder="1" applyAlignment="1">
      <alignment horizontal="center" vertical="center" wrapText="1"/>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3" fillId="0" borderId="26" xfId="0" applyFont="1" applyBorder="1" applyAlignment="1">
      <alignment horizontal="center" vertical="center"/>
    </xf>
    <xf numFmtId="0" fontId="3" fillId="0" borderId="6" xfId="0" applyFont="1" applyBorder="1" applyAlignment="1">
      <alignment horizontal="center" vertical="center"/>
    </xf>
    <xf numFmtId="0" fontId="5" fillId="0" borderId="61" xfId="0" applyFont="1" applyBorder="1" applyAlignment="1">
      <alignment horizontal="center" vertical="center"/>
    </xf>
    <xf numFmtId="0" fontId="5" fillId="0" borderId="19" xfId="0" applyFont="1" applyBorder="1" applyAlignment="1">
      <alignment horizontal="center" vertical="center"/>
    </xf>
    <xf numFmtId="0" fontId="5" fillId="0" borderId="29" xfId="0" applyFont="1" applyBorder="1" applyAlignment="1">
      <alignment horizontal="left" vertical="center"/>
    </xf>
    <xf numFmtId="0" fontId="5" fillId="0" borderId="30" xfId="0" applyFont="1" applyBorder="1" applyAlignment="1">
      <alignment horizontal="left" vertical="center"/>
    </xf>
    <xf numFmtId="0" fontId="5" fillId="0" borderId="31" xfId="0" applyFont="1" applyBorder="1" applyAlignment="1">
      <alignment horizontal="left" vertical="center"/>
    </xf>
    <xf numFmtId="0" fontId="5" fillId="0" borderId="28" xfId="0" applyFont="1" applyBorder="1" applyAlignment="1">
      <alignment horizontal="center" vertical="center"/>
    </xf>
    <xf numFmtId="0" fontId="5" fillId="0" borderId="31" xfId="0" applyFont="1" applyBorder="1" applyAlignment="1">
      <alignment horizontal="center" vertical="center"/>
    </xf>
    <xf numFmtId="0" fontId="5" fillId="0" borderId="15" xfId="0" applyFont="1" applyBorder="1" applyAlignment="1">
      <alignment horizontal="center" vertical="center"/>
    </xf>
    <xf numFmtId="0" fontId="5" fillId="0" borderId="15" xfId="0" applyFont="1" applyBorder="1" applyAlignment="1">
      <alignment horizontal="left" vertical="center"/>
    </xf>
    <xf numFmtId="0" fontId="5" fillId="0" borderId="16"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3" fillId="0" borderId="27" xfId="0" applyFont="1" applyBorder="1" applyAlignment="1">
      <alignment horizontal="center" vertical="center"/>
    </xf>
    <xf numFmtId="0" fontId="5" fillId="0" borderId="24" xfId="0" applyFont="1" applyBorder="1" applyAlignment="1">
      <alignment horizontal="center" vertical="center"/>
    </xf>
    <xf numFmtId="0" fontId="5" fillId="0" borderId="53" xfId="0" applyFont="1" applyBorder="1" applyAlignment="1">
      <alignment horizontal="center" vertical="center"/>
    </xf>
    <xf numFmtId="0" fontId="5" fillId="0" borderId="23" xfId="0" applyFont="1" applyBorder="1" applyAlignment="1">
      <alignment horizontal="center" vertical="center"/>
    </xf>
    <xf numFmtId="0" fontId="5" fillId="0" borderId="25" xfId="0" applyFont="1" applyBorder="1" applyAlignment="1">
      <alignment horizontal="center" vertical="center"/>
    </xf>
    <xf numFmtId="166" fontId="5" fillId="0" borderId="1" xfId="0" applyNumberFormat="1" applyFont="1" applyBorder="1" applyAlignment="1">
      <alignment horizontal="center" vertical="center"/>
    </xf>
    <xf numFmtId="169" fontId="5" fillId="0" borderId="21" xfId="0" applyNumberFormat="1" applyFont="1" applyBorder="1" applyAlignment="1">
      <alignment horizontal="center" vertical="center"/>
    </xf>
    <xf numFmtId="169" fontId="5" fillId="0" borderId="22" xfId="0" applyNumberFormat="1" applyFont="1" applyBorder="1" applyAlignment="1">
      <alignment horizontal="center" vertical="center"/>
    </xf>
    <xf numFmtId="0" fontId="3" fillId="0" borderId="35" xfId="0" applyFont="1" applyBorder="1" applyAlignment="1">
      <alignment horizontal="left" vertical="center"/>
    </xf>
    <xf numFmtId="0" fontId="3" fillId="0" borderId="41" xfId="0" applyFont="1" applyBorder="1" applyAlignment="1">
      <alignment horizontal="left" vertical="center"/>
    </xf>
    <xf numFmtId="170" fontId="5" fillId="0" borderId="12" xfId="0" applyNumberFormat="1" applyFont="1" applyBorder="1" applyAlignment="1">
      <alignment horizontal="center" vertical="center"/>
    </xf>
    <xf numFmtId="170" fontId="5" fillId="0" borderId="1" xfId="0" applyNumberFormat="1" applyFont="1" applyBorder="1" applyAlignment="1">
      <alignment horizontal="center" vertical="center"/>
    </xf>
    <xf numFmtId="168" fontId="5" fillId="0" borderId="21" xfId="0" applyNumberFormat="1" applyFont="1" applyBorder="1" applyAlignment="1">
      <alignment horizontal="center" vertical="center"/>
    </xf>
    <xf numFmtId="168" fontId="5" fillId="0" borderId="22" xfId="0" applyNumberFormat="1" applyFont="1" applyBorder="1" applyAlignment="1">
      <alignment horizontal="center" vertical="center"/>
    </xf>
    <xf numFmtId="0" fontId="5" fillId="0" borderId="21" xfId="0" applyFont="1" applyBorder="1" applyAlignment="1">
      <alignment horizontal="center" vertical="center"/>
    </xf>
    <xf numFmtId="0" fontId="5" fillId="0" borderId="32" xfId="0" applyFont="1" applyBorder="1" applyAlignment="1">
      <alignment horizontal="center" vertical="center"/>
    </xf>
    <xf numFmtId="0" fontId="5" fillId="0" borderId="2" xfId="0" applyFont="1" applyBorder="1" applyAlignment="1">
      <alignment horizontal="center" vertical="center"/>
    </xf>
    <xf numFmtId="0" fontId="5" fillId="0" borderId="44" xfId="0" applyFont="1" applyBorder="1" applyAlignment="1">
      <alignment horizontal="center" vertical="center"/>
    </xf>
    <xf numFmtId="0" fontId="3" fillId="3" borderId="0" xfId="0" applyFont="1" applyFill="1" applyAlignment="1">
      <alignment horizontal="center" vertical="center" textRotation="90"/>
    </xf>
    <xf numFmtId="0" fontId="5" fillId="0" borderId="10" xfId="0" applyFont="1" applyBorder="1" applyAlignment="1">
      <alignment horizontal="center" vertical="center"/>
    </xf>
    <xf numFmtId="0" fontId="5" fillId="0" borderId="6" xfId="0" applyFont="1" applyBorder="1" applyAlignment="1">
      <alignment horizontal="center" vertical="center"/>
    </xf>
    <xf numFmtId="0" fontId="5" fillId="0" borderId="1" xfId="0" applyFont="1" applyBorder="1" applyAlignment="1">
      <alignment horizontal="center" vertical="center"/>
    </xf>
    <xf numFmtId="0" fontId="5" fillId="0" borderId="13" xfId="0" applyFont="1" applyBorder="1" applyAlignment="1">
      <alignment horizontal="center" vertical="center"/>
    </xf>
    <xf numFmtId="0" fontId="9" fillId="0" borderId="0" xfId="0" applyFont="1" applyFill="1" applyBorder="1" applyAlignment="1">
      <alignment horizontal="center" vertical="center"/>
    </xf>
    <xf numFmtId="0" fontId="3" fillId="3" borderId="0" xfId="0" applyFont="1" applyFill="1" applyAlignment="1">
      <alignment horizontal="center" vertical="center"/>
    </xf>
    <xf numFmtId="0" fontId="5" fillId="3" borderId="46" xfId="0" applyFont="1" applyFill="1" applyBorder="1" applyAlignment="1">
      <alignment horizontal="center" vertical="center"/>
    </xf>
    <xf numFmtId="0" fontId="5" fillId="3" borderId="47" xfId="0" applyFont="1" applyFill="1" applyBorder="1" applyAlignment="1">
      <alignment horizontal="center" vertical="center"/>
    </xf>
    <xf numFmtId="14" fontId="5" fillId="0" borderId="63" xfId="0" applyNumberFormat="1" applyFont="1" applyFill="1" applyBorder="1" applyAlignment="1">
      <alignment horizontal="center" vertical="center"/>
    </xf>
    <xf numFmtId="0" fontId="5" fillId="0" borderId="63"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37" xfId="0" applyFont="1" applyFill="1" applyBorder="1" applyAlignment="1">
      <alignment horizontal="center" vertical="center"/>
    </xf>
    <xf numFmtId="0" fontId="5" fillId="3" borderId="10" xfId="0" applyFont="1" applyFill="1" applyBorder="1" applyAlignment="1">
      <alignment horizontal="left" vertical="center"/>
    </xf>
    <xf numFmtId="0" fontId="5" fillId="3" borderId="6" xfId="0" applyFont="1" applyFill="1" applyBorder="1" applyAlignment="1">
      <alignment horizontal="left" vertical="center"/>
    </xf>
    <xf numFmtId="0" fontId="5" fillId="3" borderId="26" xfId="0" applyFont="1" applyFill="1" applyBorder="1" applyAlignment="1">
      <alignment horizontal="left" vertical="center"/>
    </xf>
    <xf numFmtId="0" fontId="5" fillId="3" borderId="12" xfId="0" applyFont="1" applyFill="1" applyBorder="1" applyAlignment="1">
      <alignment horizontal="left" vertical="center"/>
    </xf>
    <xf numFmtId="0" fontId="5" fillId="3" borderId="1" xfId="0" applyFont="1" applyFill="1" applyBorder="1" applyAlignment="1">
      <alignment horizontal="left" vertical="center"/>
    </xf>
    <xf numFmtId="0" fontId="5" fillId="3" borderId="4" xfId="0" applyFont="1" applyFill="1" applyBorder="1" applyAlignment="1">
      <alignment horizontal="left" vertical="center"/>
    </xf>
    <xf numFmtId="0" fontId="5" fillId="3" borderId="22" xfId="0" applyFont="1" applyFill="1" applyBorder="1" applyAlignment="1">
      <alignment horizontal="left" vertical="center"/>
    </xf>
    <xf numFmtId="0" fontId="3" fillId="3" borderId="39" xfId="0" applyFont="1" applyFill="1" applyBorder="1" applyAlignment="1">
      <alignment horizontal="center" vertical="center"/>
    </xf>
    <xf numFmtId="0" fontId="3" fillId="3" borderId="40" xfId="0" applyFont="1" applyFill="1" applyBorder="1" applyAlignment="1">
      <alignment horizontal="center" vertical="center"/>
    </xf>
    <xf numFmtId="0" fontId="3" fillId="3" borderId="18" xfId="0" applyFont="1" applyFill="1" applyBorder="1" applyAlignment="1">
      <alignment horizontal="center" vertical="center"/>
    </xf>
    <xf numFmtId="0" fontId="3" fillId="3" borderId="9" xfId="0" applyFont="1" applyFill="1" applyBorder="1" applyAlignment="1">
      <alignment horizontal="center" vertical="center"/>
    </xf>
    <xf numFmtId="0" fontId="3" fillId="0" borderId="18"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9" xfId="0" applyFont="1" applyFill="1" applyBorder="1" applyAlignment="1">
      <alignment horizontal="center" vertical="center"/>
    </xf>
    <xf numFmtId="167" fontId="5" fillId="0" borderId="51" xfId="0" applyNumberFormat="1" applyFont="1" applyFill="1" applyBorder="1" applyAlignment="1">
      <alignment horizontal="center" vertical="center"/>
    </xf>
    <xf numFmtId="167" fontId="5" fillId="0" borderId="2" xfId="0" applyNumberFormat="1" applyFont="1" applyFill="1" applyBorder="1" applyAlignment="1">
      <alignment horizontal="center" vertical="center"/>
    </xf>
    <xf numFmtId="14" fontId="5" fillId="0" borderId="26" xfId="0" applyNumberFormat="1" applyFont="1" applyFill="1" applyBorder="1" applyAlignment="1">
      <alignment horizontal="center" vertical="center"/>
    </xf>
    <xf numFmtId="0" fontId="5" fillId="0" borderId="6" xfId="0" applyFont="1" applyFill="1" applyBorder="1" applyAlignment="1">
      <alignment horizontal="center" vertical="center"/>
    </xf>
    <xf numFmtId="0" fontId="5" fillId="0" borderId="11" xfId="0" applyFont="1" applyFill="1" applyBorder="1" applyAlignment="1">
      <alignment horizontal="center" vertical="center"/>
    </xf>
    <xf numFmtId="167" fontId="5" fillId="0" borderId="12" xfId="0" applyNumberFormat="1" applyFont="1" applyFill="1" applyBorder="1" applyAlignment="1">
      <alignment horizontal="center" vertical="center"/>
    </xf>
    <xf numFmtId="167" fontId="5" fillId="0" borderId="1" xfId="0" applyNumberFormat="1" applyFont="1" applyFill="1" applyBorder="1" applyAlignment="1">
      <alignment horizontal="center" vertical="center"/>
    </xf>
    <xf numFmtId="14" fontId="5" fillId="0" borderId="22" xfId="0" applyNumberFormat="1" applyFont="1" applyFill="1" applyBorder="1" applyAlignment="1">
      <alignment horizontal="center" vertical="center"/>
    </xf>
    <xf numFmtId="0" fontId="5" fillId="0" borderId="1" xfId="0" applyFont="1" applyFill="1" applyBorder="1" applyAlignment="1">
      <alignment horizontal="center" vertical="center"/>
    </xf>
    <xf numFmtId="0" fontId="5" fillId="0" borderId="13" xfId="0" applyFont="1" applyFill="1" applyBorder="1" applyAlignment="1">
      <alignment horizontal="center" vertical="center"/>
    </xf>
    <xf numFmtId="0" fontId="3" fillId="0" borderId="7" xfId="0" applyFont="1" applyFill="1" applyBorder="1" applyAlignment="1">
      <alignment horizontal="center" vertical="center"/>
    </xf>
    <xf numFmtId="167" fontId="5" fillId="0" borderId="14" xfId="0" applyNumberFormat="1" applyFont="1" applyFill="1" applyBorder="1" applyAlignment="1">
      <alignment horizontal="center" vertical="center"/>
    </xf>
    <xf numFmtId="167" fontId="5" fillId="0" borderId="15" xfId="0" applyNumberFormat="1" applyFont="1" applyFill="1" applyBorder="1" applyAlignment="1">
      <alignment horizontal="center" vertical="center"/>
    </xf>
    <xf numFmtId="0" fontId="5" fillId="0" borderId="10" xfId="0" applyFont="1" applyFill="1" applyBorder="1" applyAlignment="1">
      <alignment horizontal="left" vertical="center"/>
    </xf>
    <xf numFmtId="0" fontId="5" fillId="0" borderId="6" xfId="0" applyFont="1" applyFill="1" applyBorder="1" applyAlignment="1">
      <alignment horizontal="left" vertical="center"/>
    </xf>
    <xf numFmtId="0" fontId="5" fillId="0" borderId="26" xfId="0" applyFont="1" applyFill="1" applyBorder="1" applyAlignment="1">
      <alignment horizontal="left" vertical="center"/>
    </xf>
    <xf numFmtId="0" fontId="5" fillId="0" borderId="12" xfId="0" applyFont="1" applyFill="1" applyBorder="1" applyAlignment="1">
      <alignment horizontal="left" vertical="center"/>
    </xf>
    <xf numFmtId="0" fontId="5" fillId="0" borderId="1" xfId="0" applyFont="1" applyFill="1" applyBorder="1" applyAlignment="1">
      <alignment horizontal="left" vertical="center"/>
    </xf>
    <xf numFmtId="0" fontId="5" fillId="0" borderId="4" xfId="0" applyFont="1" applyFill="1" applyBorder="1" applyAlignment="1">
      <alignment horizontal="left" vertical="center"/>
    </xf>
    <xf numFmtId="0" fontId="5" fillId="0" borderId="22" xfId="0" applyFont="1" applyFill="1" applyBorder="1" applyAlignment="1">
      <alignment horizontal="left" vertical="center"/>
    </xf>
    <xf numFmtId="0" fontId="5" fillId="3" borderId="12" xfId="0" applyFont="1" applyFill="1" applyBorder="1" applyAlignment="1">
      <alignment horizontal="center" vertical="center"/>
    </xf>
    <xf numFmtId="0" fontId="5" fillId="3" borderId="1" xfId="0" applyFont="1" applyFill="1" applyBorder="1" applyAlignment="1">
      <alignment horizontal="center" vertical="center"/>
    </xf>
    <xf numFmtId="49" fontId="5" fillId="3" borderId="1" xfId="0" applyNumberFormat="1" applyFont="1" applyFill="1" applyBorder="1" applyAlignment="1">
      <alignment horizontal="center" vertical="center"/>
    </xf>
    <xf numFmtId="49" fontId="5" fillId="3" borderId="13" xfId="0" applyNumberFormat="1" applyFont="1" applyFill="1" applyBorder="1" applyAlignment="1">
      <alignment horizontal="center" vertical="center"/>
    </xf>
    <xf numFmtId="0" fontId="5" fillId="3" borderId="22" xfId="0" applyFont="1" applyFill="1" applyBorder="1" applyAlignment="1">
      <alignment horizontal="center" vertical="center"/>
    </xf>
    <xf numFmtId="172" fontId="5" fillId="3" borderId="1" xfId="0" applyNumberFormat="1" applyFont="1" applyFill="1" applyBorder="1" applyAlignment="1">
      <alignment horizontal="center" vertical="center"/>
    </xf>
    <xf numFmtId="172" fontId="5" fillId="3" borderId="13" xfId="0" applyNumberFormat="1" applyFont="1" applyFill="1" applyBorder="1" applyAlignment="1">
      <alignment horizontal="center" vertical="center"/>
    </xf>
    <xf numFmtId="0" fontId="5" fillId="0" borderId="14" xfId="0" applyFont="1" applyFill="1" applyBorder="1" applyAlignment="1">
      <alignment horizontal="center" vertical="center"/>
    </xf>
    <xf numFmtId="0" fontId="5" fillId="0" borderId="15" xfId="0" applyFont="1" applyFill="1" applyBorder="1" applyAlignment="1">
      <alignment horizontal="center" vertical="center"/>
    </xf>
    <xf numFmtId="49" fontId="5" fillId="0" borderId="15" xfId="0" applyNumberFormat="1" applyFont="1" applyFill="1" applyBorder="1" applyAlignment="1">
      <alignment horizontal="center" vertical="center"/>
    </xf>
    <xf numFmtId="49" fontId="5" fillId="0" borderId="16" xfId="0" applyNumberFormat="1" applyFont="1" applyFill="1" applyBorder="1" applyAlignment="1">
      <alignment horizontal="center" vertical="center"/>
    </xf>
    <xf numFmtId="0" fontId="5" fillId="0" borderId="31" xfId="0" applyFont="1" applyFill="1" applyBorder="1" applyAlignment="1">
      <alignment horizontal="center" vertical="center"/>
    </xf>
    <xf numFmtId="0" fontId="3" fillId="0" borderId="37" xfId="0" applyFont="1" applyFill="1" applyBorder="1" applyAlignment="1">
      <alignment horizontal="center" vertical="center"/>
    </xf>
    <xf numFmtId="0" fontId="3" fillId="0" borderId="39" xfId="0" applyFont="1" applyFill="1" applyBorder="1" applyAlignment="1">
      <alignment horizontal="center" vertical="center"/>
    </xf>
    <xf numFmtId="0" fontId="3" fillId="0" borderId="40" xfId="0" applyFont="1" applyFill="1" applyBorder="1" applyAlignment="1">
      <alignment horizontal="center" vertical="center"/>
    </xf>
    <xf numFmtId="49" fontId="5" fillId="0" borderId="6" xfId="0" applyNumberFormat="1" applyFont="1" applyFill="1" applyBorder="1" applyAlignment="1">
      <alignment horizontal="center" vertical="center"/>
    </xf>
    <xf numFmtId="49" fontId="5" fillId="0" borderId="11" xfId="0" applyNumberFormat="1" applyFont="1" applyFill="1" applyBorder="1" applyAlignment="1">
      <alignment horizontal="center" vertical="center"/>
    </xf>
    <xf numFmtId="0" fontId="5" fillId="0" borderId="26" xfId="0" applyFont="1" applyFill="1" applyBorder="1" applyAlignment="1">
      <alignment horizontal="center" vertical="center"/>
    </xf>
    <xf numFmtId="172" fontId="5" fillId="0" borderId="6" xfId="0" applyNumberFormat="1" applyFont="1" applyFill="1" applyBorder="1" applyAlignment="1">
      <alignment horizontal="center" vertical="center"/>
    </xf>
    <xf numFmtId="172" fontId="5" fillId="0" borderId="11" xfId="0" applyNumberFormat="1" applyFont="1" applyFill="1" applyBorder="1" applyAlignment="1">
      <alignment horizontal="center" vertical="center"/>
    </xf>
    <xf numFmtId="0" fontId="5" fillId="0" borderId="12" xfId="0" applyFont="1" applyFill="1" applyBorder="1" applyAlignment="1">
      <alignment horizontal="center" vertical="center"/>
    </xf>
    <xf numFmtId="49" fontId="5" fillId="0" borderId="1" xfId="0" applyNumberFormat="1" applyFont="1" applyFill="1" applyBorder="1" applyAlignment="1">
      <alignment horizontal="center" vertical="center"/>
    </xf>
    <xf numFmtId="49" fontId="5" fillId="0" borderId="13" xfId="0" applyNumberFormat="1" applyFont="1" applyFill="1" applyBorder="1" applyAlignment="1">
      <alignment horizontal="center" vertical="center"/>
    </xf>
    <xf numFmtId="172" fontId="5" fillId="0" borderId="1" xfId="0" applyNumberFormat="1" applyFont="1" applyFill="1" applyBorder="1" applyAlignment="1">
      <alignment horizontal="center" vertical="center"/>
    </xf>
    <xf numFmtId="172" fontId="5" fillId="0" borderId="13" xfId="0" applyNumberFormat="1" applyFont="1" applyFill="1" applyBorder="1" applyAlignment="1">
      <alignment horizontal="center" vertical="center"/>
    </xf>
    <xf numFmtId="0" fontId="9" fillId="0" borderId="33" xfId="0" applyFont="1" applyFill="1" applyBorder="1" applyAlignment="1">
      <alignment horizontal="center" vertical="center"/>
    </xf>
    <xf numFmtId="0" fontId="9" fillId="0" borderId="34" xfId="0" applyFont="1" applyFill="1" applyBorder="1" applyAlignment="1">
      <alignment horizontal="center" vertical="center"/>
    </xf>
    <xf numFmtId="0" fontId="5" fillId="0" borderId="62" xfId="0" applyFont="1" applyFill="1" applyBorder="1" applyAlignment="1">
      <alignment horizontal="left" vertical="center"/>
    </xf>
    <xf numFmtId="0" fontId="5" fillId="0" borderId="15" xfId="0" applyFont="1" applyFill="1" applyBorder="1" applyAlignment="1">
      <alignment horizontal="left" vertical="center"/>
    </xf>
    <xf numFmtId="0" fontId="5" fillId="0" borderId="31" xfId="0" applyFont="1" applyFill="1" applyBorder="1" applyAlignment="1">
      <alignment horizontal="left" vertical="center"/>
    </xf>
    <xf numFmtId="0" fontId="5" fillId="0" borderId="10" xfId="0" applyFont="1" applyFill="1" applyBorder="1" applyAlignment="1">
      <alignment horizontal="center" vertical="center"/>
    </xf>
    <xf numFmtId="0" fontId="5" fillId="0" borderId="16" xfId="0" applyFont="1" applyFill="1" applyBorder="1" applyAlignment="1">
      <alignment horizontal="center" vertical="center"/>
    </xf>
    <xf numFmtId="0" fontId="5" fillId="3" borderId="10" xfId="0" applyFont="1" applyFill="1" applyBorder="1" applyAlignment="1">
      <alignment horizontal="center" vertical="center"/>
    </xf>
    <xf numFmtId="0" fontId="5" fillId="3" borderId="6" xfId="0" applyFont="1" applyFill="1" applyBorder="1" applyAlignment="1">
      <alignment horizontal="center" vertical="center"/>
    </xf>
    <xf numFmtId="0" fontId="5" fillId="3" borderId="11"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14" xfId="0" applyFont="1" applyFill="1" applyBorder="1" applyAlignment="1">
      <alignment horizontal="left" vertical="center"/>
    </xf>
    <xf numFmtId="0" fontId="5" fillId="3" borderId="15" xfId="0" applyFont="1" applyFill="1" applyBorder="1" applyAlignment="1">
      <alignment horizontal="left" vertical="center"/>
    </xf>
    <xf numFmtId="0" fontId="5" fillId="3" borderId="62" xfId="0" applyFont="1" applyFill="1" applyBorder="1" applyAlignment="1">
      <alignment horizontal="left" vertical="center"/>
    </xf>
    <xf numFmtId="0" fontId="5" fillId="3" borderId="31" xfId="0" applyFont="1" applyFill="1" applyBorder="1" applyAlignment="1">
      <alignment horizontal="left" vertical="center"/>
    </xf>
    <xf numFmtId="0" fontId="5" fillId="0" borderId="14" xfId="0" applyFont="1" applyFill="1" applyBorder="1" applyAlignment="1">
      <alignment horizontal="left" vertical="center"/>
    </xf>
    <xf numFmtId="14" fontId="5" fillId="0" borderId="31" xfId="0" applyNumberFormat="1" applyFont="1" applyFill="1" applyBorder="1" applyAlignment="1">
      <alignment horizontal="center" vertical="center"/>
    </xf>
    <xf numFmtId="172" fontId="5" fillId="0" borderId="15" xfId="0" applyNumberFormat="1" applyFont="1" applyFill="1" applyBorder="1" applyAlignment="1">
      <alignment horizontal="center" vertical="center"/>
    </xf>
    <xf numFmtId="172" fontId="5" fillId="0" borderId="16" xfId="0" applyNumberFormat="1" applyFont="1" applyFill="1" applyBorder="1" applyAlignment="1">
      <alignment horizontal="center" vertical="center"/>
    </xf>
    <xf numFmtId="0" fontId="5" fillId="0" borderId="42" xfId="0" applyFont="1" applyFill="1" applyBorder="1" applyAlignment="1">
      <alignment horizontal="center" vertical="center"/>
    </xf>
    <xf numFmtId="0" fontId="5" fillId="0" borderId="53" xfId="0" applyFont="1" applyFill="1" applyBorder="1" applyAlignment="1">
      <alignment horizontal="center" vertical="center"/>
    </xf>
    <xf numFmtId="0" fontId="3" fillId="0" borderId="0" xfId="0" applyFont="1" applyFill="1" applyBorder="1" applyAlignment="1">
      <alignment horizontal="center" vertical="center"/>
    </xf>
    <xf numFmtId="0" fontId="5" fillId="0" borderId="48" xfId="0" applyFont="1" applyFill="1" applyBorder="1" applyAlignment="1">
      <alignment horizontal="center" vertical="center"/>
    </xf>
    <xf numFmtId="0" fontId="5" fillId="0" borderId="49" xfId="0" applyFont="1" applyFill="1" applyBorder="1" applyAlignment="1">
      <alignment horizontal="center" vertical="center"/>
    </xf>
    <xf numFmtId="0" fontId="5" fillId="3" borderId="48" xfId="0" applyFont="1" applyFill="1" applyBorder="1" applyAlignment="1">
      <alignment horizontal="center" vertical="center"/>
    </xf>
    <xf numFmtId="0" fontId="5" fillId="3" borderId="49" xfId="0" applyFont="1" applyFill="1" applyBorder="1" applyAlignment="1">
      <alignment horizontal="center" vertical="center"/>
    </xf>
    <xf numFmtId="0" fontId="3" fillId="0" borderId="45" xfId="0" applyFont="1" applyFill="1" applyBorder="1" applyAlignment="1">
      <alignment horizontal="center" vertical="center"/>
    </xf>
    <xf numFmtId="0" fontId="3" fillId="0" borderId="46" xfId="0" applyFont="1" applyFill="1" applyBorder="1" applyAlignment="1">
      <alignment horizontal="center" vertical="center"/>
    </xf>
    <xf numFmtId="0" fontId="5" fillId="0" borderId="46" xfId="0" applyFont="1" applyFill="1" applyBorder="1" applyAlignment="1">
      <alignment horizontal="center" vertical="center"/>
    </xf>
    <xf numFmtId="0" fontId="5" fillId="0" borderId="47" xfId="0" applyFont="1" applyFill="1" applyBorder="1" applyAlignment="1">
      <alignment horizontal="center" vertical="center"/>
    </xf>
    <xf numFmtId="0" fontId="3" fillId="3" borderId="45" xfId="0" applyFont="1" applyFill="1" applyBorder="1" applyAlignment="1">
      <alignment horizontal="center" vertical="center"/>
    </xf>
    <xf numFmtId="0" fontId="3" fillId="3" borderId="46" xfId="0" applyFont="1" applyFill="1" applyBorder="1" applyAlignment="1">
      <alignment horizontal="center" vertical="center"/>
    </xf>
    <xf numFmtId="0" fontId="5" fillId="0" borderId="22" xfId="0" applyFont="1" applyFill="1" applyBorder="1" applyAlignment="1">
      <alignment horizontal="center" vertical="center"/>
    </xf>
    <xf numFmtId="0" fontId="0" fillId="0" borderId="0" xfId="0" applyAlignment="1">
      <alignment horizontal="center" vertical="center"/>
    </xf>
    <xf numFmtId="0" fontId="0"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horizontal="left" vertical="center"/>
    </xf>
    <xf numFmtId="165" fontId="0" fillId="0" borderId="0" xfId="0" applyNumberFormat="1" applyAlignment="1">
      <alignment vertical="center"/>
    </xf>
  </cellXfs>
  <cellStyles count="1">
    <cellStyle name="Normální" xfId="0" builtinId="0"/>
  </cellStyles>
  <dxfs count="182">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s>
  <tableStyles count="0" defaultTableStyle="TableStyleMedium2" defaultPivotStyle="PivotStyleLight16"/>
  <colors>
    <mruColors>
      <color rgb="FF0000FF"/>
      <color rgb="FF00CCFF"/>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queryTables/queryTable1.xml><?xml version="1.0" encoding="utf-8"?>
<queryTable xmlns="http://schemas.openxmlformats.org/spreadsheetml/2006/main" name="tabulka" refreshOnLoad="1" growShrinkType="overwriteClear" adjustColumnWidth="0" connectionId="25" autoFormatId="16" applyNumberFormats="0" applyBorderFormats="0" applyFontFormats="0" applyPatternFormats="0" applyAlignmentFormats="0" applyWidthHeightFormats="0"/>
</file>

<file path=xl/queryTables/queryTable10.xml><?xml version="1.0" encoding="utf-8"?>
<queryTable xmlns="http://schemas.openxmlformats.org/spreadsheetml/2006/main" name="chodov" growShrinkType="overwriteClear" adjustColumnWidth="0" connectionId="9" autoFormatId="16" applyNumberFormats="0" applyBorderFormats="0" applyFontFormats="0" applyPatternFormats="0" applyAlignmentFormats="0" applyWidthHeightFormats="0"/>
</file>

<file path=xl/queryTables/queryTable11.xml><?xml version="1.0" encoding="utf-8"?>
<queryTable xmlns="http://schemas.openxmlformats.org/spreadsheetml/2006/main" name="chodov_goalies" refreshOnLoad="1" growShrinkType="overwriteClear" adjustColumnWidth="0" connectionId="12" autoFormatId="16" applyNumberFormats="0" applyBorderFormats="0" applyFontFormats="0" applyPatternFormats="0" applyAlignmentFormats="0" applyWidthHeightFormats="0"/>
</file>

<file path=xl/queryTables/queryTable12.xml><?xml version="1.0" encoding="utf-8"?>
<queryTable xmlns="http://schemas.openxmlformats.org/spreadsheetml/2006/main" name="chodov_asistence" refreshOnLoad="1" growShrinkType="overwriteClear" adjustColumnWidth="0" connectionId="10" autoFormatId="16" applyNumberFormats="0" applyBorderFormats="0" applyFontFormats="0" applyPatternFormats="0" applyAlignmentFormats="0" applyWidthHeightFormats="0"/>
</file>

<file path=xl/queryTables/queryTable13.xml><?xml version="1.0" encoding="utf-8"?>
<queryTable xmlns="http://schemas.openxmlformats.org/spreadsheetml/2006/main" name="chodov_tm" refreshOnLoad="1" growShrinkType="overwriteClear" adjustColumnWidth="0" connectionId="15" autoFormatId="16" applyNumberFormats="0" applyBorderFormats="0" applyFontFormats="0" applyPatternFormats="0" applyAlignmentFormats="0" applyWidthHeightFormats="0"/>
</file>

<file path=xl/queryTables/queryTable14.xml><?xml version="1.0" encoding="utf-8"?>
<queryTable xmlns="http://schemas.openxmlformats.org/spreadsheetml/2006/main" name="chodov_prumer" refreshOnLoad="1" growShrinkType="overwriteClear" adjustColumnWidth="0" connectionId="14" autoFormatId="16" applyNumberFormats="0" applyBorderFormats="0" applyFontFormats="0" applyPatternFormats="0" applyAlignmentFormats="0" applyWidthHeightFormats="0"/>
</file>

<file path=xl/queryTables/queryTable15.xml><?xml version="1.0" encoding="utf-8"?>
<queryTable xmlns="http://schemas.openxmlformats.org/spreadsheetml/2006/main" name="chodov_goly" refreshOnLoad="1" growShrinkType="overwriteClear" adjustColumnWidth="0" connectionId="13" autoFormatId="16" applyNumberFormats="0" applyBorderFormats="0" applyFontFormats="0" applyPatternFormats="0" applyAlignmentFormats="0" applyWidthHeightFormats="0"/>
</file>

<file path=xl/queryTables/queryTable16.xml><?xml version="1.0" encoding="utf-8"?>
<queryTable xmlns="http://schemas.openxmlformats.org/spreadsheetml/2006/main" name="chodov_vyhry" refreshOnLoad="1" growShrinkType="overwriteClear" adjustColumnWidth="0" connectionId="16" autoFormatId="16" applyNumberFormats="0" applyBorderFormats="0" applyFontFormats="0" applyPatternFormats="0" applyAlignmentFormats="0" applyWidthHeightFormats="0"/>
</file>

<file path=xl/queryTables/queryTable17.xml><?xml version="1.0" encoding="utf-8"?>
<queryTable xmlns="http://schemas.openxmlformats.org/spreadsheetml/2006/main" name="chodov_body" refreshOnLoad="1" growShrinkType="overwriteClear" adjustColumnWidth="0" connectionId="11" autoFormatId="16" applyNumberFormats="0" applyBorderFormats="0" applyFontFormats="0" applyPatternFormats="0" applyAlignmentFormats="0" applyWidthHeightFormats="0"/>
</file>

<file path=xl/queryTables/queryTable18.xml><?xml version="1.0" encoding="utf-8"?>
<queryTable xmlns="http://schemas.openxmlformats.org/spreadsheetml/2006/main" name="vitkovice_goalies" refreshOnLoad="1" growShrinkType="overwriteClear" adjustColumnWidth="0" connectionId="28" autoFormatId="16" applyNumberFormats="0" applyBorderFormats="0" applyFontFormats="0" applyPatternFormats="0" applyAlignmentFormats="0" applyWidthHeightFormats="0"/>
</file>

<file path=xl/queryTables/queryTable19.xml><?xml version="1.0" encoding="utf-8"?>
<queryTable xmlns="http://schemas.openxmlformats.org/spreadsheetml/2006/main" name="vitkovice_players" refreshOnLoad="1" growShrinkType="overwriteClear" adjustColumnWidth="0" connectionId="30"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skv_goalies" refreshOnLoad="1" growShrinkType="overwriteClear" adjustColumnWidth="0" connectionId="20" autoFormatId="16" applyNumberFormats="0" applyBorderFormats="0" applyFontFormats="0" applyPatternFormats="0" applyAlignmentFormats="0" applyWidthHeightFormats="0"/>
</file>

<file path=xl/queryTables/queryTable20.xml><?xml version="1.0" encoding="utf-8"?>
<queryTable xmlns="http://schemas.openxmlformats.org/spreadsheetml/2006/main" name="vitkovice_prumer" refreshOnLoad="1" growShrinkType="overwriteClear" adjustColumnWidth="0" connectionId="31" autoFormatId="16" applyNumberFormats="0" applyBorderFormats="0" applyFontFormats="0" applyPatternFormats="0" applyAlignmentFormats="0" applyWidthHeightFormats="0"/>
</file>

<file path=xl/queryTables/queryTable21.xml><?xml version="1.0" encoding="utf-8"?>
<queryTable xmlns="http://schemas.openxmlformats.org/spreadsheetml/2006/main" name="vitkovice_tm" refreshOnLoad="1" growShrinkType="overwriteClear" adjustColumnWidth="0" connectionId="32" autoFormatId="16" applyNumberFormats="0" applyBorderFormats="0" applyFontFormats="0" applyPatternFormats="0" applyAlignmentFormats="0" applyWidthHeightFormats="0"/>
</file>

<file path=xl/queryTables/queryTable22.xml><?xml version="1.0" encoding="utf-8"?>
<queryTable xmlns="http://schemas.openxmlformats.org/spreadsheetml/2006/main" name="vitkovice_asistence" refreshOnLoad="1" growShrinkType="overwriteClear" adjustColumnWidth="0" connectionId="26" autoFormatId="16" applyNumberFormats="0" applyBorderFormats="0" applyFontFormats="0" applyPatternFormats="0" applyAlignmentFormats="0" applyWidthHeightFormats="0"/>
</file>

<file path=xl/queryTables/queryTable23.xml><?xml version="1.0" encoding="utf-8"?>
<queryTable xmlns="http://schemas.openxmlformats.org/spreadsheetml/2006/main" name="vitkovice_goly" refreshOnLoad="1" growShrinkType="overwriteClear" adjustColumnWidth="0" connectionId="29" autoFormatId="16" applyNumberFormats="0" applyBorderFormats="0" applyFontFormats="0" applyPatternFormats="0" applyAlignmentFormats="0" applyWidthHeightFormats="0"/>
</file>

<file path=xl/queryTables/queryTable24.xml><?xml version="1.0" encoding="utf-8"?>
<queryTable xmlns="http://schemas.openxmlformats.org/spreadsheetml/2006/main" name="vitkovice_vyhry" refreshOnLoad="1" growShrinkType="overwriteClear" adjustColumnWidth="0" connectionId="33" autoFormatId="16" applyNumberFormats="0" applyBorderFormats="0" applyFontFormats="0" applyPatternFormats="0" applyAlignmentFormats="0" applyWidthHeightFormats="0"/>
</file>

<file path=xl/queryTables/queryTable25.xml><?xml version="1.0" encoding="utf-8"?>
<queryTable xmlns="http://schemas.openxmlformats.org/spreadsheetml/2006/main" name="vitkovice_body" refreshOnLoad="1" growShrinkType="overwriteClear" adjustColumnWidth="0" connectionId="27" autoFormatId="16" applyNumberFormats="0" applyBorderFormats="0" applyFontFormats="0" applyPatternFormats="0" applyAlignmentFormats="0" applyWidthHeightFormats="0"/>
</file>

<file path=xl/queryTables/queryTable26.xml><?xml version="1.0" encoding="utf-8"?>
<queryTable xmlns="http://schemas.openxmlformats.org/spreadsheetml/2006/main" name="boleslav_goalies" refreshOnLoad="1" growShrinkType="overwriteClear" adjustColumnWidth="0" connectionId="3" autoFormatId="16" applyNumberFormats="0" applyBorderFormats="0" applyFontFormats="0" applyPatternFormats="0" applyAlignmentFormats="0" applyWidthHeightFormats="0"/>
</file>

<file path=xl/queryTables/queryTable27.xml><?xml version="1.0" encoding="utf-8"?>
<queryTable xmlns="http://schemas.openxmlformats.org/spreadsheetml/2006/main" name="boleslav_players" refreshOnLoad="1" growShrinkType="overwriteClear" adjustColumnWidth="0" connectionId="5" autoFormatId="16" applyNumberFormats="0" applyBorderFormats="0" applyFontFormats="0" applyPatternFormats="0" applyAlignmentFormats="0" applyWidthHeightFormats="0"/>
</file>

<file path=xl/queryTables/queryTable28.xml><?xml version="1.0" encoding="utf-8"?>
<queryTable xmlns="http://schemas.openxmlformats.org/spreadsheetml/2006/main" name="boleslav_vyhry" refreshOnLoad="1" growShrinkType="overwriteClear" adjustColumnWidth="0" connectionId="8" autoFormatId="16" applyNumberFormats="0" applyBorderFormats="0" applyFontFormats="0" applyPatternFormats="0" applyAlignmentFormats="0" applyWidthHeightFormats="0"/>
</file>

<file path=xl/queryTables/queryTable29.xml><?xml version="1.0" encoding="utf-8"?>
<queryTable xmlns="http://schemas.openxmlformats.org/spreadsheetml/2006/main" name="boleslav_prumer" refreshOnLoad="1" growShrinkType="overwriteClear" adjustColumnWidth="0" connectionId="6"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kv_1" growShrinkType="overwriteClear" adjustColumnWidth="0" connectionId="17" autoFormatId="16" applyNumberFormats="0" applyBorderFormats="0" applyFontFormats="0" applyPatternFormats="0" applyAlignmentFormats="0" applyWidthHeightFormats="0"/>
</file>

<file path=xl/queryTables/queryTable30.xml><?xml version="1.0" encoding="utf-8"?>
<queryTable xmlns="http://schemas.openxmlformats.org/spreadsheetml/2006/main" name="boleslav_tm" refreshOnLoad="1" growShrinkType="overwriteClear" adjustColumnWidth="0" connectionId="7" autoFormatId="16" applyNumberFormats="0" applyBorderFormats="0" applyFontFormats="0" applyPatternFormats="0" applyAlignmentFormats="0" applyWidthHeightFormats="0"/>
</file>

<file path=xl/queryTables/queryTable31.xml><?xml version="1.0" encoding="utf-8"?>
<queryTable xmlns="http://schemas.openxmlformats.org/spreadsheetml/2006/main" name="boleslav_asistence" refreshOnLoad="1" growShrinkType="overwriteClear" adjustColumnWidth="0" connectionId="1" autoFormatId="16" applyNumberFormats="0" applyBorderFormats="0" applyFontFormats="0" applyPatternFormats="0" applyAlignmentFormats="0" applyWidthHeightFormats="0"/>
</file>

<file path=xl/queryTables/queryTable32.xml><?xml version="1.0" encoding="utf-8"?>
<queryTable xmlns="http://schemas.openxmlformats.org/spreadsheetml/2006/main" name="boleslav_goly" refreshOnLoad="1" growShrinkType="overwriteClear" adjustColumnWidth="0" connectionId="4" autoFormatId="16" applyNumberFormats="0" applyBorderFormats="0" applyFontFormats="0" applyPatternFormats="0" applyAlignmentFormats="0" applyWidthHeightFormats="0"/>
</file>

<file path=xl/queryTables/queryTable33.xml><?xml version="1.0" encoding="utf-8"?>
<queryTable xmlns="http://schemas.openxmlformats.org/spreadsheetml/2006/main" name="boleslav_body_1" refreshOnLoad="1" growShrinkType="overwriteClear" adjustColumnWidth="0" connectionId="2"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skv_vyhry" refreshOnLoad="1" growShrinkType="overwriteClear" adjustColumnWidth="0" connectionId="2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skv_prumer" refreshOnLoad="1" growShrinkType="overwriteClear" adjustColumnWidth="0" connectionId="22"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skv_tm" refreshOnLoad="1" growShrinkType="overwriteClear" adjustColumnWidth="0" connectionId="23" autoFormatId="16" applyNumberFormats="0" applyBorderFormats="0" applyFontFormats="0" applyPatternFormats="0" applyAlignmentFormats="0" applyWidthHeightFormats="0"/>
</file>

<file path=xl/queryTables/queryTable7.xml><?xml version="1.0" encoding="utf-8"?>
<queryTable xmlns="http://schemas.openxmlformats.org/spreadsheetml/2006/main" name="skv_body_1" refreshOnLoad="1" growShrinkType="overwriteClear" adjustColumnWidth="0" connectionId="19" autoFormatId="16" applyNumberFormats="0" applyBorderFormats="0" applyFontFormats="0" applyPatternFormats="0" applyAlignmentFormats="0" applyWidthHeightFormats="0"/>
</file>

<file path=xl/queryTables/queryTable8.xml><?xml version="1.0" encoding="utf-8"?>
<queryTable xmlns="http://schemas.openxmlformats.org/spreadsheetml/2006/main" name="skv_asistence" refreshOnLoad="1" growShrinkType="overwriteClear" adjustColumnWidth="0" connectionId="18" autoFormatId="16" applyNumberFormats="0" applyBorderFormats="0" applyFontFormats="0" applyPatternFormats="0" applyAlignmentFormats="0" applyWidthHeightFormats="0"/>
</file>

<file path=xl/queryTables/queryTable9.xml><?xml version="1.0" encoding="utf-8"?>
<queryTable xmlns="http://schemas.openxmlformats.org/spreadsheetml/2006/main" name="skv_goly" refreshOnLoad="1" growShrinkType="overwriteClear" adjustColumnWidth="0" connectionId="21" autoFormatId="16" applyNumberFormats="0" applyBorderFormats="0" applyFontFormats="0" applyPatternFormats="0" applyAlignmentFormats="0" applyWidthHeightFormats="0"/>
</file>

<file path=xl/theme/theme1.xml><?xml version="1.0" encoding="utf-8"?>
<a:theme xmlns:a="http://schemas.openxmlformats.org/drawingml/2006/main" name="Motiv Office">
  <a:themeElements>
    <a:clrScheme name="Kancelář">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celář">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celář">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queryTable" Target="../queryTables/queryTable30.xml"/><Relationship Id="rId2" Type="http://schemas.openxmlformats.org/officeDocument/2006/relationships/queryTable" Target="../queryTables/queryTable29.xml"/><Relationship Id="rId1" Type="http://schemas.openxmlformats.org/officeDocument/2006/relationships/queryTable" Target="../queryTables/queryTable28.xml"/><Relationship Id="rId6" Type="http://schemas.openxmlformats.org/officeDocument/2006/relationships/queryTable" Target="../queryTables/queryTable33.xml"/><Relationship Id="rId5" Type="http://schemas.openxmlformats.org/officeDocument/2006/relationships/queryTable" Target="../queryTables/queryTable32.xml"/><Relationship Id="rId4" Type="http://schemas.openxmlformats.org/officeDocument/2006/relationships/queryTable" Target="../queryTables/queryTable31.xml"/></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queryTable" Target="../queryTables/queryTable4.xml"/><Relationship Id="rId6" Type="http://schemas.openxmlformats.org/officeDocument/2006/relationships/queryTable" Target="../queryTables/queryTable9.xml"/><Relationship Id="rId5" Type="http://schemas.openxmlformats.org/officeDocument/2006/relationships/queryTable" Target="../queryTables/queryTable8.xml"/><Relationship Id="rId4" Type="http://schemas.openxmlformats.org/officeDocument/2006/relationships/queryTable" Target="../queryTables/queryTable7.xml"/></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11.xml"/><Relationship Id="rId2" Type="http://schemas.openxmlformats.org/officeDocument/2006/relationships/queryTable" Target="../queryTables/queryTable10.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queryTable" Target="../queryTables/queryTable14.xml"/><Relationship Id="rId2" Type="http://schemas.openxmlformats.org/officeDocument/2006/relationships/queryTable" Target="../queryTables/queryTable13.xml"/><Relationship Id="rId1" Type="http://schemas.openxmlformats.org/officeDocument/2006/relationships/queryTable" Target="../queryTables/queryTable12.xml"/><Relationship Id="rId6" Type="http://schemas.openxmlformats.org/officeDocument/2006/relationships/queryTable" Target="../queryTables/queryTable17.xml"/><Relationship Id="rId5" Type="http://schemas.openxmlformats.org/officeDocument/2006/relationships/queryTable" Target="../queryTables/queryTable16.xml"/><Relationship Id="rId4" Type="http://schemas.openxmlformats.org/officeDocument/2006/relationships/queryTable" Target="../queryTables/queryTable15.xml"/></Relationships>
</file>

<file path=xl/worksheets/_rels/sheet7.xml.rels><?xml version="1.0" encoding="UTF-8" standalone="yes"?>
<Relationships xmlns="http://schemas.openxmlformats.org/package/2006/relationships"><Relationship Id="rId3" Type="http://schemas.openxmlformats.org/officeDocument/2006/relationships/queryTable" Target="../queryTables/queryTable19.xml"/><Relationship Id="rId2" Type="http://schemas.openxmlformats.org/officeDocument/2006/relationships/queryTable" Target="../queryTables/queryTable18.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queryTable" Target="../queryTables/queryTable22.xml"/><Relationship Id="rId2" Type="http://schemas.openxmlformats.org/officeDocument/2006/relationships/queryTable" Target="../queryTables/queryTable21.xml"/><Relationship Id="rId1" Type="http://schemas.openxmlformats.org/officeDocument/2006/relationships/queryTable" Target="../queryTables/queryTable20.xml"/><Relationship Id="rId6" Type="http://schemas.openxmlformats.org/officeDocument/2006/relationships/queryTable" Target="../queryTables/queryTable25.xml"/><Relationship Id="rId5" Type="http://schemas.openxmlformats.org/officeDocument/2006/relationships/queryTable" Target="../queryTables/queryTable24.xml"/><Relationship Id="rId4" Type="http://schemas.openxmlformats.org/officeDocument/2006/relationships/queryTable" Target="../queryTables/queryTable23.xml"/></Relationships>
</file>

<file path=xl/worksheets/_rels/sheet9.xml.rels><?xml version="1.0" encoding="UTF-8" standalone="yes"?>
<Relationships xmlns="http://schemas.openxmlformats.org/package/2006/relationships"><Relationship Id="rId3" Type="http://schemas.openxmlformats.org/officeDocument/2006/relationships/queryTable" Target="../queryTables/queryTable27.xml"/><Relationship Id="rId2" Type="http://schemas.openxmlformats.org/officeDocument/2006/relationships/queryTable" Target="../queryTables/queryTable2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03"/>
  <sheetViews>
    <sheetView view="pageLayout" zoomScaleNormal="100" workbookViewId="0">
      <selection sqref="A1:D1"/>
    </sheetView>
  </sheetViews>
  <sheetFormatPr defaultColWidth="5.28515625" defaultRowHeight="15" customHeight="1" x14ac:dyDescent="0.25"/>
  <cols>
    <col min="1" max="3" width="5.28515625" style="1"/>
    <col min="4" max="4" width="5.28515625" style="1" customWidth="1"/>
    <col min="5" max="18" width="5.28515625" style="1"/>
    <col min="19" max="24" width="5.28515625" style="1" customWidth="1"/>
    <col min="25" max="25" width="5.42578125" style="1" customWidth="1"/>
    <col min="26" max="16384" width="5.28515625" style="1"/>
  </cols>
  <sheetData>
    <row r="1" spans="1:72" ht="15.6" customHeight="1" thickTop="1" thickBot="1" x14ac:dyDescent="0.3">
      <c r="A1" s="168" t="s">
        <v>19</v>
      </c>
      <c r="B1" s="169"/>
      <c r="C1" s="169"/>
      <c r="D1" s="169"/>
      <c r="E1" s="42" t="str">
        <f>IFERROR(IF(VLOOKUP(A1,SKV!$B$48:$Z$82,10,FALSE)=0,"",VLOOKUP(A1,SKV!$B$48:$Z$82,10,FALSE)),"")</f>
        <v/>
      </c>
      <c r="F1" s="63">
        <f>IFERROR(VLOOKUP(A1,SKV!$B$48:$Z$82,9,FALSE),"")</f>
        <v>99</v>
      </c>
      <c r="G1" s="43"/>
      <c r="H1" s="184" t="s">
        <v>164</v>
      </c>
      <c r="I1" s="184"/>
      <c r="J1" s="184"/>
      <c r="K1" s="184"/>
      <c r="L1" s="43"/>
      <c r="M1" s="168" t="s">
        <v>20</v>
      </c>
      <c r="N1" s="169"/>
      <c r="O1" s="169"/>
      <c r="P1" s="169"/>
      <c r="Q1" s="42" t="str">
        <f>IFERROR(IF(VLOOKUP(M1,SKV!$B$48:$Z$82,10,FALSE)=0,"",VLOOKUP(M1,SKV!$B$48:$Z$82,10,FALSE)),"")</f>
        <v/>
      </c>
      <c r="R1" s="63">
        <f>IFERROR(VLOOKUP(M1,SKV!$B$48:$Z$82,9,FALSE),"")</f>
        <v>64</v>
      </c>
      <c r="S1" s="168" t="s">
        <v>171</v>
      </c>
      <c r="T1" s="169"/>
      <c r="U1" s="169"/>
      <c r="V1" s="169"/>
      <c r="W1" s="42" t="str">
        <f>IFERROR(IF(VLOOKUP(S1,CHO!$B$48:$Z$82,10,FALSE)=0,"",VLOOKUP(S1,CHO!$B$48:$Z$82,10,FALSE)),"")</f>
        <v/>
      </c>
      <c r="X1" s="63">
        <f>IFERROR(VLOOKUP(S1,CHO!$B$48:$Z$82,9,FALSE),"")</f>
        <v>25</v>
      </c>
      <c r="Y1" s="43"/>
      <c r="Z1" s="184" t="s">
        <v>164</v>
      </c>
      <c r="AA1" s="184"/>
      <c r="AB1" s="184"/>
      <c r="AC1" s="184"/>
      <c r="AD1" s="43"/>
      <c r="AE1" s="168" t="s">
        <v>170</v>
      </c>
      <c r="AF1" s="169"/>
      <c r="AG1" s="169"/>
      <c r="AH1" s="169"/>
      <c r="AI1" s="42" t="str">
        <f>IFERROR(IF(VLOOKUP(AE1,CHO!$B$48:$Z$82,10,FALSE)=0,"",VLOOKUP(AE1,CHO!$B$48:$Z$82,10,FALSE)),"")</f>
        <v/>
      </c>
      <c r="AJ1" s="63">
        <f>IFERROR(VLOOKUP(AE1,CHO!$B$48:$Z$82,9,FALSE),"")</f>
        <v>21</v>
      </c>
      <c r="AK1" s="168"/>
      <c r="AL1" s="169"/>
      <c r="AM1" s="169"/>
      <c r="AN1" s="169"/>
      <c r="AO1" s="42" t="str">
        <f>IFERROR(IF(VLOOKUP(AK1,VIT!$B$48:$R$82,10,FALSE)=0,"",VLOOKUP(AK1,VIT!$B$48:$R$82,10,FALSE)),"")</f>
        <v/>
      </c>
      <c r="AP1" s="63" t="str">
        <f>IFERROR(VLOOKUP(AK1,VIT!$B$48:$R$82,9,FALSE),"")</f>
        <v/>
      </c>
      <c r="AQ1" s="43"/>
      <c r="AR1" s="184" t="s">
        <v>164</v>
      </c>
      <c r="AS1" s="184"/>
      <c r="AT1" s="184"/>
      <c r="AU1" s="184"/>
      <c r="AV1" s="43"/>
      <c r="AW1" s="168"/>
      <c r="AX1" s="169"/>
      <c r="AY1" s="169"/>
      <c r="AZ1" s="169"/>
      <c r="BA1" s="42" t="str">
        <f>IFERROR(IF(VLOOKUP(AW1,VIT!$B$48:$R$82,10,FALSE)=0,"",VLOOKUP(AW1,VIT!$B$48:$R$82,10,FALSE)),"")</f>
        <v/>
      </c>
      <c r="BB1" s="63" t="str">
        <f>IFERROR(VLOOKUP(AW1,VIT!$B$48:$R$82,9,FALSE),"")</f>
        <v/>
      </c>
      <c r="BC1" s="168"/>
      <c r="BD1" s="169"/>
      <c r="BE1" s="169"/>
      <c r="BF1" s="169"/>
      <c r="BG1" s="42" t="str">
        <f>IFERROR(IF(VLOOKUP(AW1,MB!$B$48:$R$82,10,FALSE)=0,"",VLOOKUP(AW1,MB!$B$48:$R$82,10,FALSE)),"")</f>
        <v/>
      </c>
      <c r="BH1" s="63" t="str">
        <f>IFERROR(VLOOKUP(BC1,MB!$B$48:$R$82,9,FALSE),"")</f>
        <v/>
      </c>
      <c r="BI1" s="43"/>
      <c r="BJ1" s="184" t="s">
        <v>164</v>
      </c>
      <c r="BK1" s="184"/>
      <c r="BL1" s="184"/>
      <c r="BM1" s="184"/>
      <c r="BN1" s="43"/>
      <c r="BO1" s="168"/>
      <c r="BP1" s="169"/>
      <c r="BQ1" s="169"/>
      <c r="BR1" s="169"/>
      <c r="BS1" s="42" t="str">
        <f>IFERROR(IF(VLOOKUP(BO1,MB!$B$48:$R$82,10,FALSE)=0,"",VLOOKUP(BO1,MB!$B$48:$R$82,10,FALSE)),"")</f>
        <v/>
      </c>
      <c r="BT1" s="63" t="str">
        <f>IFERROR(VLOOKUP(BO1,MB!$B$48:$R$82,9,FALSE),"")</f>
        <v/>
      </c>
    </row>
    <row r="2" spans="1:72" ht="15.6" customHeight="1" thickBot="1" x14ac:dyDescent="0.3">
      <c r="A2" s="44" t="str">
        <f>IFERROR(VLOOKUP(A1,SKV!$B$48:$Z$82,11,FALSE),"")</f>
        <v>L</v>
      </c>
      <c r="B2" s="161">
        <f>IFERROR(YEAR(VLOOKUP(A1,SKV!$B$48:$Z$82,2,FALSE)),"")</f>
        <v>2000</v>
      </c>
      <c r="C2" s="162"/>
      <c r="D2" s="45">
        <f ca="1">IFERROR(VLOOKUP(A1,SKV!$B$48:$Z$82,3,FALSE),"")</f>
        <v>20</v>
      </c>
      <c r="E2" s="163" t="str">
        <f>IFERROR(VLOOKUP(A1,SKV!$B$48:$Z$82,15,FALSE),"")</f>
        <v>186/80</v>
      </c>
      <c r="F2" s="164"/>
      <c r="G2" s="43"/>
      <c r="H2" s="43"/>
      <c r="I2" s="43"/>
      <c r="J2" s="43"/>
      <c r="K2" s="43"/>
      <c r="L2" s="43"/>
      <c r="M2" s="44" t="str">
        <f>IFERROR(VLOOKUP(M1,SKV!$B$48:$Z$82,11,FALSE),"")</f>
        <v>L</v>
      </c>
      <c r="N2" s="161">
        <f>IFERROR(YEAR(VLOOKUP(M1,SKV!$B$48:$Z$82,2,FALSE)),"")</f>
        <v>1993</v>
      </c>
      <c r="O2" s="162"/>
      <c r="P2" s="45">
        <f ca="1">IFERROR(VLOOKUP(M1,SKV!$B$48:$Z$82,3,FALSE),"")</f>
        <v>27</v>
      </c>
      <c r="Q2" s="163" t="str">
        <f>IFERROR(VLOOKUP(M1,SKV!$B$48:$Z$82,15,FALSE),"")</f>
        <v>173/68</v>
      </c>
      <c r="R2" s="164"/>
      <c r="S2" s="44" t="str">
        <f>IFERROR(VLOOKUP(S1,CHO!$B$48:$Z$82,11,FALSE),"")</f>
        <v>P</v>
      </c>
      <c r="T2" s="161">
        <f>IFERROR(YEAR(VLOOKUP(S1,CHO!$B$48:$Z$82,2,FALSE)),"")</f>
        <v>1992</v>
      </c>
      <c r="U2" s="162"/>
      <c r="V2" s="45">
        <f ca="1">IFERROR(VLOOKUP(S1,CHO!$B$48:$Z$82,3,FALSE),"")</f>
        <v>28</v>
      </c>
      <c r="W2" s="163" t="str">
        <f>IFERROR(VLOOKUP(S1,CHO!$B$48:$Z$82,15,FALSE),"")</f>
        <v>186/82</v>
      </c>
      <c r="X2" s="164"/>
      <c r="Y2" s="43"/>
      <c r="Z2" s="43"/>
      <c r="AA2" s="43"/>
      <c r="AB2" s="43"/>
      <c r="AC2" s="43"/>
      <c r="AD2" s="43"/>
      <c r="AE2" s="44" t="str">
        <f>IFERROR(VLOOKUP(AE1,CHO!$B$48:$Z$82,11,FALSE),"")</f>
        <v>L</v>
      </c>
      <c r="AF2" s="161">
        <f>IFERROR(YEAR(VLOOKUP(AE1,CHO!$B$48:$Z$82,2,FALSE)),"")</f>
        <v>1993</v>
      </c>
      <c r="AG2" s="162"/>
      <c r="AH2" s="45">
        <f ca="1">IFERROR(VLOOKUP(AE1,CHO!$B$48:$Z$82,3,FALSE),"")</f>
        <v>27</v>
      </c>
      <c r="AI2" s="163" t="str">
        <f>IFERROR(VLOOKUP(AE1,CHO!$B$48:$Z$82,15,FALSE),"")</f>
        <v>178/72</v>
      </c>
      <c r="AJ2" s="164"/>
      <c r="AK2" s="44" t="str">
        <f>IFERROR(VLOOKUP(AK1,VIT!$B$48:$R$82,11,FALSE),"")</f>
        <v/>
      </c>
      <c r="AL2" s="161" t="str">
        <f>IFERROR(YEAR(VLOOKUP(AK1,VIT!$B$48:$R$82,2,FALSE)),"")</f>
        <v/>
      </c>
      <c r="AM2" s="162"/>
      <c r="AN2" s="122" t="str">
        <f>IFERROR(VLOOKUP(AK1,VIT!$B$48:$R$82,3,FALSE),"")</f>
        <v/>
      </c>
      <c r="AO2" s="163" t="str">
        <f>IFERROR(VLOOKUP(AK1,VIT!$B$48:$R$82,15,FALSE),"")</f>
        <v/>
      </c>
      <c r="AP2" s="164"/>
      <c r="AQ2" s="43"/>
      <c r="AR2" s="43"/>
      <c r="AS2" s="43"/>
      <c r="AT2" s="43"/>
      <c r="AU2" s="43"/>
      <c r="AV2" s="43"/>
      <c r="AW2" s="44" t="str">
        <f>IFERROR(VLOOKUP(AW1,VIT!$B$48:$R$82,11,FALSE),"")</f>
        <v/>
      </c>
      <c r="AX2" s="161" t="str">
        <f>IFERROR(YEAR(VLOOKUP(AW1,VIT!$B$48:$R$82,2,FALSE)),"")</f>
        <v/>
      </c>
      <c r="AY2" s="162"/>
      <c r="AZ2" s="122" t="str">
        <f>IFERROR(VLOOKUP(AW1,VIT!$B$48:$R$82,3,FALSE),"")</f>
        <v/>
      </c>
      <c r="BA2" s="163" t="str">
        <f>IFERROR(VLOOKUP(AW1,VIT!$B$48:$R$82,15,FALSE),"")</f>
        <v/>
      </c>
      <c r="BB2" s="164"/>
      <c r="BC2" s="44" t="str">
        <f>IFERROR(VLOOKUP(BC1,MB!$B$48:$R$82,11,FALSE),"")</f>
        <v/>
      </c>
      <c r="BD2" s="161" t="str">
        <f>IFERROR(YEAR(VLOOKUP(BC1,MB!$B$48:$R$82,2,FALSE)),"")</f>
        <v/>
      </c>
      <c r="BE2" s="162"/>
      <c r="BF2" s="125" t="str">
        <f>IFERROR(VLOOKUP(BC1,MB!$B$48:$R$82,3,FALSE),"")</f>
        <v/>
      </c>
      <c r="BG2" s="163" t="str">
        <f>IFERROR(VLOOKUP(BC1,MB!$B$48:$R$82,15,FALSE),"")</f>
        <v/>
      </c>
      <c r="BH2" s="164"/>
      <c r="BI2" s="43"/>
      <c r="BJ2" s="43"/>
      <c r="BK2" s="43"/>
      <c r="BL2" s="43"/>
      <c r="BM2" s="43"/>
      <c r="BN2" s="43"/>
      <c r="BO2" s="44" t="str">
        <f>IFERROR(VLOOKUP(BO1,MB!$B$48:$R$82,11,FALSE),"")</f>
        <v/>
      </c>
      <c r="BP2" s="161" t="str">
        <f>IFERROR(YEAR(VLOOKUP(BO1,MB!$B$48:$R$82,2,FALSE)),"")</f>
        <v/>
      </c>
      <c r="BQ2" s="162"/>
      <c r="BR2" s="125" t="str">
        <f>IFERROR(VLOOKUP(BO1,MB!$B$48:$R$82,3,FALSE),"")</f>
        <v/>
      </c>
      <c r="BS2" s="163" t="str">
        <f>IFERROR(VLOOKUP(BO1,MB!$B$48:$R$82,15,FALSE),"")</f>
        <v/>
      </c>
      <c r="BT2" s="164"/>
    </row>
    <row r="3" spans="1:72" ht="15.6" customHeight="1" thickTop="1" thickBot="1" x14ac:dyDescent="0.3">
      <c r="A3" s="179" t="str">
        <f>IFERROR(VLOOKUP(A1,SKV!$B$2:$O$36,14,FALSE),"")</f>
        <v>11 OZ , 8 (3+5), -3 ±</v>
      </c>
      <c r="B3" s="180"/>
      <c r="C3" s="180"/>
      <c r="D3" s="181" t="str">
        <f>IFERROR(VLOOKUP(A1,SKV!$B$48:$Z$82,14,FALSE),"")</f>
        <v>11 OZ, 8 (3+5)</v>
      </c>
      <c r="E3" s="181"/>
      <c r="F3" s="182"/>
      <c r="G3" s="168" t="s">
        <v>12</v>
      </c>
      <c r="H3" s="169"/>
      <c r="I3" s="169"/>
      <c r="J3" s="169"/>
      <c r="K3" s="42" t="str">
        <f>IFERROR(IF(VLOOKUP(G3,SKV!$B$48:$Z$82,10,FALSE)=0,"",VLOOKUP(G3,SKV!$B$48:$Z$82,10,FALSE)),"")</f>
        <v/>
      </c>
      <c r="L3" s="63">
        <f>IFERROR(VLOOKUP(G3,SKV!$B$48:$Z$82,9,FALSE),"")</f>
        <v>23</v>
      </c>
      <c r="M3" s="179" t="str">
        <f>IFERROR(VLOOKUP(M1,SKV!$B$2:$O$36,14,FALSE),"")</f>
        <v>12 OZ , 4 (2+2), -2 ±</v>
      </c>
      <c r="N3" s="180"/>
      <c r="O3" s="180"/>
      <c r="P3" s="181" t="str">
        <f>IFERROR(VLOOKUP(M1,SKV!$B$48:$Z$82,14,FALSE),"")</f>
        <v>83 OZ, 69 (20+49)</v>
      </c>
      <c r="Q3" s="181"/>
      <c r="R3" s="182"/>
      <c r="S3" s="179" t="str">
        <f>IFERROR(VLOOKUP(S1,CHO!$B$2:$O$36,14,FALSE),"")</f>
        <v>12 OZ , 24 (14+10), +12 ±</v>
      </c>
      <c r="T3" s="180"/>
      <c r="U3" s="180"/>
      <c r="V3" s="181" t="str">
        <f>IFERROR(VLOOKUP(S1,CHO!$B$48:$Z$82,14,FALSE),"")</f>
        <v>226 OZ, 502 (309+193)</v>
      </c>
      <c r="W3" s="181"/>
      <c r="X3" s="182"/>
      <c r="Y3" s="168" t="s">
        <v>172</v>
      </c>
      <c r="Z3" s="169"/>
      <c r="AA3" s="169"/>
      <c r="AB3" s="169"/>
      <c r="AC3" s="42" t="str">
        <f>IFERROR(IF(VLOOKUP(Y3,CHO!$B$48:$Z$82,10,FALSE)=0,"",VLOOKUP(Y3,CHO!$B$48:$Z$82,10,FALSE)),"")</f>
        <v/>
      </c>
      <c r="AD3" s="63">
        <f>IFERROR(VLOOKUP(Y3,CHO!$B$48:$Z$82,9,FALSE),"")</f>
        <v>9</v>
      </c>
      <c r="AE3" s="179" t="str">
        <f>IFERROR(VLOOKUP(AE1,CHO!$B$2:$O$36,14,FALSE),"")</f>
        <v>12 OZ , 27 (18+9), +10 ±</v>
      </c>
      <c r="AF3" s="180"/>
      <c r="AG3" s="180"/>
      <c r="AH3" s="181" t="str">
        <f>IFERROR(VLOOKUP(AE1,CHO!$B$48:$Z$82,14,FALSE),"")</f>
        <v>216 OZ, 426 (253+173)</v>
      </c>
      <c r="AI3" s="181"/>
      <c r="AJ3" s="182"/>
      <c r="AK3" s="179" t="str">
        <f>IFERROR(VLOOKUP(AK1,VIT!$B$2:$O$36,14,FALSE),"")</f>
        <v/>
      </c>
      <c r="AL3" s="180"/>
      <c r="AM3" s="180"/>
      <c r="AN3" s="181" t="str">
        <f>IFERROR(VLOOKUP(AK1,VIT!$B$48:$R$82,14,FALSE),"")</f>
        <v/>
      </c>
      <c r="AO3" s="181"/>
      <c r="AP3" s="182"/>
      <c r="AQ3" s="168"/>
      <c r="AR3" s="169"/>
      <c r="AS3" s="169"/>
      <c r="AT3" s="169"/>
      <c r="AU3" s="42" t="str">
        <f>IFERROR(IF(VLOOKUP(AQ3,VIT!$B$48:$R$82,10,FALSE)=0,"",VLOOKUP(AQ3,VIT!$B$48:$R$82,10,FALSE)),"")</f>
        <v/>
      </c>
      <c r="AV3" s="63" t="str">
        <f>IFERROR(VLOOKUP(AQ3,VIT!$B$48:$R$82,9,FALSE),"")</f>
        <v/>
      </c>
      <c r="AW3" s="179" t="str">
        <f>IFERROR(VLOOKUP(AW1,VIT!$B$2:$O$36,14,FALSE),"")</f>
        <v/>
      </c>
      <c r="AX3" s="180"/>
      <c r="AY3" s="180"/>
      <c r="AZ3" s="181" t="str">
        <f>IFERROR(VLOOKUP(AW1,VIT!$B$48:$R$82,14,FALSE),"")</f>
        <v/>
      </c>
      <c r="BA3" s="181"/>
      <c r="BB3" s="182"/>
      <c r="BC3" s="179" t="str">
        <f>IFERROR(VLOOKUP(BC1,MB!$B$2:$O$36,14,FALSE),"")</f>
        <v/>
      </c>
      <c r="BD3" s="180"/>
      <c r="BE3" s="180"/>
      <c r="BF3" s="181" t="str">
        <f>IFERROR(VLOOKUP(BC1,MB!$B$48:$R$82,14,FALSE),"")</f>
        <v/>
      </c>
      <c r="BG3" s="181"/>
      <c r="BH3" s="182"/>
      <c r="BI3" s="168"/>
      <c r="BJ3" s="169"/>
      <c r="BK3" s="169"/>
      <c r="BL3" s="169"/>
      <c r="BM3" s="42" t="str">
        <f>IFERROR(IF(VLOOKUP(BI3,MB!$B$48:$R$82,10,FALSE)=0,"",VLOOKUP(BI3,MB!$B$48:$R$82,10,FALSE)),"")</f>
        <v/>
      </c>
      <c r="BN3" s="63" t="str">
        <f>IFERROR(VLOOKUP(BI3,MB!$B$48:$R$82,9,FALSE),"")</f>
        <v/>
      </c>
      <c r="BO3" s="179" t="str">
        <f>IFERROR(VLOOKUP(BO1,MB!$B$2:$O$36,14,FALSE),"")</f>
        <v/>
      </c>
      <c r="BP3" s="180"/>
      <c r="BQ3" s="180"/>
      <c r="BR3" s="181" t="str">
        <f>IFERROR(VLOOKUP(BO1,MB!$B$48:$R$82,14,FALSE),"")</f>
        <v/>
      </c>
      <c r="BS3" s="181"/>
      <c r="BT3" s="182"/>
    </row>
    <row r="4" spans="1:72" ht="15.6" customHeight="1" thickBot="1" x14ac:dyDescent="0.3">
      <c r="A4" s="150" t="str">
        <f>IFERROR(VLOOKUP(A1,SKV!$B$48:$Z$82,16,FALSE),"")</f>
        <v>Slovan J. Hradec</v>
      </c>
      <c r="B4" s="151"/>
      <c r="C4" s="152"/>
      <c r="D4" s="153">
        <f>IFERROR(VLOOKUP(A1,SKV!$B$48:$Z$82,17,FALSE),"")</f>
        <v>2014</v>
      </c>
      <c r="E4" s="154"/>
      <c r="F4" s="46">
        <f>IFERROR(VLOOKUP(A1,SKV!$B$48:$Z$82,8,FALSE),"")</f>
        <v>1</v>
      </c>
      <c r="G4" s="44" t="str">
        <f>IFERROR(VLOOKUP(G3,SKV!$B$48:$Z$82,11,FALSE),"")</f>
        <v>L</v>
      </c>
      <c r="H4" s="161">
        <f>IFERROR(YEAR(VLOOKUP(G3,SKV!$B$48:$Z$82,2,FALSE)),"")</f>
        <v>1992</v>
      </c>
      <c r="I4" s="162"/>
      <c r="J4" s="45">
        <f ca="1">IFERROR(VLOOKUP(G3,SKV!$B$48:$Z$82,3,FALSE),"")</f>
        <v>28</v>
      </c>
      <c r="K4" s="163" t="str">
        <f>IFERROR(VLOOKUP(G3,SKV!$B$48:$Z$82,15,FALSE),"")</f>
        <v>181/78</v>
      </c>
      <c r="L4" s="164"/>
      <c r="M4" s="150" t="str">
        <f>IFERROR(VLOOKUP(M1,SKV!$B$48:$Z$82,16,FALSE),"")</f>
        <v>Future</v>
      </c>
      <c r="N4" s="151"/>
      <c r="O4" s="152"/>
      <c r="P4" s="153">
        <f>IFERROR(VLOOKUP(M1,SKV!$B$48:$Z$82,17,FALSE),"")</f>
        <v>2003</v>
      </c>
      <c r="Q4" s="154"/>
      <c r="R4" s="46">
        <f>IFERROR(VLOOKUP(M1,SKV!$B$48:$Z$82,8,FALSE),"")</f>
        <v>5</v>
      </c>
      <c r="S4" s="150" t="str">
        <f>IFERROR(VLOOKUP(S1,CHO!$B$48:$Z$82,16,FALSE),"")</f>
        <v>SPA Sokol Brno I.</v>
      </c>
      <c r="T4" s="151"/>
      <c r="U4" s="152"/>
      <c r="V4" s="153">
        <f>IFERROR(VLOOKUP(S1,CHO!$B$48:$Z$82,17,FALSE),"")</f>
        <v>1999</v>
      </c>
      <c r="W4" s="154"/>
      <c r="X4" s="46">
        <f>IFERROR(VLOOKUP(S1,CHO!$B$48:$Z$82,8,FALSE),"")</f>
        <v>12</v>
      </c>
      <c r="Y4" s="44" t="str">
        <f>IFERROR(VLOOKUP(Y3,CHO!$B$48:$Z$82,11,FALSE),"")</f>
        <v>L</v>
      </c>
      <c r="Z4" s="161">
        <f>IFERROR(YEAR(VLOOKUP(Y3,CHO!$B$48:$Z$82,2,FALSE)),"")</f>
        <v>1989</v>
      </c>
      <c r="AA4" s="162"/>
      <c r="AB4" s="45">
        <f ca="1">IFERROR(VLOOKUP(Y3,CHO!$B$48:$Z$82,3,FALSE),"")</f>
        <v>31</v>
      </c>
      <c r="AC4" s="163" t="str">
        <f>IFERROR(VLOOKUP(Y3,CHO!$B$48:$Z$82,15,FALSE),"")</f>
        <v>182/82</v>
      </c>
      <c r="AD4" s="164"/>
      <c r="AE4" s="150" t="str">
        <f>IFERROR(VLOOKUP(AE1,CHO!$B$48:$Z$82,16,FALSE),"")</f>
        <v>Tatran Střešovice</v>
      </c>
      <c r="AF4" s="151"/>
      <c r="AG4" s="152"/>
      <c r="AH4" s="153">
        <f>IFERROR(VLOOKUP(AE1,CHO!$B$48:$Z$82,17,FALSE),"")</f>
        <v>2000</v>
      </c>
      <c r="AI4" s="154"/>
      <c r="AJ4" s="46">
        <f>IFERROR(VLOOKUP(AE1,CHO!$B$48:$Z$82,8,FALSE),"")</f>
        <v>11</v>
      </c>
      <c r="AK4" s="150" t="str">
        <f>IFERROR(VLOOKUP(AK1,VIT!$B$48:$R$82,16,FALSE),"")</f>
        <v/>
      </c>
      <c r="AL4" s="151"/>
      <c r="AM4" s="152"/>
      <c r="AN4" s="153" t="str">
        <f>IFERROR(VLOOKUP(AK1,VIT!$B$48:$R$82,17,FALSE),"")</f>
        <v/>
      </c>
      <c r="AO4" s="154"/>
      <c r="AP4" s="46" t="str">
        <f>IFERROR(VLOOKUP(AK1,VIT!$B$48:$R$82,8,FALSE),"")</f>
        <v/>
      </c>
      <c r="AQ4" s="44" t="str">
        <f>IFERROR(VLOOKUP(AQ3,VIT!$B$48:$R$82,11,FALSE),"")</f>
        <v/>
      </c>
      <c r="AR4" s="161" t="str">
        <f>IFERROR(YEAR(VLOOKUP(AQ3,VIT!$B$48:$R$82,2,FALSE)),"")</f>
        <v/>
      </c>
      <c r="AS4" s="162"/>
      <c r="AT4" s="122" t="str">
        <f>IFERROR(VLOOKUP(AQ3,VIT!$B$48:$R$82,3,FALSE),"")</f>
        <v/>
      </c>
      <c r="AU4" s="163" t="str">
        <f>IFERROR(VLOOKUP(AQ3,VIT!$B$48:$R$82,15,FALSE),"")</f>
        <v/>
      </c>
      <c r="AV4" s="164"/>
      <c r="AW4" s="150" t="str">
        <f>IFERROR(VLOOKUP(AW1,VIT!$B$48:$R$82,16,FALSE),"")</f>
        <v/>
      </c>
      <c r="AX4" s="151"/>
      <c r="AY4" s="152"/>
      <c r="AZ4" s="153" t="str">
        <f>IFERROR(VLOOKUP(AW1,VIT!$B$48:$R$82,17,FALSE),"")</f>
        <v/>
      </c>
      <c r="BA4" s="154"/>
      <c r="BB4" s="46" t="str">
        <f>IFERROR(VLOOKUP(AW1,VIT!$B$48:$R$82,8,FALSE),"")</f>
        <v/>
      </c>
      <c r="BC4" s="150" t="str">
        <f>IFERROR(VLOOKUP(BC1,MB!$B$48:$R$82,16,FALSE),"")</f>
        <v/>
      </c>
      <c r="BD4" s="151"/>
      <c r="BE4" s="152"/>
      <c r="BF4" s="153" t="str">
        <f>IFERROR(VLOOKUP(BC1,MB!$B$48:$R$82,17,FALSE),"")</f>
        <v/>
      </c>
      <c r="BG4" s="154"/>
      <c r="BH4" s="46" t="str">
        <f>IFERROR(VLOOKUP(BC1,MB!$B$48:$R$82,8,FALSE),"")</f>
        <v/>
      </c>
      <c r="BI4" s="44" t="str">
        <f>IFERROR(VLOOKUP(BI3,MB!$B$48:$R$82,11,FALSE),"")</f>
        <v/>
      </c>
      <c r="BJ4" s="161" t="str">
        <f>IFERROR(YEAR(VLOOKUP(BI3,MB!$B$48:$R$82,2,FALSE)),"")</f>
        <v/>
      </c>
      <c r="BK4" s="162"/>
      <c r="BL4" s="125" t="str">
        <f>IFERROR(VLOOKUP(BI3,MB!$B$48:$R$82,3,FALSE),"")</f>
        <v/>
      </c>
      <c r="BM4" s="163" t="str">
        <f>IFERROR(VLOOKUP(BI3,MB!$B$48:$R$82,15,FALSE),"")</f>
        <v/>
      </c>
      <c r="BN4" s="164"/>
      <c r="BO4" s="150" t="str">
        <f>IFERROR(VLOOKUP(BO1,MB!$B$48:$R$82,16,FALSE),"")</f>
        <v/>
      </c>
      <c r="BP4" s="151"/>
      <c r="BQ4" s="152"/>
      <c r="BR4" s="153" t="str">
        <f>IFERROR(VLOOKUP(BO1,MB!$B$48:$R$82,17,FALSE),"")</f>
        <v/>
      </c>
      <c r="BS4" s="154"/>
      <c r="BT4" s="46" t="str">
        <f>IFERROR(VLOOKUP(BO1,MB!$B$48:$R$82,8,FALSE),"")</f>
        <v/>
      </c>
    </row>
    <row r="5" spans="1:72" ht="15.6" customHeight="1" thickTop="1" thickBot="1" x14ac:dyDescent="0.3">
      <c r="A5" s="22"/>
      <c r="B5" s="22"/>
      <c r="C5" s="22"/>
      <c r="D5" s="22"/>
      <c r="E5" s="43"/>
      <c r="F5" s="43"/>
      <c r="G5" s="179" t="str">
        <f>IFERROR(VLOOKUP(G3,SKV!$B$2:$O$36,14,FALSE),"")</f>
        <v>11 OZ , 12 (6+6), +1 ±</v>
      </c>
      <c r="H5" s="180"/>
      <c r="I5" s="180"/>
      <c r="J5" s="181" t="str">
        <f>IFERROR(VLOOKUP(G3,SKV!$B$48:$Z$82,14,FALSE),"")</f>
        <v>128 OZ, 141 (85+56)</v>
      </c>
      <c r="K5" s="181"/>
      <c r="L5" s="182"/>
      <c r="M5" s="43"/>
      <c r="N5" s="43"/>
      <c r="O5" s="43"/>
      <c r="P5" s="43"/>
      <c r="Q5" s="43"/>
      <c r="R5" s="43"/>
      <c r="S5" s="22"/>
      <c r="T5" s="22"/>
      <c r="U5" s="22"/>
      <c r="V5" s="22"/>
      <c r="W5" s="43"/>
      <c r="X5" s="43"/>
      <c r="Y5" s="179" t="str">
        <f>IFERROR(VLOOKUP(Y3,CHO!$B$2:$O$36,14,FALSE),"")</f>
        <v>11 OZ , 15 (8+7), +10 ±</v>
      </c>
      <c r="Z5" s="180"/>
      <c r="AA5" s="180"/>
      <c r="AB5" s="181" t="str">
        <f>IFERROR(VLOOKUP(Y3,CHO!$B$48:$Z$82,14,FALSE),"")</f>
        <v>219 OZ, 267 (133+134)</v>
      </c>
      <c r="AC5" s="181"/>
      <c r="AD5" s="182"/>
      <c r="AE5" s="43"/>
      <c r="AF5" s="43"/>
      <c r="AG5" s="43"/>
      <c r="AH5" s="43"/>
      <c r="AI5" s="43"/>
      <c r="AJ5" s="43"/>
      <c r="AK5" s="22"/>
      <c r="AL5" s="22"/>
      <c r="AM5" s="22"/>
      <c r="AN5" s="22"/>
      <c r="AO5" s="43"/>
      <c r="AP5" s="43"/>
      <c r="AQ5" s="179" t="str">
        <f>IFERROR(VLOOKUP(AQ3,VIT!$B$2:$O$36,14,FALSE),"")</f>
        <v/>
      </c>
      <c r="AR5" s="180"/>
      <c r="AS5" s="180"/>
      <c r="AT5" s="181" t="str">
        <f>IFERROR(VLOOKUP(AQ3,VIT!$B$48:$R$82,14,FALSE),"")</f>
        <v/>
      </c>
      <c r="AU5" s="181"/>
      <c r="AV5" s="182"/>
      <c r="AW5" s="43"/>
      <c r="AX5" s="43"/>
      <c r="AY5" s="43"/>
      <c r="AZ5" s="43"/>
      <c r="BA5" s="43"/>
      <c r="BB5" s="43"/>
      <c r="BC5" s="22"/>
      <c r="BD5" s="22"/>
      <c r="BE5" s="22"/>
      <c r="BF5" s="22"/>
      <c r="BG5" s="43"/>
      <c r="BH5" s="43"/>
      <c r="BI5" s="179" t="str">
        <f>IFERROR(VLOOKUP(BI3,MB!$B$2:$O$36,14,FALSE),"")</f>
        <v/>
      </c>
      <c r="BJ5" s="180"/>
      <c r="BK5" s="180"/>
      <c r="BL5" s="181" t="str">
        <f>IFERROR(VLOOKUP(BI3,MB!$B$48:$R$82,14,FALSE),"")</f>
        <v/>
      </c>
      <c r="BM5" s="181"/>
      <c r="BN5" s="182"/>
      <c r="BO5" s="43"/>
      <c r="BP5" s="43"/>
      <c r="BQ5" s="43"/>
      <c r="BR5" s="43"/>
      <c r="BS5" s="43"/>
      <c r="BT5" s="43"/>
    </row>
    <row r="6" spans="1:72" ht="15.6" customHeight="1" thickTop="1" thickBot="1" x14ac:dyDescent="0.3">
      <c r="A6" s="168" t="s">
        <v>62</v>
      </c>
      <c r="B6" s="169"/>
      <c r="C6" s="169"/>
      <c r="D6" s="169"/>
      <c r="E6" s="42" t="str">
        <f>IFERROR(IF(VLOOKUP(A6,SKV!$B$48:$Z$82,10,FALSE)=0,"",VLOOKUP(A6,SKV!$B$48:$Z$82,10,FALSE)),"")</f>
        <v>C</v>
      </c>
      <c r="F6" s="63">
        <f>IFERROR(VLOOKUP(A6,SKV!$B$48:$Z$82,9,FALSE),"")</f>
        <v>65</v>
      </c>
      <c r="G6" s="150" t="str">
        <f>IFERROR(VLOOKUP(G3,SKV!$B$48:$Z$82,16,FALSE),"")</f>
        <v>Pelhřimov</v>
      </c>
      <c r="H6" s="151"/>
      <c r="I6" s="152"/>
      <c r="J6" s="153">
        <f>IFERROR(VLOOKUP(G3,SKV!$B$48:$Z$82,17,FALSE),"")</f>
        <v>2003</v>
      </c>
      <c r="K6" s="154"/>
      <c r="L6" s="46">
        <f>IFERROR(VLOOKUP(G3,SKV!$B$48:$Z$82,8,FALSE),"")</f>
        <v>9</v>
      </c>
      <c r="M6" s="168" t="s">
        <v>17</v>
      </c>
      <c r="N6" s="169"/>
      <c r="O6" s="169"/>
      <c r="P6" s="169"/>
      <c r="Q6" s="42" t="str">
        <f>IFERROR(IF(VLOOKUP(M6,SKV!$B$48:$Z$82,10,FALSE)=0,"",VLOOKUP(M6,SKV!$B$48:$Z$82,10,FALSE)),"")</f>
        <v/>
      </c>
      <c r="R6" s="63">
        <f>IFERROR(VLOOKUP(M6,SKV!$B$48:$Z$82,9,FALSE),"")</f>
        <v>4</v>
      </c>
      <c r="S6" s="168" t="s">
        <v>175</v>
      </c>
      <c r="T6" s="169"/>
      <c r="U6" s="169"/>
      <c r="V6" s="169"/>
      <c r="W6" s="42" t="str">
        <f>IFERROR(IF(VLOOKUP(S6,CHO!$B$48:$Z$82,10,FALSE)=0,"",VLOOKUP(S6,CHO!$B$48:$Z$82,10,FALSE)),"")</f>
        <v/>
      </c>
      <c r="X6" s="63">
        <f>IFERROR(VLOOKUP(S6,CHO!$B$48:$Z$82,9,FALSE),"")</f>
        <v>95</v>
      </c>
      <c r="Y6" s="150" t="str">
        <f>IFERROR(VLOOKUP(Y3,CHO!$B$48:$Z$82,16,FALSE),"")</f>
        <v>TJ Znojmo</v>
      </c>
      <c r="Z6" s="151"/>
      <c r="AA6" s="152"/>
      <c r="AB6" s="153">
        <f>IFERROR(VLOOKUP(Y3,CHO!$B$48:$Z$82,17,FALSE),"")</f>
        <v>2004</v>
      </c>
      <c r="AC6" s="154"/>
      <c r="AD6" s="46">
        <f>IFERROR(VLOOKUP(Y3,CHO!$B$48:$Z$82,8,FALSE),"")</f>
        <v>12</v>
      </c>
      <c r="AE6" s="168" t="s">
        <v>174</v>
      </c>
      <c r="AF6" s="169"/>
      <c r="AG6" s="169"/>
      <c r="AH6" s="169"/>
      <c r="AI6" s="42" t="str">
        <f>IFERROR(IF(VLOOKUP(AE6,CHO!$B$48:$Z$82,10,FALSE)=0,"",VLOOKUP(AE6,CHO!$B$48:$Z$82,10,FALSE)),"")</f>
        <v/>
      </c>
      <c r="AJ6" s="63">
        <f>IFERROR(VLOOKUP(AE6,CHO!$B$48:$Z$82,9,FALSE),"")</f>
        <v>26</v>
      </c>
      <c r="AK6" s="168"/>
      <c r="AL6" s="169"/>
      <c r="AM6" s="169"/>
      <c r="AN6" s="169"/>
      <c r="AO6" s="42" t="str">
        <f>IFERROR(IF(VLOOKUP(AK6,VIT!$B$48:$R$82,10,FALSE)=0,"",VLOOKUP(AK6,VIT!$B$48:$R$82,10,FALSE)),"")</f>
        <v/>
      </c>
      <c r="AP6" s="63" t="str">
        <f>IFERROR(VLOOKUP(AK6,VIT!$B$48:$R$82,9,FALSE),"")</f>
        <v/>
      </c>
      <c r="AQ6" s="150" t="str">
        <f>IFERROR(VLOOKUP(AQ3,VIT!$B$48:$R$82,16,FALSE),"")</f>
        <v/>
      </c>
      <c r="AR6" s="151"/>
      <c r="AS6" s="152"/>
      <c r="AT6" s="153" t="str">
        <f>IFERROR(VLOOKUP(AQ3,VIT!$B$48:$R$82,17,FALSE),"")</f>
        <v/>
      </c>
      <c r="AU6" s="154"/>
      <c r="AV6" s="46" t="str">
        <f>IFERROR(VLOOKUP(AQ3,VIT!$B$48:$R$82,8,FALSE),"")</f>
        <v/>
      </c>
      <c r="AW6" s="168"/>
      <c r="AX6" s="169"/>
      <c r="AY6" s="169"/>
      <c r="AZ6" s="169"/>
      <c r="BA6" s="42" t="str">
        <f>IFERROR(IF(VLOOKUP(AW6,VIT!$B$48:$R$82,10,FALSE)=0,"",VLOOKUP(AW6,VIT!$B$48:$R$82,10,FALSE)),"")</f>
        <v/>
      </c>
      <c r="BB6" s="63" t="str">
        <f>IFERROR(VLOOKUP(AW6,VIT!$B$48:$R$82,9,FALSE),"")</f>
        <v/>
      </c>
      <c r="BC6" s="168"/>
      <c r="BD6" s="169"/>
      <c r="BE6" s="169"/>
      <c r="BF6" s="169"/>
      <c r="BG6" s="42" t="str">
        <f>IFERROR(IF(VLOOKUP(BC6,MB!$B$48:$R$82,10,FALSE)=0,"",VLOOKUP(BC6,MB!$B$48:$R$82,10,FALSE)),"")</f>
        <v/>
      </c>
      <c r="BH6" s="63" t="str">
        <f>IFERROR(VLOOKUP(BC6,MB!$B$48:$R$82,9,FALSE),"")</f>
        <v/>
      </c>
      <c r="BI6" s="150" t="str">
        <f>IFERROR(VLOOKUP(BI3,MB!$B$48:$R$82,16,FALSE),"")</f>
        <v/>
      </c>
      <c r="BJ6" s="151"/>
      <c r="BK6" s="152"/>
      <c r="BL6" s="153" t="str">
        <f>IFERROR(VLOOKUP(BI3,MB!$B$48:$R$82,17,FALSE),"")</f>
        <v/>
      </c>
      <c r="BM6" s="154"/>
      <c r="BN6" s="46" t="str">
        <f>IFERROR(VLOOKUP(BI3,MB!$B$48:$R$82,8,FALSE),"")</f>
        <v/>
      </c>
      <c r="BO6" s="168"/>
      <c r="BP6" s="169"/>
      <c r="BQ6" s="169"/>
      <c r="BR6" s="169"/>
      <c r="BS6" s="42" t="str">
        <f>IFERROR(IF(VLOOKUP(BO6,MB!$B$48:$R$82,10,FALSE)=0,"",VLOOKUP(BO6,MB!$B$48:$R$82,10,FALSE)),"")</f>
        <v/>
      </c>
      <c r="BT6" s="63" t="str">
        <f>IFERROR(VLOOKUP(BO6,MB!$B$48:$R$82,9,FALSE),"")</f>
        <v/>
      </c>
    </row>
    <row r="7" spans="1:72" ht="15.6" customHeight="1" thickBot="1" x14ac:dyDescent="0.3">
      <c r="A7" s="44" t="str">
        <f>IFERROR(VLOOKUP(A6,SKV!$B$48:$Z$82,11,FALSE),"")</f>
        <v>P</v>
      </c>
      <c r="B7" s="161">
        <f>IFERROR(YEAR(VLOOKUP(A6,SKV!$B$48:$Z$82,2,FALSE)),"")</f>
        <v>1993</v>
      </c>
      <c r="C7" s="162"/>
      <c r="D7" s="45">
        <f ca="1">IFERROR(VLOOKUP(A6,SKV!$B$48:$Z$82,3,FALSE),"")</f>
        <v>27</v>
      </c>
      <c r="E7" s="163" t="str">
        <f>IFERROR(VLOOKUP(A6,SKV!$B$48:$Z$82,15,FALSE),"")</f>
        <v>169/65</v>
      </c>
      <c r="F7" s="164"/>
      <c r="G7" s="43"/>
      <c r="H7" s="43"/>
      <c r="I7" s="43"/>
      <c r="J7" s="43"/>
      <c r="K7" s="43"/>
      <c r="L7" s="43"/>
      <c r="M7" s="44" t="str">
        <f>IFERROR(VLOOKUP(M6,SKV!$B$48:$Z$82,11,FALSE),"")</f>
        <v>L</v>
      </c>
      <c r="N7" s="161">
        <f>IFERROR(YEAR(VLOOKUP(M6,SKV!$B$48:$Z$82,2,FALSE)),"")</f>
        <v>1992</v>
      </c>
      <c r="O7" s="162"/>
      <c r="P7" s="45">
        <f ca="1">IFERROR(VLOOKUP(M6,SKV!$B$48:$Z$82,3,FALSE),"")</f>
        <v>28</v>
      </c>
      <c r="Q7" s="163" t="str">
        <f>IFERROR(VLOOKUP(M6,SKV!$B$48:$Z$82,15,FALSE),"")</f>
        <v>197/92</v>
      </c>
      <c r="R7" s="164"/>
      <c r="S7" s="44" t="str">
        <f>IFERROR(VLOOKUP(S6,CHO!$B$48:$Z$82,11,FALSE),"")</f>
        <v>P</v>
      </c>
      <c r="T7" s="161">
        <f>IFERROR(YEAR(VLOOKUP(S6,CHO!$B$48:$Z$82,2,FALSE)),"")</f>
        <v>1990</v>
      </c>
      <c r="U7" s="162"/>
      <c r="V7" s="45">
        <f ca="1">IFERROR(VLOOKUP(S6,CHO!$B$48:$Z$82,3,FALSE),"")</f>
        <v>30</v>
      </c>
      <c r="W7" s="163" t="str">
        <f>IFERROR(VLOOKUP(S6,CHO!$B$48:$Z$82,15,FALSE),"")</f>
        <v>173/82</v>
      </c>
      <c r="X7" s="164"/>
      <c r="Y7" s="43"/>
      <c r="Z7" s="43"/>
      <c r="AA7" s="43"/>
      <c r="AB7" s="43"/>
      <c r="AC7" s="43"/>
      <c r="AD7" s="43"/>
      <c r="AE7" s="44" t="str">
        <f>IFERROR(VLOOKUP(AE6,CHO!$B$48:$Z$82,11,FALSE),"")</f>
        <v>P</v>
      </c>
      <c r="AF7" s="161">
        <f>IFERROR(YEAR(VLOOKUP(AE6,CHO!$B$48:$Z$82,2,FALSE)),"")</f>
        <v>1988</v>
      </c>
      <c r="AG7" s="162"/>
      <c r="AH7" s="45">
        <f ca="1">IFERROR(VLOOKUP(AE6,CHO!$B$48:$Z$82,3,FALSE),"")</f>
        <v>32</v>
      </c>
      <c r="AI7" s="163" t="str">
        <f>IFERROR(VLOOKUP(AE6,CHO!$B$48:$Z$82,15,FALSE),"")</f>
        <v>180/74</v>
      </c>
      <c r="AJ7" s="164"/>
      <c r="AK7" s="44" t="str">
        <f>IFERROR(VLOOKUP(AK6,VIT!$B$48:$R$82,11,FALSE),"")</f>
        <v/>
      </c>
      <c r="AL7" s="161" t="str">
        <f>IFERROR(YEAR(VLOOKUP(AK6,VIT!$B$48:$R$82,2,FALSE)),"")</f>
        <v/>
      </c>
      <c r="AM7" s="162"/>
      <c r="AN7" s="122" t="str">
        <f>IFERROR(VLOOKUP(AK6,VIT!$B$48:$R$82,3,FALSE),"")</f>
        <v/>
      </c>
      <c r="AO7" s="163" t="str">
        <f>IFERROR(VLOOKUP(AK6,VIT!$B$48:$R$82,15,FALSE),"")</f>
        <v/>
      </c>
      <c r="AP7" s="164"/>
      <c r="AQ7" s="43"/>
      <c r="AR7" s="43"/>
      <c r="AS7" s="43"/>
      <c r="AT7" s="43"/>
      <c r="AU7" s="43"/>
      <c r="AV7" s="43"/>
      <c r="AW7" s="44" t="str">
        <f>IFERROR(VLOOKUP(AW6,VIT!$B$48:$R$82,11,FALSE),"")</f>
        <v/>
      </c>
      <c r="AX7" s="161" t="str">
        <f>IFERROR(YEAR(VLOOKUP(AW6,VIT!$B$48:$R$82,2,FALSE)),"")</f>
        <v/>
      </c>
      <c r="AY7" s="162"/>
      <c r="AZ7" s="122" t="str">
        <f>IFERROR(VLOOKUP(AW6,VIT!$B$48:$R$82,3,FALSE),"")</f>
        <v/>
      </c>
      <c r="BA7" s="163" t="str">
        <f>IFERROR(VLOOKUP(AW6,VIT!$B$48:$R$82,15,FALSE),"")</f>
        <v/>
      </c>
      <c r="BB7" s="164"/>
      <c r="BC7" s="44" t="str">
        <f>IFERROR(VLOOKUP(BC6,MB!$B$48:$R$82,11,FALSE),"")</f>
        <v/>
      </c>
      <c r="BD7" s="161" t="str">
        <f>IFERROR(YEAR(VLOOKUP(BC6,MB!$B$48:$R$82,2,FALSE)),"")</f>
        <v/>
      </c>
      <c r="BE7" s="162"/>
      <c r="BF7" s="125" t="str">
        <f>IFERROR(VLOOKUP(BC6,MB!$B$48:$R$82,3,FALSE),"")</f>
        <v/>
      </c>
      <c r="BG7" s="163" t="str">
        <f>IFERROR(VLOOKUP(BC6,MB!$B$48:$R$82,15,FALSE),"")</f>
        <v/>
      </c>
      <c r="BH7" s="164"/>
      <c r="BI7" s="43"/>
      <c r="BJ7" s="43"/>
      <c r="BK7" s="43"/>
      <c r="BL7" s="43"/>
      <c r="BM7" s="43"/>
      <c r="BN7" s="43"/>
      <c r="BO7" s="44" t="str">
        <f>IFERROR(VLOOKUP(BO6,MB!$B$48:$R$82,11,FALSE),"")</f>
        <v/>
      </c>
      <c r="BP7" s="161" t="str">
        <f>IFERROR(YEAR(VLOOKUP(BO6,MB!$B$48:$R$82,2,FALSE)),"")</f>
        <v/>
      </c>
      <c r="BQ7" s="162"/>
      <c r="BR7" s="125" t="str">
        <f>IFERROR(VLOOKUP(BO6,MB!$B$48:$R$82,3,FALSE),"")</f>
        <v/>
      </c>
      <c r="BS7" s="163" t="str">
        <f>IFERROR(VLOOKUP(BO6,MB!$B$48:$R$82,15,FALSE),"")</f>
        <v/>
      </c>
      <c r="BT7" s="164"/>
    </row>
    <row r="8" spans="1:72" ht="15.6" customHeight="1" x14ac:dyDescent="0.25">
      <c r="A8" s="179" t="str">
        <f>IFERROR(VLOOKUP(A6,SKV!$B$2:$O$36,14,FALSE),"")</f>
        <v>12 OZ , 7 (5+2), -12 ±</v>
      </c>
      <c r="B8" s="180"/>
      <c r="C8" s="180"/>
      <c r="D8" s="181" t="str">
        <f>IFERROR(VLOOKUP(A6,SKV!$B$48:$Z$82,14,FALSE),"")</f>
        <v>95 OZ, 49 (29+20)</v>
      </c>
      <c r="E8" s="181"/>
      <c r="F8" s="182"/>
      <c r="G8" s="43"/>
      <c r="H8" s="183" t="s">
        <v>29</v>
      </c>
      <c r="I8" s="183"/>
      <c r="J8" s="183"/>
      <c r="K8" s="183"/>
      <c r="L8" s="43"/>
      <c r="M8" s="179" t="str">
        <f>IFERROR(VLOOKUP(M6,SKV!$B$2:$O$36,14,FALSE),"")</f>
        <v>11 OZ , 3 (1+2), -7 ±</v>
      </c>
      <c r="N8" s="180"/>
      <c r="O8" s="180"/>
      <c r="P8" s="181" t="str">
        <f>IFERROR(VLOOKUP(M6,SKV!$B$48:$Z$82,14,FALSE),"")</f>
        <v>90 OZ, 22 (5+17)</v>
      </c>
      <c r="Q8" s="181"/>
      <c r="R8" s="182"/>
      <c r="S8" s="179" t="str">
        <f>IFERROR(VLOOKUP(S6,CHO!$B$2:$O$36,14,FALSE),"")</f>
        <v>12 OZ , 9 (4+5), +1 ±</v>
      </c>
      <c r="T8" s="180"/>
      <c r="U8" s="180"/>
      <c r="V8" s="181" t="str">
        <f>IFERROR(VLOOKUP(S6,CHO!$B$48:$Z$82,14,FALSE),"")</f>
        <v>210 OZ, 148 (44+104)</v>
      </c>
      <c r="W8" s="181"/>
      <c r="X8" s="182"/>
      <c r="Y8" s="43"/>
      <c r="Z8" s="183" t="s">
        <v>155</v>
      </c>
      <c r="AA8" s="183"/>
      <c r="AB8" s="183"/>
      <c r="AC8" s="183"/>
      <c r="AD8" s="43"/>
      <c r="AE8" s="179" t="str">
        <f>IFERROR(VLOOKUP(AE6,CHO!$B$2:$O$36,14,FALSE),"")</f>
        <v>12 OZ , 12 (2+10), +15 ±</v>
      </c>
      <c r="AF8" s="180"/>
      <c r="AG8" s="180"/>
      <c r="AH8" s="181" t="str">
        <f>IFERROR(VLOOKUP(AE6,CHO!$B$48:$Z$82,14,FALSE),"")</f>
        <v>216 OZ, 204 (56+148)</v>
      </c>
      <c r="AI8" s="181"/>
      <c r="AJ8" s="182"/>
      <c r="AK8" s="179" t="str">
        <f>IFERROR(VLOOKUP(AK6,VIT!$B$2:$O$36,14,FALSE),"")</f>
        <v/>
      </c>
      <c r="AL8" s="180"/>
      <c r="AM8" s="180"/>
      <c r="AN8" s="181" t="str">
        <f>IFERROR(VLOOKUP(AK6,VIT!$B$48:$R$82,14,FALSE),"")</f>
        <v/>
      </c>
      <c r="AO8" s="181"/>
      <c r="AP8" s="182"/>
      <c r="AQ8" s="43"/>
      <c r="AR8" s="183" t="s">
        <v>151</v>
      </c>
      <c r="AS8" s="183"/>
      <c r="AT8" s="183"/>
      <c r="AU8" s="183"/>
      <c r="AV8" s="43"/>
      <c r="AW8" s="179" t="str">
        <f>IFERROR(VLOOKUP(AW6,VIT!$B$2:$O$36,14,FALSE),"")</f>
        <v/>
      </c>
      <c r="AX8" s="180"/>
      <c r="AY8" s="180"/>
      <c r="AZ8" s="181" t="str">
        <f>IFERROR(VLOOKUP(AW6,VIT!$B$48:$R$82,14,FALSE),"")</f>
        <v/>
      </c>
      <c r="BA8" s="181"/>
      <c r="BB8" s="182"/>
      <c r="BC8" s="179" t="str">
        <f>IFERROR(VLOOKUP(BC6,MB!$B$2:$O$36,14,FALSE),"")</f>
        <v/>
      </c>
      <c r="BD8" s="180"/>
      <c r="BE8" s="180"/>
      <c r="BF8" s="181" t="str">
        <f>IFERROR(VLOOKUP(BC6,MB!$B$48:$R$82,14,FALSE),"")</f>
        <v/>
      </c>
      <c r="BG8" s="181"/>
      <c r="BH8" s="182"/>
      <c r="BI8" s="43"/>
      <c r="BJ8" s="183" t="s">
        <v>160</v>
      </c>
      <c r="BK8" s="183"/>
      <c r="BL8" s="183"/>
      <c r="BM8" s="183"/>
      <c r="BN8" s="43"/>
      <c r="BO8" s="179" t="str">
        <f>IFERROR(VLOOKUP(BO6,MB!$B$2:$O$36,14,FALSE),"")</f>
        <v/>
      </c>
      <c r="BP8" s="180"/>
      <c r="BQ8" s="180"/>
      <c r="BR8" s="181" t="str">
        <f>IFERROR(VLOOKUP(BO6,MB!$B$48:$R$82,14,FALSE),"")</f>
        <v/>
      </c>
      <c r="BS8" s="181"/>
      <c r="BT8" s="182"/>
    </row>
    <row r="9" spans="1:72" ht="15.6" customHeight="1" thickBot="1" x14ac:dyDescent="0.3">
      <c r="A9" s="150" t="str">
        <f>IFERROR(VLOOKUP(A6,SKV!$B$48:$Z$82,16,FALSE),"")</f>
        <v>Lhokamo</v>
      </c>
      <c r="B9" s="151"/>
      <c r="C9" s="152"/>
      <c r="D9" s="153">
        <f>IFERROR(VLOOKUP(A6,SKV!$B$48:$Z$82,17,FALSE),"")</f>
        <v>2004</v>
      </c>
      <c r="E9" s="154"/>
      <c r="F9" s="46">
        <f>IFERROR(VLOOKUP(A6,SKV!$B$48:$Z$82,8,FALSE),"")</f>
        <v>6</v>
      </c>
      <c r="G9" s="43"/>
      <c r="H9" s="183"/>
      <c r="I9" s="183"/>
      <c r="J9" s="183"/>
      <c r="K9" s="183"/>
      <c r="L9" s="43"/>
      <c r="M9" s="150" t="str">
        <f>IFERROR(VLOOKUP(M6,SKV!$B$48:$Z$82,16,FALSE),"")</f>
        <v>Česká Lípa</v>
      </c>
      <c r="N9" s="151"/>
      <c r="O9" s="152"/>
      <c r="P9" s="153">
        <f>IFERROR(VLOOKUP(M6,SKV!$B$48:$Z$82,17,FALSE),"")</f>
        <v>2007</v>
      </c>
      <c r="Q9" s="154"/>
      <c r="R9" s="46">
        <f>IFERROR(VLOOKUP(M6,SKV!$B$48:$Z$82,8,FALSE),"")</f>
        <v>5</v>
      </c>
      <c r="S9" s="150" t="str">
        <f>IFERROR(VLOOKUP(S6,CHO!$B$48:$Z$82,16,FALSE),"")</f>
        <v>Faraos Praha</v>
      </c>
      <c r="T9" s="151"/>
      <c r="U9" s="152"/>
      <c r="V9" s="153">
        <f>IFERROR(VLOOKUP(S6,CHO!$B$48:$Z$82,17,FALSE),"")</f>
        <v>1998</v>
      </c>
      <c r="W9" s="154"/>
      <c r="X9" s="46">
        <f>IFERROR(VLOOKUP(S6,CHO!$B$48:$Z$82,8,FALSE),"")</f>
        <v>11</v>
      </c>
      <c r="Y9" s="43"/>
      <c r="Z9" s="183"/>
      <c r="AA9" s="183"/>
      <c r="AB9" s="183"/>
      <c r="AC9" s="183"/>
      <c r="AD9" s="43"/>
      <c r="AE9" s="150" t="str">
        <f>IFERROR(VLOOKUP(AE6,CHO!$B$48:$Z$82,16,FALSE),"")</f>
        <v>SK Juvenis Přibyslav</v>
      </c>
      <c r="AF9" s="151"/>
      <c r="AG9" s="152"/>
      <c r="AH9" s="153">
        <f>IFERROR(VLOOKUP(AE6,CHO!$B$48:$Z$82,17,FALSE),"")</f>
        <v>2004</v>
      </c>
      <c r="AI9" s="154"/>
      <c r="AJ9" s="46">
        <f>IFERROR(VLOOKUP(AE6,CHO!$B$48:$Z$82,8,FALSE),"")</f>
        <v>11</v>
      </c>
      <c r="AK9" s="150" t="str">
        <f>IFERROR(VLOOKUP(AK6,VIT!$B$48:$R$82,16,FALSE),"")</f>
        <v/>
      </c>
      <c r="AL9" s="151"/>
      <c r="AM9" s="152"/>
      <c r="AN9" s="153" t="str">
        <f>IFERROR(VLOOKUP(AK6,VIT!$B$48:$R$82,17,FALSE),"")</f>
        <v/>
      </c>
      <c r="AO9" s="154"/>
      <c r="AP9" s="46" t="str">
        <f>IFERROR(VLOOKUP(AK6,VIT!$B$48:$R$82,8,FALSE),"")</f>
        <v/>
      </c>
      <c r="AQ9" s="43"/>
      <c r="AR9" s="183"/>
      <c r="AS9" s="183"/>
      <c r="AT9" s="183"/>
      <c r="AU9" s="183"/>
      <c r="AV9" s="43"/>
      <c r="AW9" s="150" t="str">
        <f>IFERROR(VLOOKUP(AW6,VIT!$B$48:$R$82,16,FALSE),"")</f>
        <v/>
      </c>
      <c r="AX9" s="151"/>
      <c r="AY9" s="152"/>
      <c r="AZ9" s="153" t="str">
        <f>IFERROR(VLOOKUP(AW6,VIT!$B$48:$R$82,17,FALSE),"")</f>
        <v/>
      </c>
      <c r="BA9" s="154"/>
      <c r="BB9" s="46" t="str">
        <f>IFERROR(VLOOKUP(AW6,VIT!$B$48:$R$82,8,FALSE),"")</f>
        <v/>
      </c>
      <c r="BC9" s="150" t="str">
        <f>IFERROR(VLOOKUP(BC6,MB!$B$48:$R$82,16,FALSE),"")</f>
        <v/>
      </c>
      <c r="BD9" s="151"/>
      <c r="BE9" s="152"/>
      <c r="BF9" s="153" t="str">
        <f>IFERROR(VLOOKUP(BC6,MB!$B$48:$R$82,17,FALSE),"")</f>
        <v/>
      </c>
      <c r="BG9" s="154"/>
      <c r="BH9" s="46" t="str">
        <f>IFERROR(VLOOKUP(BC6,MB!$B$48:$R$82,8,FALSE),"")</f>
        <v/>
      </c>
      <c r="BI9" s="43"/>
      <c r="BJ9" s="183"/>
      <c r="BK9" s="183"/>
      <c r="BL9" s="183"/>
      <c r="BM9" s="183"/>
      <c r="BN9" s="43"/>
      <c r="BO9" s="150" t="str">
        <f>IFERROR(VLOOKUP(BO6,MB!$B$48:$R$82,16,FALSE),"")</f>
        <v/>
      </c>
      <c r="BP9" s="151"/>
      <c r="BQ9" s="152"/>
      <c r="BR9" s="153" t="str">
        <f>IFERROR(VLOOKUP(BO6,MB!$B$48:$R$82,17,FALSE),"")</f>
        <v/>
      </c>
      <c r="BS9" s="154"/>
      <c r="BT9" s="46" t="str">
        <f>IFERROR(VLOOKUP(BO6,MB!$B$48:$R$82,8,FALSE),"")</f>
        <v/>
      </c>
    </row>
    <row r="10" spans="1:72" ht="15.6" customHeight="1" thickTop="1" thickBot="1" x14ac:dyDescent="0.3">
      <c r="A10" s="47"/>
      <c r="B10" s="47"/>
      <c r="C10" s="47"/>
      <c r="D10" s="47"/>
      <c r="E10" s="48"/>
      <c r="F10" s="48"/>
      <c r="G10" s="49"/>
      <c r="H10" s="49"/>
      <c r="I10" s="49"/>
      <c r="J10" s="49"/>
      <c r="K10" s="49"/>
      <c r="L10" s="49"/>
      <c r="M10" s="47"/>
      <c r="N10" s="47"/>
      <c r="O10" s="47"/>
      <c r="P10" s="47"/>
      <c r="Q10" s="48"/>
      <c r="R10" s="48"/>
      <c r="S10" s="47"/>
      <c r="T10" s="47"/>
      <c r="U10" s="47"/>
      <c r="V10" s="47"/>
      <c r="W10" s="48"/>
      <c r="X10" s="48"/>
      <c r="Y10" s="49"/>
      <c r="Z10" s="49"/>
      <c r="AA10" s="49"/>
      <c r="AB10" s="49"/>
      <c r="AC10" s="49"/>
      <c r="AD10" s="49"/>
      <c r="AE10" s="47"/>
      <c r="AF10" s="47"/>
      <c r="AG10" s="47"/>
      <c r="AH10" s="47"/>
      <c r="AI10" s="48"/>
      <c r="AJ10" s="48"/>
      <c r="AK10" s="47"/>
      <c r="AL10" s="47"/>
      <c r="AM10" s="47"/>
      <c r="AN10" s="47"/>
      <c r="AO10" s="48"/>
      <c r="AP10" s="48"/>
      <c r="AQ10" s="49"/>
      <c r="AR10" s="49"/>
      <c r="AS10" s="49"/>
      <c r="AT10" s="49"/>
      <c r="AU10" s="49"/>
      <c r="AV10" s="49"/>
      <c r="AW10" s="47"/>
      <c r="AX10" s="47"/>
      <c r="AY10" s="47"/>
      <c r="AZ10" s="47"/>
      <c r="BA10" s="48"/>
      <c r="BB10" s="48"/>
      <c r="BC10" s="47"/>
      <c r="BD10" s="47"/>
      <c r="BE10" s="47"/>
      <c r="BF10" s="47"/>
      <c r="BG10" s="48"/>
      <c r="BH10" s="48"/>
      <c r="BI10" s="49"/>
      <c r="BJ10" s="49"/>
      <c r="BK10" s="49"/>
      <c r="BL10" s="49"/>
      <c r="BM10" s="49"/>
      <c r="BN10" s="49"/>
      <c r="BO10" s="47"/>
      <c r="BP10" s="47"/>
      <c r="BQ10" s="47"/>
      <c r="BR10" s="47"/>
      <c r="BS10" s="48"/>
      <c r="BT10" s="48"/>
    </row>
    <row r="11" spans="1:72" ht="15.6" customHeight="1" thickTop="1" thickBot="1" x14ac:dyDescent="0.3">
      <c r="A11" s="43"/>
      <c r="B11" s="43"/>
      <c r="C11" s="43"/>
      <c r="D11" s="43"/>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c r="BO11" s="43"/>
      <c r="BP11" s="43"/>
      <c r="BQ11" s="43"/>
      <c r="BR11" s="43"/>
      <c r="BS11" s="43"/>
      <c r="BT11" s="43"/>
    </row>
    <row r="12" spans="1:72" ht="15.6" customHeight="1" thickTop="1" thickBot="1" x14ac:dyDescent="0.3">
      <c r="A12" s="168" t="s">
        <v>31</v>
      </c>
      <c r="B12" s="169"/>
      <c r="C12" s="169"/>
      <c r="D12" s="169"/>
      <c r="E12" s="42" t="str">
        <f>IFERROR(IF(VLOOKUP(A12,SKV!$B$48:$Z$82,10,FALSE)=0,"",VLOOKUP(A12,SKV!$B$48:$Z$82,10,FALSE)),"")</f>
        <v/>
      </c>
      <c r="F12" s="63">
        <f>IFERROR(VLOOKUP(A12,SKV!$B$48:$Z$82,9,FALSE),"")</f>
        <v>32</v>
      </c>
      <c r="G12" s="43"/>
      <c r="H12" s="184" t="s">
        <v>165</v>
      </c>
      <c r="I12" s="184"/>
      <c r="J12" s="184"/>
      <c r="K12" s="184"/>
      <c r="L12" s="43"/>
      <c r="M12" s="168" t="s">
        <v>3</v>
      </c>
      <c r="N12" s="169"/>
      <c r="O12" s="169"/>
      <c r="P12" s="169"/>
      <c r="Q12" s="42" t="str">
        <f>IFERROR(IF(VLOOKUP(M12,SKV!$B$48:$Z$82,10,FALSE)=0,"",VLOOKUP(M12,SKV!$B$48:$Z$82,10,FALSE)),"")</f>
        <v/>
      </c>
      <c r="R12" s="63">
        <f>IFERROR(VLOOKUP(M12,SKV!$B$48:$Z$82,9,FALSE),"")</f>
        <v>24</v>
      </c>
      <c r="S12" s="168" t="s">
        <v>173</v>
      </c>
      <c r="T12" s="169"/>
      <c r="U12" s="169"/>
      <c r="V12" s="169"/>
      <c r="W12" s="42" t="str">
        <f>IFERROR(IF(VLOOKUP(S12,CHO!$B$48:$Z$82,10,FALSE)=0,"",VLOOKUP(S12,CHO!$B$48:$Z$82,10,FALSE)),"")</f>
        <v/>
      </c>
      <c r="X12" s="63">
        <f>IFERROR(VLOOKUP(S12,CHO!$B$48:$Z$82,9,FALSE),"")</f>
        <v>84</v>
      </c>
      <c r="Y12" s="43"/>
      <c r="Z12" s="184" t="s">
        <v>165</v>
      </c>
      <c r="AA12" s="184"/>
      <c r="AB12" s="184"/>
      <c r="AC12" s="184"/>
      <c r="AD12" s="43"/>
      <c r="AE12" s="168" t="s">
        <v>184</v>
      </c>
      <c r="AF12" s="169"/>
      <c r="AG12" s="169"/>
      <c r="AH12" s="169"/>
      <c r="AI12" s="42" t="str">
        <f>IFERROR(IF(VLOOKUP(AE12,CHO!$B$48:$Z$82,10,FALSE)=0,"",VLOOKUP(AE12,CHO!$B$48:$Z$82,10,FALSE)),"")</f>
        <v>C</v>
      </c>
      <c r="AJ12" s="63">
        <f>IFERROR(VLOOKUP(AE12,CHO!$B$48:$Z$82,9,FALSE),"")</f>
        <v>32</v>
      </c>
      <c r="AK12" s="168"/>
      <c r="AL12" s="169"/>
      <c r="AM12" s="169"/>
      <c r="AN12" s="169"/>
      <c r="AO12" s="42" t="str">
        <f>IFERROR(IF(VLOOKUP(AK12,VIT!$B$48:$R$82,10,FALSE)=0,"",VLOOKUP(AK12,VIT!$B$48:$R$82,10,FALSE)),"")</f>
        <v/>
      </c>
      <c r="AP12" s="63" t="str">
        <f>IFERROR(VLOOKUP(AK12,VIT!$B$48:$R$82,9,FALSE),"")</f>
        <v/>
      </c>
      <c r="AQ12" s="43"/>
      <c r="AR12" s="184" t="s">
        <v>165</v>
      </c>
      <c r="AS12" s="184"/>
      <c r="AT12" s="184"/>
      <c r="AU12" s="184"/>
      <c r="AV12" s="43"/>
      <c r="AW12" s="168"/>
      <c r="AX12" s="169"/>
      <c r="AY12" s="169"/>
      <c r="AZ12" s="169"/>
      <c r="BA12" s="42" t="str">
        <f>IFERROR(IF(VLOOKUP(AW12,VIT!$B$48:$R$82,10,FALSE)=0,"",VLOOKUP(AW12,VIT!$B$48:$R$82,10,FALSE)),"")</f>
        <v/>
      </c>
      <c r="BB12" s="63" t="str">
        <f>IFERROR(VLOOKUP(AW12,VIT!$B$48:$R$82,9,FALSE),"")</f>
        <v/>
      </c>
      <c r="BC12" s="168"/>
      <c r="BD12" s="169"/>
      <c r="BE12" s="169"/>
      <c r="BF12" s="169"/>
      <c r="BG12" s="42" t="str">
        <f>IFERROR(IF(VLOOKUP(BC12,MB!$B$48:$R$82,10,FALSE)=0,"",VLOOKUP(BC12,MB!$B$48:$R$82,10,FALSE)),"")</f>
        <v/>
      </c>
      <c r="BH12" s="63" t="str">
        <f>IFERROR(VLOOKUP(BC12,MB!$B$48:$R$82,9,FALSE),"")</f>
        <v/>
      </c>
      <c r="BI12" s="43"/>
      <c r="BJ12" s="184" t="s">
        <v>165</v>
      </c>
      <c r="BK12" s="184"/>
      <c r="BL12" s="184"/>
      <c r="BM12" s="184"/>
      <c r="BN12" s="43"/>
      <c r="BO12" s="168"/>
      <c r="BP12" s="169"/>
      <c r="BQ12" s="169"/>
      <c r="BR12" s="169"/>
      <c r="BS12" s="42" t="str">
        <f>IFERROR(IF(VLOOKUP(BO12,MB!$B$48:$R$82,10,FALSE)=0,"",VLOOKUP(BO12,MB!$B$48:$R$82,10,FALSE)),"")</f>
        <v/>
      </c>
      <c r="BT12" s="63" t="str">
        <f>IFERROR(VLOOKUP(BO12,MB!$B$48:$R$82,9,FALSE),"")</f>
        <v/>
      </c>
    </row>
    <row r="13" spans="1:72" ht="15.6" customHeight="1" thickBot="1" x14ac:dyDescent="0.3">
      <c r="A13" s="44" t="str">
        <f>IFERROR(VLOOKUP(A12,SKV!$B$48:$Z$82,11,FALSE),"")</f>
        <v>L</v>
      </c>
      <c r="B13" s="161">
        <f>IFERROR(YEAR(VLOOKUP(A12,SKV!$B$48:$Z$82,2,FALSE)),"")</f>
        <v>2000</v>
      </c>
      <c r="C13" s="162"/>
      <c r="D13" s="45">
        <f ca="1">IFERROR(VLOOKUP(A12,SKV!$B$48:$Z$82,3,FALSE),"")</f>
        <v>20</v>
      </c>
      <c r="E13" s="163" t="str">
        <f>IFERROR(VLOOKUP(A12,SKV!$B$48:$Z$82,15,FALSE),"")</f>
        <v>175/70</v>
      </c>
      <c r="F13" s="164"/>
      <c r="G13" s="43"/>
      <c r="H13" s="43"/>
      <c r="I13" s="43"/>
      <c r="J13" s="43"/>
      <c r="K13" s="43"/>
      <c r="L13" s="43"/>
      <c r="M13" s="44" t="str">
        <f>IFERROR(VLOOKUP(M12,SKV!$B$48:$Z$82,11,FALSE),"")</f>
        <v>L</v>
      </c>
      <c r="N13" s="161">
        <f>IFERROR(YEAR(VLOOKUP(M12,SKV!$B$48:$Z$82,2,FALSE)),"")</f>
        <v>1991</v>
      </c>
      <c r="O13" s="162"/>
      <c r="P13" s="45">
        <f ca="1">IFERROR(VLOOKUP(M12,SKV!$B$48:$Z$82,3,FALSE),"")</f>
        <v>29</v>
      </c>
      <c r="Q13" s="163" t="str">
        <f>IFERROR(VLOOKUP(M12,SKV!$B$48:$Z$82,15,FALSE),"")</f>
        <v>180/78</v>
      </c>
      <c r="R13" s="164"/>
      <c r="S13" s="44" t="str">
        <f>IFERROR(VLOOKUP(S12,CHO!$B$48:$Z$82,11,FALSE),"")</f>
        <v>P</v>
      </c>
      <c r="T13" s="161">
        <f>IFERROR(YEAR(VLOOKUP(S12,CHO!$B$48:$Z$82,2,FALSE)),"")</f>
        <v>2002</v>
      </c>
      <c r="U13" s="162"/>
      <c r="V13" s="45">
        <f ca="1">IFERROR(VLOOKUP(S12,CHO!$B$48:$Z$82,3,FALSE),"")</f>
        <v>18</v>
      </c>
      <c r="W13" s="163" t="str">
        <f>IFERROR(VLOOKUP(S12,CHO!$B$48:$Z$82,15,FALSE),"")</f>
        <v>183/72</v>
      </c>
      <c r="X13" s="164"/>
      <c r="Y13" s="43"/>
      <c r="Z13" s="43"/>
      <c r="AA13" s="43"/>
      <c r="AB13" s="43"/>
      <c r="AC13" s="43"/>
      <c r="AD13" s="43"/>
      <c r="AE13" s="44" t="str">
        <f>IFERROR(VLOOKUP(AE12,CHO!$B$48:$Z$82,11,FALSE),"")</f>
        <v>L</v>
      </c>
      <c r="AF13" s="161">
        <f>IFERROR(YEAR(VLOOKUP(AE12,CHO!$B$48:$Z$82,2,FALSE)),"")</f>
        <v>1986</v>
      </c>
      <c r="AG13" s="162"/>
      <c r="AH13" s="45">
        <f ca="1">IFERROR(VLOOKUP(AE12,CHO!$B$48:$Z$82,3,FALSE),"")</f>
        <v>34</v>
      </c>
      <c r="AI13" s="163" t="str">
        <f>IFERROR(VLOOKUP(AE12,CHO!$B$48:$Z$82,15,FALSE),"")</f>
        <v>186/84</v>
      </c>
      <c r="AJ13" s="164"/>
      <c r="AK13" s="44" t="str">
        <f>IFERROR(VLOOKUP(AK12,VIT!$B$48:$R$82,11,FALSE),"")</f>
        <v/>
      </c>
      <c r="AL13" s="161" t="str">
        <f>IFERROR(YEAR(VLOOKUP(AK12,VIT!$B$48:$R$82,2,FALSE)),"")</f>
        <v/>
      </c>
      <c r="AM13" s="162"/>
      <c r="AN13" s="122" t="str">
        <f>IFERROR(VLOOKUP(AK12,VIT!$B$48:$R$82,3,FALSE),"")</f>
        <v/>
      </c>
      <c r="AO13" s="163" t="str">
        <f>IFERROR(VLOOKUP(AK12,VIT!$B$48:$R$82,15,FALSE),"")</f>
        <v/>
      </c>
      <c r="AP13" s="164"/>
      <c r="AQ13" s="43"/>
      <c r="AR13" s="43"/>
      <c r="AS13" s="43"/>
      <c r="AT13" s="43"/>
      <c r="AU13" s="43"/>
      <c r="AV13" s="43"/>
      <c r="AW13" s="44" t="str">
        <f>IFERROR(VLOOKUP(AW12,VIT!$B$48:$R$82,11,FALSE),"")</f>
        <v/>
      </c>
      <c r="AX13" s="161" t="str">
        <f>IFERROR(YEAR(VLOOKUP(AW12,VIT!$B$48:$R$82,2,FALSE)),"")</f>
        <v/>
      </c>
      <c r="AY13" s="162"/>
      <c r="AZ13" s="122" t="str">
        <f>IFERROR(VLOOKUP(AW12,VIT!$B$48:$R$82,3,FALSE),"")</f>
        <v/>
      </c>
      <c r="BA13" s="163" t="str">
        <f>IFERROR(VLOOKUP(AW12,VIT!$B$48:$R$82,15,FALSE),"")</f>
        <v/>
      </c>
      <c r="BB13" s="164"/>
      <c r="BC13" s="44" t="str">
        <f>IFERROR(VLOOKUP(BC12,MB!$B$48:$R$82,11,FALSE),"")</f>
        <v/>
      </c>
      <c r="BD13" s="161" t="str">
        <f>IFERROR(YEAR(VLOOKUP(BC12,MB!$B$48:$R$82,2,FALSE)),"")</f>
        <v/>
      </c>
      <c r="BE13" s="162"/>
      <c r="BF13" s="125" t="str">
        <f>IFERROR(VLOOKUP(BC12,MB!$B$48:$R$82,3,FALSE),"")</f>
        <v/>
      </c>
      <c r="BG13" s="163" t="str">
        <f>IFERROR(VLOOKUP(BC12,MB!$B$48:$R$82,15,FALSE),"")</f>
        <v/>
      </c>
      <c r="BH13" s="164"/>
      <c r="BI13" s="43"/>
      <c r="BJ13" s="43"/>
      <c r="BK13" s="43"/>
      <c r="BL13" s="43"/>
      <c r="BM13" s="43"/>
      <c r="BN13" s="43"/>
      <c r="BO13" s="44" t="str">
        <f>IFERROR(VLOOKUP(BO12,MB!$B$48:$R$82,11,FALSE),"")</f>
        <v/>
      </c>
      <c r="BP13" s="161" t="str">
        <f>IFERROR(YEAR(VLOOKUP(BO12,MB!$B$48:$R$82,2,FALSE)),"")</f>
        <v/>
      </c>
      <c r="BQ13" s="162"/>
      <c r="BR13" s="125" t="str">
        <f>IFERROR(VLOOKUP(BO12,MB!$B$48:$R$82,3,FALSE),"")</f>
        <v/>
      </c>
      <c r="BS13" s="163" t="str">
        <f>IFERROR(VLOOKUP(BO12,MB!$B$48:$R$82,15,FALSE),"")</f>
        <v/>
      </c>
      <c r="BT13" s="164"/>
    </row>
    <row r="14" spans="1:72" ht="15.6" customHeight="1" thickTop="1" thickBot="1" x14ac:dyDescent="0.3">
      <c r="A14" s="179" t="str">
        <f>IFERROR(VLOOKUP(A12,SKV!$B$2:$O$36,14,FALSE),"")</f>
        <v>9 OZ , 5 (0+5), 0 ±</v>
      </c>
      <c r="B14" s="180"/>
      <c r="C14" s="180"/>
      <c r="D14" s="181" t="str">
        <f>IFERROR(VLOOKUP(A12,SKV!$B$48:$Z$82,14,FALSE),"")</f>
        <v>42 OZ, 13 (2+11)</v>
      </c>
      <c r="E14" s="181"/>
      <c r="F14" s="182"/>
      <c r="G14" s="168" t="s">
        <v>14</v>
      </c>
      <c r="H14" s="169"/>
      <c r="I14" s="169"/>
      <c r="J14" s="169"/>
      <c r="K14" s="42" t="str">
        <f>IFERROR(IF(VLOOKUP(G14,SKV!$B$48:$Z$82,10,FALSE)=0,"",VLOOKUP(G14,SKV!$B$48:$Z$82,10,FALSE)),"")</f>
        <v/>
      </c>
      <c r="L14" s="63">
        <f>IFERROR(VLOOKUP(G14,SKV!$B$48:$Z$82,9,FALSE),"")</f>
        <v>78</v>
      </c>
      <c r="M14" s="179" t="str">
        <f>IFERROR(VLOOKUP(M12,SKV!$B$2:$O$36,14,FALSE),"")</f>
        <v>12 OZ , 8 (5+3), 0 ±</v>
      </c>
      <c r="N14" s="180"/>
      <c r="O14" s="180"/>
      <c r="P14" s="181" t="str">
        <f>IFERROR(VLOOKUP(M12,SKV!$B$48:$Z$82,14,FALSE),"")</f>
        <v>68 OZ, 60 (40+20)</v>
      </c>
      <c r="Q14" s="181"/>
      <c r="R14" s="182"/>
      <c r="S14" s="179" t="str">
        <f>IFERROR(VLOOKUP(S12,CHO!$B$2:$O$36,14,FALSE),"")</f>
        <v>11 OZ , 13 (10+3), -3 ±</v>
      </c>
      <c r="T14" s="180"/>
      <c r="U14" s="180"/>
      <c r="V14" s="181" t="str">
        <f>IFERROR(VLOOKUP(S12,CHO!$B$48:$Z$82,14,FALSE),"")</f>
        <v>26 OZ, 28 (17+11)</v>
      </c>
      <c r="W14" s="181"/>
      <c r="X14" s="182"/>
      <c r="Y14" s="168" t="s">
        <v>176</v>
      </c>
      <c r="Z14" s="169"/>
      <c r="AA14" s="169"/>
      <c r="AB14" s="169"/>
      <c r="AC14" s="42" t="str">
        <f>IFERROR(IF(VLOOKUP(Y14,CHO!$B$48:$Z$82,10,FALSE)=0,"",VLOOKUP(Y14,CHO!$B$48:$Z$82,10,FALSE)),"")</f>
        <v/>
      </c>
      <c r="AD14" s="63">
        <f>IFERROR(VLOOKUP(Y14,CHO!$B$48:$Z$82,9,FALSE),"")</f>
        <v>87</v>
      </c>
      <c r="AE14" s="179" t="str">
        <f>IFERROR(VLOOKUP(AE12,CHO!$B$2:$O$36,14,FALSE),"")</f>
        <v>10 OZ , 2 (1+1), -3 ±</v>
      </c>
      <c r="AF14" s="180"/>
      <c r="AG14" s="180"/>
      <c r="AH14" s="181" t="str">
        <f>IFERROR(VLOOKUP(AE12,CHO!$B$48:$Z$82,14,FALSE),"")</f>
        <v>263 OZ, 311 (178+133)</v>
      </c>
      <c r="AI14" s="181"/>
      <c r="AJ14" s="182"/>
      <c r="AK14" s="179" t="str">
        <f>IFERROR(VLOOKUP(AK12,VIT!$B$2:$O$36,14,FALSE),"")</f>
        <v/>
      </c>
      <c r="AL14" s="180"/>
      <c r="AM14" s="180"/>
      <c r="AN14" s="181" t="str">
        <f>IFERROR(VLOOKUP(AK12,VIT!$B$48:$R$82,14,FALSE),"")</f>
        <v/>
      </c>
      <c r="AO14" s="181"/>
      <c r="AP14" s="182"/>
      <c r="AQ14" s="168"/>
      <c r="AR14" s="169"/>
      <c r="AS14" s="169"/>
      <c r="AT14" s="169"/>
      <c r="AU14" s="42" t="str">
        <f>IFERROR(IF(VLOOKUP(AQ14,VIT!$B$48:$R$82,10,FALSE)=0,"",VLOOKUP(AQ14,VIT!$B$48:$R$82,10,FALSE)),"")</f>
        <v/>
      </c>
      <c r="AV14" s="63" t="str">
        <f>IFERROR(VLOOKUP(AQ14,VIT!$B$48:$R$82,9,FALSE),"")</f>
        <v/>
      </c>
      <c r="AW14" s="179" t="str">
        <f>IFERROR(VLOOKUP(AW12,VIT!$B$2:$O$36,14,FALSE),"")</f>
        <v/>
      </c>
      <c r="AX14" s="180"/>
      <c r="AY14" s="180"/>
      <c r="AZ14" s="181" t="str">
        <f>IFERROR(VLOOKUP(AW12,VIT!$B$48:$R$82,14,FALSE),"")</f>
        <v/>
      </c>
      <c r="BA14" s="181"/>
      <c r="BB14" s="182"/>
      <c r="BC14" s="179" t="str">
        <f>IFERROR(VLOOKUP(BC12,MB!$B$2:$O$36,14,FALSE),"")</f>
        <v/>
      </c>
      <c r="BD14" s="180"/>
      <c r="BE14" s="180"/>
      <c r="BF14" s="181" t="str">
        <f>IFERROR(VLOOKUP(BC12,MB!$B$48:$R$82,14,FALSE),"")</f>
        <v/>
      </c>
      <c r="BG14" s="181"/>
      <c r="BH14" s="182"/>
      <c r="BI14" s="168"/>
      <c r="BJ14" s="169"/>
      <c r="BK14" s="169"/>
      <c r="BL14" s="169"/>
      <c r="BM14" s="42" t="str">
        <f>IFERROR(IF(VLOOKUP(BI14,MB!$B$48:$R$82,10,FALSE)=0,"",VLOOKUP(BI14,MB!$B$48:$R$82,10,FALSE)),"")</f>
        <v/>
      </c>
      <c r="BN14" s="63" t="str">
        <f>IFERROR(VLOOKUP(BI14,MB!$B$48:$R$82,9,FALSE),"")</f>
        <v/>
      </c>
      <c r="BO14" s="179" t="str">
        <f>IFERROR(VLOOKUP(BO12,MB!$B$2:$O$36,14,FALSE),"")</f>
        <v/>
      </c>
      <c r="BP14" s="180"/>
      <c r="BQ14" s="180"/>
      <c r="BR14" s="181" t="str">
        <f>IFERROR(VLOOKUP(BO12,MB!$B$48:$R$82,14,FALSE),"")</f>
        <v/>
      </c>
      <c r="BS14" s="181"/>
      <c r="BT14" s="182"/>
    </row>
    <row r="15" spans="1:72" ht="15.6" customHeight="1" thickBot="1" x14ac:dyDescent="0.3">
      <c r="A15" s="150" t="str">
        <f>IFERROR(VLOOKUP(A12,SKV!$B$48:$Z$82,16,FALSE),"")</f>
        <v>SKV</v>
      </c>
      <c r="B15" s="151"/>
      <c r="C15" s="152"/>
      <c r="D15" s="153">
        <f>IFERROR(VLOOKUP(A12,SKV!$B$48:$Z$82,17,FALSE),"")</f>
        <v>2015</v>
      </c>
      <c r="E15" s="154"/>
      <c r="F15" s="46">
        <f>IFERROR(VLOOKUP(A12,SKV!$B$48:$Z$82,8,FALSE),"")</f>
        <v>3</v>
      </c>
      <c r="G15" s="44" t="str">
        <f>IFERROR(VLOOKUP(G14,SKV!$B$48:$Z$82,11,FALSE),"")</f>
        <v>L</v>
      </c>
      <c r="H15" s="161">
        <f>IFERROR(YEAR(VLOOKUP(G14,SKV!$B$48:$Z$82,2,FALSE)),"")</f>
        <v>1992</v>
      </c>
      <c r="I15" s="162"/>
      <c r="J15" s="45">
        <f ca="1">IFERROR(VLOOKUP(G14,SKV!$B$48:$Z$82,3,FALSE),"")</f>
        <v>28</v>
      </c>
      <c r="K15" s="163" t="str">
        <f>IFERROR(VLOOKUP(G14,SKV!$B$48:$Z$82,15,FALSE),"")</f>
        <v>172/73</v>
      </c>
      <c r="L15" s="164"/>
      <c r="M15" s="150" t="str">
        <f>IFERROR(VLOOKUP(M12,SKV!$B$48:$Z$82,16,FALSE),"")</f>
        <v>FBK Kunovští Orli</v>
      </c>
      <c r="N15" s="151"/>
      <c r="O15" s="152"/>
      <c r="P15" s="153">
        <f>IFERROR(VLOOKUP(M12,SKV!$B$48:$Z$82,17,FALSE),"")</f>
        <v>2008</v>
      </c>
      <c r="Q15" s="154"/>
      <c r="R15" s="46">
        <f>IFERROR(VLOOKUP(M12,SKV!$B$48:$Z$82,8,FALSE),"")</f>
        <v>4</v>
      </c>
      <c r="S15" s="150" t="str">
        <f>IFERROR(VLOOKUP(S12,CHO!$B$48:$Z$82,16,FALSE),"")</f>
        <v>FBC Plzeň</v>
      </c>
      <c r="T15" s="151"/>
      <c r="U15" s="152"/>
      <c r="V15" s="153">
        <f>IFERROR(VLOOKUP(S12,CHO!$B$48:$Z$82,17,FALSE),"")</f>
        <v>2009</v>
      </c>
      <c r="W15" s="154"/>
      <c r="X15" s="46">
        <f>IFERROR(VLOOKUP(S12,CHO!$B$48:$Z$82,8,FALSE),"")</f>
        <v>2</v>
      </c>
      <c r="Y15" s="44" t="str">
        <f>IFERROR(VLOOKUP(Y14,CHO!$B$48:$Z$82,11,FALSE),"")</f>
        <v>L</v>
      </c>
      <c r="Z15" s="161">
        <f>IFERROR(YEAR(VLOOKUP(Y14,CHO!$B$48:$Z$82,2,FALSE)),"")</f>
        <v>1992</v>
      </c>
      <c r="AA15" s="162"/>
      <c r="AB15" s="45">
        <f ca="1">IFERROR(VLOOKUP(Y14,CHO!$B$48:$Z$82,3,FALSE),"")</f>
        <v>28</v>
      </c>
      <c r="AC15" s="163" t="str">
        <f>IFERROR(VLOOKUP(Y14,CHO!$B$48:$Z$82,15,FALSE),"")</f>
        <v>176/73</v>
      </c>
      <c r="AD15" s="164"/>
      <c r="AE15" s="150" t="str">
        <f>IFERROR(VLOOKUP(AE12,CHO!$B$48:$Z$82,16,FALSE),"")</f>
        <v>Sokol Brno III</v>
      </c>
      <c r="AF15" s="151"/>
      <c r="AG15" s="152"/>
      <c r="AH15" s="153">
        <f>IFERROR(VLOOKUP(AE12,CHO!$B$48:$Z$82,17,FALSE),"")</f>
        <v>2000</v>
      </c>
      <c r="AI15" s="154"/>
      <c r="AJ15" s="46">
        <f>IFERROR(VLOOKUP(AE12,CHO!$B$48:$Z$82,8,FALSE),"")</f>
        <v>15</v>
      </c>
      <c r="AK15" s="150" t="str">
        <f>IFERROR(VLOOKUP(AK12,VIT!$B$48:$R$82,16,FALSE),"")</f>
        <v/>
      </c>
      <c r="AL15" s="151"/>
      <c r="AM15" s="152"/>
      <c r="AN15" s="153" t="str">
        <f>IFERROR(VLOOKUP(AK12,VIT!$B$48:$R$82,17,FALSE),"")</f>
        <v/>
      </c>
      <c r="AO15" s="154"/>
      <c r="AP15" s="46" t="str">
        <f>IFERROR(VLOOKUP(AK12,VIT!$B$48:$R$82,8,FALSE),"")</f>
        <v/>
      </c>
      <c r="AQ15" s="44" t="str">
        <f>IFERROR(VLOOKUP(AQ14,VIT!$B$48:$R$82,11,FALSE),"")</f>
        <v/>
      </c>
      <c r="AR15" s="161" t="str">
        <f>IFERROR(YEAR(VLOOKUP(AQ14,VIT!$B$48:$R$82,2,FALSE)),"")</f>
        <v/>
      </c>
      <c r="AS15" s="162"/>
      <c r="AT15" s="122" t="str">
        <f>IFERROR(VLOOKUP(AQ14,VIT!$B$48:$R$82,3,FALSE),"")</f>
        <v/>
      </c>
      <c r="AU15" s="163" t="str">
        <f>IFERROR(VLOOKUP(AQ14,VIT!$B$48:$R$82,15,FALSE),"")</f>
        <v/>
      </c>
      <c r="AV15" s="164"/>
      <c r="AW15" s="150" t="str">
        <f>IFERROR(VLOOKUP(AW12,VIT!$B$48:$R$82,16,FALSE),"")</f>
        <v/>
      </c>
      <c r="AX15" s="151"/>
      <c r="AY15" s="152"/>
      <c r="AZ15" s="153" t="str">
        <f>IFERROR(VLOOKUP(AW12,VIT!$B$48:$R$82,17,FALSE),"")</f>
        <v/>
      </c>
      <c r="BA15" s="154"/>
      <c r="BB15" s="46" t="str">
        <f>IFERROR(VLOOKUP(AW12,VIT!$B$48:$R$82,8,FALSE),"")</f>
        <v/>
      </c>
      <c r="BC15" s="150" t="str">
        <f>IFERROR(VLOOKUP(BC12,MB!$B$48:$R$82,16,FALSE),"")</f>
        <v/>
      </c>
      <c r="BD15" s="151"/>
      <c r="BE15" s="152"/>
      <c r="BF15" s="153" t="str">
        <f>IFERROR(VLOOKUP(BC12,MB!$B$48:$R$82,17,FALSE),"")</f>
        <v/>
      </c>
      <c r="BG15" s="154"/>
      <c r="BH15" s="46" t="str">
        <f>IFERROR(VLOOKUP(BC12,MB!$B$48:$R$82,8,FALSE),"")</f>
        <v/>
      </c>
      <c r="BI15" s="44" t="str">
        <f>IFERROR(VLOOKUP(BI14,MB!$B$48:$R$82,11,FALSE),"")</f>
        <v/>
      </c>
      <c r="BJ15" s="161" t="str">
        <f>IFERROR(YEAR(VLOOKUP(BI14,MB!$B$48:$R$82,2,FALSE)),"")</f>
        <v/>
      </c>
      <c r="BK15" s="162"/>
      <c r="BL15" s="125" t="str">
        <f>IFERROR(VLOOKUP(BI14,MB!$B$48:$R$82,3,FALSE),"")</f>
        <v/>
      </c>
      <c r="BM15" s="163" t="str">
        <f>IFERROR(VLOOKUP(BI14,MB!$B$48:$R$82,15,FALSE),"")</f>
        <v/>
      </c>
      <c r="BN15" s="164"/>
      <c r="BO15" s="150" t="str">
        <f>IFERROR(VLOOKUP(BO12,MB!$B$48:$R$82,16,FALSE),"")</f>
        <v/>
      </c>
      <c r="BP15" s="151"/>
      <c r="BQ15" s="152"/>
      <c r="BR15" s="153" t="str">
        <f>IFERROR(VLOOKUP(BO12,MB!$B$48:$R$82,17,FALSE),"")</f>
        <v/>
      </c>
      <c r="BS15" s="154"/>
      <c r="BT15" s="46" t="str">
        <f>IFERROR(VLOOKUP(BO12,MB!$B$48:$R$82,8,FALSE),"")</f>
        <v/>
      </c>
    </row>
    <row r="16" spans="1:72" ht="15.6" customHeight="1" thickTop="1" thickBot="1" x14ac:dyDescent="0.3">
      <c r="A16" s="22"/>
      <c r="B16" s="22"/>
      <c r="C16" s="22"/>
      <c r="D16" s="22"/>
      <c r="E16" s="43"/>
      <c r="F16" s="43"/>
      <c r="G16" s="179" t="str">
        <f>IFERROR(VLOOKUP(G14,SKV!$B$2:$O$36,14,FALSE),"")</f>
        <v>12 OZ , 15 (9+6), -12 ±</v>
      </c>
      <c r="H16" s="180"/>
      <c r="I16" s="180"/>
      <c r="J16" s="181" t="str">
        <f>IFERROR(VLOOKUP(G14,SKV!$B$48:$Z$82,14,FALSE),"")</f>
        <v>190 OZ, 179 (99+80)</v>
      </c>
      <c r="K16" s="181"/>
      <c r="L16" s="182"/>
      <c r="M16" s="43"/>
      <c r="N16" s="43"/>
      <c r="O16" s="43"/>
      <c r="P16" s="43"/>
      <c r="Q16" s="43"/>
      <c r="R16" s="43"/>
      <c r="S16" s="22"/>
      <c r="T16" s="22"/>
      <c r="U16" s="22"/>
      <c r="V16" s="22"/>
      <c r="W16" s="43"/>
      <c r="X16" s="43"/>
      <c r="Y16" s="179" t="str">
        <f>IFERROR(VLOOKUP(Y14,CHO!$B$2:$O$36,14,FALSE),"")</f>
        <v>12 OZ , 9 (3+6), -6 ±</v>
      </c>
      <c r="Z16" s="180"/>
      <c r="AA16" s="180"/>
      <c r="AB16" s="181" t="str">
        <f>IFERROR(VLOOKUP(Y14,CHO!$B$48:$Z$82,14,FALSE),"")</f>
        <v>196 OZ, 207 (119+88)</v>
      </c>
      <c r="AC16" s="181"/>
      <c r="AD16" s="182"/>
      <c r="AE16" s="43"/>
      <c r="AF16" s="43"/>
      <c r="AG16" s="43"/>
      <c r="AH16" s="43"/>
      <c r="AI16" s="43"/>
      <c r="AJ16" s="43"/>
      <c r="AK16" s="22"/>
      <c r="AL16" s="22"/>
      <c r="AM16" s="22"/>
      <c r="AN16" s="22"/>
      <c r="AO16" s="43"/>
      <c r="AP16" s="43"/>
      <c r="AQ16" s="179" t="str">
        <f>IFERROR(VLOOKUP(AQ14,VIT!$B$2:$O$36,14,FALSE),"")</f>
        <v/>
      </c>
      <c r="AR16" s="180"/>
      <c r="AS16" s="180"/>
      <c r="AT16" s="181" t="str">
        <f>IFERROR(VLOOKUP(AQ14,VIT!$B$48:$R$82,14,FALSE),"")</f>
        <v/>
      </c>
      <c r="AU16" s="181"/>
      <c r="AV16" s="182"/>
      <c r="AW16" s="43"/>
      <c r="AX16" s="43"/>
      <c r="AY16" s="43"/>
      <c r="AZ16" s="43"/>
      <c r="BA16" s="43"/>
      <c r="BB16" s="43"/>
      <c r="BC16" s="22"/>
      <c r="BD16" s="22"/>
      <c r="BE16" s="22"/>
      <c r="BF16" s="22"/>
      <c r="BG16" s="43"/>
      <c r="BH16" s="43"/>
      <c r="BI16" s="179" t="str">
        <f>IFERROR(VLOOKUP(BI14,MB!$B$2:$O$36,14,FALSE),"")</f>
        <v/>
      </c>
      <c r="BJ16" s="180"/>
      <c r="BK16" s="180"/>
      <c r="BL16" s="181" t="str">
        <f>IFERROR(VLOOKUP(BI14,MB!$B$48:$R$82,14,FALSE),"")</f>
        <v/>
      </c>
      <c r="BM16" s="181"/>
      <c r="BN16" s="182"/>
      <c r="BO16" s="43"/>
      <c r="BP16" s="43"/>
      <c r="BQ16" s="43"/>
      <c r="BR16" s="43"/>
      <c r="BS16" s="43"/>
      <c r="BT16" s="43"/>
    </row>
    <row r="17" spans="1:72" ht="15.6" customHeight="1" thickTop="1" thickBot="1" x14ac:dyDescent="0.3">
      <c r="A17" s="168" t="s">
        <v>4</v>
      </c>
      <c r="B17" s="169"/>
      <c r="C17" s="169"/>
      <c r="D17" s="169"/>
      <c r="E17" s="42" t="str">
        <f>IFERROR(IF(VLOOKUP(A17,SKV!$B$48:$Z$82,10,FALSE)=0,"",VLOOKUP(A17,SKV!$B$48:$Z$82,10,FALSE)),"")</f>
        <v/>
      </c>
      <c r="F17" s="63">
        <f>IFERROR(VLOOKUP(A17,SKV!$B$48:$Z$82,9,FALSE),"")</f>
        <v>28</v>
      </c>
      <c r="G17" s="150" t="str">
        <f>IFERROR(VLOOKUP(G14,SKV!$B$48:$Z$82,16,FALSE),"")</f>
        <v>FC Vlci</v>
      </c>
      <c r="H17" s="151"/>
      <c r="I17" s="152"/>
      <c r="J17" s="153">
        <f>IFERROR(VLOOKUP(G14,SKV!$B$48:$Z$82,17,FALSE),"")</f>
        <v>2000</v>
      </c>
      <c r="K17" s="154"/>
      <c r="L17" s="46">
        <f>IFERROR(VLOOKUP(G14,SKV!$B$48:$Z$82,8,FALSE),"")</f>
        <v>10</v>
      </c>
      <c r="M17" s="168" t="s">
        <v>5</v>
      </c>
      <c r="N17" s="169"/>
      <c r="O17" s="169"/>
      <c r="P17" s="169"/>
      <c r="Q17" s="42" t="str">
        <f>IFERROR(IF(VLOOKUP(M17,SKV!$B$48:$Z$82,10,FALSE)=0,"",VLOOKUP(M17,SKV!$B$48:$Z$82,10,FALSE)),"")</f>
        <v/>
      </c>
      <c r="R17" s="63">
        <f>IFERROR(VLOOKUP(M17,SKV!$B$48:$Z$82,9,FALSE),"")</f>
        <v>19</v>
      </c>
      <c r="S17" s="168" t="s">
        <v>177</v>
      </c>
      <c r="T17" s="169"/>
      <c r="U17" s="169"/>
      <c r="V17" s="169"/>
      <c r="W17" s="42" t="str">
        <f>IFERROR(IF(VLOOKUP(S17,CHO!$B$48:$Z$82,10,FALSE)=0,"",VLOOKUP(S17,CHO!$B$48:$Z$82,10,FALSE)),"")</f>
        <v/>
      </c>
      <c r="X17" s="63">
        <f>IFERROR(VLOOKUP(S17,CHO!$B$48:$Z$82,9,FALSE),"")</f>
        <v>65</v>
      </c>
      <c r="Y17" s="150" t="str">
        <f>IFERROR(VLOOKUP(Y14,CHO!$B$48:$Z$82,16,FALSE),"")</f>
        <v>Bulldogs Brno</v>
      </c>
      <c r="Z17" s="151"/>
      <c r="AA17" s="152"/>
      <c r="AB17" s="153">
        <f>IFERROR(VLOOKUP(Y14,CHO!$B$48:$Z$82,17,FALSE),"")</f>
        <v>2004</v>
      </c>
      <c r="AC17" s="154"/>
      <c r="AD17" s="46">
        <f>IFERROR(VLOOKUP(Y14,CHO!$B$48:$Z$82,8,FALSE),"")</f>
        <v>11</v>
      </c>
      <c r="AE17" s="168" t="s">
        <v>182</v>
      </c>
      <c r="AF17" s="169"/>
      <c r="AG17" s="169"/>
      <c r="AH17" s="169"/>
      <c r="AI17" s="42" t="str">
        <f>IFERROR(IF(VLOOKUP(AE17,CHO!$B$48:$Z$82,10,FALSE)=0,"",VLOOKUP(AE17,CHO!$B$48:$Z$82,10,FALSE)),"")</f>
        <v/>
      </c>
      <c r="AJ17" s="63">
        <f>IFERROR(VLOOKUP(AE17,CHO!$B$48:$Z$82,9,FALSE),"")</f>
        <v>93</v>
      </c>
      <c r="AK17" s="168"/>
      <c r="AL17" s="169"/>
      <c r="AM17" s="169"/>
      <c r="AN17" s="169"/>
      <c r="AO17" s="42" t="str">
        <f>IFERROR(IF(VLOOKUP(AK17,VIT!$B$48:$R$82,10,FALSE)=0,"",VLOOKUP(AK17,VIT!$B$48:$R$82,10,FALSE)),"")</f>
        <v/>
      </c>
      <c r="AP17" s="63" t="str">
        <f>IFERROR(VLOOKUP(AK17,VIT!$B$48:$R$82,9,FALSE),"")</f>
        <v/>
      </c>
      <c r="AQ17" s="150" t="str">
        <f>IFERROR(VLOOKUP(AQ14,VIT!$B$48:$R$82,16,FALSE),"")</f>
        <v/>
      </c>
      <c r="AR17" s="151"/>
      <c r="AS17" s="152"/>
      <c r="AT17" s="153" t="str">
        <f>IFERROR(VLOOKUP(AQ14,VIT!$B$48:$R$82,17,FALSE),"")</f>
        <v/>
      </c>
      <c r="AU17" s="154"/>
      <c r="AV17" s="46" t="str">
        <f>IFERROR(VLOOKUP(AQ14,VIT!$B$48:$R$82,8,FALSE),"")</f>
        <v/>
      </c>
      <c r="AW17" s="168"/>
      <c r="AX17" s="169"/>
      <c r="AY17" s="169"/>
      <c r="AZ17" s="169"/>
      <c r="BA17" s="42" t="str">
        <f>IFERROR(IF(VLOOKUP(AW17,VIT!$B$48:$R$82,10,FALSE)=0,"",VLOOKUP(AW17,VIT!$B$48:$R$82,10,FALSE)),"")</f>
        <v/>
      </c>
      <c r="BB17" s="63" t="str">
        <f>IFERROR(VLOOKUP(AW17,VIT!$B$48:$R$82,9,FALSE),"")</f>
        <v/>
      </c>
      <c r="BC17" s="168"/>
      <c r="BD17" s="169"/>
      <c r="BE17" s="169"/>
      <c r="BF17" s="169"/>
      <c r="BG17" s="42" t="str">
        <f>IFERROR(IF(VLOOKUP(BC17,MB!$B$48:$R$82,10,FALSE)=0,"",VLOOKUP(BC17,MB!$B$48:$R$82,10,FALSE)),"")</f>
        <v/>
      </c>
      <c r="BH17" s="63" t="str">
        <f>IFERROR(VLOOKUP(BC17,MB!$B$48:$R$82,9,FALSE),"")</f>
        <v/>
      </c>
      <c r="BI17" s="150" t="str">
        <f>IFERROR(VLOOKUP(BI14,MB!$B$48:$R$82,16,FALSE),"")</f>
        <v/>
      </c>
      <c r="BJ17" s="151"/>
      <c r="BK17" s="152"/>
      <c r="BL17" s="153" t="str">
        <f>IFERROR(VLOOKUP(BI14,MB!$B$48:$R$82,17,FALSE),"")</f>
        <v/>
      </c>
      <c r="BM17" s="154"/>
      <c r="BN17" s="46" t="str">
        <f>IFERROR(VLOOKUP(BI14,MB!$B$48:$R$82,8,FALSE),"")</f>
        <v/>
      </c>
      <c r="BO17" s="168"/>
      <c r="BP17" s="169"/>
      <c r="BQ17" s="169"/>
      <c r="BR17" s="169"/>
      <c r="BS17" s="42" t="str">
        <f>IFERROR(IF(VLOOKUP(BO17,MB!$B$48:$R$82,10,FALSE)=0,"",VLOOKUP(BO17,MB!$B$48:$R$82,10,FALSE)),"")</f>
        <v/>
      </c>
      <c r="BT17" s="63" t="str">
        <f>IFERROR(VLOOKUP(BO17,MB!$B$48:$R$82,9,FALSE),"")</f>
        <v/>
      </c>
    </row>
    <row r="18" spans="1:72" ht="15.6" customHeight="1" thickBot="1" x14ac:dyDescent="0.3">
      <c r="A18" s="44" t="str">
        <f>IFERROR(VLOOKUP(A17,SKV!$B$48:$Z$82,11,FALSE),"")</f>
        <v>P</v>
      </c>
      <c r="B18" s="161">
        <f>IFERROR(YEAR(VLOOKUP(A17,SKV!$B$48:$Z$82,2,FALSE)),"")</f>
        <v>1995</v>
      </c>
      <c r="C18" s="162"/>
      <c r="D18" s="45">
        <f ca="1">IFERROR(VLOOKUP(A17,SKV!$B$48:$Z$82,3,FALSE),"")</f>
        <v>25</v>
      </c>
      <c r="E18" s="163" t="str">
        <f>IFERROR(VLOOKUP(A17,SKV!$B$48:$Z$82,15,FALSE),"")</f>
        <v>183/76</v>
      </c>
      <c r="F18" s="164"/>
      <c r="G18" s="43"/>
      <c r="H18" s="43"/>
      <c r="I18" s="43"/>
      <c r="J18" s="43"/>
      <c r="K18" s="43"/>
      <c r="L18" s="43"/>
      <c r="M18" s="44" t="str">
        <f>IFERROR(VLOOKUP(M17,SKV!$B$48:$Z$82,11,FALSE),"")</f>
        <v>P</v>
      </c>
      <c r="N18" s="161">
        <f>IFERROR(YEAR(VLOOKUP(M17,SKV!$B$48:$Z$82,2,FALSE)),"")</f>
        <v>1988</v>
      </c>
      <c r="O18" s="162"/>
      <c r="P18" s="45">
        <f ca="1">IFERROR(VLOOKUP(M17,SKV!$B$48:$Z$82,3,FALSE),"")</f>
        <v>32</v>
      </c>
      <c r="Q18" s="163" t="str">
        <f>IFERROR(VLOOKUP(M17,SKV!$B$48:$Z$82,15,FALSE),"")</f>
        <v>187/92</v>
      </c>
      <c r="R18" s="164"/>
      <c r="S18" s="44" t="str">
        <f>IFERROR(VLOOKUP(S17,CHO!$B$48:$Z$82,11,FALSE),"")</f>
        <v>P</v>
      </c>
      <c r="T18" s="161">
        <f>IFERROR(YEAR(VLOOKUP(S17,CHO!$B$48:$Z$82,2,FALSE)),"")</f>
        <v>1992</v>
      </c>
      <c r="U18" s="162"/>
      <c r="V18" s="45">
        <f ca="1">IFERROR(VLOOKUP(S17,CHO!$B$48:$Z$82,3,FALSE),"")</f>
        <v>28</v>
      </c>
      <c r="W18" s="163" t="str">
        <f>IFERROR(VLOOKUP(S17,CHO!$B$48:$Z$82,15,FALSE),"")</f>
        <v>195/86</v>
      </c>
      <c r="X18" s="164"/>
      <c r="Y18" s="43"/>
      <c r="Z18" s="43"/>
      <c r="AA18" s="43"/>
      <c r="AB18" s="43"/>
      <c r="AC18" s="43"/>
      <c r="AD18" s="43"/>
      <c r="AE18" s="44" t="str">
        <f>IFERROR(VLOOKUP(AE17,CHO!$B$48:$Z$82,11,FALSE),"")</f>
        <v>L</v>
      </c>
      <c r="AF18" s="161">
        <f>IFERROR(YEAR(VLOOKUP(AE17,CHO!$B$48:$Z$82,2,FALSE)),"")</f>
        <v>2003</v>
      </c>
      <c r="AG18" s="162"/>
      <c r="AH18" s="45">
        <f ca="1">IFERROR(VLOOKUP(AE17,CHO!$B$48:$Z$82,3,FALSE),"")</f>
        <v>17</v>
      </c>
      <c r="AI18" s="163" t="str">
        <f>IFERROR(VLOOKUP(AE17,CHO!$B$48:$Z$82,15,FALSE),"")</f>
        <v>175/67</v>
      </c>
      <c r="AJ18" s="164"/>
      <c r="AK18" s="44" t="str">
        <f>IFERROR(VLOOKUP(AK17,VIT!$B$48:$R$82,11,FALSE),"")</f>
        <v/>
      </c>
      <c r="AL18" s="161" t="str">
        <f>IFERROR(YEAR(VLOOKUP(AK17,VIT!$B$48:$R$82,2,FALSE)),"")</f>
        <v/>
      </c>
      <c r="AM18" s="162"/>
      <c r="AN18" s="122" t="str">
        <f>IFERROR(VLOOKUP(AK17,VIT!$B$48:$R$82,3,FALSE),"")</f>
        <v/>
      </c>
      <c r="AO18" s="163" t="str">
        <f>IFERROR(VLOOKUP(AK17,VIT!$B$48:$R$82,15,FALSE),"")</f>
        <v/>
      </c>
      <c r="AP18" s="164"/>
      <c r="AQ18" s="43"/>
      <c r="AR18" s="43"/>
      <c r="AS18" s="43"/>
      <c r="AT18" s="43"/>
      <c r="AU18" s="43"/>
      <c r="AV18" s="43"/>
      <c r="AW18" s="44" t="str">
        <f>IFERROR(VLOOKUP(AW17,VIT!$B$48:$R$82,11,FALSE),"")</f>
        <v/>
      </c>
      <c r="AX18" s="161" t="str">
        <f>IFERROR(YEAR(VLOOKUP(AW17,VIT!$B$48:$R$82,2,FALSE)),"")</f>
        <v/>
      </c>
      <c r="AY18" s="162"/>
      <c r="AZ18" s="122" t="str">
        <f>IFERROR(VLOOKUP(AW17,VIT!$B$48:$R$82,3,FALSE),"")</f>
        <v/>
      </c>
      <c r="BA18" s="163" t="str">
        <f>IFERROR(VLOOKUP(AW17,VIT!$B$48:$R$82,15,FALSE),"")</f>
        <v/>
      </c>
      <c r="BB18" s="164"/>
      <c r="BC18" s="44" t="str">
        <f>IFERROR(VLOOKUP(BC17,MB!$B$48:$R$82,11,FALSE),"")</f>
        <v/>
      </c>
      <c r="BD18" s="161" t="str">
        <f>IFERROR(YEAR(VLOOKUP(BC17,MB!$B$48:$R$82,2,FALSE)),"")</f>
        <v/>
      </c>
      <c r="BE18" s="162"/>
      <c r="BF18" s="125" t="str">
        <f>IFERROR(VLOOKUP(BC17,MB!$B$48:$R$82,3,FALSE),"")</f>
        <v/>
      </c>
      <c r="BG18" s="163" t="str">
        <f>IFERROR(VLOOKUP(BC17,MB!$B$48:$R$82,15,FALSE),"")</f>
        <v/>
      </c>
      <c r="BH18" s="164"/>
      <c r="BI18" s="43"/>
      <c r="BJ18" s="43"/>
      <c r="BK18" s="43"/>
      <c r="BL18" s="43"/>
      <c r="BM18" s="43"/>
      <c r="BN18" s="43"/>
      <c r="BO18" s="44" t="str">
        <f>IFERROR(VLOOKUP(BO17,MB!$B$48:$R$82,11,FALSE),"")</f>
        <v/>
      </c>
      <c r="BP18" s="161" t="str">
        <f>IFERROR(YEAR(VLOOKUP(BO17,MB!$B$48:$R$82,2,FALSE)),"")</f>
        <v/>
      </c>
      <c r="BQ18" s="162"/>
      <c r="BR18" s="125" t="str">
        <f>IFERROR(VLOOKUP(BO17,MB!$B$48:$R$82,3,FALSE),"")</f>
        <v/>
      </c>
      <c r="BS18" s="163" t="str">
        <f>IFERROR(VLOOKUP(BO17,MB!$B$48:$R$82,15,FALSE),"")</f>
        <v/>
      </c>
      <c r="BT18" s="164"/>
    </row>
    <row r="19" spans="1:72" ht="15.6" customHeight="1" x14ac:dyDescent="0.25">
      <c r="A19" s="179" t="str">
        <f>IFERROR(VLOOKUP(A17,SKV!$B$2:$O$36,14,FALSE),"")</f>
        <v>12 OZ , 1 (0+1), -8 ±</v>
      </c>
      <c r="B19" s="180"/>
      <c r="C19" s="180"/>
      <c r="D19" s="181" t="str">
        <f>IFERROR(VLOOKUP(A17,SKV!$B$48:$Z$82,14,FALSE),"")</f>
        <v>89 OZ, 29 (18+11)</v>
      </c>
      <c r="E19" s="181"/>
      <c r="F19" s="182"/>
      <c r="G19" s="43"/>
      <c r="H19" s="183" t="str">
        <f>H$8</f>
        <v>SKV</v>
      </c>
      <c r="I19" s="183"/>
      <c r="J19" s="183"/>
      <c r="K19" s="183"/>
      <c r="L19" s="43"/>
      <c r="M19" s="179" t="str">
        <f>IFERROR(VLOOKUP(M17,SKV!$B$2:$O$36,14,FALSE),"")</f>
        <v>12 OZ , 3 (3+0), -13 ±</v>
      </c>
      <c r="N19" s="180"/>
      <c r="O19" s="180"/>
      <c r="P19" s="181" t="str">
        <f>IFERROR(VLOOKUP(M17,SKV!$B$48:$Z$82,14,FALSE),"")</f>
        <v>83 OZ, 15 (9+6)</v>
      </c>
      <c r="Q19" s="181"/>
      <c r="R19" s="182"/>
      <c r="S19" s="179" t="str">
        <f>IFERROR(VLOOKUP(S17,CHO!$B$2:$O$36,14,FALSE),"")</f>
        <v>12 OZ , 7 (2+5), -1 ±</v>
      </c>
      <c r="T19" s="180"/>
      <c r="U19" s="180"/>
      <c r="V19" s="181" t="str">
        <f>IFERROR(VLOOKUP(S17,CHO!$B$48:$Z$82,14,FALSE),"")</f>
        <v>194 OZ, 161 (84+77)</v>
      </c>
      <c r="W19" s="181"/>
      <c r="X19" s="182"/>
      <c r="Y19" s="43"/>
      <c r="Z19" s="183" t="str">
        <f>$Z$8</f>
        <v>CHO</v>
      </c>
      <c r="AA19" s="183"/>
      <c r="AB19" s="183"/>
      <c r="AC19" s="183"/>
      <c r="AD19" s="43"/>
      <c r="AE19" s="179" t="str">
        <f>IFERROR(VLOOKUP(AE17,CHO!$B$2:$O$36,14,FALSE),"")</f>
        <v>9 OZ , 3 (2+1), -2 ±</v>
      </c>
      <c r="AF19" s="180"/>
      <c r="AG19" s="180"/>
      <c r="AH19" s="181" t="str">
        <f>IFERROR(VLOOKUP(AE17,CHO!$B$48:$Z$82,14,FALSE),"")</f>
        <v>9 OZ, 3 (2+1)</v>
      </c>
      <c r="AI19" s="181"/>
      <c r="AJ19" s="182"/>
      <c r="AK19" s="179" t="str">
        <f>IFERROR(VLOOKUP(AK17,VIT!$B$2:$O$36,14,FALSE),"")</f>
        <v/>
      </c>
      <c r="AL19" s="180"/>
      <c r="AM19" s="180"/>
      <c r="AN19" s="181" t="str">
        <f>IFERROR(VLOOKUP(AK17,VIT!$B$48:$R$82,14,FALSE),"")</f>
        <v/>
      </c>
      <c r="AO19" s="181"/>
      <c r="AP19" s="182"/>
      <c r="AQ19" s="43"/>
      <c r="AR19" s="183" t="str">
        <f>AR$8</f>
        <v>VIT</v>
      </c>
      <c r="AS19" s="183"/>
      <c r="AT19" s="183"/>
      <c r="AU19" s="183"/>
      <c r="AV19" s="43"/>
      <c r="AW19" s="179" t="str">
        <f>IFERROR(VLOOKUP(AW17,VIT!$B$2:$O$36,14,FALSE),"")</f>
        <v/>
      </c>
      <c r="AX19" s="180"/>
      <c r="AY19" s="180"/>
      <c r="AZ19" s="181" t="str">
        <f>IFERROR(VLOOKUP(AW17,VIT!$B$48:$R$82,14,FALSE),"")</f>
        <v/>
      </c>
      <c r="BA19" s="181"/>
      <c r="BB19" s="182"/>
      <c r="BC19" s="179" t="str">
        <f>IFERROR(VLOOKUP(BC17,MB!$B$2:$O$36,14,FALSE),"")</f>
        <v/>
      </c>
      <c r="BD19" s="180"/>
      <c r="BE19" s="180"/>
      <c r="BF19" s="181" t="str">
        <f>IFERROR(VLOOKUP(BC17,MB!$B$48:$R$82,14,FALSE),"")</f>
        <v/>
      </c>
      <c r="BG19" s="181"/>
      <c r="BH19" s="182"/>
      <c r="BI19" s="43"/>
      <c r="BJ19" s="183" t="str">
        <f>BJ$8</f>
        <v>MB</v>
      </c>
      <c r="BK19" s="183"/>
      <c r="BL19" s="183"/>
      <c r="BM19" s="183"/>
      <c r="BN19" s="43"/>
      <c r="BO19" s="179" t="str">
        <f>IFERROR(VLOOKUP(BO17,MB!$B$2:$O$36,14,FALSE),"")</f>
        <v/>
      </c>
      <c r="BP19" s="180"/>
      <c r="BQ19" s="180"/>
      <c r="BR19" s="181" t="str">
        <f>IFERROR(VLOOKUP(BO17,MB!$B$48:$R$82,14,FALSE),"")</f>
        <v/>
      </c>
      <c r="BS19" s="181"/>
      <c r="BT19" s="182"/>
    </row>
    <row r="20" spans="1:72" ht="15.6" customHeight="1" thickBot="1" x14ac:dyDescent="0.3">
      <c r="A20" s="150" t="str">
        <f>IFERROR(VLOOKUP(A17,SKV!$B$48:$Z$82,16,FALSE),"")</f>
        <v>Chodov</v>
      </c>
      <c r="B20" s="151"/>
      <c r="C20" s="152"/>
      <c r="D20" s="153">
        <f>IFERROR(VLOOKUP(A17,SKV!$B$48:$Z$82,17,FALSE),"")</f>
        <v>2006</v>
      </c>
      <c r="E20" s="154"/>
      <c r="F20" s="46">
        <f>IFERROR(VLOOKUP(A17,SKV!$B$48:$Z$82,8,FALSE),"")</f>
        <v>5</v>
      </c>
      <c r="G20" s="43"/>
      <c r="H20" s="183"/>
      <c r="I20" s="183"/>
      <c r="J20" s="183"/>
      <c r="K20" s="183"/>
      <c r="L20" s="43"/>
      <c r="M20" s="150" t="str">
        <f>IFERROR(VLOOKUP(M17,SKV!$B$48:$Z$82,16,FALSE),"")</f>
        <v>SC Sportcentrum</v>
      </c>
      <c r="N20" s="151"/>
      <c r="O20" s="152"/>
      <c r="P20" s="153">
        <f>IFERROR(VLOOKUP(M17,SKV!$B$48:$Z$82,17,FALSE),"")</f>
        <v>2000</v>
      </c>
      <c r="Q20" s="154"/>
      <c r="R20" s="46">
        <f>IFERROR(VLOOKUP(M17,SKV!$B$48:$Z$82,8,FALSE),"")</f>
        <v>6</v>
      </c>
      <c r="S20" s="150" t="str">
        <f>IFERROR(VLOOKUP(S17,CHO!$B$48:$Z$82,16,FALSE),"")</f>
        <v>SK JeMoBu</v>
      </c>
      <c r="T20" s="151"/>
      <c r="U20" s="152"/>
      <c r="V20" s="153">
        <f>IFERROR(VLOOKUP(S17,CHO!$B$48:$Z$82,17,FALSE),"")</f>
        <v>2002</v>
      </c>
      <c r="W20" s="154"/>
      <c r="X20" s="46">
        <f>IFERROR(VLOOKUP(S17,CHO!$B$48:$Z$82,8,FALSE),"")</f>
        <v>10</v>
      </c>
      <c r="Y20" s="43"/>
      <c r="Z20" s="183"/>
      <c r="AA20" s="183"/>
      <c r="AB20" s="183"/>
      <c r="AC20" s="183"/>
      <c r="AD20" s="43"/>
      <c r="AE20" s="150" t="str">
        <f>IFERROR(VLOOKUP(AE17,CHO!$B$48:$Z$82,16,FALSE),"")</f>
        <v>SK Dvojka Praha</v>
      </c>
      <c r="AF20" s="151"/>
      <c r="AG20" s="152"/>
      <c r="AH20" s="153">
        <f>IFERROR(VLOOKUP(AE17,CHO!$B$48:$Z$82,17,FALSE),"")</f>
        <v>2010</v>
      </c>
      <c r="AI20" s="154"/>
      <c r="AJ20" s="46">
        <f>IFERROR(VLOOKUP(AE17,CHO!$B$48:$Z$82,8,FALSE),"")</f>
        <v>1</v>
      </c>
      <c r="AK20" s="150" t="str">
        <f>IFERROR(VLOOKUP(AK17,VIT!$B$48:$R$82,16,FALSE),"")</f>
        <v/>
      </c>
      <c r="AL20" s="151"/>
      <c r="AM20" s="152"/>
      <c r="AN20" s="153" t="str">
        <f>IFERROR(VLOOKUP(AK17,VIT!$B$48:$R$82,17,FALSE),"")</f>
        <v/>
      </c>
      <c r="AO20" s="154"/>
      <c r="AP20" s="46" t="str">
        <f>IFERROR(VLOOKUP(AK17,VIT!$B$48:$R$82,8,FALSE),"")</f>
        <v/>
      </c>
      <c r="AQ20" s="43"/>
      <c r="AR20" s="183"/>
      <c r="AS20" s="183"/>
      <c r="AT20" s="183"/>
      <c r="AU20" s="183"/>
      <c r="AV20" s="43"/>
      <c r="AW20" s="150" t="str">
        <f>IFERROR(VLOOKUP(AW17,VIT!$B$48:$R$82,16,FALSE),"")</f>
        <v/>
      </c>
      <c r="AX20" s="151"/>
      <c r="AY20" s="152"/>
      <c r="AZ20" s="153" t="str">
        <f>IFERROR(VLOOKUP(AW17,VIT!$B$48:$R$82,17,FALSE),"")</f>
        <v/>
      </c>
      <c r="BA20" s="154"/>
      <c r="BB20" s="46" t="str">
        <f>IFERROR(VLOOKUP(AW17,VIT!$B$48:$R$82,8,FALSE),"")</f>
        <v/>
      </c>
      <c r="BC20" s="150" t="str">
        <f>IFERROR(VLOOKUP(BC17,MB!$B$48:$R$82,16,FALSE),"")</f>
        <v/>
      </c>
      <c r="BD20" s="151"/>
      <c r="BE20" s="152"/>
      <c r="BF20" s="153" t="str">
        <f>IFERROR(VLOOKUP(BC17,MB!$B$48:$R$82,17,FALSE),"")</f>
        <v/>
      </c>
      <c r="BG20" s="154"/>
      <c r="BH20" s="46" t="str">
        <f>IFERROR(VLOOKUP(BC17,MB!$B$48:$R$82,8,FALSE),"")</f>
        <v/>
      </c>
      <c r="BI20" s="43"/>
      <c r="BJ20" s="183"/>
      <c r="BK20" s="183"/>
      <c r="BL20" s="183"/>
      <c r="BM20" s="183"/>
      <c r="BN20" s="43"/>
      <c r="BO20" s="150" t="str">
        <f>IFERROR(VLOOKUP(BO17,MB!$B$48:$R$82,16,FALSE),"")</f>
        <v/>
      </c>
      <c r="BP20" s="151"/>
      <c r="BQ20" s="152"/>
      <c r="BR20" s="153" t="str">
        <f>IFERROR(VLOOKUP(BO17,MB!$B$48:$R$82,17,FALSE),"")</f>
        <v/>
      </c>
      <c r="BS20" s="154"/>
      <c r="BT20" s="46" t="str">
        <f>IFERROR(VLOOKUP(BO17,MB!$B$48:$R$82,8,FALSE),"")</f>
        <v/>
      </c>
    </row>
    <row r="21" spans="1:72" ht="15.6" customHeight="1" thickTop="1" thickBot="1" x14ac:dyDescent="0.3">
      <c r="A21" s="47"/>
      <c r="B21" s="47"/>
      <c r="C21" s="47"/>
      <c r="D21" s="47"/>
      <c r="E21" s="48"/>
      <c r="F21" s="48"/>
      <c r="G21" s="49"/>
      <c r="H21" s="49"/>
      <c r="I21" s="49"/>
      <c r="J21" s="49"/>
      <c r="K21" s="49"/>
      <c r="L21" s="49"/>
      <c r="M21" s="47"/>
      <c r="N21" s="47"/>
      <c r="O21" s="47"/>
      <c r="P21" s="47"/>
      <c r="Q21" s="48"/>
      <c r="R21" s="48"/>
      <c r="S21" s="47"/>
      <c r="T21" s="47"/>
      <c r="U21" s="47"/>
      <c r="V21" s="47"/>
      <c r="W21" s="48"/>
      <c r="X21" s="48"/>
      <c r="Y21" s="49"/>
      <c r="Z21" s="49"/>
      <c r="AA21" s="49"/>
      <c r="AB21" s="49"/>
      <c r="AC21" s="49"/>
      <c r="AD21" s="49"/>
      <c r="AE21" s="47"/>
      <c r="AF21" s="47"/>
      <c r="AG21" s="47"/>
      <c r="AH21" s="47"/>
      <c r="AI21" s="48"/>
      <c r="AJ21" s="48"/>
      <c r="AK21" s="47"/>
      <c r="AL21" s="47"/>
      <c r="AM21" s="47"/>
      <c r="AN21" s="47"/>
      <c r="AO21" s="48"/>
      <c r="AP21" s="48"/>
      <c r="AQ21" s="49"/>
      <c r="AR21" s="49"/>
      <c r="AS21" s="49"/>
      <c r="AT21" s="49"/>
      <c r="AU21" s="49"/>
      <c r="AV21" s="49"/>
      <c r="AW21" s="47"/>
      <c r="AX21" s="47"/>
      <c r="AY21" s="47"/>
      <c r="AZ21" s="47"/>
      <c r="BA21" s="48"/>
      <c r="BB21" s="48"/>
      <c r="BC21" s="47"/>
      <c r="BD21" s="47"/>
      <c r="BE21" s="47"/>
      <c r="BF21" s="47"/>
      <c r="BG21" s="48"/>
      <c r="BH21" s="48"/>
      <c r="BI21" s="49"/>
      <c r="BJ21" s="49"/>
      <c r="BK21" s="49"/>
      <c r="BL21" s="49"/>
      <c r="BM21" s="49"/>
      <c r="BN21" s="49"/>
      <c r="BO21" s="47"/>
      <c r="BP21" s="47"/>
      <c r="BQ21" s="47"/>
      <c r="BR21" s="47"/>
      <c r="BS21" s="48"/>
      <c r="BT21" s="48"/>
    </row>
    <row r="22" spans="1:72" ht="15.6" customHeight="1" thickTop="1" thickBot="1" x14ac:dyDescent="0.3">
      <c r="A22" s="43"/>
      <c r="B22" s="43"/>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43"/>
      <c r="BP22" s="43"/>
      <c r="BQ22" s="43"/>
      <c r="BR22" s="43"/>
      <c r="BS22" s="43"/>
      <c r="BT22" s="43"/>
    </row>
    <row r="23" spans="1:72" ht="15.6" customHeight="1" thickTop="1" thickBot="1" x14ac:dyDescent="0.3">
      <c r="A23" s="168" t="s">
        <v>0</v>
      </c>
      <c r="B23" s="169"/>
      <c r="C23" s="169"/>
      <c r="D23" s="169"/>
      <c r="E23" s="42" t="str">
        <f>IFERROR(IF(VLOOKUP(A23,SKV!$B$48:$Z$82,10,FALSE)=0,"",VLOOKUP(A23,SKV!$B$48:$Z$82,10,FALSE)),"")</f>
        <v/>
      </c>
      <c r="F23" s="63">
        <f>IFERROR(VLOOKUP(A23,SKV!$B$48:$Z$82,9,FALSE),"")</f>
        <v>77</v>
      </c>
      <c r="G23" s="43"/>
      <c r="H23" s="184" t="s">
        <v>166</v>
      </c>
      <c r="I23" s="184"/>
      <c r="J23" s="184"/>
      <c r="K23" s="184"/>
      <c r="L23" s="43"/>
      <c r="M23" s="168" t="s">
        <v>21</v>
      </c>
      <c r="N23" s="169"/>
      <c r="O23" s="169"/>
      <c r="P23" s="169"/>
      <c r="Q23" s="42" t="str">
        <f>IFERROR(IF(VLOOKUP(M23,SKV!$B$48:$Z$82,10,FALSE)=0,"",VLOOKUP(M23,SKV!$B$48:$Z$82,10,FALSE)),"")</f>
        <v/>
      </c>
      <c r="R23" s="63">
        <f>IFERROR(VLOOKUP(M23,SKV!$B$48:$Z$82,9,FALSE),"")</f>
        <v>27</v>
      </c>
      <c r="S23" s="168" t="s">
        <v>181</v>
      </c>
      <c r="T23" s="169"/>
      <c r="U23" s="169"/>
      <c r="V23" s="169"/>
      <c r="W23" s="42" t="str">
        <f>IFERROR(IF(VLOOKUP(S23,CHO!$B$48:$Z$82,10,FALSE)=0,"",VLOOKUP(S23,CHO!$B$48:$Z$82,10,FALSE)),"")</f>
        <v/>
      </c>
      <c r="X23" s="63">
        <f>IFERROR(VLOOKUP(S23,CHO!$B$48:$Z$82,9,FALSE),"")</f>
        <v>27</v>
      </c>
      <c r="Y23" s="43"/>
      <c r="Z23" s="184" t="s">
        <v>166</v>
      </c>
      <c r="AA23" s="184"/>
      <c r="AB23" s="184"/>
      <c r="AC23" s="184"/>
      <c r="AD23" s="43"/>
      <c r="AE23" s="168" t="s">
        <v>179</v>
      </c>
      <c r="AF23" s="169"/>
      <c r="AG23" s="169"/>
      <c r="AH23" s="169"/>
      <c r="AI23" s="42" t="str">
        <f>IFERROR(IF(VLOOKUP(AE23,CHO!$B$48:$Z$82,10,FALSE)=0,"",VLOOKUP(AE23,CHO!$B$48:$Z$82,10,FALSE)),"")</f>
        <v/>
      </c>
      <c r="AJ23" s="63">
        <f>IFERROR(VLOOKUP(AE23,CHO!$B$48:$Z$82,9,FALSE),"")</f>
        <v>77</v>
      </c>
      <c r="AK23" s="168"/>
      <c r="AL23" s="169"/>
      <c r="AM23" s="169"/>
      <c r="AN23" s="169"/>
      <c r="AO23" s="42" t="str">
        <f>IFERROR(IF(VLOOKUP(AK23,VIT!$B$48:$R$82,10,FALSE)=0,"",VLOOKUP(AK23,VIT!$B$48:$R$82,10,FALSE)),"")</f>
        <v/>
      </c>
      <c r="AP23" s="63" t="str">
        <f>IFERROR(VLOOKUP(AK23,VIT!$B$48:$R$82,9,FALSE),"")</f>
        <v/>
      </c>
      <c r="AQ23" s="43"/>
      <c r="AR23" s="184" t="s">
        <v>166</v>
      </c>
      <c r="AS23" s="184"/>
      <c r="AT23" s="184"/>
      <c r="AU23" s="184"/>
      <c r="AV23" s="43"/>
      <c r="AW23" s="168"/>
      <c r="AX23" s="169"/>
      <c r="AY23" s="169"/>
      <c r="AZ23" s="169"/>
      <c r="BA23" s="42" t="str">
        <f>IFERROR(IF(VLOOKUP(AW23,VIT!$B$48:$R$82,10,FALSE)=0,"",VLOOKUP(AW23,VIT!$B$48:$R$82,10,FALSE)),"")</f>
        <v/>
      </c>
      <c r="BB23" s="63" t="str">
        <f>IFERROR(VLOOKUP(AW23,VIT!$B$48:$R$82,9,FALSE),"")</f>
        <v/>
      </c>
      <c r="BC23" s="168"/>
      <c r="BD23" s="169"/>
      <c r="BE23" s="169"/>
      <c r="BF23" s="169"/>
      <c r="BG23" s="42" t="str">
        <f>IFERROR(IF(VLOOKUP(BC23,MB!$B$48:$R$82,10,FALSE)=0,"",VLOOKUP(BC23,MB!$B$48:$R$82,10,FALSE)),"")</f>
        <v/>
      </c>
      <c r="BH23" s="63" t="str">
        <f>IFERROR(VLOOKUP(BC23,MB!$B$48:$R$82,9,FALSE),"")</f>
        <v/>
      </c>
      <c r="BI23" s="43"/>
      <c r="BJ23" s="184" t="s">
        <v>166</v>
      </c>
      <c r="BK23" s="184"/>
      <c r="BL23" s="184"/>
      <c r="BM23" s="184"/>
      <c r="BN23" s="43"/>
      <c r="BO23" s="168"/>
      <c r="BP23" s="169"/>
      <c r="BQ23" s="169"/>
      <c r="BR23" s="169"/>
      <c r="BS23" s="42" t="str">
        <f>IFERROR(IF(VLOOKUP(BO23,MB!$B$48:$R$82,10,FALSE)=0,"",VLOOKUP(BO23,MB!$B$48:$R$82,10,FALSE)),"")</f>
        <v/>
      </c>
      <c r="BT23" s="63" t="str">
        <f>IFERROR(VLOOKUP(BO23,MB!$B$48:$R$82,9,FALSE),"")</f>
        <v/>
      </c>
    </row>
    <row r="24" spans="1:72" ht="15.6" customHeight="1" thickBot="1" x14ac:dyDescent="0.3">
      <c r="A24" s="44" t="str">
        <f>IFERROR(VLOOKUP(A23,SKV!$B$48:$Z$82,11,FALSE),"")</f>
        <v>L</v>
      </c>
      <c r="B24" s="161">
        <f>IFERROR(YEAR(VLOOKUP(A23,SKV!$B$48:$Z$82,2,FALSE)),"")</f>
        <v>1999</v>
      </c>
      <c r="C24" s="162"/>
      <c r="D24" s="45">
        <f ca="1">IFERROR(VLOOKUP(A23,SKV!$B$48:$Z$82,3,FALSE),"")</f>
        <v>21</v>
      </c>
      <c r="E24" s="163" t="str">
        <f>IFERROR(VLOOKUP(A23,SKV!$B$48:$Z$82,15,FALSE),"")</f>
        <v>184/81</v>
      </c>
      <c r="F24" s="164"/>
      <c r="G24" s="43"/>
      <c r="H24" s="43"/>
      <c r="I24" s="43"/>
      <c r="J24" s="43"/>
      <c r="K24" s="43"/>
      <c r="L24" s="43"/>
      <c r="M24" s="44" t="str">
        <f>IFERROR(VLOOKUP(M23,SKV!$B$48:$Z$82,11,FALSE),"")</f>
        <v>L</v>
      </c>
      <c r="N24" s="161">
        <f>IFERROR(YEAR(VLOOKUP(M23,SKV!$B$48:$Z$82,2,FALSE)),"")</f>
        <v>1993</v>
      </c>
      <c r="O24" s="162"/>
      <c r="P24" s="45">
        <f ca="1">IFERROR(VLOOKUP(M23,SKV!$B$48:$Z$82,3,FALSE),"")</f>
        <v>27</v>
      </c>
      <c r="Q24" s="163" t="str">
        <f>IFERROR(VLOOKUP(M23,SKV!$B$48:$Z$82,15,FALSE),"")</f>
        <v>180/78</v>
      </c>
      <c r="R24" s="164"/>
      <c r="S24" s="44" t="str">
        <f>IFERROR(VLOOKUP(S23,CHO!$B$48:$Z$82,11,FALSE),"")</f>
        <v>P</v>
      </c>
      <c r="T24" s="161">
        <f>IFERROR(YEAR(VLOOKUP(S23,CHO!$B$48:$Z$82,2,FALSE)),"")</f>
        <v>2000</v>
      </c>
      <c r="U24" s="162"/>
      <c r="V24" s="45">
        <f ca="1">IFERROR(VLOOKUP(S23,CHO!$B$48:$Z$82,3,FALSE),"")</f>
        <v>20</v>
      </c>
      <c r="W24" s="163" t="str">
        <f>IFERROR(VLOOKUP(S23,CHO!$B$48:$Z$82,15,FALSE),"")</f>
        <v>186/90</v>
      </c>
      <c r="X24" s="164"/>
      <c r="Y24" s="43"/>
      <c r="Z24" s="43"/>
      <c r="AA24" s="43"/>
      <c r="AB24" s="43"/>
      <c r="AC24" s="43"/>
      <c r="AD24" s="43"/>
      <c r="AE24" s="44" t="str">
        <f>IFERROR(VLOOKUP(AE23,CHO!$B$48:$Z$82,11,FALSE),"")</f>
        <v>L</v>
      </c>
      <c r="AF24" s="161">
        <f>IFERROR(YEAR(VLOOKUP(AE23,CHO!$B$48:$Z$82,2,FALSE)),"")</f>
        <v>2000</v>
      </c>
      <c r="AG24" s="162"/>
      <c r="AH24" s="45">
        <f ca="1">IFERROR(VLOOKUP(AE23,CHO!$B$48:$Z$82,3,FALSE),"")</f>
        <v>20</v>
      </c>
      <c r="AI24" s="163" t="str">
        <f>IFERROR(VLOOKUP(AE23,CHO!$B$48:$Z$82,15,FALSE),"")</f>
        <v>183/92</v>
      </c>
      <c r="AJ24" s="164"/>
      <c r="AK24" s="44" t="str">
        <f>IFERROR(VLOOKUP(AK23,VIT!$B$48:$R$82,11,FALSE),"")</f>
        <v/>
      </c>
      <c r="AL24" s="161" t="str">
        <f>IFERROR(YEAR(VLOOKUP(AK23,VIT!$B$48:$R$82,2,FALSE)),"")</f>
        <v/>
      </c>
      <c r="AM24" s="162"/>
      <c r="AN24" s="122" t="str">
        <f>IFERROR(VLOOKUP(AK23,VIT!$B$48:$R$82,3,FALSE),"")</f>
        <v/>
      </c>
      <c r="AO24" s="163" t="str">
        <f>IFERROR(VLOOKUP(AK23,VIT!$B$48:$R$82,15,FALSE),"")</f>
        <v/>
      </c>
      <c r="AP24" s="164"/>
      <c r="AQ24" s="43"/>
      <c r="AR24" s="43"/>
      <c r="AS24" s="43"/>
      <c r="AT24" s="43"/>
      <c r="AU24" s="43"/>
      <c r="AV24" s="43"/>
      <c r="AW24" s="44" t="str">
        <f>IFERROR(VLOOKUP(AW23,VIT!$B$48:$R$82,11,FALSE),"")</f>
        <v/>
      </c>
      <c r="AX24" s="161" t="str">
        <f>IFERROR(YEAR(VLOOKUP(AW23,VIT!$B$48:$R$82,2,FALSE)),"")</f>
        <v/>
      </c>
      <c r="AY24" s="162"/>
      <c r="AZ24" s="122" t="str">
        <f>IFERROR(VLOOKUP(AW23,VIT!$B$48:$R$82,3,FALSE),"")</f>
        <v/>
      </c>
      <c r="BA24" s="163" t="str">
        <f>IFERROR(VLOOKUP(AW23,VIT!$B$48:$R$82,15,FALSE),"")</f>
        <v/>
      </c>
      <c r="BB24" s="164"/>
      <c r="BC24" s="44" t="str">
        <f>IFERROR(VLOOKUP(BC23,MB!$B$48:$R$82,11,FALSE),"")</f>
        <v/>
      </c>
      <c r="BD24" s="161" t="str">
        <f>IFERROR(YEAR(VLOOKUP(BC23,MB!$B$48:$R$82,2,FALSE)),"")</f>
        <v/>
      </c>
      <c r="BE24" s="162"/>
      <c r="BF24" s="125" t="str">
        <f>IFERROR(VLOOKUP(BC23,MB!$B$48:$R$82,3,FALSE),"")</f>
        <v/>
      </c>
      <c r="BG24" s="163" t="str">
        <f>IFERROR(VLOOKUP(BC23,MB!$B$48:$R$82,15,FALSE),"")</f>
        <v/>
      </c>
      <c r="BH24" s="164"/>
      <c r="BI24" s="43"/>
      <c r="BJ24" s="43"/>
      <c r="BK24" s="43"/>
      <c r="BL24" s="43"/>
      <c r="BM24" s="43"/>
      <c r="BN24" s="43"/>
      <c r="BO24" s="44" t="str">
        <f>IFERROR(VLOOKUP(BO23,MB!$B$48:$R$82,11,FALSE),"")</f>
        <v/>
      </c>
      <c r="BP24" s="161" t="str">
        <f>IFERROR(YEAR(VLOOKUP(BO23,MB!$B$48:$R$82,2,FALSE)),"")</f>
        <v/>
      </c>
      <c r="BQ24" s="162"/>
      <c r="BR24" s="125" t="str">
        <f>IFERROR(VLOOKUP(BO23,MB!$B$48:$R$82,3,FALSE),"")</f>
        <v/>
      </c>
      <c r="BS24" s="163" t="str">
        <f>IFERROR(VLOOKUP(BO23,MB!$B$48:$R$82,15,FALSE),"")</f>
        <v/>
      </c>
      <c r="BT24" s="164"/>
    </row>
    <row r="25" spans="1:72" ht="15.6" customHeight="1" thickTop="1" thickBot="1" x14ac:dyDescent="0.3">
      <c r="A25" s="179" t="str">
        <f>IFERROR(VLOOKUP(A23,SKV!$B$2:$O$36,14,FALSE),"")</f>
        <v>9 OZ , 3 (0+3), -5 ±</v>
      </c>
      <c r="B25" s="180"/>
      <c r="C25" s="180"/>
      <c r="D25" s="181" t="str">
        <f>IFERROR(VLOOKUP(A23,SKV!$B$48:$Z$82,14,FALSE),"")</f>
        <v>115 OZ, 69 (38+31)</v>
      </c>
      <c r="E25" s="181"/>
      <c r="F25" s="182"/>
      <c r="G25" s="168" t="s">
        <v>26</v>
      </c>
      <c r="H25" s="169"/>
      <c r="I25" s="169"/>
      <c r="J25" s="169"/>
      <c r="K25" s="42" t="str">
        <f>IFERROR(IF(VLOOKUP(G25,SKV!$B$48:$Z$82,10,FALSE)=0,"",VLOOKUP(G25,SKV!$B$48:$Z$82,10,FALSE)),"")</f>
        <v/>
      </c>
      <c r="L25" s="63">
        <f>IFERROR(VLOOKUP(G25,SKV!$B$48:$Z$82,9,FALSE),"")</f>
        <v>11</v>
      </c>
      <c r="M25" s="179" t="str">
        <f>IFERROR(VLOOKUP(M23,SKV!$B$2:$O$36,14,FALSE),"")</f>
        <v>12 OZ , 13 (11+2), -11 ±</v>
      </c>
      <c r="N25" s="180"/>
      <c r="O25" s="180"/>
      <c r="P25" s="181" t="str">
        <f>IFERROR(VLOOKUP(M23,SKV!$B$48:$Z$82,14,FALSE),"")</f>
        <v>147 OZ, 126 (84+42)</v>
      </c>
      <c r="Q25" s="181"/>
      <c r="R25" s="182"/>
      <c r="S25" s="179" t="str">
        <f>IFERROR(VLOOKUP(S23,CHO!$B$2:$O$36,14,FALSE),"")</f>
        <v>12 OZ , 4 (1+3), -3 ±</v>
      </c>
      <c r="T25" s="180"/>
      <c r="U25" s="180"/>
      <c r="V25" s="181" t="str">
        <f>IFERROR(VLOOKUP(S23,CHO!$B$48:$Z$82,14,FALSE),"")</f>
        <v>81 OZ, 47 (24+23)</v>
      </c>
      <c r="W25" s="181"/>
      <c r="X25" s="182"/>
      <c r="Y25" s="168" t="s">
        <v>178</v>
      </c>
      <c r="Z25" s="169"/>
      <c r="AA25" s="169"/>
      <c r="AB25" s="169"/>
      <c r="AC25" s="42" t="str">
        <f>IFERROR(IF(VLOOKUP(Y25,CHO!$B$48:$Z$82,10,FALSE)=0,"",VLOOKUP(Y25,CHO!$B$48:$Z$82,10,FALSE)),"")</f>
        <v/>
      </c>
      <c r="AD25" s="63">
        <f>IFERROR(VLOOKUP(Y25,CHO!$B$48:$Z$82,9,FALSE),"")</f>
        <v>14</v>
      </c>
      <c r="AE25" s="179" t="str">
        <f>IFERROR(VLOOKUP(AE23,CHO!$B$2:$O$36,14,FALSE),"")</f>
        <v>12 OZ , 5 (4+1), 0 ±</v>
      </c>
      <c r="AF25" s="180"/>
      <c r="AG25" s="180"/>
      <c r="AH25" s="181" t="str">
        <f>IFERROR(VLOOKUP(AE23,CHO!$B$48:$Z$82,14,FALSE),"")</f>
        <v>32 OZ, 12 (7+5)</v>
      </c>
      <c r="AI25" s="181"/>
      <c r="AJ25" s="182"/>
      <c r="AK25" s="179" t="str">
        <f>IFERROR(VLOOKUP(AK23,VIT!$B$2:$O$36,14,FALSE),"")</f>
        <v/>
      </c>
      <c r="AL25" s="180"/>
      <c r="AM25" s="180"/>
      <c r="AN25" s="181" t="str">
        <f>IFERROR(VLOOKUP(AK23,VIT!$B$48:$R$82,14,FALSE),"")</f>
        <v/>
      </c>
      <c r="AO25" s="181"/>
      <c r="AP25" s="182"/>
      <c r="AQ25" s="168"/>
      <c r="AR25" s="169"/>
      <c r="AS25" s="169"/>
      <c r="AT25" s="169"/>
      <c r="AU25" s="42" t="str">
        <f>IFERROR(IF(VLOOKUP(AQ25,VIT!$B$48:$R$82,10,FALSE)=0,"",VLOOKUP(AQ25,VIT!$B$48:$R$82,10,FALSE)),"")</f>
        <v/>
      </c>
      <c r="AV25" s="63" t="str">
        <f>IFERROR(VLOOKUP(AQ25,VIT!$B$48:$R$82,9,FALSE),"")</f>
        <v/>
      </c>
      <c r="AW25" s="179" t="str">
        <f>IFERROR(VLOOKUP(AW23,VIT!$B$2:$O$36,14,FALSE),"")</f>
        <v/>
      </c>
      <c r="AX25" s="180"/>
      <c r="AY25" s="180"/>
      <c r="AZ25" s="181" t="str">
        <f>IFERROR(VLOOKUP(AW23,VIT!$B$48:$R$82,14,FALSE),"")</f>
        <v/>
      </c>
      <c r="BA25" s="181"/>
      <c r="BB25" s="182"/>
      <c r="BC25" s="179" t="str">
        <f>IFERROR(VLOOKUP(BC23,MB!$B$2:$O$36,14,FALSE),"")</f>
        <v/>
      </c>
      <c r="BD25" s="180"/>
      <c r="BE25" s="180"/>
      <c r="BF25" s="181" t="str">
        <f>IFERROR(VLOOKUP(BC23,MB!$B$48:$R$82,14,FALSE),"")</f>
        <v/>
      </c>
      <c r="BG25" s="181"/>
      <c r="BH25" s="182"/>
      <c r="BI25" s="168"/>
      <c r="BJ25" s="169"/>
      <c r="BK25" s="169"/>
      <c r="BL25" s="169"/>
      <c r="BM25" s="42" t="str">
        <f>IFERROR(IF(VLOOKUP(BI25,MB!$B$48:$R$82,10,FALSE)=0,"",VLOOKUP(BI25,MB!$B$48:$R$82,10,FALSE)),"")</f>
        <v/>
      </c>
      <c r="BN25" s="63" t="str">
        <f>IFERROR(VLOOKUP(BI25,MB!$B$48:$R$82,9,FALSE),"")</f>
        <v/>
      </c>
      <c r="BO25" s="179" t="str">
        <f>IFERROR(VLOOKUP(BO23,MB!$B$2:$O$36,14,FALSE),"")</f>
        <v/>
      </c>
      <c r="BP25" s="180"/>
      <c r="BQ25" s="180"/>
      <c r="BR25" s="181" t="str">
        <f>IFERROR(VLOOKUP(BO23,MB!$B$48:$R$82,14,FALSE),"")</f>
        <v/>
      </c>
      <c r="BS25" s="181"/>
      <c r="BT25" s="182"/>
    </row>
    <row r="26" spans="1:72" ht="15.6" customHeight="1" thickBot="1" x14ac:dyDescent="0.3">
      <c r="A26" s="150" t="str">
        <f>IFERROR(VLOOKUP(A23,SKV!$B$48:$Z$82,16,FALSE),"")</f>
        <v>Black Angels</v>
      </c>
      <c r="B26" s="151"/>
      <c r="C26" s="152"/>
      <c r="D26" s="153">
        <f>IFERROR(VLOOKUP(A23,SKV!$B$48:$Z$82,17,FALSE),"")</f>
        <v>2008</v>
      </c>
      <c r="E26" s="154"/>
      <c r="F26" s="46">
        <f>IFERROR(VLOOKUP(A23,SKV!$B$48:$Z$82,8,FALSE),"")</f>
        <v>5</v>
      </c>
      <c r="G26" s="44" t="str">
        <f>IFERROR(VLOOKUP(G25,SKV!$B$48:$Z$82,11,FALSE),"")</f>
        <v>L</v>
      </c>
      <c r="H26" s="161">
        <f>IFERROR(YEAR(VLOOKUP(G25,SKV!$B$48:$Z$82,2,FALSE)),"")</f>
        <v>2001</v>
      </c>
      <c r="I26" s="162"/>
      <c r="J26" s="45">
        <f ca="1">IFERROR(VLOOKUP(G25,SKV!$B$48:$Z$82,3,FALSE),"")</f>
        <v>19</v>
      </c>
      <c r="K26" s="163" t="str">
        <f>IFERROR(VLOOKUP(G25,SKV!$B$48:$Z$82,15,FALSE),"")</f>
        <v>181/80</v>
      </c>
      <c r="L26" s="164"/>
      <c r="M26" s="150" t="str">
        <f>IFERROR(VLOOKUP(M23,SKV!$B$48:$Z$82,16,FALSE),"")</f>
        <v>ASP Hr. Králové</v>
      </c>
      <c r="N26" s="151"/>
      <c r="O26" s="152"/>
      <c r="P26" s="153">
        <f>IFERROR(VLOOKUP(M23,SKV!$B$48:$Z$82,17,FALSE),"")</f>
        <v>2007</v>
      </c>
      <c r="Q26" s="154"/>
      <c r="R26" s="46">
        <f>IFERROR(VLOOKUP(M23,SKV!$B$48:$Z$82,8,FALSE),"")</f>
        <v>7</v>
      </c>
      <c r="S26" s="150" t="str">
        <f>IFERROR(VLOOKUP(S23,CHO!$B$48:$Z$82,16,FALSE),"")</f>
        <v>FBK Vosy Praha</v>
      </c>
      <c r="T26" s="151"/>
      <c r="U26" s="152"/>
      <c r="V26" s="153">
        <f>IFERROR(VLOOKUP(S23,CHO!$B$48:$Z$82,17,FALSE),"")</f>
        <v>2007</v>
      </c>
      <c r="W26" s="154"/>
      <c r="X26" s="46">
        <f>IFERROR(VLOOKUP(S23,CHO!$B$48:$Z$82,8,FALSE),"")</f>
        <v>4</v>
      </c>
      <c r="Y26" s="44" t="str">
        <f>IFERROR(VLOOKUP(Y25,CHO!$B$48:$Z$82,11,FALSE),"")</f>
        <v>L</v>
      </c>
      <c r="Z26" s="161">
        <f>IFERROR(YEAR(VLOOKUP(Y25,CHO!$B$48:$Z$82,2,FALSE)),"")</f>
        <v>1997</v>
      </c>
      <c r="AA26" s="162"/>
      <c r="AB26" s="45">
        <f ca="1">IFERROR(VLOOKUP(Y25,CHO!$B$48:$Z$82,3,FALSE),"")</f>
        <v>23</v>
      </c>
      <c r="AC26" s="163" t="str">
        <f>IFERROR(VLOOKUP(Y25,CHO!$B$48:$Z$82,15,FALSE),"")</f>
        <v>184/78</v>
      </c>
      <c r="AD26" s="164"/>
      <c r="AE26" s="150" t="str">
        <f>IFERROR(VLOOKUP(AE23,CHO!$B$48:$Z$82,16,FALSE),"")</f>
        <v>FC Bučis Team</v>
      </c>
      <c r="AF26" s="151"/>
      <c r="AG26" s="152"/>
      <c r="AH26" s="153">
        <f>IFERROR(VLOOKUP(AE23,CHO!$B$48:$Z$82,17,FALSE),"")</f>
        <v>2007</v>
      </c>
      <c r="AI26" s="154"/>
      <c r="AJ26" s="46">
        <f>IFERROR(VLOOKUP(AE23,CHO!$B$48:$Z$82,8,FALSE),"")</f>
        <v>3</v>
      </c>
      <c r="AK26" s="150" t="str">
        <f>IFERROR(VLOOKUP(AK23,VIT!$B$48:$R$82,16,FALSE),"")</f>
        <v/>
      </c>
      <c r="AL26" s="151"/>
      <c r="AM26" s="152"/>
      <c r="AN26" s="153" t="str">
        <f>IFERROR(VLOOKUP(AK23,VIT!$B$48:$R$82,17,FALSE),"")</f>
        <v/>
      </c>
      <c r="AO26" s="154"/>
      <c r="AP26" s="46" t="str">
        <f>IFERROR(VLOOKUP(AK23,VIT!$B$48:$R$82,8,FALSE),"")</f>
        <v/>
      </c>
      <c r="AQ26" s="44" t="str">
        <f>IFERROR(VLOOKUP(AQ25,VIT!$B$48:$R$82,11,FALSE),"")</f>
        <v/>
      </c>
      <c r="AR26" s="161" t="str">
        <f>IFERROR(YEAR(VLOOKUP(AQ25,VIT!$B$48:$R$82,2,FALSE)),"")</f>
        <v/>
      </c>
      <c r="AS26" s="162"/>
      <c r="AT26" s="122" t="str">
        <f>IFERROR(VLOOKUP(AQ25,VIT!$B$48:$R$82,3,FALSE),"")</f>
        <v/>
      </c>
      <c r="AU26" s="163" t="str">
        <f>IFERROR(VLOOKUP(AQ25,VIT!$B$48:$R$82,15,FALSE),"")</f>
        <v/>
      </c>
      <c r="AV26" s="164"/>
      <c r="AW26" s="150" t="str">
        <f>IFERROR(VLOOKUP(AW23,VIT!$B$48:$R$82,16,FALSE),"")</f>
        <v/>
      </c>
      <c r="AX26" s="151"/>
      <c r="AY26" s="152"/>
      <c r="AZ26" s="153" t="str">
        <f>IFERROR(VLOOKUP(AW23,VIT!$B$48:$R$82,17,FALSE),"")</f>
        <v/>
      </c>
      <c r="BA26" s="154"/>
      <c r="BB26" s="46" t="str">
        <f>IFERROR(VLOOKUP(AW23,VIT!$B$48:$R$82,8,FALSE),"")</f>
        <v/>
      </c>
      <c r="BC26" s="150" t="str">
        <f>IFERROR(VLOOKUP(BC23,MB!$B$48:$R$82,16,FALSE),"")</f>
        <v/>
      </c>
      <c r="BD26" s="151"/>
      <c r="BE26" s="152"/>
      <c r="BF26" s="153" t="str">
        <f>IFERROR(VLOOKUP(BC23,MB!$B$48:$R$82,17,FALSE),"")</f>
        <v/>
      </c>
      <c r="BG26" s="154"/>
      <c r="BH26" s="46" t="str">
        <f>IFERROR(VLOOKUP(BC23,MB!$B$48:$R$82,8,FALSE),"")</f>
        <v/>
      </c>
      <c r="BI26" s="44" t="str">
        <f>IFERROR(VLOOKUP(BI25,MB!$B$48:$R$82,11,FALSE),"")</f>
        <v/>
      </c>
      <c r="BJ26" s="161" t="str">
        <f>IFERROR(YEAR(VLOOKUP(BI25,MB!$B$48:$R$82,2,FALSE)),"")</f>
        <v/>
      </c>
      <c r="BK26" s="162"/>
      <c r="BL26" s="125" t="str">
        <f>IFERROR(VLOOKUP(BI25,MB!$B$48:$R$82,3,FALSE),"")</f>
        <v/>
      </c>
      <c r="BM26" s="163" t="str">
        <f>IFERROR(VLOOKUP(BI25,MB!$B$48:$R$82,15,FALSE),"")</f>
        <v/>
      </c>
      <c r="BN26" s="164"/>
      <c r="BO26" s="150" t="str">
        <f>IFERROR(VLOOKUP(BO23,MB!$B$48:$R$82,16,FALSE),"")</f>
        <v/>
      </c>
      <c r="BP26" s="151"/>
      <c r="BQ26" s="152"/>
      <c r="BR26" s="153" t="str">
        <f>IFERROR(VLOOKUP(BO23,MB!$B$48:$R$82,17,FALSE),"")</f>
        <v/>
      </c>
      <c r="BS26" s="154"/>
      <c r="BT26" s="46" t="str">
        <f>IFERROR(VLOOKUP(BO23,MB!$B$48:$R$82,8,FALSE),"")</f>
        <v/>
      </c>
    </row>
    <row r="27" spans="1:72" ht="15.6" customHeight="1" thickTop="1" thickBot="1" x14ac:dyDescent="0.3">
      <c r="A27" s="22"/>
      <c r="B27" s="22"/>
      <c r="C27" s="22"/>
      <c r="D27" s="22"/>
      <c r="E27" s="43"/>
      <c r="F27" s="43"/>
      <c r="G27" s="179" t="str">
        <f>IFERROR(VLOOKUP(G25,SKV!$B$2:$O$36,14,FALSE),"")</f>
        <v>11 OZ , 1 (1+0), -3 ±</v>
      </c>
      <c r="H27" s="180"/>
      <c r="I27" s="180"/>
      <c r="J27" s="181" t="str">
        <f>IFERROR(VLOOKUP(G25,SKV!$B$48:$Z$82,14,FALSE),"")</f>
        <v>44 OZ, 9 (4+5)</v>
      </c>
      <c r="K27" s="181"/>
      <c r="L27" s="182"/>
      <c r="M27" s="43"/>
      <c r="N27" s="43"/>
      <c r="O27" s="43"/>
      <c r="P27" s="43"/>
      <c r="Q27" s="43"/>
      <c r="R27" s="43"/>
      <c r="S27" s="22"/>
      <c r="T27" s="22"/>
      <c r="U27" s="22"/>
      <c r="V27" s="22"/>
      <c r="W27" s="43"/>
      <c r="X27" s="43"/>
      <c r="Y27" s="179" t="str">
        <f>IFERROR(VLOOKUP(Y25,CHO!$B$2:$O$36,14,FALSE),"")</f>
        <v>12 OZ , 6 (4+2), -4 ±</v>
      </c>
      <c r="Z27" s="180"/>
      <c r="AA27" s="180"/>
      <c r="AB27" s="181" t="str">
        <f>IFERROR(VLOOKUP(Y25,CHO!$B$48:$Z$82,14,FALSE),"")</f>
        <v>92 OZ, 53 (30+23)</v>
      </c>
      <c r="AC27" s="181"/>
      <c r="AD27" s="182"/>
      <c r="AE27" s="43"/>
      <c r="AF27" s="43"/>
      <c r="AG27" s="43"/>
      <c r="AH27" s="43"/>
      <c r="AI27" s="43"/>
      <c r="AJ27" s="43"/>
      <c r="AK27" s="22"/>
      <c r="AL27" s="22"/>
      <c r="AM27" s="22"/>
      <c r="AN27" s="22"/>
      <c r="AO27" s="43"/>
      <c r="AP27" s="43"/>
      <c r="AQ27" s="179" t="str">
        <f>IFERROR(VLOOKUP(AQ25,VIT!$B$2:$O$36,14,FALSE),"")</f>
        <v/>
      </c>
      <c r="AR27" s="180"/>
      <c r="AS27" s="180"/>
      <c r="AT27" s="181" t="str">
        <f>IFERROR(VLOOKUP(AQ25,VIT!$B$48:$R$82,14,FALSE),"")</f>
        <v/>
      </c>
      <c r="AU27" s="181"/>
      <c r="AV27" s="182"/>
      <c r="AW27" s="43"/>
      <c r="AX27" s="43"/>
      <c r="AY27" s="43"/>
      <c r="AZ27" s="43"/>
      <c r="BA27" s="43"/>
      <c r="BB27" s="43"/>
      <c r="BC27" s="22"/>
      <c r="BD27" s="22"/>
      <c r="BE27" s="22"/>
      <c r="BF27" s="22"/>
      <c r="BG27" s="43"/>
      <c r="BH27" s="43"/>
      <c r="BI27" s="179" t="str">
        <f>IFERROR(VLOOKUP(BI25,MB!$B$2:$O$36,14,FALSE),"")</f>
        <v/>
      </c>
      <c r="BJ27" s="180"/>
      <c r="BK27" s="180"/>
      <c r="BL27" s="181" t="str">
        <f>IFERROR(VLOOKUP(BI25,MB!$B$48:$R$82,14,FALSE),"")</f>
        <v/>
      </c>
      <c r="BM27" s="181"/>
      <c r="BN27" s="182"/>
      <c r="BO27" s="43"/>
      <c r="BP27" s="43"/>
      <c r="BQ27" s="43"/>
      <c r="BR27" s="43"/>
      <c r="BS27" s="43"/>
      <c r="BT27" s="43"/>
    </row>
    <row r="28" spans="1:72" ht="15.6" customHeight="1" thickTop="1" thickBot="1" x14ac:dyDescent="0.3">
      <c r="A28" s="168" t="s">
        <v>23</v>
      </c>
      <c r="B28" s="169"/>
      <c r="C28" s="169"/>
      <c r="D28" s="169"/>
      <c r="E28" s="42" t="str">
        <f>IFERROR(IF(VLOOKUP(A28,SKV!$B$48:$Z$82,10,FALSE)=0,"",VLOOKUP(A28,SKV!$B$48:$Z$82,10,FALSE)),"")</f>
        <v/>
      </c>
      <c r="F28" s="63">
        <f>IFERROR(VLOOKUP(A28,SKV!$B$48:$Z$82,9,FALSE),"")</f>
        <v>2</v>
      </c>
      <c r="G28" s="150" t="str">
        <f>IFERROR(VLOOKUP(G25,SKV!$B$48:$Z$82,16,FALSE),"")</f>
        <v>Bulldogs Brno</v>
      </c>
      <c r="H28" s="151"/>
      <c r="I28" s="152"/>
      <c r="J28" s="153">
        <f>IFERROR(VLOOKUP(G25,SKV!$B$48:$Z$82,17,FALSE),"")</f>
        <v>2013</v>
      </c>
      <c r="K28" s="154"/>
      <c r="L28" s="46">
        <f>IFERROR(VLOOKUP(G25,SKV!$B$48:$Z$82,8,FALSE),"")</f>
        <v>3</v>
      </c>
      <c r="M28" s="168" t="s">
        <v>24</v>
      </c>
      <c r="N28" s="169"/>
      <c r="O28" s="169"/>
      <c r="P28" s="169"/>
      <c r="Q28" s="42" t="str">
        <f>IFERROR(IF(VLOOKUP(M28,SKV!$B$48:$Z$82,10,FALSE)=0,"",VLOOKUP(M28,SKV!$B$48:$Z$82,10,FALSE)),"")</f>
        <v/>
      </c>
      <c r="R28" s="63">
        <f>IFERROR(VLOOKUP(M28,SKV!$B$48:$Z$82,9,FALSE),"")</f>
        <v>47</v>
      </c>
      <c r="S28" s="168" t="s">
        <v>180</v>
      </c>
      <c r="T28" s="169"/>
      <c r="U28" s="169"/>
      <c r="V28" s="169"/>
      <c r="W28" s="42" t="str">
        <f>IFERROR(IF(VLOOKUP(S28,CHO!$B$48:$Z$82,10,FALSE)=0,"",VLOOKUP(S28,CHO!$B$48:$Z$82,10,FALSE)),"")</f>
        <v/>
      </c>
      <c r="X28" s="63">
        <f>IFERROR(VLOOKUP(S28,CHO!$B$48:$Z$82,9,FALSE),"")</f>
        <v>4</v>
      </c>
      <c r="Y28" s="150" t="str">
        <f>IFERROR(VLOOKUP(Y25,CHO!$B$48:$Z$82,16,FALSE),"")</f>
        <v>FBC Plzeň</v>
      </c>
      <c r="Z28" s="151"/>
      <c r="AA28" s="152"/>
      <c r="AB28" s="153">
        <f>IFERROR(VLOOKUP(Y25,CHO!$B$48:$Z$82,17,FALSE),"")</f>
        <v>2009</v>
      </c>
      <c r="AC28" s="154"/>
      <c r="AD28" s="46">
        <f>IFERROR(VLOOKUP(Y25,CHO!$B$48:$Z$82,8,FALSE),"")</f>
        <v>6</v>
      </c>
      <c r="AE28" s="168" t="s">
        <v>195</v>
      </c>
      <c r="AF28" s="169"/>
      <c r="AG28" s="169"/>
      <c r="AH28" s="169"/>
      <c r="AI28" s="42" t="str">
        <f>IFERROR(IF(VLOOKUP(AE28,CHO!$B$48:$Z$82,10,FALSE)=0,"",VLOOKUP(AE28,CHO!$B$48:$Z$82,10,FALSE)),"")</f>
        <v/>
      </c>
      <c r="AJ28" s="63">
        <f>IFERROR(VLOOKUP(AE28,CHO!$B$48:$Z$82,9,FALSE),"")</f>
        <v>15</v>
      </c>
      <c r="AK28" s="168"/>
      <c r="AL28" s="169"/>
      <c r="AM28" s="169"/>
      <c r="AN28" s="169"/>
      <c r="AO28" s="42" t="str">
        <f>IFERROR(IF(VLOOKUP(AK28,VIT!$B$48:$R$82,10,FALSE)=0,"",VLOOKUP(AK28,VIT!$B$48:$R$82,10,FALSE)),"")</f>
        <v/>
      </c>
      <c r="AP28" s="63" t="str">
        <f>IFERROR(VLOOKUP(AK28,VIT!$B$48:$R$82,9,FALSE),"")</f>
        <v/>
      </c>
      <c r="AQ28" s="150" t="str">
        <f>IFERROR(VLOOKUP(AQ25,VIT!$B$48:$R$82,16,FALSE),"")</f>
        <v/>
      </c>
      <c r="AR28" s="151"/>
      <c r="AS28" s="152"/>
      <c r="AT28" s="153" t="str">
        <f>IFERROR(VLOOKUP(AQ25,VIT!$B$48:$R$82,17,FALSE),"")</f>
        <v/>
      </c>
      <c r="AU28" s="154"/>
      <c r="AV28" s="46" t="str">
        <f>IFERROR(VLOOKUP(AQ25,VIT!$B$48:$R$82,8,FALSE),"")</f>
        <v/>
      </c>
      <c r="AW28" s="168"/>
      <c r="AX28" s="169"/>
      <c r="AY28" s="169"/>
      <c r="AZ28" s="169"/>
      <c r="BA28" s="42" t="str">
        <f>IFERROR(IF(VLOOKUP(AW28,VIT!$B$48:$R$82,10,FALSE)=0,"",VLOOKUP(AW28,VIT!$B$48:$R$82,10,FALSE)),"")</f>
        <v/>
      </c>
      <c r="BB28" s="63" t="str">
        <f>IFERROR(VLOOKUP(AW28,VIT!$B$48:$R$82,9,FALSE),"")</f>
        <v/>
      </c>
      <c r="BC28" s="168"/>
      <c r="BD28" s="169"/>
      <c r="BE28" s="169"/>
      <c r="BF28" s="169"/>
      <c r="BG28" s="42" t="str">
        <f>IFERROR(IF(VLOOKUP(BC28,MB!$B$48:$R$82,10,FALSE)=0,"",VLOOKUP(BC28,MB!$B$48:$R$82,10,FALSE)),"")</f>
        <v/>
      </c>
      <c r="BH28" s="63" t="str">
        <f>IFERROR(VLOOKUP(BC28,MB!$B$48:$R$82,9,FALSE),"")</f>
        <v/>
      </c>
      <c r="BI28" s="150" t="str">
        <f>IFERROR(VLOOKUP(BI25,MB!$B$48:$R$82,16,FALSE),"")</f>
        <v/>
      </c>
      <c r="BJ28" s="151"/>
      <c r="BK28" s="152"/>
      <c r="BL28" s="153" t="str">
        <f>IFERROR(VLOOKUP(BI25,MB!$B$48:$R$82,17,FALSE),"")</f>
        <v/>
      </c>
      <c r="BM28" s="154"/>
      <c r="BN28" s="46" t="str">
        <f>IFERROR(VLOOKUP(BI25,MB!$B$48:$R$82,8,FALSE),"")</f>
        <v/>
      </c>
      <c r="BO28" s="168"/>
      <c r="BP28" s="169"/>
      <c r="BQ28" s="169"/>
      <c r="BR28" s="169"/>
      <c r="BS28" s="42" t="str">
        <f>IFERROR(IF(VLOOKUP(BO28,MB!$B$48:$R$82,10,FALSE)=0,"",VLOOKUP(BO28,MB!$B$48:$R$82,10,FALSE)),"")</f>
        <v/>
      </c>
      <c r="BT28" s="63" t="str">
        <f>IFERROR(VLOOKUP(BO28,MB!$B$48:$R$82,9,FALSE),"")</f>
        <v/>
      </c>
    </row>
    <row r="29" spans="1:72" ht="15.6" customHeight="1" thickBot="1" x14ac:dyDescent="0.3">
      <c r="A29" s="44" t="str">
        <f>IFERROR(VLOOKUP(A28,SKV!$B$48:$Z$82,11,FALSE),"")</f>
        <v>P</v>
      </c>
      <c r="B29" s="161">
        <f>IFERROR(YEAR(VLOOKUP(A28,SKV!$B$48:$Z$82,2,FALSE)),"")</f>
        <v>1994</v>
      </c>
      <c r="C29" s="162"/>
      <c r="D29" s="45">
        <f ca="1">IFERROR(VLOOKUP(A28,SKV!$B$48:$Z$82,3,FALSE),"")</f>
        <v>26</v>
      </c>
      <c r="E29" s="163" t="str">
        <f>IFERROR(VLOOKUP(A28,SKV!$B$48:$Z$82,15,FALSE),"")</f>
        <v>187/93</v>
      </c>
      <c r="F29" s="164"/>
      <c r="G29" s="43"/>
      <c r="H29" s="43"/>
      <c r="I29" s="43"/>
      <c r="J29" s="43"/>
      <c r="K29" s="43"/>
      <c r="L29" s="43"/>
      <c r="M29" s="44" t="str">
        <f>IFERROR(VLOOKUP(M28,SKV!$B$48:$Z$82,11,FALSE),"")</f>
        <v>L</v>
      </c>
      <c r="N29" s="161">
        <f>IFERROR(YEAR(VLOOKUP(M28,SKV!$B$48:$Z$82,2,FALSE)),"")</f>
        <v>1999</v>
      </c>
      <c r="O29" s="162"/>
      <c r="P29" s="45">
        <f ca="1">IFERROR(VLOOKUP(M28,SKV!$B$48:$Z$82,3,FALSE),"")</f>
        <v>21</v>
      </c>
      <c r="Q29" s="163" t="str">
        <f>IFERROR(VLOOKUP(M28,SKV!$B$48:$Z$82,15,FALSE),"")</f>
        <v>181/82</v>
      </c>
      <c r="R29" s="164"/>
      <c r="S29" s="44" t="str">
        <f>IFERROR(VLOOKUP(S28,CHO!$B$48:$Z$82,11,FALSE),"")</f>
        <v>L</v>
      </c>
      <c r="T29" s="161">
        <f>IFERROR(YEAR(VLOOKUP(S28,CHO!$B$48:$Z$82,2,FALSE)),"")</f>
        <v>1999</v>
      </c>
      <c r="U29" s="162"/>
      <c r="V29" s="45">
        <f ca="1">IFERROR(VLOOKUP(S28,CHO!$B$48:$Z$82,3,FALSE),"")</f>
        <v>21</v>
      </c>
      <c r="W29" s="163" t="str">
        <f>IFERROR(VLOOKUP(S28,CHO!$B$48:$Z$82,15,FALSE),"")</f>
        <v>184/78</v>
      </c>
      <c r="X29" s="164"/>
      <c r="Y29" s="43"/>
      <c r="Z29" s="43"/>
      <c r="AA29" s="43"/>
      <c r="AB29" s="43"/>
      <c r="AC29" s="43"/>
      <c r="AD29" s="43"/>
      <c r="AE29" s="44" t="str">
        <f>IFERROR(VLOOKUP(AE28,CHO!$B$48:$Z$82,11,FALSE),"")</f>
        <v>L</v>
      </c>
      <c r="AF29" s="161">
        <f>IFERROR(YEAR(VLOOKUP(AE28,CHO!$B$48:$Z$82,2,FALSE)),"")</f>
        <v>1987</v>
      </c>
      <c r="AG29" s="162"/>
      <c r="AH29" s="45">
        <f ca="1">IFERROR(VLOOKUP(AE28,CHO!$B$48:$Z$82,3,FALSE),"")</f>
        <v>33</v>
      </c>
      <c r="AI29" s="163" t="str">
        <f>IFERROR(VLOOKUP(AE28,CHO!$B$48:$Z$82,15,FALSE),"")</f>
        <v>178/80</v>
      </c>
      <c r="AJ29" s="164"/>
      <c r="AK29" s="44" t="str">
        <f>IFERROR(VLOOKUP(AK28,VIT!$B$48:$R$82,11,FALSE),"")</f>
        <v/>
      </c>
      <c r="AL29" s="161" t="str">
        <f>IFERROR(YEAR(VLOOKUP(AK28,VIT!$B$48:$R$82,2,FALSE)),"")</f>
        <v/>
      </c>
      <c r="AM29" s="162"/>
      <c r="AN29" s="122" t="str">
        <f>IFERROR(VLOOKUP(AK28,VIT!$B$48:$R$82,3,FALSE),"")</f>
        <v/>
      </c>
      <c r="AO29" s="163" t="str">
        <f>IFERROR(VLOOKUP(AK28,VIT!$B$48:$R$82,15,FALSE),"")</f>
        <v/>
      </c>
      <c r="AP29" s="164"/>
      <c r="AQ29" s="43"/>
      <c r="AR29" s="43"/>
      <c r="AS29" s="43"/>
      <c r="AT29" s="43"/>
      <c r="AU29" s="43"/>
      <c r="AV29" s="43"/>
      <c r="AW29" s="44" t="str">
        <f>IFERROR(VLOOKUP(AW28,VIT!$B$48:$R$82,11,FALSE),"")</f>
        <v/>
      </c>
      <c r="AX29" s="161" t="str">
        <f>IFERROR(YEAR(VLOOKUP(AW28,VIT!$B$48:$R$82,2,FALSE)),"")</f>
        <v/>
      </c>
      <c r="AY29" s="162"/>
      <c r="AZ29" s="122" t="str">
        <f>IFERROR(VLOOKUP(AW28,VIT!$B$48:$R$82,3,FALSE),"")</f>
        <v/>
      </c>
      <c r="BA29" s="163" t="str">
        <f>IFERROR(VLOOKUP(AW28,VIT!$B$48:$R$82,15,FALSE),"")</f>
        <v/>
      </c>
      <c r="BB29" s="164"/>
      <c r="BC29" s="44" t="str">
        <f>IFERROR(VLOOKUP(BC28,MB!$B$48:$R$82,11,FALSE),"")</f>
        <v/>
      </c>
      <c r="BD29" s="161" t="str">
        <f>IFERROR(YEAR(VLOOKUP(BC28,MB!$B$48:$R$82,2,FALSE)),"")</f>
        <v/>
      </c>
      <c r="BE29" s="162"/>
      <c r="BF29" s="125" t="str">
        <f>IFERROR(VLOOKUP(BC28,MB!$B$48:$R$82,3,FALSE),"")</f>
        <v/>
      </c>
      <c r="BG29" s="163" t="str">
        <f>IFERROR(VLOOKUP(BC28,MB!$B$48:$R$82,15,FALSE),"")</f>
        <v/>
      </c>
      <c r="BH29" s="164"/>
      <c r="BI29" s="43"/>
      <c r="BJ29" s="43"/>
      <c r="BK29" s="43"/>
      <c r="BL29" s="43"/>
      <c r="BM29" s="43"/>
      <c r="BN29" s="43"/>
      <c r="BO29" s="44" t="str">
        <f>IFERROR(VLOOKUP(BO28,MB!$B$48:$R$82,11,FALSE),"")</f>
        <v/>
      </c>
      <c r="BP29" s="161" t="str">
        <f>IFERROR(YEAR(VLOOKUP(BO28,MB!$B$48:$R$82,2,FALSE)),"")</f>
        <v/>
      </c>
      <c r="BQ29" s="162"/>
      <c r="BR29" s="125" t="str">
        <f>IFERROR(VLOOKUP(BO28,MB!$B$48:$R$82,3,FALSE),"")</f>
        <v/>
      </c>
      <c r="BS29" s="163" t="str">
        <f>IFERROR(VLOOKUP(BO28,MB!$B$48:$R$82,15,FALSE),"")</f>
        <v/>
      </c>
      <c r="BT29" s="164"/>
    </row>
    <row r="30" spans="1:72" ht="15.6" customHeight="1" x14ac:dyDescent="0.25">
      <c r="A30" s="179" t="str">
        <f>IFERROR(VLOOKUP(A28,SKV!$B$2:$O$36,14,FALSE),"")</f>
        <v>9 OZ , 0 (0+0), +3 ±</v>
      </c>
      <c r="B30" s="180"/>
      <c r="C30" s="180"/>
      <c r="D30" s="181" t="str">
        <f>IFERROR(VLOOKUP(A28,SKV!$B$48:$Z$82,14,FALSE),"")</f>
        <v>124 OZ, 27 (13+14)</v>
      </c>
      <c r="E30" s="181"/>
      <c r="F30" s="182"/>
      <c r="G30" s="43"/>
      <c r="H30" s="183" t="str">
        <f>H$8</f>
        <v>SKV</v>
      </c>
      <c r="I30" s="183"/>
      <c r="J30" s="183"/>
      <c r="K30" s="183"/>
      <c r="L30" s="43"/>
      <c r="M30" s="179" t="str">
        <f>IFERROR(VLOOKUP(M28,SKV!$B$2:$O$36,14,FALSE),"")</f>
        <v>12 OZ , 0 (0+0), -5 ±</v>
      </c>
      <c r="N30" s="180"/>
      <c r="O30" s="180"/>
      <c r="P30" s="181" t="str">
        <f>IFERROR(VLOOKUP(M28,SKV!$B$48:$Z$82,14,FALSE),"")</f>
        <v>12 OZ, 0 (0+0)</v>
      </c>
      <c r="Q30" s="181"/>
      <c r="R30" s="182"/>
      <c r="S30" s="179" t="str">
        <f>IFERROR(VLOOKUP(S28,CHO!$B$2:$O$36,14,FALSE),"")</f>
        <v>8 OZ , 5 (2+3), +4 ±</v>
      </c>
      <c r="T30" s="180"/>
      <c r="U30" s="180"/>
      <c r="V30" s="181" t="str">
        <f>IFERROR(VLOOKUP(S28,CHO!$B$48:$Z$82,14,FALSE),"")</f>
        <v>86 OZ, 47 (33+14)</v>
      </c>
      <c r="W30" s="181"/>
      <c r="X30" s="182"/>
      <c r="Y30" s="43"/>
      <c r="Z30" s="183" t="str">
        <f>$Z$8</f>
        <v>CHO</v>
      </c>
      <c r="AA30" s="183"/>
      <c r="AB30" s="183"/>
      <c r="AC30" s="183"/>
      <c r="AD30" s="43"/>
      <c r="AE30" s="179" t="str">
        <f>IFERROR(VLOOKUP(AE28,CHO!$B$2:$O$36,14,FALSE),"")</f>
        <v>12 OZ , 0 (0+0), +1 ±</v>
      </c>
      <c r="AF30" s="180"/>
      <c r="AG30" s="180"/>
      <c r="AH30" s="181" t="str">
        <f>IFERROR(VLOOKUP(AE28,CHO!$B$48:$Z$82,14,FALSE),"")</f>
        <v>305 OZ, 190 (95+95)</v>
      </c>
      <c r="AI30" s="181"/>
      <c r="AJ30" s="182"/>
      <c r="AK30" s="179" t="str">
        <f>IFERROR(VLOOKUP(AK28,VIT!$B$2:$O$36,14,FALSE),"")</f>
        <v/>
      </c>
      <c r="AL30" s="180"/>
      <c r="AM30" s="180"/>
      <c r="AN30" s="181" t="str">
        <f>IFERROR(VLOOKUP(AK28,VIT!$B$48:$R$82,14,FALSE),"")</f>
        <v/>
      </c>
      <c r="AO30" s="181"/>
      <c r="AP30" s="182"/>
      <c r="AQ30" s="43"/>
      <c r="AR30" s="183" t="str">
        <f>AR$8</f>
        <v>VIT</v>
      </c>
      <c r="AS30" s="183"/>
      <c r="AT30" s="183"/>
      <c r="AU30" s="183"/>
      <c r="AV30" s="43"/>
      <c r="AW30" s="179" t="str">
        <f>IFERROR(VLOOKUP(AW28,VIT!$B$2:$O$36,14,FALSE),"")</f>
        <v/>
      </c>
      <c r="AX30" s="180"/>
      <c r="AY30" s="180"/>
      <c r="AZ30" s="181" t="str">
        <f>IFERROR(VLOOKUP(AW28,VIT!$B$48:$R$82,14,FALSE),"")</f>
        <v/>
      </c>
      <c r="BA30" s="181"/>
      <c r="BB30" s="182"/>
      <c r="BC30" s="179" t="str">
        <f>IFERROR(VLOOKUP(BC28,MB!$B$2:$O$36,14,FALSE),"")</f>
        <v/>
      </c>
      <c r="BD30" s="180"/>
      <c r="BE30" s="180"/>
      <c r="BF30" s="181" t="str">
        <f>IFERROR(VLOOKUP(BC28,MB!$B$48:$R$82,14,FALSE),"")</f>
        <v/>
      </c>
      <c r="BG30" s="181"/>
      <c r="BH30" s="182"/>
      <c r="BI30" s="43"/>
      <c r="BJ30" s="183" t="str">
        <f>BJ$8</f>
        <v>MB</v>
      </c>
      <c r="BK30" s="183"/>
      <c r="BL30" s="183"/>
      <c r="BM30" s="183"/>
      <c r="BN30" s="43"/>
      <c r="BO30" s="179" t="str">
        <f>IFERROR(VLOOKUP(BO28,MB!$B$2:$O$36,14,FALSE),"")</f>
        <v/>
      </c>
      <c r="BP30" s="180"/>
      <c r="BQ30" s="180"/>
      <c r="BR30" s="181" t="str">
        <f>IFERROR(VLOOKUP(BO28,MB!$B$48:$R$82,14,FALSE),"")</f>
        <v/>
      </c>
      <c r="BS30" s="181"/>
      <c r="BT30" s="182"/>
    </row>
    <row r="31" spans="1:72" ht="15.6" customHeight="1" thickBot="1" x14ac:dyDescent="0.3">
      <c r="A31" s="150" t="str">
        <f>IFERROR(VLOOKUP(A28,SKV!$B$48:$Z$82,16,FALSE),"")</f>
        <v>Florbal Chodov</v>
      </c>
      <c r="B31" s="151"/>
      <c r="C31" s="152"/>
      <c r="D31" s="153">
        <f>IFERROR(VLOOKUP(A28,SKV!$B$48:$Z$82,17,FALSE),"")</f>
        <v>2001</v>
      </c>
      <c r="E31" s="154"/>
      <c r="F31" s="46">
        <f>IFERROR(VLOOKUP(A28,SKV!$B$48:$Z$82,8,FALSE),"")</f>
        <v>8</v>
      </c>
      <c r="G31" s="43"/>
      <c r="H31" s="183"/>
      <c r="I31" s="183"/>
      <c r="J31" s="183"/>
      <c r="K31" s="183"/>
      <c r="L31" s="43"/>
      <c r="M31" s="150" t="str">
        <f>IFERROR(VLOOKUP(M28,SKV!$B$48:$Z$82,16,FALSE),"")</f>
        <v>Bohemians</v>
      </c>
      <c r="N31" s="151"/>
      <c r="O31" s="152"/>
      <c r="P31" s="153">
        <f>IFERROR(VLOOKUP(M28,SKV!$B$48:$Z$82,17,FALSE),"")</f>
        <v>2009</v>
      </c>
      <c r="Q31" s="154"/>
      <c r="R31" s="46">
        <f>IFERROR(VLOOKUP(M28,SKV!$B$48:$Z$82,8,FALSE),"")</f>
        <v>1</v>
      </c>
      <c r="S31" s="150" t="str">
        <f>IFERROR(VLOOKUP(S28,CHO!$B$48:$Z$82,16,FALSE),"")</f>
        <v>Wizards DDM</v>
      </c>
      <c r="T31" s="151"/>
      <c r="U31" s="152"/>
      <c r="V31" s="153">
        <f>IFERROR(VLOOKUP(S28,CHO!$B$48:$Z$82,17,FALSE),"")</f>
        <v>2008</v>
      </c>
      <c r="W31" s="154"/>
      <c r="X31" s="46">
        <f>IFERROR(VLOOKUP(S28,CHO!$B$48:$Z$82,8,FALSE),"")</f>
        <v>5</v>
      </c>
      <c r="Y31" s="43"/>
      <c r="Z31" s="183"/>
      <c r="AA31" s="183"/>
      <c r="AB31" s="183"/>
      <c r="AC31" s="183"/>
      <c r="AD31" s="43"/>
      <c r="AE31" s="150" t="str">
        <f>IFERROR(VLOOKUP(AE28,CHO!$B$48:$Z$82,16,FALSE),"")</f>
        <v>Tatran Střešovice</v>
      </c>
      <c r="AF31" s="151"/>
      <c r="AG31" s="152"/>
      <c r="AH31" s="153">
        <f>IFERROR(VLOOKUP(AE28,CHO!$B$48:$Z$82,17,FALSE),"")</f>
        <v>2002</v>
      </c>
      <c r="AI31" s="154"/>
      <c r="AJ31" s="46">
        <f>IFERROR(VLOOKUP(AE28,CHO!$B$48:$Z$82,8,FALSE),"")</f>
        <v>17</v>
      </c>
      <c r="AK31" s="150" t="str">
        <f>IFERROR(VLOOKUP(AK28,VIT!$B$48:$R$82,16,FALSE),"")</f>
        <v/>
      </c>
      <c r="AL31" s="151"/>
      <c r="AM31" s="152"/>
      <c r="AN31" s="153" t="str">
        <f>IFERROR(VLOOKUP(AK28,VIT!$B$48:$R$82,17,FALSE),"")</f>
        <v/>
      </c>
      <c r="AO31" s="154"/>
      <c r="AP31" s="46" t="str">
        <f>IFERROR(VLOOKUP(AK28,VIT!$B$48:$R$82,8,FALSE),"")</f>
        <v/>
      </c>
      <c r="AQ31" s="43"/>
      <c r="AR31" s="183"/>
      <c r="AS31" s="183"/>
      <c r="AT31" s="183"/>
      <c r="AU31" s="183"/>
      <c r="AV31" s="43"/>
      <c r="AW31" s="150" t="str">
        <f>IFERROR(VLOOKUP(AW28,VIT!$B$48:$R$82,16,FALSE),"")</f>
        <v/>
      </c>
      <c r="AX31" s="151"/>
      <c r="AY31" s="152"/>
      <c r="AZ31" s="153" t="str">
        <f>IFERROR(VLOOKUP(AW28,VIT!$B$48:$R$82,17,FALSE),"")</f>
        <v/>
      </c>
      <c r="BA31" s="154"/>
      <c r="BB31" s="46" t="str">
        <f>IFERROR(VLOOKUP(AW28,VIT!$B$48:$R$82,8,FALSE),"")</f>
        <v/>
      </c>
      <c r="BC31" s="150" t="str">
        <f>IFERROR(VLOOKUP(BC28,MB!$B$48:$R$82,16,FALSE),"")</f>
        <v/>
      </c>
      <c r="BD31" s="151"/>
      <c r="BE31" s="152"/>
      <c r="BF31" s="153" t="str">
        <f>IFERROR(VLOOKUP(BC28,MB!$B$48:$R$82,17,FALSE),"")</f>
        <v/>
      </c>
      <c r="BG31" s="154"/>
      <c r="BH31" s="46" t="str">
        <f>IFERROR(VLOOKUP(BC28,MB!$B$48:$R$82,8,FALSE),"")</f>
        <v/>
      </c>
      <c r="BI31" s="43"/>
      <c r="BJ31" s="183"/>
      <c r="BK31" s="183"/>
      <c r="BL31" s="183"/>
      <c r="BM31" s="183"/>
      <c r="BN31" s="43"/>
      <c r="BO31" s="150" t="str">
        <f>IFERROR(VLOOKUP(BO28,MB!$B$48:$R$82,16,FALSE),"")</f>
        <v/>
      </c>
      <c r="BP31" s="151"/>
      <c r="BQ31" s="152"/>
      <c r="BR31" s="153" t="str">
        <f>IFERROR(VLOOKUP(BO28,MB!$B$48:$R$82,17,FALSE),"")</f>
        <v/>
      </c>
      <c r="BS31" s="154"/>
      <c r="BT31" s="46" t="str">
        <f>IFERROR(VLOOKUP(BO28,MB!$B$48:$R$82,8,FALSE),"")</f>
        <v/>
      </c>
    </row>
    <row r="32" spans="1:72" ht="7.35" customHeight="1" thickTop="1" thickBot="1" x14ac:dyDescent="0.3">
      <c r="A32" s="43"/>
      <c r="B32" s="43"/>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c r="BO32" s="43"/>
      <c r="BP32" s="43"/>
      <c r="BQ32" s="43"/>
      <c r="BR32" s="43"/>
      <c r="BS32" s="43"/>
      <c r="BT32" s="43"/>
    </row>
    <row r="33" spans="1:72" ht="7.35" customHeight="1" thickTop="1" thickBot="1" x14ac:dyDescent="0.3">
      <c r="A33" s="50"/>
      <c r="B33" s="50"/>
      <c r="C33" s="50"/>
      <c r="D33" s="50"/>
      <c r="E33" s="50"/>
      <c r="F33" s="50"/>
      <c r="G33" s="50"/>
      <c r="H33" s="50"/>
      <c r="I33" s="50"/>
      <c r="J33" s="50"/>
      <c r="K33" s="50"/>
      <c r="L33" s="50"/>
      <c r="M33" s="50"/>
      <c r="N33" s="50"/>
      <c r="O33" s="50"/>
      <c r="P33" s="50"/>
      <c r="Q33" s="50"/>
      <c r="R33" s="51"/>
      <c r="S33" s="50"/>
      <c r="T33" s="50"/>
      <c r="U33" s="50"/>
      <c r="V33" s="50"/>
      <c r="W33" s="50"/>
      <c r="X33" s="50"/>
      <c r="Y33" s="50"/>
      <c r="Z33" s="50"/>
      <c r="AA33" s="50"/>
      <c r="AB33" s="50"/>
      <c r="AC33" s="50"/>
      <c r="AD33" s="50"/>
      <c r="AE33" s="50"/>
      <c r="AF33" s="50"/>
      <c r="AG33" s="50"/>
      <c r="AH33" s="50"/>
      <c r="AI33" s="50"/>
      <c r="AJ33" s="51"/>
      <c r="AK33" s="50"/>
      <c r="AL33" s="50"/>
      <c r="AM33" s="50"/>
      <c r="AN33" s="50"/>
      <c r="AO33" s="50"/>
      <c r="AP33" s="50"/>
      <c r="AQ33" s="50"/>
      <c r="AR33" s="50"/>
      <c r="AS33" s="50"/>
      <c r="AT33" s="50"/>
      <c r="AU33" s="50"/>
      <c r="AV33" s="50"/>
      <c r="AW33" s="50"/>
      <c r="AX33" s="50"/>
      <c r="AY33" s="50"/>
      <c r="AZ33" s="50"/>
      <c r="BA33" s="50"/>
      <c r="BB33" s="51"/>
      <c r="BC33" s="50"/>
      <c r="BD33" s="50"/>
      <c r="BE33" s="50"/>
      <c r="BF33" s="50"/>
      <c r="BG33" s="50"/>
      <c r="BH33" s="50"/>
      <c r="BI33" s="50"/>
      <c r="BJ33" s="50"/>
      <c r="BK33" s="50"/>
      <c r="BL33" s="50"/>
      <c r="BM33" s="50"/>
      <c r="BN33" s="50"/>
      <c r="BO33" s="50"/>
      <c r="BP33" s="50"/>
      <c r="BQ33" s="50"/>
      <c r="BR33" s="50"/>
      <c r="BS33" s="50"/>
      <c r="BT33" s="51"/>
    </row>
    <row r="34" spans="1:72" ht="15.6" customHeight="1" thickTop="1" thickBot="1" x14ac:dyDescent="0.3">
      <c r="A34" s="168" t="s">
        <v>33</v>
      </c>
      <c r="B34" s="169"/>
      <c r="C34" s="169"/>
      <c r="D34" s="169"/>
      <c r="E34" s="42" t="str">
        <f>IFERROR(IF(VLOOKUP(A34,SKV!$B$48:$Z$82,10,FALSE)=0,"",VLOOKUP(A34,SKV!$B$48:$Z$82,10,FALSE)),"")</f>
        <v/>
      </c>
      <c r="F34" s="63">
        <f>IFERROR(VLOOKUP(A34,SKV!$B$48:$Z$82,9,FALSE),"")</f>
        <v>13</v>
      </c>
      <c r="G34" s="43"/>
      <c r="H34" s="178" t="s">
        <v>167</v>
      </c>
      <c r="I34" s="43"/>
      <c r="J34" s="168" t="s">
        <v>10</v>
      </c>
      <c r="K34" s="169"/>
      <c r="L34" s="169"/>
      <c r="M34" s="169"/>
      <c r="N34" s="169"/>
      <c r="O34" s="169"/>
      <c r="P34" s="169"/>
      <c r="Q34" s="42" t="str">
        <f>IFERROR(IF(VLOOKUP(J34,SKV!$B$48:$Z$82,10,FALSE)=0,"",VLOOKUP(M34,SKV!$B$48:$Z$82,10,FALSE)),"")</f>
        <v/>
      </c>
      <c r="R34" s="63">
        <f>IFERROR(VLOOKUP(J34,SKV!$B$48:$Z$82,9,FALSE),"")</f>
        <v>76</v>
      </c>
      <c r="S34" s="168" t="s">
        <v>196</v>
      </c>
      <c r="T34" s="169"/>
      <c r="U34" s="169"/>
      <c r="V34" s="169"/>
      <c r="W34" s="42" t="str">
        <f>IFERROR(IF(VLOOKUP(S34,CHO!$B$48:$Z$82,10,FALSE)=0,"",VLOOKUP(S34,CHO!$B$48:$Z$82,10,FALSE)),"")</f>
        <v/>
      </c>
      <c r="X34" s="63">
        <f>IFERROR(VLOOKUP(S34,CHO!$B$48:$Z$82,9,FALSE),"")</f>
        <v>31</v>
      </c>
      <c r="Y34" s="43"/>
      <c r="Z34" s="178" t="s">
        <v>167</v>
      </c>
      <c r="AA34" s="43"/>
      <c r="AB34" s="168" t="s">
        <v>185</v>
      </c>
      <c r="AC34" s="169"/>
      <c r="AD34" s="169"/>
      <c r="AE34" s="169"/>
      <c r="AF34" s="169"/>
      <c r="AG34" s="169"/>
      <c r="AH34" s="169"/>
      <c r="AI34" s="42" t="str">
        <f>IFERROR(IF(VLOOKUP(AB34,CHO!$B$48:$Z$82,10,FALSE)=0,"",VLOOKUP(AB34,CHO!$B$48:$Z$82,10,FALSE)),"")</f>
        <v/>
      </c>
      <c r="AJ34" s="63">
        <f>IFERROR(VLOOKUP(AB34,CHO!$B$48:$Z$82,9,FALSE),"")</f>
        <v>11</v>
      </c>
      <c r="AK34" s="168"/>
      <c r="AL34" s="169"/>
      <c r="AM34" s="169"/>
      <c r="AN34" s="169"/>
      <c r="AO34" s="42" t="str">
        <f>IFERROR(IF(VLOOKUP(AK34,VIT!$B$48:$R$82,10,FALSE)=0,"",VLOOKUP(AK34,VIT!$B$48:$R$82,10,FALSE)),"")</f>
        <v/>
      </c>
      <c r="AP34" s="63" t="str">
        <f>IFERROR(VLOOKUP(AK34,VIT!$B$48:$R$82,9,FALSE),"")</f>
        <v/>
      </c>
      <c r="AQ34" s="43"/>
      <c r="AR34" s="178" t="s">
        <v>167</v>
      </c>
      <c r="AS34" s="43"/>
      <c r="AT34" s="168"/>
      <c r="AU34" s="169"/>
      <c r="AV34" s="169"/>
      <c r="AW34" s="169"/>
      <c r="AX34" s="169"/>
      <c r="AY34" s="169"/>
      <c r="AZ34" s="169"/>
      <c r="BA34" s="42" t="str">
        <f>IFERROR(IF(VLOOKUP(AT34,VIT!$B$48:$R$82,10,FALSE)=0,"",VLOOKUP(AT34,VIT!$B$48:$R$82,10,FALSE)),"")</f>
        <v/>
      </c>
      <c r="BB34" s="63" t="str">
        <f>IFERROR(VLOOKUP(AT34,VIT!$B$48:$R$82,9,FALSE),"")</f>
        <v/>
      </c>
      <c r="BC34" s="168"/>
      <c r="BD34" s="169"/>
      <c r="BE34" s="169"/>
      <c r="BF34" s="169"/>
      <c r="BG34" s="42" t="str">
        <f>IFERROR(IF(VLOOKUP(BC34,MB!$B$48:$R$82,10,FALSE)=0,"",VLOOKUP(BC34,MB!$B$48:$R$82,10,FALSE)),"")</f>
        <v/>
      </c>
      <c r="BH34" s="63" t="str">
        <f>IFERROR(VLOOKUP(BC34,MB!$B$48:$R$82,9,FALSE),"")</f>
        <v/>
      </c>
      <c r="BI34" s="43"/>
      <c r="BJ34" s="178" t="s">
        <v>167</v>
      </c>
      <c r="BK34" s="43"/>
      <c r="BL34" s="168"/>
      <c r="BM34" s="169"/>
      <c r="BN34" s="169"/>
      <c r="BO34" s="169"/>
      <c r="BP34" s="169"/>
      <c r="BQ34" s="169"/>
      <c r="BR34" s="169"/>
      <c r="BS34" s="42" t="str">
        <f>IFERROR(IF(VLOOKUP(BL34,MB!$B$48:$R$82,10,FALSE)=0,"",VLOOKUP(BL34,MB!$B$48:$R$82,10,FALSE)),"")</f>
        <v/>
      </c>
      <c r="BT34" s="63" t="str">
        <f>IFERROR(VLOOKUP(BL34,MB!$B$48:$R$82,9,FALSE),"")</f>
        <v/>
      </c>
    </row>
    <row r="35" spans="1:72" ht="15.6" customHeight="1" thickBot="1" x14ac:dyDescent="0.3">
      <c r="A35" s="52">
        <f>IFERROR(VLOOKUP(A34,SKV!$B$48:$Z$82,8,FALSE),"")</f>
        <v>4</v>
      </c>
      <c r="B35" s="161">
        <f>IFERROR(YEAR(VLOOKUP(A34,SKV!$B$48:$Z$82,2,FALSE)),"")</f>
        <v>1988</v>
      </c>
      <c r="C35" s="162"/>
      <c r="D35" s="45">
        <f ca="1">IFERROR(VLOOKUP(A34,SKV!$B$48:$Z$82,3,FALSE),"")</f>
        <v>32</v>
      </c>
      <c r="E35" s="163" t="str">
        <f>IFERROR(VLOOKUP(A34,SKV!$B$48:$Z$82,15,FALSE),"")</f>
        <v>177/87</v>
      </c>
      <c r="F35" s="164"/>
      <c r="G35" s="43"/>
      <c r="H35" s="178"/>
      <c r="I35" s="43"/>
      <c r="J35" s="44" t="str">
        <f>IFERROR(VLOOKUP(J34,SKV!$B$48:$Z$82,11,FALSE),"")</f>
        <v>L</v>
      </c>
      <c r="K35" s="162">
        <f>IFERROR(YEAR(VLOOKUP(J34,SKV!$B$48:$Z$82,2,FALSE)),"")</f>
        <v>1989</v>
      </c>
      <c r="L35" s="176"/>
      <c r="M35" s="53">
        <f ca="1">IFERROR(VLOOKUP(J34,SKV!$B$48:$Z$82,3,FALSE),"")</f>
        <v>31</v>
      </c>
      <c r="N35" s="176" t="str">
        <f>IFERROR(VLOOKUP(J34,SKV!$B$48:$Z$82,15,FALSE),"")</f>
        <v>192/83</v>
      </c>
      <c r="O35" s="176"/>
      <c r="P35" s="176" t="str">
        <f>IFERROR(VLOOKUP(J34,SKV!$B$2:$O$36,14,FALSE),"")</f>
        <v>9 OZ , 3 (1+2), 0 ±</v>
      </c>
      <c r="Q35" s="176"/>
      <c r="R35" s="177"/>
      <c r="S35" s="52">
        <f>IFERROR(VLOOKUP(S34,CHO!$B$48:$S$82,8,FALSE),"")</f>
        <v>4</v>
      </c>
      <c r="T35" s="161">
        <f>IFERROR(YEAR(VLOOKUP(S34,CHO!$B$48:$S$82,2,FALSE)),"")</f>
        <v>2000</v>
      </c>
      <c r="U35" s="162"/>
      <c r="V35" s="45">
        <f ca="1">IFERROR(VLOOKUP(S34,CHO!$B$48:$S$82,3,FALSE),"")</f>
        <v>20</v>
      </c>
      <c r="W35" s="163" t="str">
        <f>IFERROR(VLOOKUP(S34,CHO!$B$48:$S$82,15,FALSE),"")</f>
        <v>175/76</v>
      </c>
      <c r="X35" s="164"/>
      <c r="Y35" s="43"/>
      <c r="Z35" s="178"/>
      <c r="AA35" s="43"/>
      <c r="AB35" s="44" t="str">
        <f>IFERROR(VLOOKUP(AB34,CHO!$B$48:$Z$82,11,FALSE),"")</f>
        <v>L</v>
      </c>
      <c r="AC35" s="162">
        <f>IFERROR(YEAR(VLOOKUP(AB34,CHO!$B$48:$Z$82,2,FALSE)),"")</f>
        <v>2000</v>
      </c>
      <c r="AD35" s="176"/>
      <c r="AE35" s="53">
        <f ca="1">IFERROR(VLOOKUP(AB34,CHO!$B$48:$Z$82,3,FALSE),"")</f>
        <v>20</v>
      </c>
      <c r="AF35" s="176" t="str">
        <f>IFERROR(VLOOKUP(AB34,CHO!$B$48:$Z$82,15,FALSE),"")</f>
        <v>182/76</v>
      </c>
      <c r="AG35" s="176"/>
      <c r="AH35" s="176" t="str">
        <f>IFERROR(VLOOKUP(AB34,CHO!$B$2:$O$36,14,FALSE),"")</f>
        <v>6 OZ , 2 (0+2), +5 ±</v>
      </c>
      <c r="AI35" s="176"/>
      <c r="AJ35" s="177"/>
      <c r="AK35" s="52" t="str">
        <f>IFERROR(VLOOKUP(AK34,VIT!$B$48:$S$82,8,FALSE),"")</f>
        <v/>
      </c>
      <c r="AL35" s="161" t="str">
        <f>IFERROR(YEAR(VLOOKUP(AK34,VIT!$B$48:$S$82,2,FALSE)),"")</f>
        <v/>
      </c>
      <c r="AM35" s="162"/>
      <c r="AN35" s="122" t="str">
        <f>IFERROR(VLOOKUP(AK34,VIT!$B$48:$S$82,3,FALSE),"")</f>
        <v/>
      </c>
      <c r="AO35" s="163" t="str">
        <f>IFERROR(VLOOKUP(AK34,VIT!$B$48:$S$82,15,FALSE),"")</f>
        <v/>
      </c>
      <c r="AP35" s="164"/>
      <c r="AQ35" s="43"/>
      <c r="AR35" s="178"/>
      <c r="AS35" s="43"/>
      <c r="AT35" s="44" t="str">
        <f>IFERROR(VLOOKUP(AT34,VIT!$B$48:$R$82,11,FALSE),"")</f>
        <v/>
      </c>
      <c r="AU35" s="162" t="str">
        <f>IFERROR(YEAR(VLOOKUP(AT34,VIT!$B$48:$R$82,2,FALSE)),"")</f>
        <v/>
      </c>
      <c r="AV35" s="176"/>
      <c r="AW35" s="121" t="str">
        <f>IFERROR(VLOOKUP(AT34,VIT!$B$48:$R$82,3,FALSE),"")</f>
        <v/>
      </c>
      <c r="AX35" s="176" t="str">
        <f>IFERROR(VLOOKUP(AT34,VIT!$B$48:$R$82,15,FALSE),"")</f>
        <v/>
      </c>
      <c r="AY35" s="176"/>
      <c r="AZ35" s="176" t="str">
        <f>IFERROR(VLOOKUP(AT34,VIT!$B$2:$O$36,14,FALSE),"")</f>
        <v/>
      </c>
      <c r="BA35" s="176"/>
      <c r="BB35" s="177"/>
      <c r="BC35" s="52" t="str">
        <f>IFERROR(VLOOKUP(BC34,MB!$B$48:$S$82,8,FALSE),"")</f>
        <v/>
      </c>
      <c r="BD35" s="161" t="str">
        <f>IFERROR(YEAR(VLOOKUP(BC34,MB!$B$48:$S$82,2,FALSE)),"")</f>
        <v/>
      </c>
      <c r="BE35" s="162"/>
      <c r="BF35" s="125" t="str">
        <f>IFERROR(VLOOKUP(BC34,MB!$B$48:$S$82,3,FALSE),"")</f>
        <v/>
      </c>
      <c r="BG35" s="163" t="str">
        <f>IFERROR(VLOOKUP(BC34,MB!$B$48:$S$82,15,FALSE),"")</f>
        <v/>
      </c>
      <c r="BH35" s="164"/>
      <c r="BI35" s="43"/>
      <c r="BJ35" s="178"/>
      <c r="BK35" s="43"/>
      <c r="BL35" s="44" t="str">
        <f>IFERROR(VLOOKUP(BL34,MB!$B$48:$R$82,11,FALSE),"")</f>
        <v/>
      </c>
      <c r="BM35" s="162" t="str">
        <f>IFERROR(YEAR(VLOOKUP(BL34,MB!$B$48:$R$82,2,FALSE)),"")</f>
        <v/>
      </c>
      <c r="BN35" s="176"/>
      <c r="BO35" s="124" t="str">
        <f>IFERROR(VLOOKUP(BL34,MB!$B$48:$R$82,3,FALSE),"")</f>
        <v/>
      </c>
      <c r="BP35" s="176" t="str">
        <f>IFERROR(VLOOKUP(BL34,MB!$B$48:$R$82,15,FALSE),"")</f>
        <v/>
      </c>
      <c r="BQ35" s="176"/>
      <c r="BR35" s="176" t="str">
        <f>IFERROR(VLOOKUP(BL34,MB!$B$2:$O$36,14,FALSE),"")</f>
        <v/>
      </c>
      <c r="BS35" s="176"/>
      <c r="BT35" s="177"/>
    </row>
    <row r="36" spans="1:72" ht="15.6" customHeight="1" thickBot="1" x14ac:dyDescent="0.3">
      <c r="A36" s="54">
        <f>IFERROR(VLOOKUP(A34,SKV!$B$39:$R$42,4,FALSE),"")</f>
        <v>2</v>
      </c>
      <c r="B36" s="165" t="str">
        <f>IFERROR(VLOOKUP(A34,SKV!$B$39:$S$45,17,FALSE),"")</f>
        <v>0 V, 2 P</v>
      </c>
      <c r="C36" s="165"/>
      <c r="D36" s="166">
        <f>IFERROR(VLOOKUP(A34,SKV!$B$39:$R$42,7,FALSE),"")</f>
        <v>15</v>
      </c>
      <c r="E36" s="167"/>
      <c r="F36" s="55">
        <f>IFERROR(ROUND(VLOOKUP(A34,SKV!$B$39:$R$42,16,FALSE),2),"")</f>
        <v>74.14</v>
      </c>
      <c r="G36" s="43"/>
      <c r="H36" s="178"/>
      <c r="I36" s="43"/>
      <c r="J36" s="56">
        <f>IFERROR(VLOOKUP(J34,SKV!$B$48:$Z$82,8,FALSE),"")</f>
        <v>11</v>
      </c>
      <c r="K36" s="155" t="str">
        <f>IFERROR(VLOOKUP(J34,SKV!$B$48:$Z$82,14,FALSE),"")</f>
        <v>195 OZ, 124 (64+60)</v>
      </c>
      <c r="L36" s="155"/>
      <c r="M36" s="155"/>
      <c r="N36" s="156" t="str">
        <f>IFERROR(VLOOKUP(J34,SKV!$B$48:$Z$82,16,FALSE),"")</f>
        <v>RKČF</v>
      </c>
      <c r="O36" s="156"/>
      <c r="P36" s="156"/>
      <c r="Q36" s="155">
        <f>IFERROR(VLOOKUP(J34,SKV!$B$48:$Z$82,17,FALSE),"")</f>
        <v>2003</v>
      </c>
      <c r="R36" s="157"/>
      <c r="S36" s="54">
        <f>IFERROR(VLOOKUP(S34,CHO!$B$39:$R$42,4,FALSE),"")</f>
        <v>4</v>
      </c>
      <c r="T36" s="165" t="str">
        <f>IFERROR(VLOOKUP(S34,CHO!$B$39:$S$45,17,FALSE),"")</f>
        <v>3 V, 1 P</v>
      </c>
      <c r="U36" s="165"/>
      <c r="V36" s="166">
        <f>IFERROR(VLOOKUP(S34,CHO!$B$39:$R$42,7,FALSE),"")</f>
        <v>25</v>
      </c>
      <c r="W36" s="167"/>
      <c r="X36" s="55">
        <f>IFERROR(ROUND(VLOOKUP(S34,CHO!$B$39:$R$42,16,FALSE),2),"")</f>
        <v>71.260000000000005</v>
      </c>
      <c r="Y36" s="43"/>
      <c r="Z36" s="178"/>
      <c r="AA36" s="43"/>
      <c r="AB36" s="56">
        <f>IFERROR(VLOOKUP(AB34,CHO!$B$48:$Z$82,8,FALSE),"")</f>
        <v>4</v>
      </c>
      <c r="AC36" s="155" t="str">
        <f>IFERROR(VLOOKUP(AB34,CHO!$B$48:$Z$82,14,FALSE),"")</f>
        <v>59 OZ, 9 (1+8)</v>
      </c>
      <c r="AD36" s="155"/>
      <c r="AE36" s="155"/>
      <c r="AF36" s="156" t="str">
        <f>IFERROR(VLOOKUP(AB34,CHO!$B$48:$Z$82,16,FALSE),"")</f>
        <v>Tatran Střešovice</v>
      </c>
      <c r="AG36" s="156"/>
      <c r="AH36" s="156"/>
      <c r="AI36" s="155">
        <f>IFERROR(VLOOKUP(AB34,CHO!$B$48:$Z$82,17,FALSE),"")</f>
        <v>2008</v>
      </c>
      <c r="AJ36" s="157"/>
      <c r="AK36" s="54" t="str">
        <f>IFERROR(VLOOKUP(AK34,VIT!$B$39:$R$44,4,FALSE),"")</f>
        <v/>
      </c>
      <c r="AL36" s="165" t="str">
        <f>IFERROR(VLOOKUP(AK34,VIT!$B$39:$S$45,17,FALSE),"")</f>
        <v/>
      </c>
      <c r="AM36" s="165"/>
      <c r="AN36" s="166" t="str">
        <f>IFERROR(VLOOKUP(AK34,VIT!$B$39:$R$44,7,FALSE),"")</f>
        <v/>
      </c>
      <c r="AO36" s="167"/>
      <c r="AP36" s="55" t="str">
        <f>IFERROR(ROUND(VLOOKUP(AK34,VIT!$B$39:$R$44,16,FALSE),2),"")</f>
        <v/>
      </c>
      <c r="AQ36" s="43"/>
      <c r="AR36" s="178"/>
      <c r="AS36" s="43"/>
      <c r="AT36" s="56" t="str">
        <f>IFERROR(VLOOKUP(AT34,VIT!$B$48:$R$82,8,FALSE),"")</f>
        <v/>
      </c>
      <c r="AU36" s="155" t="str">
        <f>IFERROR(VLOOKUP(AT34,VIT!$B$48:$R$82,14,FALSE),"")</f>
        <v/>
      </c>
      <c r="AV36" s="155"/>
      <c r="AW36" s="155"/>
      <c r="AX36" s="156" t="str">
        <f>IFERROR(VLOOKUP(AT34,VIT!$B$48:$R$82,16,FALSE),"")</f>
        <v/>
      </c>
      <c r="AY36" s="156"/>
      <c r="AZ36" s="156"/>
      <c r="BA36" s="155" t="str">
        <f>IFERROR(VLOOKUP(AT34,VIT!$B$48:$R$82,17,FALSE),"")</f>
        <v/>
      </c>
      <c r="BB36" s="157"/>
      <c r="BC36" s="54" t="str">
        <f>IFERROR(VLOOKUP(BC34,MB!$B$39:$R$44,4,FALSE),"")</f>
        <v/>
      </c>
      <c r="BD36" s="165" t="str">
        <f>IFERROR(VLOOKUP(BC34,MB!$B$39:$S$45,17,FALSE),"")</f>
        <v/>
      </c>
      <c r="BE36" s="165"/>
      <c r="BF36" s="166" t="str">
        <f>IFERROR(VLOOKUP(BC34,MB!$B$39:$R$44,7,FALSE),"")</f>
        <v/>
      </c>
      <c r="BG36" s="167"/>
      <c r="BH36" s="55" t="str">
        <f>IFERROR(ROUND(VLOOKUP(BC34,MB!$B$39:$R$44,16,FALSE),2),"")</f>
        <v/>
      </c>
      <c r="BI36" s="43"/>
      <c r="BJ36" s="178"/>
      <c r="BK36" s="43"/>
      <c r="BL36" s="56" t="str">
        <f>IFERROR(VLOOKUP(BL34,MB!$B$48:$R$82,8,FALSE),"")</f>
        <v/>
      </c>
      <c r="BM36" s="155" t="str">
        <f>IFERROR(VLOOKUP(BL34,MB!$B$48:$R$82,14,FALSE),"")</f>
        <v/>
      </c>
      <c r="BN36" s="155"/>
      <c r="BO36" s="155"/>
      <c r="BP36" s="156" t="str">
        <f>IFERROR(VLOOKUP(BL34,MB!$B$48:$R$82,16,FALSE),"")</f>
        <v/>
      </c>
      <c r="BQ36" s="156"/>
      <c r="BR36" s="156"/>
      <c r="BS36" s="155" t="str">
        <f>IFERROR(VLOOKUP(BL34,MB!$B$48:$R$82,17,FALSE),"")</f>
        <v/>
      </c>
      <c r="BT36" s="157"/>
    </row>
    <row r="37" spans="1:72" ht="15.6" customHeight="1" thickTop="1" thickBot="1" x14ac:dyDescent="0.3">
      <c r="A37" s="170">
        <f>IFERROR(ROUND(VLOOKUP(A34,SKV!$B$39:$R$42,5,FALSE),2),"")</f>
        <v>117.5</v>
      </c>
      <c r="B37" s="171"/>
      <c r="C37" s="172">
        <f>IFERROR(VLOOKUP(A34,SKV!$B$39:$R$42,15,FALSE),"")</f>
        <v>7.6595744680851068</v>
      </c>
      <c r="D37" s="173"/>
      <c r="E37" s="174" t="str">
        <f>IFERROR(VLOOKUP(A34,SKV!$B$48:$Z$82,18,FALSE),"")</f>
        <v>16 OZ, 0 A</v>
      </c>
      <c r="F37" s="175"/>
      <c r="G37" s="43"/>
      <c r="H37" s="178"/>
      <c r="I37" s="43"/>
      <c r="J37" s="43"/>
      <c r="K37" s="43"/>
      <c r="L37" s="43"/>
      <c r="M37" s="43"/>
      <c r="N37" s="43"/>
      <c r="O37" s="43"/>
      <c r="P37" s="43"/>
      <c r="Q37" s="43"/>
      <c r="R37" s="43"/>
      <c r="S37" s="170">
        <f>IFERROR(ROUND(VLOOKUP(S34,CHO!$B$39:$R$42,5,FALSE),2),"")</f>
        <v>237.77</v>
      </c>
      <c r="T37" s="171"/>
      <c r="U37" s="172">
        <f>IFERROR(VLOOKUP(S34,CHO!$B$39:$R$42,15,FALSE),"")</f>
        <v>6.3086175716028086</v>
      </c>
      <c r="V37" s="173"/>
      <c r="W37" s="174" t="str">
        <f>IFERROR(VLOOKUP(S34,CHO!$B$48:$S$82,18,FALSE),"")</f>
        <v>9 OZ, 0 A</v>
      </c>
      <c r="X37" s="175"/>
      <c r="Y37" s="43"/>
      <c r="Z37" s="178"/>
      <c r="AA37" s="43"/>
      <c r="AB37" s="43"/>
      <c r="AC37" s="43"/>
      <c r="AD37" s="43"/>
      <c r="AE37" s="43"/>
      <c r="AF37" s="43"/>
      <c r="AG37" s="43"/>
      <c r="AH37" s="43"/>
      <c r="AI37" s="43"/>
      <c r="AJ37" s="43"/>
      <c r="AK37" s="170" t="str">
        <f>IFERROR(ROUND(VLOOKUP(AK34,VIT!$B$39:$R$44,5,FALSE),2),"")</f>
        <v/>
      </c>
      <c r="AL37" s="171"/>
      <c r="AM37" s="172" t="str">
        <f>IFERROR(VLOOKUP(AK34,VIT!$B$39:$R$44,15,FALSE),"")</f>
        <v/>
      </c>
      <c r="AN37" s="173"/>
      <c r="AO37" s="174" t="str">
        <f>IFERROR(VLOOKUP(AK34,VIT!$B$48:$S$82,18,FALSE),"")</f>
        <v/>
      </c>
      <c r="AP37" s="175"/>
      <c r="AQ37" s="43"/>
      <c r="AR37" s="178"/>
      <c r="AS37" s="43"/>
      <c r="AT37" s="43"/>
      <c r="AU37" s="43"/>
      <c r="AV37" s="43"/>
      <c r="AW37" s="43"/>
      <c r="AX37" s="43"/>
      <c r="AY37" s="43"/>
      <c r="AZ37" s="43"/>
      <c r="BA37" s="43"/>
      <c r="BB37" s="43"/>
      <c r="BC37" s="170" t="str">
        <f>IFERROR(ROUND(VLOOKUP(BC34,MB!$B$39:$R$44,5,FALSE),2),"")</f>
        <v/>
      </c>
      <c r="BD37" s="171"/>
      <c r="BE37" s="172" t="str">
        <f>IFERROR(VLOOKUP(BC34,MB!$B$39:$R$44,15,FALSE),"")</f>
        <v/>
      </c>
      <c r="BF37" s="173"/>
      <c r="BG37" s="174" t="str">
        <f>IFERROR(VLOOKUP(BC34,MB!$B$48:$S$82,18,FALSE),"")</f>
        <v/>
      </c>
      <c r="BH37" s="175"/>
      <c r="BI37" s="43"/>
      <c r="BJ37" s="178"/>
      <c r="BK37" s="43"/>
      <c r="BL37" s="43"/>
      <c r="BM37" s="43"/>
      <c r="BN37" s="43"/>
      <c r="BO37" s="43"/>
      <c r="BP37" s="43"/>
      <c r="BQ37" s="43"/>
      <c r="BR37" s="43"/>
      <c r="BS37" s="43"/>
      <c r="BT37" s="43"/>
    </row>
    <row r="38" spans="1:72" ht="15.6" customHeight="1" thickTop="1" thickBot="1" x14ac:dyDescent="0.3">
      <c r="A38" s="150" t="str">
        <f>IFERROR(VLOOKUP(A34,SKV!$B$48:$Z$82,16,FALSE),"")</f>
        <v>FBK Atlas Sloup</v>
      </c>
      <c r="B38" s="151"/>
      <c r="C38" s="152"/>
      <c r="D38" s="153">
        <f>IFERROR(VLOOKUP(A34,SKV!$B$48:$Z$82,17,FALSE),"")</f>
        <v>1999</v>
      </c>
      <c r="E38" s="154"/>
      <c r="F38" s="57">
        <f>IFERROR(VLOOKUP(A34,SKV!$B$39:$R$42,8,FALSE),"")</f>
        <v>0</v>
      </c>
      <c r="G38" s="43"/>
      <c r="H38" s="178"/>
      <c r="I38" s="43"/>
      <c r="J38" s="168" t="s">
        <v>61</v>
      </c>
      <c r="K38" s="169"/>
      <c r="L38" s="169"/>
      <c r="M38" s="169"/>
      <c r="N38" s="169"/>
      <c r="O38" s="169"/>
      <c r="P38" s="169"/>
      <c r="Q38" s="42" t="str">
        <f>IFERROR(IF(VLOOKUP(J38,SKV!$B$48:$Z$82,10,FALSE)=0,"",VLOOKUP(M38,SKV!$B$48:$Z$82,10,FALSE)),"")</f>
        <v/>
      </c>
      <c r="R38" s="63">
        <f>IFERROR(VLOOKUP(J38,SKV!$B$48:$Z$82,9,FALSE),"")</f>
        <v>87</v>
      </c>
      <c r="S38" s="150" t="str">
        <f>IFERROR(VLOOKUP(S34,CHO!$B$48:$Z$82,16,FALSE),"")</f>
        <v>TJ Sokol Rokycany</v>
      </c>
      <c r="T38" s="151"/>
      <c r="U38" s="152"/>
      <c r="V38" s="153">
        <f>IFERROR(VLOOKUP(S34,CHO!$B$48:$Z$82,17,FALSE),"")</f>
        <v>2010</v>
      </c>
      <c r="W38" s="154"/>
      <c r="X38" s="57">
        <f>IFERROR(VLOOKUP(S34,CHO!$B$39:$R$42,8,FALSE),"")</f>
        <v>0</v>
      </c>
      <c r="Y38" s="43"/>
      <c r="Z38" s="178"/>
      <c r="AA38" s="43"/>
      <c r="AB38" s="168" t="s">
        <v>186</v>
      </c>
      <c r="AC38" s="169"/>
      <c r="AD38" s="169"/>
      <c r="AE38" s="169"/>
      <c r="AF38" s="169"/>
      <c r="AG38" s="169"/>
      <c r="AH38" s="169"/>
      <c r="AI38" s="42" t="str">
        <f>IFERROR(IF(VLOOKUP(AB38,CHO!$B$48:$Z$82,10,FALSE)=0,"",VLOOKUP(AB38,CHO!$B$48:$Z$82,10,FALSE)),"")</f>
        <v/>
      </c>
      <c r="AJ38" s="63">
        <f>IFERROR(VLOOKUP(AB38,CHO!$B$48:$Z$82,9,FALSE),"")</f>
        <v>10</v>
      </c>
      <c r="AK38" s="150" t="str">
        <f>IFERROR(VLOOKUP(AK34,VIT!$B$48:$R$82,16,FALSE),"")</f>
        <v/>
      </c>
      <c r="AL38" s="151"/>
      <c r="AM38" s="152"/>
      <c r="AN38" s="153" t="str">
        <f>IFERROR(VLOOKUP(AK34,VIT!$B$48:$R$82,17,FALSE),"")</f>
        <v/>
      </c>
      <c r="AO38" s="154"/>
      <c r="AP38" s="57" t="str">
        <f>IFERROR(VLOOKUP(AK34,VIT!$B$39:$R$44,8,FALSE),"")</f>
        <v/>
      </c>
      <c r="AQ38" s="43"/>
      <c r="AR38" s="178"/>
      <c r="AS38" s="43"/>
      <c r="AT38" s="168"/>
      <c r="AU38" s="169"/>
      <c r="AV38" s="169"/>
      <c r="AW38" s="169"/>
      <c r="AX38" s="169"/>
      <c r="AY38" s="169"/>
      <c r="AZ38" s="169"/>
      <c r="BA38" s="42" t="str">
        <f>IFERROR(IF(VLOOKUP(AT38,VIT!$B$48:$R$82,10,FALSE)=0,"",VLOOKUP(AT38,VIT!$B$48:$R$82,10,FALSE)),"")</f>
        <v/>
      </c>
      <c r="BB38" s="63" t="str">
        <f>IFERROR(VLOOKUP(AT38,VIT!$B$48:$R$82,9,FALSE),"")</f>
        <v/>
      </c>
      <c r="BC38" s="150" t="str">
        <f>IFERROR(VLOOKUP(BC34,MB!$B$48:$R$82,16,FALSE),"")</f>
        <v/>
      </c>
      <c r="BD38" s="151"/>
      <c r="BE38" s="152"/>
      <c r="BF38" s="153" t="str">
        <f>IFERROR(VLOOKUP(BC34,MB!$B$48:$R$82,17,FALSE),"")</f>
        <v/>
      </c>
      <c r="BG38" s="154"/>
      <c r="BH38" s="57" t="str">
        <f>IFERROR(VLOOKUP(BC34,MB!$B$39:$R$44,8,FALSE),"")</f>
        <v/>
      </c>
      <c r="BI38" s="43"/>
      <c r="BJ38" s="178"/>
      <c r="BK38" s="43"/>
      <c r="BL38" s="168"/>
      <c r="BM38" s="169"/>
      <c r="BN38" s="169"/>
      <c r="BO38" s="169"/>
      <c r="BP38" s="169"/>
      <c r="BQ38" s="169"/>
      <c r="BR38" s="169"/>
      <c r="BS38" s="42" t="str">
        <f>IFERROR(IF(VLOOKUP(BL38,MB!$B$48:$R$82,10,FALSE)=0,"",VLOOKUP(BL38,MB!$B$48:$R$82,10,FALSE)),"")</f>
        <v/>
      </c>
      <c r="BT38" s="63" t="str">
        <f>IFERROR(VLOOKUP(BL38,MB!$B$48:$R$82,9,FALSE),"")</f>
        <v/>
      </c>
    </row>
    <row r="39" spans="1:72" ht="15.6" customHeight="1" thickTop="1" thickBot="1" x14ac:dyDescent="0.3">
      <c r="A39" s="43"/>
      <c r="B39" s="43"/>
      <c r="C39" s="43"/>
      <c r="D39" s="43"/>
      <c r="E39" s="43"/>
      <c r="F39" s="43"/>
      <c r="G39" s="43"/>
      <c r="H39" s="178"/>
      <c r="I39" s="43"/>
      <c r="J39" s="44" t="str">
        <f>IFERROR(VLOOKUP(J38,SKV!$B$48:$Z$82,11,FALSE),"")</f>
        <v>P</v>
      </c>
      <c r="K39" s="162">
        <f>IFERROR(YEAR(VLOOKUP(J38,SKV!$B$48:$Z$82,2,FALSE)),"")</f>
        <v>2002</v>
      </c>
      <c r="L39" s="176"/>
      <c r="M39" s="53">
        <f ca="1">IFERROR(VLOOKUP(J38,SKV!$B$48:$Z$82,3,FALSE),"")</f>
        <v>18</v>
      </c>
      <c r="N39" s="176" t="str">
        <f>IFERROR(VLOOKUP(J38,SKV!$B$48:$Z$82,15,FALSE),"")</f>
        <v>181/75</v>
      </c>
      <c r="O39" s="176"/>
      <c r="P39" s="176" t="str">
        <f>IFERROR(VLOOKUP(J38,SKV!$B$2:$O$36,14,FALSE),"")</f>
        <v>3 OZ , 0 (0+0), -1 ±</v>
      </c>
      <c r="Q39" s="176"/>
      <c r="R39" s="177"/>
      <c r="S39" s="43"/>
      <c r="T39" s="43"/>
      <c r="U39" s="43"/>
      <c r="V39" s="43"/>
      <c r="W39" s="43"/>
      <c r="X39" s="43"/>
      <c r="Y39" s="43"/>
      <c r="Z39" s="178"/>
      <c r="AA39" s="43"/>
      <c r="AB39" s="44" t="str">
        <f>IFERROR(VLOOKUP(AB38,CHO!$B$48:$Z$82,11,FALSE),"")</f>
        <v>L</v>
      </c>
      <c r="AC39" s="162">
        <f>IFERROR(YEAR(VLOOKUP(AB38,CHO!$B$48:$Z$82,2,FALSE)),"")</f>
        <v>1997</v>
      </c>
      <c r="AD39" s="176"/>
      <c r="AE39" s="53">
        <f ca="1">IFERROR(VLOOKUP(AB38,CHO!$B$48:$Z$82,3,FALSE),"")</f>
        <v>23</v>
      </c>
      <c r="AF39" s="176" t="str">
        <f>IFERROR(VLOOKUP(AB38,CHO!$B$48:$Z$82,15,FALSE),"")</f>
        <v>172/73</v>
      </c>
      <c r="AG39" s="176"/>
      <c r="AH39" s="176" t="str">
        <f>IFERROR(VLOOKUP(AB38,CHO!$B$2:$O$36,14,FALSE),"")</f>
        <v>12 OZ , 1 (0+1), -4 ±</v>
      </c>
      <c r="AI39" s="176"/>
      <c r="AJ39" s="177"/>
      <c r="AK39" s="43"/>
      <c r="AL39" s="43"/>
      <c r="AM39" s="43"/>
      <c r="AN39" s="43"/>
      <c r="AO39" s="43"/>
      <c r="AP39" s="43"/>
      <c r="AQ39" s="43"/>
      <c r="AR39" s="178"/>
      <c r="AS39" s="43"/>
      <c r="AT39" s="44" t="str">
        <f>IFERROR(VLOOKUP(AT38,VIT!$B$48:$R$82,11,FALSE),"")</f>
        <v/>
      </c>
      <c r="AU39" s="162" t="str">
        <f>IFERROR(YEAR(VLOOKUP(AT38,VIT!$B$48:$R$82,2,FALSE)),"")</f>
        <v/>
      </c>
      <c r="AV39" s="176"/>
      <c r="AW39" s="121" t="str">
        <f>IFERROR(VLOOKUP(AT38,VIT!$B$48:$R$82,3,FALSE),"")</f>
        <v/>
      </c>
      <c r="AX39" s="176" t="str">
        <f>IFERROR(VLOOKUP(AT38,VIT!$B$48:$R$82,15,FALSE),"")</f>
        <v/>
      </c>
      <c r="AY39" s="176"/>
      <c r="AZ39" s="176" t="str">
        <f>IFERROR(VLOOKUP(AT38,VIT!$B$2:$O$36,14,FALSE),"")</f>
        <v/>
      </c>
      <c r="BA39" s="176"/>
      <c r="BB39" s="177"/>
      <c r="BC39" s="43"/>
      <c r="BD39" s="43"/>
      <c r="BE39" s="43"/>
      <c r="BF39" s="43"/>
      <c r="BG39" s="43"/>
      <c r="BH39" s="43"/>
      <c r="BI39" s="43"/>
      <c r="BJ39" s="178"/>
      <c r="BK39" s="43"/>
      <c r="BL39" s="44" t="str">
        <f>IFERROR(VLOOKUP(BL38,MB!$B$48:$R$82,11,FALSE),"")</f>
        <v/>
      </c>
      <c r="BM39" s="162" t="str">
        <f>IFERROR(YEAR(VLOOKUP(BL38,MB!$B$48:$R$82,2,FALSE)),"")</f>
        <v/>
      </c>
      <c r="BN39" s="176"/>
      <c r="BO39" s="124" t="str">
        <f>IFERROR(VLOOKUP(BL38,MB!$B$48:$R$82,3,FALSE),"")</f>
        <v/>
      </c>
      <c r="BP39" s="176" t="str">
        <f>IFERROR(VLOOKUP(BL38,MB!$B$48:$R$82,15,FALSE),"")</f>
        <v/>
      </c>
      <c r="BQ39" s="176"/>
      <c r="BR39" s="176" t="str">
        <f>IFERROR(VLOOKUP(BL38,MB!$B$2:$O$36,14,FALSE),"")</f>
        <v/>
      </c>
      <c r="BS39" s="176"/>
      <c r="BT39" s="177"/>
    </row>
    <row r="40" spans="1:72" ht="15.6" customHeight="1" thickTop="1" thickBot="1" x14ac:dyDescent="0.3">
      <c r="A40" s="168" t="s">
        <v>32</v>
      </c>
      <c r="B40" s="169"/>
      <c r="C40" s="169"/>
      <c r="D40" s="169"/>
      <c r="E40" s="42" t="str">
        <f>IFERROR(IF(VLOOKUP(A40,SKV!$B$48:$Z$82,10,FALSE)=0,"",VLOOKUP(A40,SKV!$B$48:$Z$82,10,FALSE)),"")</f>
        <v/>
      </c>
      <c r="F40" s="63">
        <f>IFERROR(VLOOKUP(A40,SKV!$B$48:$Z$82,9,FALSE),"")</f>
        <v>42</v>
      </c>
      <c r="G40" s="43"/>
      <c r="H40" s="178"/>
      <c r="I40" s="43"/>
      <c r="J40" s="56">
        <f>IFERROR(VLOOKUP(J38,SKV!$B$48:$Z$82,8,FALSE),"")</f>
        <v>2</v>
      </c>
      <c r="K40" s="155" t="str">
        <f>IFERROR(VLOOKUP(J38,SKV!$B$48:$Z$82,14,FALSE),"")</f>
        <v>7 OZ, 1 (1+0)</v>
      </c>
      <c r="L40" s="155"/>
      <c r="M40" s="155"/>
      <c r="N40" s="156" t="str">
        <f>IFERROR(VLOOKUP(J38,SKV!$B$48:$Z$82,16,FALSE),"")</f>
        <v>SKV 2013</v>
      </c>
      <c r="O40" s="156"/>
      <c r="P40" s="156"/>
      <c r="Q40" s="155">
        <f>IFERROR(VLOOKUP(J38,SKV!$B$48:$Z$82,17,FALSE),"")</f>
        <v>0</v>
      </c>
      <c r="R40" s="157"/>
      <c r="S40" s="168" t="s">
        <v>193</v>
      </c>
      <c r="T40" s="169"/>
      <c r="U40" s="169"/>
      <c r="V40" s="169"/>
      <c r="W40" s="42" t="str">
        <f>IFERROR(IF(VLOOKUP(S40,CHO!$B$48:$Z$82,10,FALSE)=0,"",VLOOKUP(S40,CHO!$B$48:$Z$82,10,FALSE)),"")</f>
        <v/>
      </c>
      <c r="X40" s="63">
        <f>IFERROR(VLOOKUP(S40,CHO!$B$48:$Z$82,9,FALSE),"")</f>
        <v>30</v>
      </c>
      <c r="Y40" s="43"/>
      <c r="Z40" s="178"/>
      <c r="AA40" s="43"/>
      <c r="AB40" s="56">
        <f>IFERROR(VLOOKUP(AB38,CHO!$B$48:$Z$82,8,FALSE),"")</f>
        <v>7</v>
      </c>
      <c r="AC40" s="155" t="str">
        <f>IFERROR(VLOOKUP(AB38,CHO!$B$48:$Z$82,14,FALSE),"")</f>
        <v>104 OZ, 47 (29+18)</v>
      </c>
      <c r="AD40" s="155"/>
      <c r="AE40" s="155"/>
      <c r="AF40" s="156" t="str">
        <f>IFERROR(VLOOKUP(AB38,CHO!$B$48:$Z$82,16,FALSE),"")</f>
        <v>Florbal Chodov</v>
      </c>
      <c r="AG40" s="156"/>
      <c r="AH40" s="156"/>
      <c r="AI40" s="155">
        <f>IFERROR(VLOOKUP(AB38,CHO!$B$48:$Z$82,17,FALSE),"")</f>
        <v>2006</v>
      </c>
      <c r="AJ40" s="157"/>
      <c r="AK40" s="168"/>
      <c r="AL40" s="169"/>
      <c r="AM40" s="169"/>
      <c r="AN40" s="169"/>
      <c r="AO40" s="42" t="str">
        <f>IFERROR(IF(VLOOKUP(AK40,VIT!$B$48:$R$82,10,FALSE)=0,"",VLOOKUP(AK40,VIT!$B$48:$R$82,10,FALSE)),"")</f>
        <v/>
      </c>
      <c r="AP40" s="63" t="str">
        <f>IFERROR(VLOOKUP(AK40,VIT!$B$48:$R$82,9,FALSE),"")</f>
        <v/>
      </c>
      <c r="AQ40" s="43"/>
      <c r="AR40" s="178"/>
      <c r="AS40" s="43"/>
      <c r="AT40" s="56" t="str">
        <f>IFERROR(VLOOKUP(AT38,VIT!$B$48:$R$82,8,FALSE),"")</f>
        <v/>
      </c>
      <c r="AU40" s="155" t="str">
        <f>IFERROR(VLOOKUP(AT38,VIT!$B$48:$R$82,14,FALSE),"")</f>
        <v/>
      </c>
      <c r="AV40" s="155"/>
      <c r="AW40" s="155"/>
      <c r="AX40" s="156" t="str">
        <f>IFERROR(VLOOKUP(AT38,VIT!$B$48:$R$82,16,FALSE),"")</f>
        <v/>
      </c>
      <c r="AY40" s="156"/>
      <c r="AZ40" s="156"/>
      <c r="BA40" s="155" t="str">
        <f>IFERROR(VLOOKUP(AT38,VIT!$B$48:$R$82,17,FALSE),"")</f>
        <v/>
      </c>
      <c r="BB40" s="157"/>
      <c r="BC40" s="168"/>
      <c r="BD40" s="169"/>
      <c r="BE40" s="169"/>
      <c r="BF40" s="169"/>
      <c r="BG40" s="42" t="str">
        <f>IFERROR(IF(VLOOKUP(BC40,MB!$B$48:$R$82,10,FALSE)=0,"",VLOOKUP(BC40,MB!$B$48:$R$82,10,FALSE)),"")</f>
        <v/>
      </c>
      <c r="BH40" s="63" t="str">
        <f>IFERROR(VLOOKUP(BC40,MB!$B$48:$R$82,9,FALSE),"")</f>
        <v/>
      </c>
      <c r="BI40" s="43"/>
      <c r="BJ40" s="178"/>
      <c r="BK40" s="43"/>
      <c r="BL40" s="56" t="str">
        <f>IFERROR(VLOOKUP(BL38,MB!$B$48:$R$82,8,FALSE),"")</f>
        <v/>
      </c>
      <c r="BM40" s="155" t="str">
        <f>IFERROR(VLOOKUP(BL38,MB!$B$48:$R$82,14,FALSE),"")</f>
        <v/>
      </c>
      <c r="BN40" s="155"/>
      <c r="BO40" s="155"/>
      <c r="BP40" s="156" t="str">
        <f>IFERROR(VLOOKUP(BL38,MB!$B$48:$R$82,16,FALSE),"")</f>
        <v/>
      </c>
      <c r="BQ40" s="156"/>
      <c r="BR40" s="156"/>
      <c r="BS40" s="155" t="str">
        <f>IFERROR(VLOOKUP(BL38,MB!$B$48:$R$82,17,FALSE),"")</f>
        <v/>
      </c>
      <c r="BT40" s="157"/>
    </row>
    <row r="41" spans="1:72" ht="15.6" customHeight="1" thickBot="1" x14ac:dyDescent="0.3">
      <c r="A41" s="52">
        <f>IFERROR(VLOOKUP(A40,SKV!$B$48:$Z$82,8,FALSE),"")</f>
        <v>6</v>
      </c>
      <c r="B41" s="161">
        <f>IFERROR(YEAR(VLOOKUP(A40,SKV!$B$48:$Z$82,2,FALSE)),"")</f>
        <v>1996</v>
      </c>
      <c r="C41" s="162"/>
      <c r="D41" s="45">
        <f ca="1">IFERROR(VLOOKUP(A40,SKV!$B$48:$Z$82,3,FALSE),"")</f>
        <v>24</v>
      </c>
      <c r="E41" s="163" t="str">
        <f>IFERROR(VLOOKUP(A40,SKV!$B$48:$Z$82,15,FALSE),"")</f>
        <v>187/88</v>
      </c>
      <c r="F41" s="164"/>
      <c r="G41" s="43"/>
      <c r="H41" s="178"/>
      <c r="I41" s="43"/>
      <c r="J41" s="43"/>
      <c r="K41" s="43"/>
      <c r="L41" s="43"/>
      <c r="M41" s="22"/>
      <c r="N41" s="22"/>
      <c r="O41" s="22"/>
      <c r="P41" s="22"/>
      <c r="Q41" s="22"/>
      <c r="R41" s="22"/>
      <c r="S41" s="52">
        <f>IFERROR(VLOOKUP(S40,CHO!$B$48:$S$82,8,FALSE),"")</f>
        <v>1</v>
      </c>
      <c r="T41" s="161">
        <f>IFERROR(YEAR(VLOOKUP(S40,CHO!$B$48:$S$82,2,FALSE)),"")</f>
        <v>2003</v>
      </c>
      <c r="U41" s="162"/>
      <c r="V41" s="45">
        <f ca="1">IFERROR(VLOOKUP(S40,CHO!$B$48:$S$82,3,FALSE),"")</f>
        <v>17</v>
      </c>
      <c r="W41" s="163" t="str">
        <f>IFERROR(VLOOKUP(S40,CHO!$B$48:$S$82,15,FALSE),"")</f>
        <v>198/98</v>
      </c>
      <c r="X41" s="164"/>
      <c r="Y41" s="43"/>
      <c r="Z41" s="178"/>
      <c r="AA41" s="43"/>
      <c r="AB41" s="43"/>
      <c r="AC41" s="43"/>
      <c r="AD41" s="43"/>
      <c r="AE41" s="22"/>
      <c r="AF41" s="22"/>
      <c r="AG41" s="22"/>
      <c r="AH41" s="22"/>
      <c r="AI41" s="22"/>
      <c r="AJ41" s="22"/>
      <c r="AK41" s="52" t="str">
        <f>IFERROR(VLOOKUP(AK40,VIT!$B$48:$S$82,8,FALSE),"")</f>
        <v/>
      </c>
      <c r="AL41" s="161" t="str">
        <f>IFERROR(YEAR(VLOOKUP(AK40,VIT!$B$48:$S$82,2,FALSE)),"")</f>
        <v/>
      </c>
      <c r="AM41" s="162"/>
      <c r="AN41" s="122" t="str">
        <f>IFERROR(VLOOKUP(AK40,VIT!$B$48:$S$82,3,FALSE),"")</f>
        <v/>
      </c>
      <c r="AO41" s="163" t="str">
        <f>IFERROR(VLOOKUP(AK40,VIT!$B$48:$S$82,15,FALSE),"")</f>
        <v/>
      </c>
      <c r="AP41" s="164"/>
      <c r="AQ41" s="43"/>
      <c r="AR41" s="178"/>
      <c r="AS41" s="43"/>
      <c r="AT41" s="43"/>
      <c r="AU41" s="43"/>
      <c r="AV41" s="43"/>
      <c r="AW41" s="22"/>
      <c r="AX41" s="22"/>
      <c r="AY41" s="22"/>
      <c r="AZ41" s="22"/>
      <c r="BA41" s="22"/>
      <c r="BB41" s="22"/>
      <c r="BC41" s="52" t="str">
        <f>IFERROR(VLOOKUP(BC40,MB!$B$48:$S$82,8,FALSE),"")</f>
        <v/>
      </c>
      <c r="BD41" s="161" t="str">
        <f>IFERROR(YEAR(VLOOKUP(BC40,MB!$B$48:$S$82,2,FALSE)),"")</f>
        <v/>
      </c>
      <c r="BE41" s="162"/>
      <c r="BF41" s="125" t="str">
        <f>IFERROR(VLOOKUP(BC40,MB!$B$48:$S$82,3,FALSE),"")</f>
        <v/>
      </c>
      <c r="BG41" s="163" t="str">
        <f>IFERROR(VLOOKUP(BC40,MB!$B$48:$S$82,15,FALSE),"")</f>
        <v/>
      </c>
      <c r="BH41" s="164"/>
      <c r="BI41" s="43"/>
      <c r="BJ41" s="178"/>
      <c r="BK41" s="43"/>
      <c r="BL41" s="43"/>
      <c r="BM41" s="43"/>
      <c r="BN41" s="43"/>
      <c r="BO41" s="22"/>
      <c r="BP41" s="22"/>
      <c r="BQ41" s="22"/>
      <c r="BR41" s="22"/>
      <c r="BS41" s="22"/>
      <c r="BT41" s="22"/>
    </row>
    <row r="42" spans="1:72" ht="15.6" customHeight="1" thickTop="1" thickBot="1" x14ac:dyDescent="0.3">
      <c r="A42" s="54">
        <f>IFERROR(VLOOKUP(A40,SKV!$B$39:$R$42,4,FALSE),"")</f>
        <v>9</v>
      </c>
      <c r="B42" s="165" t="str">
        <f>IFERROR(VLOOKUP(A40,SKV!$B$39:$S$45,17,FALSE),"")</f>
        <v>2 V, 7 P</v>
      </c>
      <c r="C42" s="165"/>
      <c r="D42" s="166">
        <f>IFERROR(VLOOKUP(A40,SKV!$B$39:$R$42,7,FALSE),"")</f>
        <v>53</v>
      </c>
      <c r="E42" s="167"/>
      <c r="F42" s="55">
        <f>IFERROR(ROUND(VLOOKUP(A40,SKV!$B$39:$R$42,16,FALSE),2),"")</f>
        <v>74.400000000000006</v>
      </c>
      <c r="G42" s="43"/>
      <c r="H42" s="178"/>
      <c r="I42" s="43"/>
      <c r="J42" s="168" t="s">
        <v>373</v>
      </c>
      <c r="K42" s="169"/>
      <c r="L42" s="169"/>
      <c r="M42" s="169"/>
      <c r="N42" s="169"/>
      <c r="O42" s="169"/>
      <c r="P42" s="169"/>
      <c r="Q42" s="42" t="str">
        <f>IFERROR(IF(VLOOKUP(J42,SKV!$B$48:$Z$82,10,FALSE)=0,"",VLOOKUP(M42,SKV!$B$48:$Z$82,10,FALSE)),"")</f>
        <v/>
      </c>
      <c r="R42" s="63">
        <f>IFERROR(VLOOKUP(J42,SKV!$B$48:$Z$82,9,FALSE),"")</f>
        <v>89</v>
      </c>
      <c r="S42" s="54">
        <f>IFERROR(VLOOKUP(S40,CHO!$B$39:$R$42,4,FALSE),"")</f>
        <v>2</v>
      </c>
      <c r="T42" s="165" t="str">
        <f>IFERROR(VLOOKUP(S40,CHO!$B$39:$S$45,17,FALSE),"")</f>
        <v>2 V, 0 P</v>
      </c>
      <c r="U42" s="165"/>
      <c r="V42" s="166">
        <f>IFERROR(VLOOKUP(S40,CHO!$B$39:$R$42,7,FALSE),"")</f>
        <v>11</v>
      </c>
      <c r="W42" s="167"/>
      <c r="X42" s="55">
        <f>IFERROR(ROUND(VLOOKUP(S40,CHO!$B$39:$R$42,16,FALSE),2),"")</f>
        <v>75</v>
      </c>
      <c r="Y42" s="43"/>
      <c r="Z42" s="178"/>
      <c r="AA42" s="43"/>
      <c r="AB42" s="168" t="s">
        <v>183</v>
      </c>
      <c r="AC42" s="169"/>
      <c r="AD42" s="169"/>
      <c r="AE42" s="169"/>
      <c r="AF42" s="169"/>
      <c r="AG42" s="169"/>
      <c r="AH42" s="169"/>
      <c r="AI42" s="42" t="str">
        <f>IFERROR(IF(VLOOKUP(AB42,CHO!$B$48:$Z$82,10,FALSE)=0,"",VLOOKUP(AB42,CHO!$B$48:$Z$82,10,FALSE)),"")</f>
        <v/>
      </c>
      <c r="AJ42" s="63">
        <f>IFERROR(VLOOKUP(AB42,CHO!$B$48:$Z$82,9,FALSE),"")</f>
        <v>99</v>
      </c>
      <c r="AK42" s="54" t="str">
        <f>IFERROR(VLOOKUP(AK40,VIT!$B$39:$R$44,4,FALSE),"")</f>
        <v/>
      </c>
      <c r="AL42" s="165" t="str">
        <f>IFERROR(VLOOKUP(AK40,VIT!$B$39:$S$45,17,FALSE),"")</f>
        <v/>
      </c>
      <c r="AM42" s="165"/>
      <c r="AN42" s="166" t="str">
        <f>IFERROR(VLOOKUP(AK40,VIT!$B$39:$R$44,7,FALSE),"")</f>
        <v/>
      </c>
      <c r="AO42" s="167"/>
      <c r="AP42" s="55" t="str">
        <f>IFERROR(ROUND(VLOOKUP(AK40,VIT!$B$39:$R$44,16,FALSE),2),"")</f>
        <v/>
      </c>
      <c r="AQ42" s="43"/>
      <c r="AR42" s="178"/>
      <c r="AS42" s="43"/>
      <c r="AT42" s="168"/>
      <c r="AU42" s="169"/>
      <c r="AV42" s="169"/>
      <c r="AW42" s="169"/>
      <c r="AX42" s="169"/>
      <c r="AY42" s="169"/>
      <c r="AZ42" s="169"/>
      <c r="BA42" s="42" t="str">
        <f>IFERROR(IF(VLOOKUP(AT42,VIT!$B$48:$R$82,10,FALSE)=0,"",VLOOKUP(AT42,VIT!$B$48:$R$82,10,FALSE)),"")</f>
        <v/>
      </c>
      <c r="BB42" s="63" t="str">
        <f>IFERROR(VLOOKUP(AT42,VIT!$B$48:$R$82,9,FALSE),"")</f>
        <v/>
      </c>
      <c r="BC42" s="54" t="str">
        <f>IFERROR(VLOOKUP(BC40,MB!$B$39:$R$44,4,FALSE),"")</f>
        <v/>
      </c>
      <c r="BD42" s="165" t="str">
        <f>IFERROR(VLOOKUP(BC40,MB!$B$39:$S$45,17,FALSE),"")</f>
        <v/>
      </c>
      <c r="BE42" s="165"/>
      <c r="BF42" s="166" t="str">
        <f>IFERROR(VLOOKUP(BC40,MB!$B$39:$R$44,7,FALSE),"")</f>
        <v/>
      </c>
      <c r="BG42" s="167"/>
      <c r="BH42" s="55" t="str">
        <f>IFERROR(ROUND(VLOOKUP(BC40,MB!$B$39:$R$44,16,FALSE),2),"")</f>
        <v/>
      </c>
      <c r="BI42" s="43"/>
      <c r="BJ42" s="178"/>
      <c r="BK42" s="43"/>
      <c r="BL42" s="168"/>
      <c r="BM42" s="169"/>
      <c r="BN42" s="169"/>
      <c r="BO42" s="169"/>
      <c r="BP42" s="169"/>
      <c r="BQ42" s="169"/>
      <c r="BR42" s="169"/>
      <c r="BS42" s="42" t="str">
        <f>IFERROR(IF(VLOOKUP(BL42,MB!$B$48:$R$82,10,FALSE)=0,"",VLOOKUP(BL42,MB!$B$48:$R$82,10,FALSE)),"")</f>
        <v/>
      </c>
      <c r="BT42" s="63" t="str">
        <f>IFERROR(VLOOKUP(BL42,MB!$B$48:$R$82,9,FALSE),"")</f>
        <v/>
      </c>
    </row>
    <row r="43" spans="1:72" ht="15.6" customHeight="1" thickBot="1" x14ac:dyDescent="0.3">
      <c r="A43" s="170">
        <f>IFERROR(ROUND(VLOOKUP(A40,SKV!$B$39:$R$42,5,FALSE),2),"")</f>
        <v>532.26</v>
      </c>
      <c r="B43" s="171"/>
      <c r="C43" s="172">
        <f>IFERROR(VLOOKUP(A40,SKV!$B$39:$R$42,15,FALSE),"")</f>
        <v>5.9745237290046216</v>
      </c>
      <c r="D43" s="173"/>
      <c r="E43" s="174" t="str">
        <f>IFERROR(VLOOKUP(A40,SKV!$B$48:$Z$82,18,FALSE),"")</f>
        <v>29 OZ, 2 A</v>
      </c>
      <c r="F43" s="175"/>
      <c r="G43" s="43"/>
      <c r="H43" s="178"/>
      <c r="I43" s="43"/>
      <c r="J43" s="44" t="str">
        <f>IFERROR(VLOOKUP(J42,SKV!$B$48:$Z$82,11,FALSE),"")</f>
        <v>L</v>
      </c>
      <c r="K43" s="162">
        <f>IFERROR(YEAR(VLOOKUP(J42,SKV!$B$48:$Z$82,2,FALSE)),"")</f>
        <v>2003</v>
      </c>
      <c r="L43" s="176"/>
      <c r="M43" s="53">
        <f ca="1">IFERROR(VLOOKUP(J42,SKV!$B$48:$Z$82,3,FALSE),"")</f>
        <v>17</v>
      </c>
      <c r="N43" s="176" t="str">
        <f>IFERROR(VLOOKUP(J42,SKV!$B$48:$Z$82,15,FALSE),"")</f>
        <v>185/71</v>
      </c>
      <c r="O43" s="176"/>
      <c r="P43" s="176" t="str">
        <f>IFERROR(VLOOKUP(J42,SKV!$B$2:$O$36,14,FALSE),"")</f>
        <v/>
      </c>
      <c r="Q43" s="176"/>
      <c r="R43" s="177"/>
      <c r="S43" s="170">
        <f>IFERROR(ROUND(VLOOKUP(S40,CHO!$B$39:$R$42,5,FALSE),2),"")</f>
        <v>120</v>
      </c>
      <c r="T43" s="171"/>
      <c r="U43" s="172">
        <f>IFERROR(VLOOKUP(S40,CHO!$B$39:$R$42,15,FALSE),"")</f>
        <v>5.5</v>
      </c>
      <c r="V43" s="173"/>
      <c r="W43" s="174" t="str">
        <f>IFERROR(VLOOKUP(S40,CHO!$B$48:$S$82,18,FALSE),"")</f>
        <v>2 OZ, 0 A</v>
      </c>
      <c r="X43" s="175"/>
      <c r="Y43" s="43"/>
      <c r="Z43" s="178"/>
      <c r="AA43" s="43"/>
      <c r="AB43" s="44" t="str">
        <f>IFERROR(VLOOKUP(AB42,CHO!$B$48:$Z$82,11,FALSE),"")</f>
        <v>L</v>
      </c>
      <c r="AC43" s="162">
        <f>IFERROR(YEAR(VLOOKUP(AB42,CHO!$B$48:$Z$82,2,FALSE)),"")</f>
        <v>2000</v>
      </c>
      <c r="AD43" s="176"/>
      <c r="AE43" s="53">
        <f ca="1">IFERROR(VLOOKUP(AB42,CHO!$B$48:$Z$82,3,FALSE),"")</f>
        <v>20</v>
      </c>
      <c r="AF43" s="176" t="str">
        <f>IFERROR(VLOOKUP(AB42,CHO!$B$48:$Z$82,15,FALSE),"")</f>
        <v>182/75</v>
      </c>
      <c r="AG43" s="176"/>
      <c r="AH43" s="176" t="str">
        <f>IFERROR(VLOOKUP(AB42,CHO!$B$2:$O$36,14,FALSE),"")</f>
        <v>12 OZ , 2 (2+0), -4 ±</v>
      </c>
      <c r="AI43" s="176"/>
      <c r="AJ43" s="177"/>
      <c r="AK43" s="170" t="str">
        <f>IFERROR(ROUND(VLOOKUP(AK40,VIT!$B$39:$R$44,5,FALSE),2),"")</f>
        <v/>
      </c>
      <c r="AL43" s="171"/>
      <c r="AM43" s="172" t="str">
        <f>IFERROR(VLOOKUP(AK40,VIT!$B$39:$R$44,15,FALSE),"")</f>
        <v/>
      </c>
      <c r="AN43" s="173"/>
      <c r="AO43" s="174" t="str">
        <f>IFERROR(VLOOKUP(AK40,VIT!$B$48:$S$82,18,FALSE),"")</f>
        <v/>
      </c>
      <c r="AP43" s="175"/>
      <c r="AQ43" s="43"/>
      <c r="AR43" s="178"/>
      <c r="AS43" s="43"/>
      <c r="AT43" s="44" t="str">
        <f>IFERROR(VLOOKUP(AT42,VIT!$B$48:$R$82,11,FALSE),"")</f>
        <v/>
      </c>
      <c r="AU43" s="162" t="str">
        <f>IFERROR(YEAR(VLOOKUP(AT42,VIT!$B$48:$R$82,2,FALSE)),"")</f>
        <v/>
      </c>
      <c r="AV43" s="176"/>
      <c r="AW43" s="121" t="str">
        <f>IFERROR(VLOOKUP(AT42,VIT!$B$48:$R$82,3,FALSE),"")</f>
        <v/>
      </c>
      <c r="AX43" s="176" t="str">
        <f>IFERROR(VLOOKUP(AT42,VIT!$B$48:$R$82,15,FALSE),"")</f>
        <v/>
      </c>
      <c r="AY43" s="176"/>
      <c r="AZ43" s="176" t="str">
        <f>IFERROR(VLOOKUP(AT42,VIT!$B$2:$O$36,14,FALSE),"")</f>
        <v/>
      </c>
      <c r="BA43" s="176"/>
      <c r="BB43" s="177"/>
      <c r="BC43" s="170" t="str">
        <f>IFERROR(ROUND(VLOOKUP(BC40,MB!$B$39:$R$44,5,FALSE),2),"")</f>
        <v/>
      </c>
      <c r="BD43" s="171"/>
      <c r="BE43" s="172" t="str">
        <f>IFERROR(VLOOKUP(BC40,MB!$B$39:$R$44,15,FALSE),"")</f>
        <v/>
      </c>
      <c r="BF43" s="173"/>
      <c r="BG43" s="174" t="str">
        <f>IFERROR(VLOOKUP(BC40,MB!$B$48:$S$82,18,FALSE),"")</f>
        <v/>
      </c>
      <c r="BH43" s="175"/>
      <c r="BI43" s="43"/>
      <c r="BJ43" s="178"/>
      <c r="BK43" s="43"/>
      <c r="BL43" s="44" t="str">
        <f>IFERROR(VLOOKUP(BL42,MB!$B$48:$R$82,11,FALSE),"")</f>
        <v/>
      </c>
      <c r="BM43" s="162" t="str">
        <f>IFERROR(YEAR(VLOOKUP(BL42,MB!$B$48:$R$82,2,FALSE)),"")</f>
        <v/>
      </c>
      <c r="BN43" s="176"/>
      <c r="BO43" s="124" t="str">
        <f>IFERROR(VLOOKUP(BL42,MB!$B$48:$R$82,3,FALSE),"")</f>
        <v/>
      </c>
      <c r="BP43" s="176" t="str">
        <f>IFERROR(VLOOKUP(BL42,MB!$B$48:$R$82,15,FALSE),"")</f>
        <v/>
      </c>
      <c r="BQ43" s="176"/>
      <c r="BR43" s="176" t="str">
        <f>IFERROR(VLOOKUP(BL42,MB!$B$2:$O$36,14,FALSE),"")</f>
        <v/>
      </c>
      <c r="BS43" s="176"/>
      <c r="BT43" s="177"/>
    </row>
    <row r="44" spans="1:72" ht="15.6" customHeight="1" thickBot="1" x14ac:dyDescent="0.3">
      <c r="A44" s="150" t="str">
        <f>IFERROR(VLOOKUP(A40,SKV!$B$48:$Z$82,16,FALSE),"")</f>
        <v>Chodov</v>
      </c>
      <c r="B44" s="151"/>
      <c r="C44" s="152"/>
      <c r="D44" s="153">
        <f>IFERROR(VLOOKUP(A40,SKV!$B$48:$Z$82,17,FALSE),"")</f>
        <v>2008</v>
      </c>
      <c r="E44" s="154"/>
      <c r="F44" s="57">
        <f>IFERROR(VLOOKUP(A40,SKV!$B$39:$R$42,8,FALSE),"")</f>
        <v>1</v>
      </c>
      <c r="G44" s="43"/>
      <c r="H44" s="178"/>
      <c r="I44" s="43"/>
      <c r="J44" s="56">
        <f>IFERROR(VLOOKUP(J42,SKV!$B$48:$Z$82,8,FALSE),"")</f>
        <v>1</v>
      </c>
      <c r="K44" s="155" t="str">
        <f>IFERROR(VLOOKUP(J42,SKV!$B$48:$Z$82,14,FALSE),"")</f>
        <v>8 OZ, 1 (0+1)</v>
      </c>
      <c r="L44" s="155"/>
      <c r="M44" s="155"/>
      <c r="N44" s="156" t="str">
        <f>IFERROR(VLOOKUP(J42,SKV!$B$48:$Z$82,16,FALSE),"")</f>
        <v>SK Florbal Benešov</v>
      </c>
      <c r="O44" s="156"/>
      <c r="P44" s="156"/>
      <c r="Q44" s="155">
        <f>IFERROR(VLOOKUP(J42,SKV!$B$48:$Z$82,17,FALSE),"")</f>
        <v>2009</v>
      </c>
      <c r="R44" s="157"/>
      <c r="S44" s="150" t="str">
        <f>IFERROR(VLOOKUP(S40,CHO!$B$48:$Z$82,16,FALSE),"")</f>
        <v>Florbal Benešov</v>
      </c>
      <c r="T44" s="151"/>
      <c r="U44" s="152"/>
      <c r="V44" s="153">
        <f>IFERROR(VLOOKUP(S40,CHO!$B$48:$Z$82,17,FALSE),"")</f>
        <v>2009</v>
      </c>
      <c r="W44" s="154"/>
      <c r="X44" s="57">
        <f>IFERROR(VLOOKUP(S40,CHO!$B$39:$R$42,8,FALSE),"")</f>
        <v>0</v>
      </c>
      <c r="Y44" s="43"/>
      <c r="Z44" s="178"/>
      <c r="AA44" s="43"/>
      <c r="AB44" s="56">
        <f>IFERROR(VLOOKUP(AB42,CHO!$B$48:$Z$82,8,FALSE),"")</f>
        <v>4</v>
      </c>
      <c r="AC44" s="155" t="str">
        <f>IFERROR(VLOOKUP(AB42,CHO!$B$48:$Z$82,14,FALSE),"")</f>
        <v>78 OZ, 4 (4+0)</v>
      </c>
      <c r="AD44" s="155"/>
      <c r="AE44" s="155"/>
      <c r="AF44" s="156" t="str">
        <f>IFERROR(VLOOKUP(AB42,CHO!$B$48:$Z$82,16,FALSE),"")</f>
        <v>FBK Vosy Praha</v>
      </c>
      <c r="AG44" s="156"/>
      <c r="AH44" s="156"/>
      <c r="AI44" s="155">
        <f>IFERROR(VLOOKUP(AB42,CHO!$B$48:$Z$82,17,FALSE),"")</f>
        <v>2007</v>
      </c>
      <c r="AJ44" s="157"/>
      <c r="AK44" s="150" t="str">
        <f>IFERROR(VLOOKUP(AK40,VIT!$B$48:$R$82,16,FALSE),"")</f>
        <v/>
      </c>
      <c r="AL44" s="151"/>
      <c r="AM44" s="152"/>
      <c r="AN44" s="153" t="str">
        <f>IFERROR(VLOOKUP(AK40,VIT!$B$48:$R$82,17,FALSE),"")</f>
        <v/>
      </c>
      <c r="AO44" s="154"/>
      <c r="AP44" s="57" t="str">
        <f>IFERROR(VLOOKUP(AK40,VIT!$B$39:$R$44,8,FALSE),"")</f>
        <v/>
      </c>
      <c r="AQ44" s="43"/>
      <c r="AR44" s="178"/>
      <c r="AS44" s="43"/>
      <c r="AT44" s="56" t="str">
        <f>IFERROR(VLOOKUP(AT42,VIT!$B$48:$R$82,8,FALSE),"")</f>
        <v/>
      </c>
      <c r="AU44" s="155" t="str">
        <f>IFERROR(VLOOKUP(AT42,VIT!$B$48:$R$82,14,FALSE),"")</f>
        <v/>
      </c>
      <c r="AV44" s="155"/>
      <c r="AW44" s="155"/>
      <c r="AX44" s="156" t="str">
        <f>IFERROR(VLOOKUP(AT42,VIT!$B$48:$R$82,16,FALSE),"")</f>
        <v/>
      </c>
      <c r="AY44" s="156"/>
      <c r="AZ44" s="156"/>
      <c r="BA44" s="155" t="str">
        <f>IFERROR(VLOOKUP(AT42,VIT!$B$48:$R$82,17,FALSE),"")</f>
        <v/>
      </c>
      <c r="BB44" s="157"/>
      <c r="BC44" s="150" t="str">
        <f>IFERROR(VLOOKUP(BC40,MB!$B$48:$R$82,16,FALSE),"")</f>
        <v/>
      </c>
      <c r="BD44" s="151"/>
      <c r="BE44" s="152"/>
      <c r="BF44" s="153" t="str">
        <f>IFERROR(VLOOKUP(BC40,MB!$B$48:$R$82,17,FALSE),"")</f>
        <v/>
      </c>
      <c r="BG44" s="154"/>
      <c r="BH44" s="57" t="str">
        <f>IFERROR(VLOOKUP(BC40,MB!$B$39:$R$44,8,FALSE),"")</f>
        <v/>
      </c>
      <c r="BI44" s="43"/>
      <c r="BJ44" s="178"/>
      <c r="BK44" s="43"/>
      <c r="BL44" s="56" t="str">
        <f>IFERROR(VLOOKUP(BL42,MB!$B$48:$R$82,8,FALSE),"")</f>
        <v/>
      </c>
      <c r="BM44" s="155" t="str">
        <f>IFERROR(VLOOKUP(BL42,MB!$B$48:$R$82,14,FALSE),"")</f>
        <v/>
      </c>
      <c r="BN44" s="155"/>
      <c r="BO44" s="155"/>
      <c r="BP44" s="156" t="str">
        <f>IFERROR(VLOOKUP(BL42,MB!$B$48:$R$82,16,FALSE),"")</f>
        <v/>
      </c>
      <c r="BQ44" s="156"/>
      <c r="BR44" s="156"/>
      <c r="BS44" s="155" t="str">
        <f>IFERROR(VLOOKUP(BL42,MB!$B$48:$R$82,17,FALSE),"")</f>
        <v/>
      </c>
      <c r="BT44" s="157"/>
    </row>
    <row r="45" spans="1:72" ht="7.35" customHeight="1" thickTop="1" thickBot="1" x14ac:dyDescent="0.3">
      <c r="A45" s="43"/>
      <c r="B45" s="43"/>
      <c r="C45" s="43"/>
      <c r="D45" s="43"/>
      <c r="E45" s="43"/>
      <c r="F45" s="43"/>
      <c r="G45" s="22"/>
      <c r="H45" s="22"/>
      <c r="I45" s="22"/>
      <c r="J45" s="22"/>
      <c r="K45" s="22"/>
      <c r="L45" s="22"/>
      <c r="M45" s="58"/>
      <c r="N45" s="58"/>
      <c r="O45" s="58"/>
      <c r="P45" s="58"/>
      <c r="Q45" s="58"/>
      <c r="R45" s="59"/>
      <c r="S45" s="43"/>
      <c r="T45" s="43"/>
      <c r="U45" s="43"/>
      <c r="V45" s="43"/>
      <c r="W45" s="43"/>
      <c r="X45" s="43"/>
      <c r="Y45" s="22"/>
      <c r="Z45" s="22"/>
      <c r="AA45" s="22"/>
      <c r="AB45" s="22"/>
      <c r="AC45" s="22"/>
      <c r="AD45" s="22"/>
      <c r="AE45" s="58"/>
      <c r="AF45" s="58"/>
      <c r="AG45" s="58"/>
      <c r="AH45" s="58"/>
      <c r="AI45" s="58"/>
      <c r="AJ45" s="59"/>
      <c r="AK45" s="43"/>
      <c r="AL45" s="43"/>
      <c r="AM45" s="43"/>
      <c r="AN45" s="43"/>
      <c r="AO45" s="43"/>
      <c r="AP45" s="43"/>
      <c r="AQ45" s="22"/>
      <c r="AR45" s="22"/>
      <c r="AS45" s="22"/>
      <c r="AT45" s="22"/>
      <c r="AU45" s="22"/>
      <c r="AV45" s="22"/>
      <c r="AW45" s="58"/>
      <c r="AX45" s="58"/>
      <c r="AY45" s="58"/>
      <c r="AZ45" s="58"/>
      <c r="BA45" s="58"/>
      <c r="BB45" s="59"/>
      <c r="BC45" s="43"/>
      <c r="BD45" s="43"/>
      <c r="BE45" s="43"/>
      <c r="BF45" s="43"/>
      <c r="BG45" s="43"/>
      <c r="BH45" s="43"/>
      <c r="BI45" s="22"/>
      <c r="BJ45" s="22"/>
      <c r="BK45" s="22"/>
      <c r="BL45" s="22"/>
      <c r="BM45" s="22"/>
      <c r="BN45" s="22"/>
      <c r="BO45" s="58"/>
      <c r="BP45" s="58"/>
      <c r="BQ45" s="58"/>
      <c r="BR45" s="58"/>
      <c r="BS45" s="58"/>
      <c r="BT45" s="59"/>
    </row>
    <row r="46" spans="1:72" ht="7.35" customHeight="1" thickTop="1" thickBot="1" x14ac:dyDescent="0.3">
      <c r="A46" s="51"/>
      <c r="B46" s="51"/>
      <c r="C46" s="51"/>
      <c r="D46" s="51"/>
      <c r="E46" s="51"/>
      <c r="F46" s="51"/>
      <c r="G46" s="51"/>
      <c r="H46" s="51"/>
      <c r="I46" s="51"/>
      <c r="J46" s="51"/>
      <c r="K46" s="51"/>
      <c r="L46" s="51"/>
      <c r="M46" s="60"/>
      <c r="N46" s="60"/>
      <c r="O46" s="60"/>
      <c r="P46" s="60"/>
      <c r="Q46" s="60"/>
      <c r="R46" s="61"/>
      <c r="S46" s="51"/>
      <c r="T46" s="51"/>
      <c r="U46" s="51"/>
      <c r="V46" s="51"/>
      <c r="W46" s="51"/>
      <c r="X46" s="51"/>
      <c r="Y46" s="51"/>
      <c r="Z46" s="51"/>
      <c r="AA46" s="51"/>
      <c r="AB46" s="51"/>
      <c r="AC46" s="51"/>
      <c r="AD46" s="51"/>
      <c r="AE46" s="60"/>
      <c r="AF46" s="60"/>
      <c r="AG46" s="60"/>
      <c r="AH46" s="60"/>
      <c r="AI46" s="60"/>
      <c r="AJ46" s="61"/>
      <c r="AK46" s="51"/>
      <c r="AL46" s="51"/>
      <c r="AM46" s="51"/>
      <c r="AN46" s="51"/>
      <c r="AO46" s="51"/>
      <c r="AP46" s="51"/>
      <c r="AQ46" s="51"/>
      <c r="AR46" s="51"/>
      <c r="AS46" s="51"/>
      <c r="AT46" s="51"/>
      <c r="AU46" s="51"/>
      <c r="AV46" s="51"/>
      <c r="AW46" s="60"/>
      <c r="AX46" s="60"/>
      <c r="AY46" s="60"/>
      <c r="AZ46" s="60"/>
      <c r="BA46" s="60"/>
      <c r="BB46" s="61"/>
      <c r="BC46" s="51"/>
      <c r="BD46" s="51"/>
      <c r="BE46" s="51"/>
      <c r="BF46" s="51"/>
      <c r="BG46" s="51"/>
      <c r="BH46" s="51"/>
      <c r="BI46" s="51"/>
      <c r="BJ46" s="51"/>
      <c r="BK46" s="51"/>
      <c r="BL46" s="51"/>
      <c r="BM46" s="51"/>
      <c r="BN46" s="51"/>
      <c r="BO46" s="60"/>
      <c r="BP46" s="60"/>
      <c r="BQ46" s="60"/>
      <c r="BR46" s="60"/>
      <c r="BS46" s="60"/>
      <c r="BT46" s="61"/>
    </row>
    <row r="47" spans="1:72" ht="15.6" customHeight="1" thickTop="1" x14ac:dyDescent="0.25">
      <c r="A47" s="158" t="s">
        <v>105</v>
      </c>
      <c r="B47" s="159"/>
      <c r="C47" s="159"/>
      <c r="D47" s="159"/>
      <c r="E47" s="148" t="str">
        <f>IFERROR(VLOOKUP(A47,SKV!$B$85:$K$92,4,FALSE),"")</f>
        <v>trenér</v>
      </c>
      <c r="F47" s="148"/>
      <c r="G47" s="148"/>
      <c r="H47" s="148"/>
      <c r="I47" s="149"/>
      <c r="J47" s="160" t="s">
        <v>106</v>
      </c>
      <c r="K47" s="159"/>
      <c r="L47" s="159"/>
      <c r="M47" s="159"/>
      <c r="N47" s="148" t="str">
        <f>IFERROR(VLOOKUP(J47,SKV!$B$85:$K$92,4,FALSE),"")</f>
        <v>trenér</v>
      </c>
      <c r="O47" s="148"/>
      <c r="P47" s="148"/>
      <c r="Q47" s="148"/>
      <c r="R47" s="149"/>
      <c r="S47" s="158" t="s">
        <v>197</v>
      </c>
      <c r="T47" s="159"/>
      <c r="U47" s="159"/>
      <c r="V47" s="159"/>
      <c r="W47" s="148" t="str">
        <f>IFERROR(VLOOKUP(S47,CHO!$B$85:$K$92,4,FALSE),"")</f>
        <v>hlavní trenér</v>
      </c>
      <c r="X47" s="148"/>
      <c r="Y47" s="148"/>
      <c r="Z47" s="148"/>
      <c r="AA47" s="149"/>
      <c r="AB47" s="160" t="s">
        <v>203</v>
      </c>
      <c r="AC47" s="159"/>
      <c r="AD47" s="159"/>
      <c r="AE47" s="159"/>
      <c r="AF47" s="148" t="str">
        <f>IFERROR(VLOOKUP(AB47,CHO!$B$85:$K$92,4,FALSE),"")</f>
        <v>asistent trenéra</v>
      </c>
      <c r="AG47" s="148"/>
      <c r="AH47" s="148"/>
      <c r="AI47" s="148"/>
      <c r="AJ47" s="149"/>
      <c r="AK47" s="158" t="s">
        <v>365</v>
      </c>
      <c r="AL47" s="159"/>
      <c r="AM47" s="159"/>
      <c r="AN47" s="159"/>
      <c r="AO47" s="148" t="str">
        <f>IFERROR(VLOOKUP(AK47,VIT!$B$85:$K$92,4,FALSE),"")</f>
        <v>hlavní trenér</v>
      </c>
      <c r="AP47" s="148"/>
      <c r="AQ47" s="148"/>
      <c r="AR47" s="148"/>
      <c r="AS47" s="149"/>
      <c r="AT47" s="160" t="s">
        <v>367</v>
      </c>
      <c r="AU47" s="159"/>
      <c r="AV47" s="159"/>
      <c r="AW47" s="159"/>
      <c r="AX47" s="148" t="str">
        <f>IFERROR(VLOOKUP(AT47,VIT!$B$85:$K$92,4,FALSE),"")</f>
        <v>asistent trenéra</v>
      </c>
      <c r="AY47" s="148"/>
      <c r="AZ47" s="148"/>
      <c r="BA47" s="148"/>
      <c r="BB47" s="149"/>
      <c r="BC47" s="158"/>
      <c r="BD47" s="159"/>
      <c r="BE47" s="159"/>
      <c r="BF47" s="159"/>
      <c r="BG47" s="148" t="str">
        <f>IFERROR(VLOOKUP(BC47,MB!$B$85:$K$92,4,FALSE),"")</f>
        <v/>
      </c>
      <c r="BH47" s="148"/>
      <c r="BI47" s="148"/>
      <c r="BJ47" s="148"/>
      <c r="BK47" s="149"/>
      <c r="BL47" s="160"/>
      <c r="BM47" s="159"/>
      <c r="BN47" s="159"/>
      <c r="BO47" s="159"/>
      <c r="BP47" s="148" t="str">
        <f>IFERROR(VLOOKUP(BL47,MB!$B$85:$K$92,4,FALSE),"")</f>
        <v/>
      </c>
      <c r="BQ47" s="148"/>
      <c r="BR47" s="148"/>
      <c r="BS47" s="148"/>
      <c r="BT47" s="149"/>
    </row>
    <row r="48" spans="1:72" ht="15.6" customHeight="1" thickBot="1" x14ac:dyDescent="0.3">
      <c r="A48" s="138">
        <f ca="1">IFERROR(VLOOKUP(A47,SKV!$B$85:$K$92,3,FALSE),"")</f>
        <v>37</v>
      </c>
      <c r="B48" s="140" t="str">
        <f>IFERROR(VLOOKUP(A47,SKV!$B$85:$K$92,6,FALSE),"")</f>
        <v>vicemistr světa (2004), all-star tým juniorského MS, 2x mistr české ligy (Chodov)</v>
      </c>
      <c r="C48" s="140"/>
      <c r="D48" s="140"/>
      <c r="E48" s="140"/>
      <c r="F48" s="140"/>
      <c r="G48" s="140"/>
      <c r="H48" s="140"/>
      <c r="I48" s="141"/>
      <c r="J48" s="62">
        <f ca="1">IFERROR(VLOOKUP(J47,SKV!$B$85:$K$92,3,FALSE),"")</f>
        <v>35</v>
      </c>
      <c r="K48" s="144" t="str">
        <f>IFERROR(VLOOKUP(J47,SKV!$B$85:$K$92,6,FALSE),"")</f>
        <v>mistr české ligy (Chodov)</v>
      </c>
      <c r="L48" s="144"/>
      <c r="M48" s="144"/>
      <c r="N48" s="144"/>
      <c r="O48" s="144"/>
      <c r="P48" s="144"/>
      <c r="Q48" s="144"/>
      <c r="R48" s="145"/>
      <c r="S48" s="138">
        <f ca="1">IFERROR(VLOOKUP(S47,CHO!$B$85:$K$92,3,FALSE),"")</f>
        <v>34</v>
      </c>
      <c r="T48" s="140" t="str">
        <f>IFERROR(VLOOKUP(S47,CHO!$B$85:$K$92,6,FALSE),"")</f>
        <v>mistr české ligy (Tatran), 2x vítěz Poháru (Tatran, Chodov), 2x mistr ligy (trenér)</v>
      </c>
      <c r="U48" s="140"/>
      <c r="V48" s="140"/>
      <c r="W48" s="140"/>
      <c r="X48" s="140"/>
      <c r="Y48" s="140"/>
      <c r="Z48" s="140"/>
      <c r="AA48" s="141"/>
      <c r="AB48" s="62">
        <f ca="1">IFERROR(VLOOKUP(AB47,CHO!$B$85:$K$92,3,FALSE),"")</f>
        <v>41</v>
      </c>
      <c r="AC48" s="144" t="str">
        <f>IFERROR(VLOOKUP(AB47,CHO!$B$85:$K$92,6,FALSE),"")</f>
        <v>mistr české ligy, stříbro z MS juniorů</v>
      </c>
      <c r="AD48" s="144"/>
      <c r="AE48" s="144"/>
      <c r="AF48" s="144"/>
      <c r="AG48" s="144"/>
      <c r="AH48" s="144"/>
      <c r="AI48" s="144"/>
      <c r="AJ48" s="145"/>
      <c r="AK48" s="138">
        <f ca="1">IFERROR(VLOOKUP(AK47,VIT!$B$85:$K$92,3,FALSE),"")</f>
        <v>33</v>
      </c>
      <c r="AL48" s="140" t="str">
        <f>IFERROR(VLOOKUP(AK47,VIT!$B$85:$K$92,6,FALSE),"")</f>
        <v>3x mistr české ligy, 2x vítěz Poháru ČP</v>
      </c>
      <c r="AM48" s="140"/>
      <c r="AN48" s="140"/>
      <c r="AO48" s="140"/>
      <c r="AP48" s="140"/>
      <c r="AQ48" s="140"/>
      <c r="AR48" s="140"/>
      <c r="AS48" s="141"/>
      <c r="AT48" s="120">
        <f ca="1">IFERROR(VLOOKUP(AT47,VIT!$B$85:$K$92,3,FALSE),"")</f>
        <v>27</v>
      </c>
      <c r="AU48" s="144">
        <f>IFERROR(VLOOKUP(AT47,VIT!$B$85:$K$92,6,FALSE),"")</f>
        <v>0</v>
      </c>
      <c r="AV48" s="144"/>
      <c r="AW48" s="144"/>
      <c r="AX48" s="144"/>
      <c r="AY48" s="144"/>
      <c r="AZ48" s="144"/>
      <c r="BA48" s="144"/>
      <c r="BB48" s="145"/>
      <c r="BC48" s="138" t="str">
        <f>IFERROR(VLOOKUP(BC47,MB!$B$85:$K$92,3,FALSE),"")</f>
        <v/>
      </c>
      <c r="BD48" s="140" t="str">
        <f>IFERROR(VLOOKUP(BC47,MB!$B$85:$K$92,6,FALSE),"")</f>
        <v/>
      </c>
      <c r="BE48" s="140"/>
      <c r="BF48" s="140"/>
      <c r="BG48" s="140"/>
      <c r="BH48" s="140"/>
      <c r="BI48" s="140"/>
      <c r="BJ48" s="140"/>
      <c r="BK48" s="141"/>
      <c r="BL48" s="126" t="str">
        <f>IFERROR(VLOOKUP(BL47,MB!$B$85:$K$92,3,FALSE),"")</f>
        <v/>
      </c>
      <c r="BM48" s="144" t="str">
        <f>IFERROR(VLOOKUP(BL47,MB!$B$85:$K$92,6,FALSE),"")</f>
        <v/>
      </c>
      <c r="BN48" s="144"/>
      <c r="BO48" s="144"/>
      <c r="BP48" s="144"/>
      <c r="BQ48" s="144"/>
      <c r="BR48" s="144"/>
      <c r="BS48" s="144"/>
      <c r="BT48" s="145"/>
    </row>
    <row r="49" spans="1:72" ht="15.6" customHeight="1" thickTop="1" x14ac:dyDescent="0.25">
      <c r="A49" s="138"/>
      <c r="B49" s="140"/>
      <c r="C49" s="140"/>
      <c r="D49" s="140"/>
      <c r="E49" s="140"/>
      <c r="F49" s="140"/>
      <c r="G49" s="140"/>
      <c r="H49" s="140"/>
      <c r="I49" s="141"/>
      <c r="J49" s="146"/>
      <c r="K49" s="147"/>
      <c r="L49" s="147"/>
      <c r="M49" s="147"/>
      <c r="N49" s="148" t="str">
        <f>IFERROR(VLOOKUP(J49,SKV!$B$85:$K$92,4,FALSE),"")</f>
        <v/>
      </c>
      <c r="O49" s="148"/>
      <c r="P49" s="148"/>
      <c r="Q49" s="148"/>
      <c r="R49" s="149"/>
      <c r="S49" s="138"/>
      <c r="T49" s="140"/>
      <c r="U49" s="140"/>
      <c r="V49" s="140"/>
      <c r="W49" s="140"/>
      <c r="X49" s="140"/>
      <c r="Y49" s="140"/>
      <c r="Z49" s="140"/>
      <c r="AA49" s="141"/>
      <c r="AB49" s="146" t="s">
        <v>207</v>
      </c>
      <c r="AC49" s="147"/>
      <c r="AD49" s="147"/>
      <c r="AE49" s="147"/>
      <c r="AF49" s="148" t="str">
        <f>IFERROR(VLOOKUP(AB49,CHO!$B$85:$K$92,4,FALSE),"")</f>
        <v>vedoucí týmu</v>
      </c>
      <c r="AG49" s="148"/>
      <c r="AH49" s="148"/>
      <c r="AI49" s="148"/>
      <c r="AJ49" s="149"/>
      <c r="AK49" s="138"/>
      <c r="AL49" s="140"/>
      <c r="AM49" s="140"/>
      <c r="AN49" s="140"/>
      <c r="AO49" s="140"/>
      <c r="AP49" s="140"/>
      <c r="AQ49" s="140"/>
      <c r="AR49" s="140"/>
      <c r="AS49" s="141"/>
      <c r="AT49" s="146" t="s">
        <v>370</v>
      </c>
      <c r="AU49" s="147"/>
      <c r="AV49" s="147"/>
      <c r="AW49" s="147"/>
      <c r="AX49" s="148" t="str">
        <f>IFERROR(VLOOKUP(AT49,VIT!$B$85:$K$92,4,FALSE),"")</f>
        <v>vedoucí družstva</v>
      </c>
      <c r="AY49" s="148"/>
      <c r="AZ49" s="148"/>
      <c r="BA49" s="148"/>
      <c r="BB49" s="149"/>
      <c r="BC49" s="138"/>
      <c r="BD49" s="140"/>
      <c r="BE49" s="140"/>
      <c r="BF49" s="140"/>
      <c r="BG49" s="140"/>
      <c r="BH49" s="140"/>
      <c r="BI49" s="140"/>
      <c r="BJ49" s="140"/>
      <c r="BK49" s="141"/>
      <c r="BL49" s="146"/>
      <c r="BM49" s="147"/>
      <c r="BN49" s="147"/>
      <c r="BO49" s="147"/>
      <c r="BP49" s="148" t="str">
        <f>IFERROR(VLOOKUP(BL49,MB!$B$85:$K$92,4,FALSE),"")</f>
        <v/>
      </c>
      <c r="BQ49" s="148"/>
      <c r="BR49" s="148"/>
      <c r="BS49" s="148"/>
      <c r="BT49" s="149"/>
    </row>
    <row r="50" spans="1:72" ht="15.6" customHeight="1" thickBot="1" x14ac:dyDescent="0.3">
      <c r="A50" s="139"/>
      <c r="B50" s="142"/>
      <c r="C50" s="142"/>
      <c r="D50" s="142"/>
      <c r="E50" s="142"/>
      <c r="F50" s="142"/>
      <c r="G50" s="142"/>
      <c r="H50" s="142"/>
      <c r="I50" s="143"/>
      <c r="J50" s="62" t="str">
        <f>IFERROR(VLOOKUP(J49,SKV!$B$85:$K$92,3,FALSE),"")</f>
        <v/>
      </c>
      <c r="K50" s="144" t="str">
        <f>IFERROR(VLOOKUP(J49,SKV!$B$85:$K$92,6,FALSE),"")</f>
        <v/>
      </c>
      <c r="L50" s="144"/>
      <c r="M50" s="144"/>
      <c r="N50" s="144"/>
      <c r="O50" s="144"/>
      <c r="P50" s="144"/>
      <c r="Q50" s="144"/>
      <c r="R50" s="145"/>
      <c r="S50" s="139"/>
      <c r="T50" s="142"/>
      <c r="U50" s="142"/>
      <c r="V50" s="142"/>
      <c r="W50" s="142"/>
      <c r="X50" s="142"/>
      <c r="Y50" s="142"/>
      <c r="Z50" s="142"/>
      <c r="AA50" s="143"/>
      <c r="AB50" s="62">
        <f ca="1">IFERROR(VLOOKUP(AB49,CHO!$B$85:$K$92,3,FALSE),"")</f>
        <v>35</v>
      </c>
      <c r="AC50" s="144" t="str">
        <f>IFERROR(VLOOKUP(AB49,CHO!$B$85:$K$92,6,FALSE),"")</f>
        <v>2x mistr české ligy</v>
      </c>
      <c r="AD50" s="144"/>
      <c r="AE50" s="144"/>
      <c r="AF50" s="144"/>
      <c r="AG50" s="144"/>
      <c r="AH50" s="144"/>
      <c r="AI50" s="144"/>
      <c r="AJ50" s="145"/>
      <c r="AK50" s="139"/>
      <c r="AL50" s="142"/>
      <c r="AM50" s="142"/>
      <c r="AN50" s="142"/>
      <c r="AO50" s="142"/>
      <c r="AP50" s="142"/>
      <c r="AQ50" s="142"/>
      <c r="AR50" s="142"/>
      <c r="AS50" s="143"/>
      <c r="AT50" s="120">
        <f ca="1">IFERROR(VLOOKUP(AT49,VIT!$B$85:$K$92,3,FALSE),"")</f>
        <v>54</v>
      </c>
      <c r="AU50" s="144">
        <f>IFERROR(VLOOKUP(AT49,VIT!$B$85:$K$92,6,FALSE),"")</f>
        <v>0</v>
      </c>
      <c r="AV50" s="144"/>
      <c r="AW50" s="144"/>
      <c r="AX50" s="144"/>
      <c r="AY50" s="144"/>
      <c r="AZ50" s="144"/>
      <c r="BA50" s="144"/>
      <c r="BB50" s="145"/>
      <c r="BC50" s="139"/>
      <c r="BD50" s="142"/>
      <c r="BE50" s="142"/>
      <c r="BF50" s="142"/>
      <c r="BG50" s="142"/>
      <c r="BH50" s="142"/>
      <c r="BI50" s="142"/>
      <c r="BJ50" s="142"/>
      <c r="BK50" s="143"/>
      <c r="BL50" s="126" t="str">
        <f>IFERROR(VLOOKUP(BL49,MB!$B$85:$K$92,3,FALSE),"")</f>
        <v/>
      </c>
      <c r="BM50" s="144" t="str">
        <f>IFERROR(VLOOKUP(BL49,MB!$B$85:$K$92,6,FALSE),"")</f>
        <v/>
      </c>
      <c r="BN50" s="144"/>
      <c r="BO50" s="144"/>
      <c r="BP50" s="144"/>
      <c r="BQ50" s="144"/>
      <c r="BR50" s="144"/>
      <c r="BS50" s="144"/>
      <c r="BT50" s="145"/>
    </row>
    <row r="51" spans="1:72" ht="15.6" customHeight="1" thickTop="1" x14ac:dyDescent="0.25">
      <c r="A51" s="251" t="s">
        <v>155</v>
      </c>
      <c r="B51" s="251"/>
      <c r="C51" s="251"/>
      <c r="D51" s="251"/>
      <c r="E51" s="251"/>
      <c r="F51" s="251"/>
      <c r="G51" s="251"/>
      <c r="H51" s="251"/>
      <c r="I51" s="251"/>
      <c r="J51" s="251" t="s">
        <v>29</v>
      </c>
      <c r="K51" s="251"/>
      <c r="L51" s="251"/>
      <c r="M51" s="251"/>
      <c r="N51" s="251"/>
      <c r="O51" s="251"/>
      <c r="P51" s="251"/>
      <c r="Q51" s="251"/>
      <c r="R51" s="251"/>
    </row>
    <row r="52" spans="1:72" ht="15.6" customHeight="1" thickBot="1" x14ac:dyDescent="0.3">
      <c r="A52" s="252"/>
      <c r="B52" s="252"/>
      <c r="C52" s="252"/>
      <c r="D52" s="252"/>
      <c r="E52" s="252"/>
      <c r="F52" s="252"/>
      <c r="G52" s="252"/>
      <c r="H52" s="252"/>
      <c r="I52" s="252"/>
      <c r="J52" s="252"/>
      <c r="K52" s="252"/>
      <c r="L52" s="252"/>
      <c r="M52" s="252"/>
      <c r="N52" s="252"/>
      <c r="O52" s="252"/>
      <c r="P52" s="252"/>
      <c r="Q52" s="252"/>
      <c r="R52" s="252"/>
    </row>
    <row r="53" spans="1:72" ht="15" customHeight="1" thickTop="1" thickBot="1" x14ac:dyDescent="0.3">
      <c r="A53" s="71"/>
      <c r="B53" s="71"/>
      <c r="C53" s="71"/>
      <c r="D53" s="71"/>
      <c r="E53" s="71"/>
      <c r="F53" s="71"/>
      <c r="G53" s="68"/>
      <c r="H53" s="68"/>
      <c r="I53" s="68"/>
      <c r="J53" s="68"/>
      <c r="K53" s="69"/>
      <c r="L53" s="70"/>
      <c r="M53" s="71"/>
      <c r="N53" s="71"/>
      <c r="O53" s="71"/>
      <c r="P53" s="71"/>
      <c r="Q53" s="71"/>
      <c r="R53" s="71"/>
    </row>
    <row r="54" spans="1:72" ht="15" customHeight="1" thickTop="1" thickBot="1" x14ac:dyDescent="0.3">
      <c r="A54" s="216" t="s">
        <v>233</v>
      </c>
      <c r="B54" s="204"/>
      <c r="C54" s="85" t="s">
        <v>41</v>
      </c>
      <c r="D54" s="85" t="s">
        <v>42</v>
      </c>
      <c r="E54" s="204" t="s">
        <v>43</v>
      </c>
      <c r="F54" s="204"/>
      <c r="G54" s="85" t="s">
        <v>44</v>
      </c>
      <c r="H54" s="85" t="s">
        <v>45</v>
      </c>
      <c r="I54" s="86" t="s">
        <v>38</v>
      </c>
      <c r="J54" s="189" t="s">
        <v>233</v>
      </c>
      <c r="K54" s="190"/>
      <c r="L54" s="100" t="s">
        <v>41</v>
      </c>
      <c r="M54" s="100" t="s">
        <v>42</v>
      </c>
      <c r="N54" s="190" t="s">
        <v>43</v>
      </c>
      <c r="O54" s="190"/>
      <c r="P54" s="100" t="s">
        <v>44</v>
      </c>
      <c r="Q54" s="100" t="s">
        <v>45</v>
      </c>
      <c r="R54" s="101" t="s">
        <v>38</v>
      </c>
    </row>
    <row r="55" spans="1:72" ht="15" customHeight="1" thickBot="1" x14ac:dyDescent="0.3">
      <c r="A55" s="275" t="str">
        <f>CONCATENATE(IFERROR(VLOOKUP(VLOOKUP($A$51,Tabulka!$A$42:$B$55,2,FALSE),Tabulka!$B$26:$AK$39,36,FALSE),""), ". místo")</f>
        <v>5. místo</v>
      </c>
      <c r="B55" s="276"/>
      <c r="C55" s="87">
        <f>IFERROR(VLOOKUP(VLOOKUP($A$51,Tabulka!$A$42:$B$55,2,FALSE),Tabulka!$B$26:$AK$39,3,FALSE),"") +IFERROR(VLOOKUP(VLOOKUP($A$51,Tabulka!$A$42:$B$55,2,FALSE),Tabulka!$B$26:$AK$39,4,FALSE),"")</f>
        <v>8</v>
      </c>
      <c r="D55" s="89">
        <f>IFERROR(VLOOKUP(VLOOKUP($A$51,Tabulka!$A$42:$B$55,2,FALSE),Tabulka!$B$26:$AK$39,5,FALSE),"") +IFERROR(VLOOKUP(VLOOKUP($A$51,Tabulka!$A$42:$B$55,2,FALSE),Tabulka!$B$26:$AK$39,6,FALSE),"")</f>
        <v>4</v>
      </c>
      <c r="E55" s="276" t="str">
        <f>CONCATENATE(IFERROR(VLOOKUP(VLOOKUP($A$51,Tabulka!$A$42:$B$55,2,FALSE),Tabulka!$B$26:$AK$39,8,FALSE),""), ":",IFERROR(VLOOKUP(VLOOKUP($A$51,Tabulka!$A$42:$B$55,2,FALSE),Tabulka!$B$26:$AK$39,9,FALSE),""))</f>
        <v>78:72</v>
      </c>
      <c r="F55" s="276"/>
      <c r="G55" s="89">
        <f>ROUND(IFERROR(VLOOKUP(VLOOKUP($A$51,Tabulka!$A$42:$B$55,2,FALSE),Tabulka!$B$26:$AK$39,14,FALSE),""),1)</f>
        <v>34.799999999999997</v>
      </c>
      <c r="H55" s="89">
        <f>ROUND(IFERROR(VLOOKUP(VLOOKUP($A$51,Tabulka!$A$42:$B$55,2,FALSE),Tabulka!$B$26:$AK$39,18,FALSE),""),1)</f>
        <v>56.5</v>
      </c>
      <c r="I55" s="88">
        <f>IFERROR(VLOOKUP(VLOOKUP($A$51,Tabulka!$A$42:$B$55,2,FALSE),Tabulka!$B$26:$AK$39,25,FALSE),"")</f>
        <v>58</v>
      </c>
      <c r="J55" s="277" t="str">
        <f>CONCATENATE(IFERROR(VLOOKUP(VLOOKUP($J$51,Tabulka!$A$42:$B$55,2,FALSE),Tabulka!$B$26:$AK$39,36,FALSE),""), ". místo")</f>
        <v>14. místo</v>
      </c>
      <c r="K55" s="278"/>
      <c r="L55" s="102">
        <f>IFERROR(VLOOKUP(VLOOKUP($J$51,Tabulka!$A$42:$B$55,2,FALSE),Tabulka!$B$26:$AK$39,3,FALSE),"") +IFERROR(VLOOKUP(VLOOKUP($J$51,Tabulka!$A$42:$B$55,2,FALSE),Tabulka!$B$26:$AK$39,4,FALSE),"")</f>
        <v>2</v>
      </c>
      <c r="M55" s="103">
        <f>IFERROR(VLOOKUP(VLOOKUP($J$51,Tabulka!$A$42:$B$55,2,FALSE),Tabulka!$B$26:$AK$39,5,FALSE),"") +IFERROR(VLOOKUP(VLOOKUP($J$51,Tabulka!$A$42:$B$55,2,FALSE),Tabulka!$B$26:$AK$39,6,FALSE),"")</f>
        <v>10</v>
      </c>
      <c r="N55" s="278" t="str">
        <f>CONCATENATE(IFERROR(VLOOKUP(VLOOKUP($J$51,Tabulka!$A$42:$B$55,2,FALSE),Tabulka!$B$26:$AK$39,8,FALSE),""), ":",IFERROR(VLOOKUP(VLOOKUP($J$51,Tabulka!$A$42:$B$55,2,FALSE),Tabulka!$B$26:$AK$39,9,FALSE),""))</f>
        <v>52:78</v>
      </c>
      <c r="O55" s="278"/>
      <c r="P55" s="103">
        <f>ROUND(IFERROR(VLOOKUP(VLOOKUP($J$51,Tabulka!$A$42:$B$55,2,FALSE),Tabulka!$B$26:$AK$39,14,FALSE),""),1)</f>
        <v>42.9</v>
      </c>
      <c r="Q55" s="103">
        <f>ROUND(IFERROR(VLOOKUP(VLOOKUP($J$51,Tabulka!$A$42:$B$55,2,FALSE),Tabulka!$B$26:$AK$39,18,FALSE),""),1)</f>
        <v>33.299999999999997</v>
      </c>
      <c r="R55" s="104">
        <f>IFERROR(VLOOKUP(VLOOKUP($J$51,Tabulka!$A$42:$B$55,2,FALSE),Tabulka!$B$26:$AK$39,25,FALSE),"")</f>
        <v>43</v>
      </c>
    </row>
    <row r="56" spans="1:72" ht="15" customHeight="1" thickTop="1" x14ac:dyDescent="0.25">
      <c r="A56" s="68"/>
      <c r="B56" s="68"/>
      <c r="C56" s="68"/>
      <c r="D56" s="68"/>
      <c r="E56" s="69"/>
      <c r="F56" s="70"/>
      <c r="G56" s="90">
        <f>IFERROR(VLOOKUP(VLOOKUP($A$51,Tabulka!$A$42:$B$55,2,FALSE),Tabulka!$B$26:$AK$39,33,FALSE),"")</f>
        <v>9</v>
      </c>
      <c r="H56" s="90">
        <f>IFERROR(VLOOKUP(VLOOKUP($A$51,Tabulka!$A$42:$B$55,2,FALSE),Tabulka!$B$26:$AK$39,34,FALSE),"")</f>
        <v>11</v>
      </c>
      <c r="I56" s="90">
        <f>IFERROR(VLOOKUP(VLOOKUP($A$51,Tabulka!$A$42:$B$55,2,FALSE),Tabulka!$B$26:$AK$39,35,FALSE),"")</f>
        <v>8</v>
      </c>
      <c r="J56" s="68"/>
      <c r="K56" s="68"/>
      <c r="L56" s="68"/>
      <c r="M56" s="68"/>
      <c r="N56" s="69"/>
      <c r="O56" s="70"/>
      <c r="P56" s="90">
        <f>IFERROR(VLOOKUP(VLOOKUP($J$51,Tabulka!$A$42:$B$55,2,FALSE),Tabulka!$B$26:$AK$39,33,FALSE),"")</f>
        <v>5</v>
      </c>
      <c r="Q56" s="90">
        <f>IFERROR(VLOOKUP(VLOOKUP($J$51,Tabulka!$A$42:$B$55,2,FALSE),Tabulka!$B$26:$AK$39,34,FALSE),"")</f>
        <v>14</v>
      </c>
      <c r="R56" s="90">
        <f>IFERROR(VLOOKUP(VLOOKUP($J$51,Tabulka!$A$42:$B$55,2,FALSE),Tabulka!$B$26:$AK$39,35,FALSE),"")</f>
        <v>13</v>
      </c>
    </row>
    <row r="57" spans="1:72" ht="15" customHeight="1" x14ac:dyDescent="0.25">
      <c r="A57" s="72"/>
      <c r="B57" s="71"/>
      <c r="C57" s="71"/>
      <c r="D57" s="73"/>
      <c r="E57" s="71"/>
      <c r="F57" s="71"/>
      <c r="G57" s="71"/>
      <c r="H57" s="71"/>
      <c r="I57" s="71"/>
      <c r="J57" s="71"/>
      <c r="K57" s="71"/>
      <c r="L57" s="71"/>
      <c r="M57" s="72"/>
      <c r="N57" s="71"/>
      <c r="O57" s="71"/>
      <c r="P57" s="73"/>
      <c r="Q57" s="71"/>
      <c r="R57" s="71"/>
    </row>
    <row r="58" spans="1:72" ht="15" customHeight="1" thickBot="1" x14ac:dyDescent="0.3">
      <c r="A58" s="72"/>
      <c r="B58" s="71"/>
      <c r="C58" s="71"/>
      <c r="D58" s="73"/>
      <c r="E58" s="71"/>
      <c r="F58" s="71"/>
      <c r="G58" s="71"/>
      <c r="H58" s="71"/>
      <c r="I58" s="71"/>
      <c r="J58" s="71"/>
      <c r="K58" s="71"/>
      <c r="L58" s="71"/>
      <c r="M58" s="72"/>
      <c r="N58" s="71"/>
      <c r="O58" s="71"/>
      <c r="P58" s="73"/>
      <c r="Q58" s="71"/>
      <c r="R58" s="71"/>
    </row>
    <row r="59" spans="1:72" ht="15" customHeight="1" thickTop="1" thickBot="1" x14ac:dyDescent="0.3">
      <c r="A59" s="279" t="s">
        <v>40</v>
      </c>
      <c r="B59" s="280"/>
      <c r="C59" s="281" t="s">
        <v>236</v>
      </c>
      <c r="D59" s="281"/>
      <c r="E59" s="281"/>
      <c r="F59" s="281"/>
      <c r="G59" s="281"/>
      <c r="H59" s="282"/>
      <c r="I59" s="71"/>
      <c r="J59" s="283" t="s">
        <v>40</v>
      </c>
      <c r="K59" s="284"/>
      <c r="L59" s="185" t="s">
        <v>235</v>
      </c>
      <c r="M59" s="185"/>
      <c r="N59" s="185"/>
      <c r="O59" s="185"/>
      <c r="P59" s="185"/>
      <c r="Q59" s="186"/>
      <c r="R59" s="71"/>
    </row>
    <row r="60" spans="1:72" ht="15" customHeight="1" thickTop="1" thickBot="1" x14ac:dyDescent="0.3">
      <c r="A60" s="71"/>
      <c r="B60" s="71"/>
      <c r="C60" s="71"/>
      <c r="D60" s="71"/>
      <c r="E60" s="71"/>
      <c r="F60" s="72"/>
      <c r="G60" s="71"/>
      <c r="H60" s="71"/>
      <c r="I60" s="71"/>
      <c r="J60" s="71"/>
      <c r="K60" s="71"/>
      <c r="L60" s="71"/>
      <c r="M60" s="71"/>
      <c r="N60" s="71"/>
      <c r="O60" s="71"/>
      <c r="P60" s="71"/>
      <c r="Q60" s="71"/>
      <c r="R60" s="72"/>
    </row>
    <row r="61" spans="1:72" ht="15" customHeight="1" thickTop="1" thickBot="1" x14ac:dyDescent="0.3">
      <c r="A61" s="216" t="s">
        <v>238</v>
      </c>
      <c r="B61" s="204"/>
      <c r="C61" s="204"/>
      <c r="D61" s="205"/>
      <c r="E61" s="203" t="s">
        <v>237</v>
      </c>
      <c r="F61" s="204"/>
      <c r="G61" s="204"/>
      <c r="H61" s="205"/>
      <c r="I61" s="71"/>
      <c r="J61" s="216" t="s">
        <v>238</v>
      </c>
      <c r="K61" s="204"/>
      <c r="L61" s="204"/>
      <c r="M61" s="205"/>
      <c r="N61" s="203" t="s">
        <v>237</v>
      </c>
      <c r="O61" s="204"/>
      <c r="P61" s="204"/>
      <c r="Q61" s="205"/>
      <c r="R61" s="73"/>
      <c r="T61" s="71"/>
      <c r="U61" s="71"/>
      <c r="V61" s="117"/>
      <c r="W61" s="117"/>
      <c r="X61" s="71"/>
      <c r="Y61" s="71"/>
      <c r="Z61" s="118"/>
      <c r="AA61" s="118"/>
    </row>
    <row r="62" spans="1:72" ht="15" customHeight="1" x14ac:dyDescent="0.25">
      <c r="A62" s="256" t="s">
        <v>152</v>
      </c>
      <c r="B62" s="209"/>
      <c r="C62" s="241" t="s">
        <v>244</v>
      </c>
      <c r="D62" s="242"/>
      <c r="E62" s="243" t="s">
        <v>153</v>
      </c>
      <c r="F62" s="209"/>
      <c r="G62" s="244">
        <v>44206</v>
      </c>
      <c r="H62" s="245"/>
      <c r="I62" s="71"/>
      <c r="J62" s="272" t="s">
        <v>239</v>
      </c>
      <c r="K62" s="273"/>
      <c r="L62" s="241" t="s">
        <v>240</v>
      </c>
      <c r="M62" s="242"/>
      <c r="N62" s="243" t="s">
        <v>154</v>
      </c>
      <c r="O62" s="209"/>
      <c r="P62" s="244">
        <v>44206</v>
      </c>
      <c r="Q62" s="245"/>
      <c r="R62" s="71"/>
      <c r="T62" s="71"/>
      <c r="U62" s="71"/>
      <c r="V62" s="117"/>
      <c r="W62" s="117"/>
      <c r="X62" s="71"/>
      <c r="Y62" s="71"/>
      <c r="Z62" s="118"/>
      <c r="AA62" s="118"/>
    </row>
    <row r="63" spans="1:72" ht="15" customHeight="1" x14ac:dyDescent="0.25">
      <c r="A63" s="226" t="s">
        <v>158</v>
      </c>
      <c r="B63" s="227"/>
      <c r="C63" s="228" t="s">
        <v>244</v>
      </c>
      <c r="D63" s="229"/>
      <c r="E63" s="230" t="s">
        <v>29</v>
      </c>
      <c r="F63" s="227"/>
      <c r="G63" s="231">
        <v>44209</v>
      </c>
      <c r="H63" s="232"/>
      <c r="I63" s="68"/>
      <c r="J63" s="226" t="s">
        <v>162</v>
      </c>
      <c r="K63" s="227"/>
      <c r="L63" s="228" t="s">
        <v>241</v>
      </c>
      <c r="M63" s="229"/>
      <c r="N63" s="230" t="s">
        <v>155</v>
      </c>
      <c r="O63" s="227"/>
      <c r="P63" s="231">
        <v>44209</v>
      </c>
      <c r="Q63" s="232"/>
      <c r="R63" s="70"/>
      <c r="T63" s="71"/>
      <c r="U63" s="71"/>
      <c r="V63" s="117"/>
      <c r="W63" s="117"/>
      <c r="X63" s="71"/>
      <c r="Y63" s="71"/>
      <c r="Z63" s="118"/>
      <c r="AA63" s="118"/>
    </row>
    <row r="64" spans="1:72" ht="15" customHeight="1" x14ac:dyDescent="0.25">
      <c r="A64" s="246" t="s">
        <v>157</v>
      </c>
      <c r="B64" s="214"/>
      <c r="C64" s="247" t="s">
        <v>245</v>
      </c>
      <c r="D64" s="248"/>
      <c r="E64" s="285" t="s">
        <v>151</v>
      </c>
      <c r="F64" s="214"/>
      <c r="G64" s="249">
        <v>44212</v>
      </c>
      <c r="H64" s="250"/>
      <c r="I64" s="71"/>
      <c r="J64" s="246" t="s">
        <v>163</v>
      </c>
      <c r="K64" s="214"/>
      <c r="L64" s="247" t="s">
        <v>242</v>
      </c>
      <c r="M64" s="248"/>
      <c r="N64" s="285" t="s">
        <v>156</v>
      </c>
      <c r="O64" s="214"/>
      <c r="P64" s="249">
        <v>44212</v>
      </c>
      <c r="Q64" s="250"/>
      <c r="R64" s="71"/>
      <c r="T64" s="71"/>
      <c r="U64" s="71"/>
      <c r="V64" s="117"/>
      <c r="W64" s="117"/>
      <c r="X64" s="71"/>
      <c r="Y64" s="71"/>
      <c r="Z64" s="118"/>
      <c r="AA64" s="118"/>
    </row>
    <row r="65" spans="1:27" ht="15" customHeight="1" x14ac:dyDescent="0.25">
      <c r="A65" s="226" t="s">
        <v>162</v>
      </c>
      <c r="B65" s="227"/>
      <c r="C65" s="228" t="s">
        <v>246</v>
      </c>
      <c r="D65" s="229"/>
      <c r="E65" s="230" t="s">
        <v>154</v>
      </c>
      <c r="F65" s="227"/>
      <c r="G65" s="231">
        <v>44213</v>
      </c>
      <c r="H65" s="232"/>
      <c r="I65" s="68"/>
      <c r="J65" s="226" t="s">
        <v>151</v>
      </c>
      <c r="K65" s="227"/>
      <c r="L65" s="228" t="s">
        <v>243</v>
      </c>
      <c r="M65" s="229"/>
      <c r="N65" s="230" t="s">
        <v>163</v>
      </c>
      <c r="O65" s="227"/>
      <c r="P65" s="231">
        <v>44213</v>
      </c>
      <c r="Q65" s="232"/>
      <c r="R65" s="71"/>
      <c r="T65" s="71"/>
      <c r="U65" s="71"/>
      <c r="V65" s="117"/>
      <c r="W65" s="117"/>
      <c r="X65" s="71"/>
      <c r="Y65" s="71"/>
      <c r="Z65" s="118"/>
      <c r="AA65" s="118"/>
    </row>
    <row r="66" spans="1:27" ht="15" customHeight="1" thickBot="1" x14ac:dyDescent="0.3">
      <c r="A66" s="233" t="s">
        <v>160</v>
      </c>
      <c r="B66" s="234"/>
      <c r="C66" s="235" t="s">
        <v>247</v>
      </c>
      <c r="D66" s="236"/>
      <c r="E66" s="237" t="s">
        <v>159</v>
      </c>
      <c r="F66" s="234"/>
      <c r="G66" s="270">
        <v>44219</v>
      </c>
      <c r="H66" s="271"/>
      <c r="I66" s="71"/>
      <c r="J66" s="233" t="s">
        <v>152</v>
      </c>
      <c r="K66" s="234"/>
      <c r="L66" s="235" t="s">
        <v>39</v>
      </c>
      <c r="M66" s="236"/>
      <c r="N66" s="237" t="s">
        <v>153</v>
      </c>
      <c r="O66" s="234"/>
      <c r="P66" s="270">
        <v>44219</v>
      </c>
      <c r="Q66" s="271"/>
      <c r="R66" s="72"/>
    </row>
    <row r="67" spans="1:27" ht="15" customHeight="1" thickTop="1" x14ac:dyDescent="0.25">
      <c r="A67" s="71"/>
      <c r="B67" s="71"/>
      <c r="C67" s="71"/>
      <c r="D67" s="71"/>
      <c r="E67" s="71"/>
      <c r="F67" s="71"/>
      <c r="G67" s="71"/>
      <c r="H67" s="71"/>
      <c r="I67" s="71"/>
      <c r="J67" s="71"/>
      <c r="K67" s="71"/>
      <c r="L67" s="71"/>
      <c r="M67" s="71"/>
      <c r="N67" s="71"/>
      <c r="O67" s="71"/>
      <c r="P67" s="71"/>
      <c r="Q67" s="71"/>
      <c r="R67" s="71"/>
    </row>
    <row r="68" spans="1:27" ht="15" customHeight="1" x14ac:dyDescent="0.25">
      <c r="A68" s="71"/>
      <c r="B68" s="71"/>
      <c r="C68" s="71"/>
      <c r="D68" s="71"/>
      <c r="E68" s="71"/>
      <c r="F68" s="71"/>
      <c r="G68" s="71"/>
      <c r="H68" s="71"/>
      <c r="I68" s="71"/>
      <c r="J68" s="71"/>
      <c r="K68" s="71"/>
      <c r="L68" s="71"/>
      <c r="M68" s="71"/>
      <c r="N68" s="71"/>
      <c r="O68" s="71"/>
      <c r="P68" s="71"/>
      <c r="Q68" s="71"/>
      <c r="R68" s="71"/>
    </row>
    <row r="69" spans="1:27" ht="15" customHeight="1" thickBot="1" x14ac:dyDescent="0.3">
      <c r="A69" s="274" t="s">
        <v>248</v>
      </c>
      <c r="B69" s="274"/>
      <c r="C69" s="274"/>
      <c r="D69" s="274"/>
      <c r="E69" s="274"/>
      <c r="F69" s="274"/>
      <c r="G69" s="274"/>
      <c r="H69" s="274"/>
      <c r="I69" s="274"/>
      <c r="J69" s="274"/>
      <c r="K69" s="274"/>
      <c r="L69" s="274"/>
      <c r="M69" s="274"/>
      <c r="N69" s="274"/>
      <c r="O69" s="274"/>
      <c r="P69" s="274"/>
      <c r="Q69" s="274"/>
      <c r="R69" s="274"/>
    </row>
    <row r="70" spans="1:27" ht="15" customHeight="1" thickTop="1" thickBot="1" x14ac:dyDescent="0.3">
      <c r="A70" s="216" t="s">
        <v>249</v>
      </c>
      <c r="B70" s="204"/>
      <c r="C70" s="238"/>
      <c r="D70" s="239" t="s">
        <v>250</v>
      </c>
      <c r="E70" s="204"/>
      <c r="F70" s="240"/>
      <c r="G70" s="203" t="s">
        <v>251</v>
      </c>
      <c r="H70" s="204"/>
      <c r="I70" s="205"/>
      <c r="J70" s="189" t="s">
        <v>249</v>
      </c>
      <c r="K70" s="190"/>
      <c r="L70" s="191"/>
      <c r="M70" s="199" t="s">
        <v>250</v>
      </c>
      <c r="N70" s="190"/>
      <c r="O70" s="200"/>
      <c r="P70" s="201" t="s">
        <v>251</v>
      </c>
      <c r="Q70" s="190"/>
      <c r="R70" s="202"/>
    </row>
    <row r="71" spans="1:27" ht="15" customHeight="1" x14ac:dyDescent="0.25">
      <c r="A71" s="219" t="str">
        <f ca="1">IFERROR(VLOOKUP(INDIRECT(A$51 &amp; "_nej!D1"), INDIRECT(A$51 &amp; "!B48:Z82"),19,FALSE),"")</f>
        <v>Vávra M.</v>
      </c>
      <c r="B71" s="220"/>
      <c r="C71" s="115">
        <f ca="1">IFERROR(INDIRECT(A$51 &amp; "_nej!C1"),"")</f>
        <v>27</v>
      </c>
      <c r="D71" s="221" t="str">
        <f ca="1">IFERROR(VLOOKUP(INDIRECT(A$51 &amp; "_nej!D6"), INDIRECT(A$51 &amp; "!B48:Z82"),19,FALSE),"")</f>
        <v>Vávra M.</v>
      </c>
      <c r="E71" s="220"/>
      <c r="F71" s="115">
        <f ca="1">IFERROR(INDIRECT(A$51 &amp; "_nej!C6"),"")</f>
        <v>18</v>
      </c>
      <c r="G71" s="221" t="str">
        <f ca="1">IFERROR(VLOOKUP(INDIRECT(A$51 &amp; "_nej!D11"), INDIRECT(A$51 &amp; "!B48:Z82"),19,FALSE),"")</f>
        <v>Ondrušek</v>
      </c>
      <c r="H71" s="220"/>
      <c r="I71" s="115">
        <f ca="1">IFERROR(INDIRECT(A$51 &amp; "_nej!C11"),"")</f>
        <v>10</v>
      </c>
      <c r="J71" s="192" t="str">
        <f ca="1">IFERROR(VLOOKUP(INDIRECT(J$51 &amp; "_nej!D1"), INDIRECT(J$51 &amp; "!B48:Z82"),19,FALSE),"")</f>
        <v>Strachota</v>
      </c>
      <c r="K71" s="193"/>
      <c r="L71" s="119">
        <f ca="1">IFERROR(INDIRECT(J$51 &amp; "_nej!C1"),"")</f>
        <v>15</v>
      </c>
      <c r="M71" s="194" t="str">
        <f ca="1">IFERROR(VLOOKUP(INDIRECT(J$51 &amp; "_nej!D6"), INDIRECT(J$51 &amp; "!B48:Z82"),19,FALSE),"")</f>
        <v>Gregor</v>
      </c>
      <c r="N71" s="193"/>
      <c r="O71" s="119">
        <f ca="1">IFERROR(INDIRECT(J$51 &amp; "_nej!C6"),"")</f>
        <v>11</v>
      </c>
      <c r="P71" s="194" t="str">
        <f ca="1">IFERROR(VLOOKUP(INDIRECT(J$51 &amp; "_nej!D11"), INDIRECT(J$51 &amp; "!B48:Z82"),19,FALSE),"")</f>
        <v>Skřivánek</v>
      </c>
      <c r="Q71" s="193"/>
      <c r="R71" s="119">
        <f ca="1">IFERROR(INDIRECT(J$51 &amp; "_nej!C11"),"")</f>
        <v>6</v>
      </c>
    </row>
    <row r="72" spans="1:27" ht="15" customHeight="1" x14ac:dyDescent="0.25">
      <c r="A72" s="222" t="str">
        <f ca="1">IFERROR(VLOOKUP(INDIRECT(A$51 &amp; "_nej!D2"), INDIRECT(A$51 &amp; "!B48:Z82"),19,FALSE),"")</f>
        <v>Ondrušek</v>
      </c>
      <c r="B72" s="223"/>
      <c r="C72" s="91">
        <f ca="1">IFERROR(INDIRECT(A$51 &amp; "_nej!C2"),"")</f>
        <v>24</v>
      </c>
      <c r="D72" s="224" t="str">
        <f ca="1">IFERROR(VLOOKUP(INDIRECT(A$51 &amp; "_nej!D7"), INDIRECT(A$51 &amp; "!B48:Z82"),19,FALSE),"")</f>
        <v>Ondrušek</v>
      </c>
      <c r="E72" s="223"/>
      <c r="F72" s="93">
        <f ca="1">IFERROR(INDIRECT(A$51 &amp; "_nej!C7"),"")</f>
        <v>14</v>
      </c>
      <c r="G72" s="225" t="str">
        <f ca="1">IFERROR(VLOOKUP(INDIRECT(A$51 &amp; "_nej!D12"), INDIRECT(A$51 &amp; "!B48:Z82"),19,FALSE),"")</f>
        <v>Sýkora</v>
      </c>
      <c r="H72" s="223"/>
      <c r="I72" s="128">
        <f ca="1">IFERROR(INDIRECT(A$51 &amp; "_nej!C12"),"")</f>
        <v>10</v>
      </c>
      <c r="J72" s="195" t="str">
        <f ca="1">IFERROR(VLOOKUP(INDIRECT(J$51 &amp; "_nej!D2"), INDIRECT(J$51 &amp; "!B48:Z82"),19,FALSE),"")</f>
        <v>Gregor</v>
      </c>
      <c r="K72" s="196"/>
      <c r="L72" s="95">
        <f ca="1">IFERROR(INDIRECT(J$51 &amp; "_nej!C2"),"")</f>
        <v>13</v>
      </c>
      <c r="M72" s="197" t="str">
        <f ca="1">IFERROR(VLOOKUP(INDIRECT(J$51 &amp; "_nej!D7"), INDIRECT(J$51 &amp; "!B48:Z82"),19,FALSE),"")</f>
        <v>Strachota</v>
      </c>
      <c r="N72" s="196"/>
      <c r="O72" s="96">
        <f ca="1">IFERROR(INDIRECT(J$51 &amp; "_nej!C7"),"")</f>
        <v>9</v>
      </c>
      <c r="P72" s="198" t="str">
        <f ca="1">IFERROR(VLOOKUP(INDIRECT(J$51 &amp; "_nej!D12"), INDIRECT(J$51 &amp; "!B48:Z82"),19,FALSE),"")</f>
        <v>Strachota</v>
      </c>
      <c r="Q72" s="196"/>
      <c r="R72" s="97">
        <f ca="1">IFERROR(INDIRECT(J$51 &amp; "_nej!C12"),"")</f>
        <v>6</v>
      </c>
    </row>
    <row r="73" spans="1:27" ht="15" customHeight="1" x14ac:dyDescent="0.25">
      <c r="A73" s="222" t="str">
        <f ca="1">IFERROR(VLOOKUP(INDIRECT(A$51 &amp; "_nej!D3"), INDIRECT(A$51 &amp; "!B48:Z82"),19,FALSE),"")</f>
        <v>Mikeš</v>
      </c>
      <c r="B73" s="223"/>
      <c r="C73" s="91">
        <f ca="1">IFERROR(INDIRECT(A$51 &amp; "_nej!C3"),"")</f>
        <v>15</v>
      </c>
      <c r="D73" s="224" t="str">
        <f ca="1">IFERROR(VLOOKUP(INDIRECT(A$51 &amp; "_nej!D8"), INDIRECT(A$51 &amp; "!B48:Z82"),19,FALSE),"")</f>
        <v>Majer</v>
      </c>
      <c r="E73" s="223"/>
      <c r="F73" s="93">
        <f ca="1">IFERROR(INDIRECT(A$51 &amp; "_nej!C8"),"")</f>
        <v>10</v>
      </c>
      <c r="G73" s="225" t="str">
        <f ca="1">IFERROR(VLOOKUP(INDIRECT(A$51 &amp; "_nej!D13"), INDIRECT(A$51 &amp; "!B48:Z82"),19,FALSE),"")</f>
        <v>Vávra M.</v>
      </c>
      <c r="H73" s="223"/>
      <c r="I73" s="128">
        <f ca="1">IFERROR(INDIRECT(A$51 &amp; "_nej!C13"),"")</f>
        <v>9</v>
      </c>
      <c r="J73" s="195" t="str">
        <f ca="1">IFERROR(VLOOKUP(INDIRECT(J$51 &amp; "_nej!D3"), INDIRECT(J$51 &amp; "!B48:Z82"),19,FALSE),"")</f>
        <v>Bína</v>
      </c>
      <c r="K73" s="196"/>
      <c r="L73" s="95">
        <f ca="1">IFERROR(INDIRECT(J$51 &amp; "_nej!C3"),"")</f>
        <v>12</v>
      </c>
      <c r="M73" s="197" t="str">
        <f ca="1">IFERROR(VLOOKUP(INDIRECT(J$51 &amp; "_nej!D8"), INDIRECT(J$51 &amp; "!B48:Z82"),19,FALSE),"")</f>
        <v>Bína</v>
      </c>
      <c r="N73" s="196"/>
      <c r="O73" s="96">
        <f ca="1">IFERROR(INDIRECT(J$51 &amp; "_nej!C8"),"")</f>
        <v>6</v>
      </c>
      <c r="P73" s="198" t="str">
        <f ca="1">IFERROR(VLOOKUP(INDIRECT(J$51 &amp; "_nej!D13"), INDIRECT(J$51 &amp; "!B48:Z82"),19,FALSE),"")</f>
        <v>Bína</v>
      </c>
      <c r="Q73" s="196"/>
      <c r="R73" s="97">
        <f ca="1">IFERROR(INDIRECT(J$51 &amp; "_nej!C13"),"")</f>
        <v>6</v>
      </c>
    </row>
    <row r="74" spans="1:27" ht="15" customHeight="1" x14ac:dyDescent="0.25">
      <c r="A74" s="222" t="str">
        <f ca="1">IFERROR(VLOOKUP(INDIRECT(A$51 &amp; "_nej!D4"), INDIRECT(A$51 &amp; "!B48:Z82"),19,FALSE),"")</f>
        <v>Majer</v>
      </c>
      <c r="B74" s="223"/>
      <c r="C74" s="91">
        <f ca="1">IFERROR(INDIRECT(A$51 &amp; "_nej!C4"),"")</f>
        <v>13</v>
      </c>
      <c r="D74" s="224" t="str">
        <f ca="1">IFERROR(VLOOKUP(INDIRECT(A$51 &amp; "_nej!D9"), INDIRECT(A$51 &amp; "!B48:Z82"),19,FALSE),"")</f>
        <v>Mikeš</v>
      </c>
      <c r="E74" s="223"/>
      <c r="F74" s="93">
        <f ca="1">IFERROR(INDIRECT(A$51 &amp; "_nej!C9"),"")</f>
        <v>8</v>
      </c>
      <c r="G74" s="225" t="str">
        <f ca="1">IFERROR(VLOOKUP(INDIRECT(A$51 &amp; "_nej!D14"), INDIRECT(A$51 &amp; "!B48:Z82"),19,FALSE),"")</f>
        <v>Mikeš</v>
      </c>
      <c r="H74" s="223"/>
      <c r="I74" s="128">
        <f ca="1">IFERROR(INDIRECT(A$51 &amp; "_nej!C14"),"")</f>
        <v>7</v>
      </c>
      <c r="J74" s="195" t="str">
        <f ca="1">IFERROR(VLOOKUP(INDIRECT(J$51 &amp; "_nej!D4"), INDIRECT(J$51 &amp; "!B48:Z82"),19,FALSE),"")</f>
        <v>Skřivánek</v>
      </c>
      <c r="K74" s="196"/>
      <c r="L74" s="95">
        <f ca="1">IFERROR(INDIRECT(J$51 &amp; "_nej!C4"),"")</f>
        <v>10</v>
      </c>
      <c r="M74" s="197" t="str">
        <f ca="1">IFERROR(VLOOKUP(INDIRECT(J$51 &amp; "_nej!D9"), INDIRECT(J$51 &amp; "!B48:Z82"),19,FALSE),"")</f>
        <v>Stuchlík O.</v>
      </c>
      <c r="N74" s="196"/>
      <c r="O74" s="96">
        <f ca="1">IFERROR(INDIRECT(J$51 &amp; "_nej!C9"),"")</f>
        <v>5</v>
      </c>
      <c r="P74" s="198" t="str">
        <f ca="1">IFERROR(VLOOKUP(INDIRECT(J$51 &amp; "_nej!D14"), INDIRECT(J$51 &amp; "!B48:Z82"),19,FALSE),"")</f>
        <v>Procházka</v>
      </c>
      <c r="Q74" s="196"/>
      <c r="R74" s="97">
        <f ca="1">IFERROR(INDIRECT(J$51 &amp; "_nej!C14"),"")</f>
        <v>5</v>
      </c>
    </row>
    <row r="75" spans="1:27" ht="15" customHeight="1" thickBot="1" x14ac:dyDescent="0.3">
      <c r="A75" s="268" t="str">
        <f ca="1">IFERROR(VLOOKUP(INDIRECT(A$51 &amp; "_nej!D5"), INDIRECT(A$51 &amp; "!B48:Z82"),19,FALSE),"")</f>
        <v>Sýkora</v>
      </c>
      <c r="B75" s="254"/>
      <c r="C75" s="92">
        <f ca="1">IFERROR(INDIRECT(A$51 &amp; "_nej!C5"),"")</f>
        <v>12</v>
      </c>
      <c r="D75" s="253" t="str">
        <f ca="1">IFERROR(VLOOKUP(INDIRECT(A$51 &amp; "_nej!D10"), INDIRECT(A$51 &amp; "!B48:Z82"),19,FALSE),"")</f>
        <v>Eremiáš</v>
      </c>
      <c r="E75" s="254"/>
      <c r="F75" s="94">
        <f ca="1">IFERROR(INDIRECT(A$51 &amp; "_nej!C10"),"")</f>
        <v>4</v>
      </c>
      <c r="G75" s="255" t="str">
        <f ca="1">IFERROR(VLOOKUP(INDIRECT(A$51 &amp; "_nej!D15"), INDIRECT(A$51 &amp; "!B48:Z82"),19,FALSE),"")</f>
        <v>Koutný J.</v>
      </c>
      <c r="H75" s="254"/>
      <c r="I75" s="127">
        <f ca="1">IFERROR(INDIRECT(A$51 &amp; "_nej!C15"),"")</f>
        <v>6</v>
      </c>
      <c r="J75" s="264" t="str">
        <f ca="1">IFERROR(VLOOKUP(INDIRECT(J$51 &amp; "_nej!D5"), INDIRECT(J$51 &amp; "!B48:Z82"),19,FALSE),"")</f>
        <v>Hartman</v>
      </c>
      <c r="K75" s="265"/>
      <c r="L75" s="98">
        <f ca="1">IFERROR(INDIRECT(J$51 &amp; "_nej!C5"),"")</f>
        <v>8</v>
      </c>
      <c r="M75" s="266" t="str">
        <f ca="1">IFERROR(VLOOKUP(INDIRECT(J$51 &amp; "_nej!D10"), INDIRECT(J$51 &amp; "!B48:Z82"),19,FALSE),"")</f>
        <v>Hartman</v>
      </c>
      <c r="N75" s="265"/>
      <c r="O75" s="99">
        <f ca="1">IFERROR(INDIRECT(J$51 &amp; "_nej!C10"),"")</f>
        <v>5</v>
      </c>
      <c r="P75" s="267" t="str">
        <f ca="1">IFERROR(VLOOKUP(INDIRECT(J$51 &amp; "_nej!D15"), INDIRECT(J$51 &amp; "!B48:Z82"),19,FALSE),"")</f>
        <v>Hájek</v>
      </c>
      <c r="Q75" s="265"/>
      <c r="R75" s="112">
        <f ca="1">IFERROR(INDIRECT(J$51 &amp; "_nej!C15"),"")</f>
        <v>5</v>
      </c>
    </row>
    <row r="76" spans="1:27" ht="15" customHeight="1" thickTop="1" thickBot="1" x14ac:dyDescent="0.3">
      <c r="A76" s="72"/>
      <c r="B76" s="71"/>
      <c r="C76" s="71"/>
      <c r="D76" s="73"/>
      <c r="E76" s="71"/>
      <c r="F76" s="71"/>
      <c r="G76" s="71"/>
      <c r="H76" s="71"/>
      <c r="I76" s="71"/>
      <c r="J76" s="71"/>
      <c r="K76" s="71"/>
      <c r="L76" s="71"/>
      <c r="M76" s="72"/>
      <c r="N76" s="71"/>
      <c r="O76" s="71"/>
      <c r="P76" s="73"/>
      <c r="Q76" s="71"/>
      <c r="R76" s="71"/>
    </row>
    <row r="77" spans="1:27" ht="15" customHeight="1" thickTop="1" thickBot="1" x14ac:dyDescent="0.3">
      <c r="A77" s="216" t="s">
        <v>252</v>
      </c>
      <c r="B77" s="204"/>
      <c r="C77" s="238"/>
      <c r="D77" s="239" t="s">
        <v>100</v>
      </c>
      <c r="E77" s="204"/>
      <c r="F77" s="240"/>
      <c r="G77" s="203" t="s">
        <v>253</v>
      </c>
      <c r="H77" s="204"/>
      <c r="I77" s="205"/>
      <c r="J77" s="189" t="s">
        <v>252</v>
      </c>
      <c r="K77" s="190"/>
      <c r="L77" s="191"/>
      <c r="M77" s="199" t="s">
        <v>100</v>
      </c>
      <c r="N77" s="190"/>
      <c r="O77" s="200"/>
      <c r="P77" s="201" t="s">
        <v>253</v>
      </c>
      <c r="Q77" s="190"/>
      <c r="R77" s="202"/>
    </row>
    <row r="78" spans="1:27" ht="15" customHeight="1" x14ac:dyDescent="0.25">
      <c r="A78" s="219" t="str">
        <f ca="1">IFERROR(VLOOKUP(INDIRECT(A$51 &amp; "_nej!D16"), INDIRECT(A$51 &amp; "!B48:Z82"),19,FALSE),"")</f>
        <v>Bauer</v>
      </c>
      <c r="B78" s="220"/>
      <c r="C78" s="115">
        <f ca="1">IFERROR(INDIRECT(A$51 &amp; "_nej!C16"),"")</f>
        <v>18</v>
      </c>
      <c r="D78" s="221" t="str">
        <f ca="1">IFERROR(VLOOKUP(INDIRECT(A$51 &amp; "_nej!D21"), INDIRECT(A$51 &amp; "!B48:Z82"),19,FALSE),"")</f>
        <v>Rebro</v>
      </c>
      <c r="E78" s="220"/>
      <c r="F78" s="136">
        <f ca="1">IFERROR(INDIRECT(A$51 &amp; "_nej!F21"),"")</f>
        <v>4.32</v>
      </c>
      <c r="G78" s="221" t="str">
        <f ca="1">IFERROR(VLOOKUP(INDIRECT(A$51 &amp; "_nej!D26"), INDIRECT(A$51 &amp; "!B48:Z82"),19,FALSE),"")</f>
        <v>Rebro</v>
      </c>
      <c r="H78" s="220"/>
      <c r="I78" s="115">
        <f ca="1">IFERROR(INDIRECT(A$51 &amp; "_nej!F26"),"")</f>
        <v>3</v>
      </c>
      <c r="J78" s="192" t="str">
        <f ca="1">IFERROR(VLOOKUP(INDIRECT(J$51 &amp; "_nej!D16"), INDIRECT(J$51 &amp; "!B48:Z82"),19,FALSE),"")</f>
        <v>Strachota</v>
      </c>
      <c r="K78" s="193"/>
      <c r="L78" s="119">
        <f ca="1">IFERROR(INDIRECT(J$51 &amp; "_nej!C16"),"")</f>
        <v>10</v>
      </c>
      <c r="M78" s="194" t="str">
        <f ca="1">IFERROR(VLOOKUP(INDIRECT(J$51 &amp; "_nej!D21"), INDIRECT(J$51 &amp; "!B48:Z82"),19,FALSE),"")</f>
        <v>Šantora</v>
      </c>
      <c r="N78" s="193"/>
      <c r="O78" s="133">
        <f ca="1">IFERROR(INDIRECT(J$51 &amp; "_nej!F21"),"")</f>
        <v>5.97</v>
      </c>
      <c r="P78" s="194" t="str">
        <f ca="1">IFERROR(VLOOKUP(INDIRECT(J$51 &amp; "_nej!D26"), INDIRECT(J$51 &amp; "!B48:Z82"),19,FALSE),"")</f>
        <v>Šantora</v>
      </c>
      <c r="Q78" s="193"/>
      <c r="R78" s="119">
        <f ca="1">IFERROR(INDIRECT(J$51 &amp; "_nej!F26"),"")</f>
        <v>2</v>
      </c>
    </row>
    <row r="79" spans="1:27" ht="15" customHeight="1" x14ac:dyDescent="0.25">
      <c r="A79" s="222" t="str">
        <f ca="1">IFERROR(VLOOKUP(INDIRECT(A$51 &amp; "_nej!D17"), INDIRECT(A$51 &amp; "!B48:Z82"),19,FALSE),"")</f>
        <v>Vávra T.</v>
      </c>
      <c r="B79" s="223"/>
      <c r="C79" s="91">
        <f ca="1">IFERROR(INDIRECT(A$51 &amp; "_nej!C17"),"")</f>
        <v>8</v>
      </c>
      <c r="D79" s="224" t="str">
        <f ca="1">IFERROR(VLOOKUP(INDIRECT(A$51 &amp; "_nej!D22"), INDIRECT(A$51 &amp; "!B48:Z82"),19,FALSE),"")</f>
        <v>Šimůnek</v>
      </c>
      <c r="E79" s="223"/>
      <c r="F79" s="107">
        <f ca="1">IFERROR(INDIRECT(A$51 &amp; "_nej!F22"),"")</f>
        <v>6.31</v>
      </c>
      <c r="G79" s="225" t="str">
        <f ca="1">IFERROR(VLOOKUP(INDIRECT(A$51 &amp; "_nej!D27"), INDIRECT(A$51 &amp; "!B48:Z82"),19,FALSE),"")</f>
        <v>Šimůnek</v>
      </c>
      <c r="H79" s="223"/>
      <c r="I79" s="128">
        <f ca="1">IFERROR(INDIRECT(A$51 &amp; "_nej!F27"),"")</f>
        <v>3</v>
      </c>
      <c r="J79" s="195" t="str">
        <f ca="1">IFERROR(VLOOKUP(INDIRECT(J$51 &amp; "_nej!D17"), INDIRECT(J$51 &amp; "!B48:Z82"),19,FALSE),"")</f>
        <v>Svoboda</v>
      </c>
      <c r="K79" s="196"/>
      <c r="L79" s="95">
        <f ca="1">IFERROR(INDIRECT(J$51 &amp; "_nej!C17"),"")</f>
        <v>8</v>
      </c>
      <c r="M79" s="197" t="str">
        <f ca="1">IFERROR(VLOOKUP(INDIRECT(J$51 &amp; "_nej!D22"), INDIRECT(J$51 &amp; "!B48:Z82"),19,FALSE),"")</f>
        <v>Lorenc</v>
      </c>
      <c r="N79" s="196"/>
      <c r="O79" s="105">
        <f ca="1">IFERROR(INDIRECT(J$51 &amp; "_nej!F22"),"")</f>
        <v>0</v>
      </c>
      <c r="P79" s="198" t="str">
        <f ca="1">IFERROR(VLOOKUP(INDIRECT(J$51 &amp; "_nej!D27"), INDIRECT(J$51 &amp; "!B48:Z82"),19,FALSE),"")</f>
        <v>Buchta</v>
      </c>
      <c r="Q79" s="196"/>
      <c r="R79" s="97">
        <f ca="1">IFERROR(INDIRECT(J$51 &amp; "_nej!F27"),"")</f>
        <v>0</v>
      </c>
    </row>
    <row r="80" spans="1:27" ht="15" customHeight="1" x14ac:dyDescent="0.25">
      <c r="A80" s="222" t="str">
        <f ca="1">IFERROR(VLOOKUP(INDIRECT(A$51 &amp; "_nej!D18"), INDIRECT(A$51 &amp; "!B48:Z82"),19,FALSE),"")</f>
        <v>Strnad</v>
      </c>
      <c r="B80" s="223"/>
      <c r="C80" s="91">
        <f ca="1">IFERROR(INDIRECT(A$51 &amp; "_nej!C18"),"")</f>
        <v>6</v>
      </c>
      <c r="D80" s="224" t="str">
        <f ca="1">IFERROR(VLOOKUP(INDIRECT(A$51 &amp; "_nej!D23"), INDIRECT(A$51 &amp; "!B48:Z82"),19,FALSE),"")</f>
        <v>Pergler K.</v>
      </c>
      <c r="E80" s="223"/>
      <c r="F80" s="107">
        <f ca="1">IFERROR(INDIRECT(A$51 &amp; "_nej!F23"),"")</f>
        <v>0</v>
      </c>
      <c r="G80" s="225" t="str">
        <f ca="1">IFERROR(VLOOKUP(INDIRECT(A$51 &amp; "_nej!D28"), INDIRECT(A$51 &amp; "!B48:Z82"),19,FALSE),"")</f>
        <v>Hodík</v>
      </c>
      <c r="H80" s="223"/>
      <c r="I80" s="128">
        <f ca="1">IFERROR(INDIRECT(A$51 &amp; "_nej!F28"),"")</f>
        <v>2</v>
      </c>
      <c r="J80" s="195" t="str">
        <f ca="1">IFERROR(VLOOKUP(INDIRECT(J$51 &amp; "_nej!D18"), INDIRECT(J$51 &amp; "!B48:Z82"),19,FALSE),"")</f>
        <v>Stuchlík Z.</v>
      </c>
      <c r="K80" s="196"/>
      <c r="L80" s="95">
        <f ca="1">IFERROR(INDIRECT(J$51 &amp; "_nej!C18"),"")</f>
        <v>7</v>
      </c>
      <c r="M80" s="197" t="str">
        <f ca="1">IFERROR(VLOOKUP(INDIRECT(J$51 &amp; "_nej!D23"), INDIRECT(J$51 &amp; "!B48:Z82"),19,FALSE),"")</f>
        <v>Mazák</v>
      </c>
      <c r="N80" s="196"/>
      <c r="O80" s="105">
        <f ca="1">IFERROR(INDIRECT(J$51 &amp; "_nej!F23"),"")</f>
        <v>7.18</v>
      </c>
      <c r="P80" s="198" t="str">
        <f ca="1">IFERROR(VLOOKUP(INDIRECT(J$51 &amp; "_nej!D28"), INDIRECT(J$51 &amp; "!B48:Z82"),19,FALSE),"")</f>
        <v>Lorenc</v>
      </c>
      <c r="Q80" s="196"/>
      <c r="R80" s="97">
        <f ca="1">IFERROR(INDIRECT(J$51 &amp; "_nej!F28"),"")</f>
        <v>0</v>
      </c>
    </row>
    <row r="81" spans="1:18" ht="15" customHeight="1" x14ac:dyDescent="0.25">
      <c r="A81" s="222" t="str">
        <f ca="1">IFERROR(VLOOKUP(INDIRECT(A$51 &amp; "_nej!D19"), INDIRECT(A$51 &amp; "!B48:Z82"),19,FALSE),"")</f>
        <v>Horký</v>
      </c>
      <c r="B81" s="223"/>
      <c r="C81" s="91">
        <f ca="1">IFERROR(INDIRECT(A$51 &amp; "_nej!C19"),"")</f>
        <v>4</v>
      </c>
      <c r="D81" s="224" t="str">
        <f ca="1">IFERROR(VLOOKUP(INDIRECT(A$51 &amp; "_nej!D24"), INDIRECT(A$51 &amp; "!B48:Z82"),19,FALSE),"")</f>
        <v>Hodík</v>
      </c>
      <c r="E81" s="223"/>
      <c r="F81" s="107">
        <f ca="1">IFERROR(INDIRECT(A$51 &amp; "_nej!F24"),"")</f>
        <v>5.5</v>
      </c>
      <c r="G81" s="225" t="str">
        <f ca="1">IFERROR(VLOOKUP(INDIRECT(A$51 &amp; "_nej!D29"), INDIRECT(A$51 &amp; "!B48:Z82"),19,FALSE),"")</f>
        <v>Pergler K.</v>
      </c>
      <c r="H81" s="223"/>
      <c r="I81" s="128">
        <f ca="1">IFERROR(INDIRECT(A$51 &amp; "_nej!F29"),"")</f>
        <v>0</v>
      </c>
      <c r="J81" s="195" t="str">
        <f ca="1">IFERROR(VLOOKUP(INDIRECT(J$51 &amp; "_nej!D19"), INDIRECT(J$51 &amp; "!B48:Z82"),19,FALSE),"")</f>
        <v>Stuchlík O.</v>
      </c>
      <c r="K81" s="196"/>
      <c r="L81" s="95">
        <f ca="1">IFERROR(INDIRECT(J$51 &amp; "_nej!C19"),"")</f>
        <v>4</v>
      </c>
      <c r="M81" s="197" t="str">
        <f ca="1">IFERROR(VLOOKUP(INDIRECT(J$51 &amp; "_nej!D24"), INDIRECT(J$51 &amp; "!B48:Z82"),19,FALSE),"")</f>
        <v>Buchta</v>
      </c>
      <c r="N81" s="196"/>
      <c r="O81" s="105">
        <f ca="1">IFERROR(INDIRECT(J$51 &amp; "_nej!F24"),"")</f>
        <v>7.66</v>
      </c>
      <c r="P81" s="198" t="str">
        <f ca="1">IFERROR(VLOOKUP(INDIRECT(J$51 &amp; "_nej!D29"), INDIRECT(J$51 &amp; "!B48:Z82"),19,FALSE),"")</f>
        <v>Mazák</v>
      </c>
      <c r="Q81" s="196"/>
      <c r="R81" s="97">
        <f ca="1">IFERROR(INDIRECT(J$51 &amp; "_nej!F29"),"")</f>
        <v>0</v>
      </c>
    </row>
    <row r="82" spans="1:18" ht="15" customHeight="1" thickBot="1" x14ac:dyDescent="0.3">
      <c r="A82" s="268" t="str">
        <f ca="1">IFERROR(VLOOKUP(INDIRECT(A$51 &amp; "_nej!D20"), INDIRECT(A$51 &amp; "!B48:Z82"),19,FALSE),"")</f>
        <v>Majer</v>
      </c>
      <c r="B82" s="254"/>
      <c r="C82" s="92">
        <f ca="1">IFERROR(INDIRECT(A$51 &amp; "_nej!C20"),"")</f>
        <v>4</v>
      </c>
      <c r="D82" s="253" t="str">
        <f ca="1">IFERROR(VLOOKUP(INDIRECT(A$51 &amp; "_nej!D25"), INDIRECT(A$51 &amp; "!B48:Z82"),19,FALSE),"")</f>
        <v/>
      </c>
      <c r="E82" s="254"/>
      <c r="F82" s="108" t="str">
        <f ca="1">IFERROR(INDIRECT(A$51 &amp; "_nej!F25"),"")</f>
        <v/>
      </c>
      <c r="G82" s="255" t="str">
        <f ca="1">IFERROR(VLOOKUP(INDIRECT(A$51 &amp; "_nej!D30"), INDIRECT(A$51 &amp; "!B48:Z82"),19,FALSE),"")</f>
        <v/>
      </c>
      <c r="H82" s="254"/>
      <c r="I82" s="127" t="str">
        <f ca="1">IFERROR(INDIRECT(A$51 &amp; "_nej!F30"),"")</f>
        <v/>
      </c>
      <c r="J82" s="264" t="str">
        <f ca="1">IFERROR(VLOOKUP(INDIRECT(J$51 &amp; "_nej!D20"), INDIRECT(J$51 &amp; "!B48:Z82"),19,FALSE),"")</f>
        <v>Hartman</v>
      </c>
      <c r="K82" s="265"/>
      <c r="L82" s="98">
        <f ca="1">IFERROR(INDIRECT(J$51 &amp; "_nej!C20"),"")</f>
        <v>4</v>
      </c>
      <c r="M82" s="266" t="str">
        <f ca="1">IFERROR(VLOOKUP(INDIRECT(J$51 &amp; "_nej!D25"), INDIRECT(J$51 &amp; "!B48:Z82"),19,FALSE),"")</f>
        <v/>
      </c>
      <c r="N82" s="265"/>
      <c r="O82" s="106" t="str">
        <f ca="1">IFERROR(INDIRECT(J$51 &amp; "_nej!F25"),"")</f>
        <v/>
      </c>
      <c r="P82" s="267" t="str">
        <f ca="1">IFERROR(VLOOKUP(INDIRECT(J$51 &amp; "_nej!D30"), INDIRECT(J$51 &amp; "!B48:Z82"),19,FALSE),"")</f>
        <v/>
      </c>
      <c r="Q82" s="265"/>
      <c r="R82" s="112" t="str">
        <f ca="1">IFERROR(INDIRECT(J$51 &amp; "_nej!F30"),"")</f>
        <v/>
      </c>
    </row>
    <row r="83" spans="1:18" ht="15" customHeight="1" thickTop="1" x14ac:dyDescent="0.25">
      <c r="A83" s="71"/>
      <c r="B83" s="71"/>
      <c r="C83" s="71"/>
      <c r="D83" s="71"/>
      <c r="E83" s="71"/>
      <c r="F83" s="72"/>
      <c r="G83" s="71"/>
      <c r="H83" s="71"/>
      <c r="I83" s="71"/>
      <c r="J83" s="71"/>
      <c r="K83" s="71"/>
      <c r="L83" s="71"/>
      <c r="M83" s="71"/>
      <c r="N83" s="71"/>
      <c r="O83" s="71"/>
      <c r="P83" s="71"/>
      <c r="Q83" s="71"/>
      <c r="R83" s="72"/>
    </row>
    <row r="84" spans="1:18" ht="15" customHeight="1" thickBot="1" x14ac:dyDescent="0.3">
      <c r="A84" s="71"/>
      <c r="B84" s="71"/>
      <c r="C84" s="71"/>
      <c r="D84" s="71"/>
      <c r="E84" s="71"/>
      <c r="F84" s="72"/>
      <c r="G84" s="71"/>
      <c r="H84" s="71"/>
      <c r="I84" s="71"/>
      <c r="J84" s="71"/>
      <c r="K84" s="71"/>
      <c r="L84" s="71"/>
      <c r="M84" s="71"/>
      <c r="N84" s="71"/>
      <c r="O84" s="71"/>
      <c r="P84" s="71"/>
      <c r="Q84" s="71"/>
      <c r="R84" s="72"/>
    </row>
    <row r="85" spans="1:18" ht="15" customHeight="1" thickTop="1" thickBot="1" x14ac:dyDescent="0.3">
      <c r="A85" s="216" t="s">
        <v>49</v>
      </c>
      <c r="B85" s="204"/>
      <c r="C85" s="204"/>
      <c r="D85" s="204"/>
      <c r="E85" s="204"/>
      <c r="F85" s="204"/>
      <c r="G85" s="204"/>
      <c r="H85" s="205"/>
      <c r="I85" s="71"/>
      <c r="J85" s="189" t="s">
        <v>49</v>
      </c>
      <c r="K85" s="190"/>
      <c r="L85" s="190"/>
      <c r="M85" s="190"/>
      <c r="N85" s="190"/>
      <c r="O85" s="190"/>
      <c r="P85" s="190"/>
      <c r="Q85" s="202"/>
      <c r="R85" s="71"/>
    </row>
    <row r="86" spans="1:18" ht="15" customHeight="1" x14ac:dyDescent="0.25">
      <c r="A86" s="256" t="str">
        <f ca="1">IFERROR(INDIRECT($A$51 &amp; "!Q2"),"")</f>
        <v>Sýkora -    +15 ±</v>
      </c>
      <c r="B86" s="209"/>
      <c r="C86" s="209"/>
      <c r="D86" s="209"/>
      <c r="E86" s="209" t="str">
        <f ca="1">IFERROR(INDIRECT($A$51 &amp; "!Q4"),"")</f>
        <v>úmrtí Michala Rebra</v>
      </c>
      <c r="F86" s="209"/>
      <c r="G86" s="209"/>
      <c r="H86" s="210"/>
      <c r="I86" s="71"/>
      <c r="J86" s="258" t="str">
        <f ca="1">IFERROR(INDIRECT($J$51 &amp; "!Q2"),"")</f>
        <v>Gregor - 4 GP</v>
      </c>
      <c r="K86" s="259"/>
      <c r="L86" s="259"/>
      <c r="M86" s="259"/>
      <c r="N86" s="259" t="str">
        <f ca="1">IFERROR(INDIRECT($J$51 &amp; "!Q4"),"")</f>
        <v>Skřivánek - zraněné stehno</v>
      </c>
      <c r="O86" s="259"/>
      <c r="P86" s="259"/>
      <c r="Q86" s="260"/>
      <c r="R86" s="71"/>
    </row>
    <row r="87" spans="1:18" ht="15" customHeight="1" thickBot="1" x14ac:dyDescent="0.3">
      <c r="A87" s="233" t="str">
        <f ca="1">IFERROR(INDIRECT($A$51 &amp; "!Q3"),"")</f>
        <v>vs. CLP 8:9, vs. OST 5:9</v>
      </c>
      <c r="B87" s="234"/>
      <c r="C87" s="234"/>
      <c r="D87" s="234"/>
      <c r="E87" s="234" t="str">
        <f ca="1">IFERROR(INDIRECT($A$51 &amp; "!Q5"),"")</f>
        <v>± první řady a ostatních</v>
      </c>
      <c r="F87" s="234"/>
      <c r="G87" s="234"/>
      <c r="H87" s="257"/>
      <c r="I87" s="71"/>
      <c r="J87" s="261" t="str">
        <f ca="1">IFERROR(INDIRECT($J$51 &amp; "!Q3"),"")</f>
        <v>Stuchlík O. - 3 GP</v>
      </c>
      <c r="K87" s="262"/>
      <c r="L87" s="262"/>
      <c r="M87" s="262"/>
      <c r="N87" s="262" t="str">
        <f ca="1">IFERROR(INDIRECT($J$51 &amp; "!Q5"),"")</f>
        <v>Lanc -    -13 ±</v>
      </c>
      <c r="O87" s="262"/>
      <c r="P87" s="262"/>
      <c r="Q87" s="263"/>
      <c r="R87" s="70"/>
    </row>
    <row r="88" spans="1:18" ht="15" customHeight="1" thickTop="1" x14ac:dyDescent="0.25">
      <c r="A88" s="75"/>
      <c r="B88" s="71"/>
      <c r="C88" s="71"/>
      <c r="D88" s="73"/>
      <c r="E88" s="71"/>
      <c r="F88" s="71"/>
      <c r="G88" s="71"/>
      <c r="H88" s="74"/>
      <c r="I88" s="71"/>
      <c r="J88" s="72"/>
      <c r="K88" s="71"/>
      <c r="L88" s="71"/>
      <c r="M88" s="73"/>
      <c r="N88" s="71"/>
      <c r="O88" s="71"/>
      <c r="P88" s="71"/>
      <c r="Q88" s="71"/>
      <c r="R88" s="71"/>
    </row>
    <row r="89" spans="1:18" ht="15" customHeight="1" thickBot="1" x14ac:dyDescent="0.3">
      <c r="A89" s="76"/>
      <c r="B89" s="77"/>
      <c r="C89" s="77"/>
      <c r="D89" s="78"/>
      <c r="E89" s="78"/>
      <c r="F89" s="79"/>
      <c r="G89" s="71"/>
      <c r="H89" s="74"/>
      <c r="I89" s="71"/>
      <c r="J89" s="72"/>
      <c r="K89" s="71"/>
      <c r="L89" s="71"/>
      <c r="M89" s="71"/>
      <c r="N89" s="71"/>
      <c r="O89" s="71"/>
      <c r="P89" s="71"/>
      <c r="Q89" s="71"/>
      <c r="R89" s="71"/>
    </row>
    <row r="90" spans="1:18" ht="15" customHeight="1" thickTop="1" thickBot="1" x14ac:dyDescent="0.3">
      <c r="A90" s="80"/>
      <c r="B90" s="80"/>
      <c r="C90" s="81"/>
      <c r="D90" s="81"/>
      <c r="E90" s="71"/>
      <c r="F90" s="216" t="s">
        <v>46</v>
      </c>
      <c r="G90" s="204"/>
      <c r="H90" s="204"/>
      <c r="I90" s="204"/>
      <c r="J90" s="204"/>
      <c r="K90" s="204"/>
      <c r="L90" s="204"/>
      <c r="M90" s="205"/>
      <c r="N90" s="71"/>
      <c r="O90" s="71"/>
      <c r="P90" s="71"/>
      <c r="Q90" s="71"/>
      <c r="R90" s="71"/>
    </row>
    <row r="91" spans="1:18" ht="15" customHeight="1" x14ac:dyDescent="0.25">
      <c r="A91" s="71"/>
      <c r="B91" s="71"/>
      <c r="C91" s="71"/>
      <c r="D91" s="71"/>
      <c r="E91" s="71"/>
      <c r="F91" s="206" t="s">
        <v>48</v>
      </c>
      <c r="G91" s="207"/>
      <c r="H91" s="207"/>
      <c r="I91" s="207"/>
      <c r="J91" s="109" t="s">
        <v>258</v>
      </c>
      <c r="K91" s="208">
        <v>43877</v>
      </c>
      <c r="L91" s="209"/>
      <c r="M91" s="210"/>
      <c r="N91" s="68"/>
      <c r="O91" s="68"/>
      <c r="P91" s="68"/>
      <c r="Q91" s="69"/>
      <c r="R91" s="70"/>
    </row>
    <row r="92" spans="1:18" ht="15" customHeight="1" x14ac:dyDescent="0.25">
      <c r="A92" s="71"/>
      <c r="B92" s="71"/>
      <c r="C92" s="71"/>
      <c r="D92" s="71"/>
      <c r="E92" s="71"/>
      <c r="F92" s="211" t="s">
        <v>259</v>
      </c>
      <c r="G92" s="212"/>
      <c r="H92" s="212"/>
      <c r="I92" s="212"/>
      <c r="J92" s="110" t="s">
        <v>260</v>
      </c>
      <c r="K92" s="213">
        <v>43798</v>
      </c>
      <c r="L92" s="214"/>
      <c r="M92" s="215"/>
      <c r="N92" s="71"/>
      <c r="O92" s="71"/>
      <c r="P92" s="71"/>
      <c r="Q92" s="71"/>
      <c r="R92" s="71"/>
    </row>
    <row r="93" spans="1:18" ht="15" customHeight="1" x14ac:dyDescent="0.25">
      <c r="A93" s="68"/>
      <c r="B93" s="68"/>
      <c r="C93" s="68"/>
      <c r="D93" s="68"/>
      <c r="E93" s="69"/>
      <c r="F93" s="211" t="s">
        <v>48</v>
      </c>
      <c r="G93" s="212"/>
      <c r="H93" s="212"/>
      <c r="I93" s="212"/>
      <c r="J93" s="110" t="s">
        <v>261</v>
      </c>
      <c r="K93" s="213">
        <v>43454</v>
      </c>
      <c r="L93" s="214"/>
      <c r="M93" s="215"/>
      <c r="N93" s="71"/>
      <c r="O93" s="71"/>
      <c r="P93" s="71"/>
      <c r="Q93" s="71"/>
      <c r="R93" s="71"/>
    </row>
    <row r="94" spans="1:18" ht="15" customHeight="1" x14ac:dyDescent="0.25">
      <c r="A94" s="75"/>
      <c r="B94" s="71"/>
      <c r="C94" s="71"/>
      <c r="D94" s="73"/>
      <c r="E94" s="71"/>
      <c r="F94" s="211" t="s">
        <v>259</v>
      </c>
      <c r="G94" s="212"/>
      <c r="H94" s="212"/>
      <c r="I94" s="212"/>
      <c r="J94" s="110" t="s">
        <v>262</v>
      </c>
      <c r="K94" s="213">
        <v>43384</v>
      </c>
      <c r="L94" s="214"/>
      <c r="M94" s="215"/>
      <c r="N94" s="71"/>
      <c r="O94" s="71"/>
      <c r="P94" s="71"/>
      <c r="Q94" s="71"/>
      <c r="R94" s="71"/>
    </row>
    <row r="95" spans="1:18" ht="15" customHeight="1" x14ac:dyDescent="0.25">
      <c r="A95" s="76"/>
      <c r="B95" s="77"/>
      <c r="C95" s="77"/>
      <c r="D95" s="78"/>
      <c r="E95" s="78"/>
      <c r="F95" s="211" t="s">
        <v>259</v>
      </c>
      <c r="G95" s="212"/>
      <c r="H95" s="212"/>
      <c r="I95" s="212"/>
      <c r="J95" s="110" t="s">
        <v>263</v>
      </c>
      <c r="K95" s="213">
        <v>42428</v>
      </c>
      <c r="L95" s="214"/>
      <c r="M95" s="215"/>
      <c r="N95" s="68"/>
      <c r="O95" s="68"/>
      <c r="P95" s="68"/>
      <c r="Q95" s="69"/>
      <c r="R95" s="70"/>
    </row>
    <row r="96" spans="1:18" ht="15" customHeight="1" x14ac:dyDescent="0.25">
      <c r="A96" s="80"/>
      <c r="B96" s="80"/>
      <c r="C96" s="81"/>
      <c r="D96" s="81"/>
      <c r="E96" s="71"/>
      <c r="F96" s="211" t="s">
        <v>48</v>
      </c>
      <c r="G96" s="212"/>
      <c r="H96" s="212"/>
      <c r="I96" s="212"/>
      <c r="J96" s="110" t="s">
        <v>264</v>
      </c>
      <c r="K96" s="213">
        <v>42295</v>
      </c>
      <c r="L96" s="214"/>
      <c r="M96" s="215"/>
      <c r="N96" s="71"/>
      <c r="O96" s="71"/>
      <c r="P96" s="71"/>
      <c r="Q96" s="71"/>
      <c r="R96" s="71"/>
    </row>
    <row r="97" spans="1:18" ht="15" customHeight="1" x14ac:dyDescent="0.25">
      <c r="A97" s="71"/>
      <c r="B97" s="71"/>
      <c r="C97" s="71"/>
      <c r="D97" s="71"/>
      <c r="E97" s="71"/>
      <c r="F97" s="211" t="s">
        <v>259</v>
      </c>
      <c r="G97" s="212"/>
      <c r="H97" s="212"/>
      <c r="I97" s="212"/>
      <c r="J97" s="110" t="s">
        <v>265</v>
      </c>
      <c r="K97" s="213">
        <v>42050</v>
      </c>
      <c r="L97" s="214"/>
      <c r="M97" s="215"/>
      <c r="N97" s="71"/>
      <c r="O97" s="71"/>
      <c r="P97" s="71"/>
      <c r="Q97" s="71"/>
      <c r="R97" s="71"/>
    </row>
    <row r="98" spans="1:18" ht="15" customHeight="1" thickBot="1" x14ac:dyDescent="0.3">
      <c r="A98" s="71"/>
      <c r="B98" s="71"/>
      <c r="C98" s="71"/>
      <c r="D98" s="71"/>
      <c r="E98" s="71"/>
      <c r="F98" s="217" t="s">
        <v>48</v>
      </c>
      <c r="G98" s="218"/>
      <c r="H98" s="218"/>
      <c r="I98" s="218"/>
      <c r="J98" s="111" t="s">
        <v>266</v>
      </c>
      <c r="K98" s="269">
        <v>41903</v>
      </c>
      <c r="L98" s="234"/>
      <c r="M98" s="257"/>
      <c r="N98" s="68"/>
      <c r="O98" s="68"/>
      <c r="P98" s="68"/>
      <c r="Q98" s="68"/>
      <c r="R98" s="82"/>
    </row>
    <row r="99" spans="1:18" ht="15" customHeight="1" thickTop="1" x14ac:dyDescent="0.25">
      <c r="A99" s="71"/>
      <c r="B99" s="71"/>
      <c r="C99" s="71"/>
      <c r="D99" s="71"/>
      <c r="E99" s="71"/>
      <c r="F99" s="71"/>
      <c r="G99" s="71"/>
      <c r="H99" s="71"/>
      <c r="I99" s="71"/>
      <c r="J99" s="71"/>
      <c r="K99" s="71"/>
      <c r="L99" s="71"/>
      <c r="M99" s="68"/>
      <c r="N99" s="68"/>
      <c r="O99" s="68"/>
      <c r="P99" s="68"/>
      <c r="Q99" s="68"/>
      <c r="R99" s="82"/>
    </row>
    <row r="100" spans="1:18" ht="15" customHeight="1" x14ac:dyDescent="0.25">
      <c r="A100" s="68"/>
      <c r="B100" s="68"/>
      <c r="C100" s="68"/>
      <c r="D100" s="68"/>
      <c r="E100" s="71"/>
      <c r="F100" s="71"/>
      <c r="G100" s="187">
        <v>44205</v>
      </c>
      <c r="H100" s="188"/>
      <c r="I100" s="188"/>
      <c r="J100" s="188"/>
      <c r="K100" s="188"/>
      <c r="L100" s="188"/>
      <c r="M100" s="68"/>
      <c r="N100" s="71"/>
      <c r="O100" s="71"/>
      <c r="P100" s="71"/>
      <c r="Q100" s="71"/>
      <c r="R100" s="71"/>
    </row>
    <row r="101" spans="1:18" ht="15" customHeight="1" x14ac:dyDescent="0.25">
      <c r="A101" s="71"/>
      <c r="B101" s="83"/>
      <c r="C101" s="83"/>
      <c r="D101" s="83"/>
      <c r="E101" s="83"/>
      <c r="F101" s="83"/>
      <c r="G101" s="83"/>
      <c r="H101" s="83"/>
      <c r="I101" s="83"/>
      <c r="J101" s="73"/>
      <c r="K101" s="84"/>
      <c r="L101" s="84"/>
      <c r="M101" s="84"/>
      <c r="N101" s="84"/>
      <c r="O101" s="84"/>
      <c r="P101" s="84"/>
      <c r="Q101" s="84"/>
      <c r="R101" s="84"/>
    </row>
    <row r="102" spans="1:18" ht="15" customHeight="1" x14ac:dyDescent="0.25">
      <c r="A102" s="22"/>
      <c r="B102" s="66"/>
      <c r="C102" s="66"/>
      <c r="D102" s="66"/>
      <c r="E102" s="66"/>
      <c r="F102" s="66"/>
      <c r="G102" s="66"/>
      <c r="H102" s="66"/>
      <c r="I102" s="66"/>
      <c r="J102" s="58"/>
      <c r="K102" s="58"/>
      <c r="L102" s="58"/>
      <c r="M102" s="58"/>
      <c r="N102" s="22"/>
      <c r="O102" s="22"/>
      <c r="P102" s="22"/>
      <c r="Q102" s="22"/>
      <c r="R102" s="22"/>
    </row>
    <row r="103" spans="1:18" ht="15" customHeight="1" x14ac:dyDescent="0.25">
      <c r="A103" s="22"/>
      <c r="B103" s="66"/>
      <c r="C103" s="66"/>
      <c r="D103" s="66"/>
      <c r="E103" s="66"/>
      <c r="F103" s="66"/>
      <c r="G103" s="66"/>
      <c r="H103" s="66"/>
      <c r="I103" s="66"/>
      <c r="J103" s="23"/>
      <c r="K103" s="67"/>
      <c r="L103" s="67"/>
      <c r="M103" s="67"/>
      <c r="N103" s="67"/>
      <c r="O103" s="67"/>
      <c r="P103" s="67"/>
      <c r="Q103" s="67"/>
      <c r="R103" s="67"/>
    </row>
  </sheetData>
  <mergeCells count="811">
    <mergeCell ref="BC48:BC50"/>
    <mergeCell ref="BD48:BK50"/>
    <mergeCell ref="BM48:BT48"/>
    <mergeCell ref="BL49:BO49"/>
    <mergeCell ref="BP49:BT49"/>
    <mergeCell ref="BM50:BT50"/>
    <mergeCell ref="BC44:BE44"/>
    <mergeCell ref="BF44:BG44"/>
    <mergeCell ref="BM44:BO44"/>
    <mergeCell ref="BP44:BR44"/>
    <mergeCell ref="BS44:BT44"/>
    <mergeCell ref="BC47:BF47"/>
    <mergeCell ref="BG47:BK47"/>
    <mergeCell ref="BL47:BO47"/>
    <mergeCell ref="BP47:BT47"/>
    <mergeCell ref="BP40:BR40"/>
    <mergeCell ref="BS40:BT40"/>
    <mergeCell ref="BD41:BE41"/>
    <mergeCell ref="BG41:BH41"/>
    <mergeCell ref="BD42:BE42"/>
    <mergeCell ref="BF42:BG42"/>
    <mergeCell ref="BL42:BR42"/>
    <mergeCell ref="BC43:BD43"/>
    <mergeCell ref="BE43:BF43"/>
    <mergeCell ref="BG43:BH43"/>
    <mergeCell ref="BM43:BN43"/>
    <mergeCell ref="BP43:BQ43"/>
    <mergeCell ref="BR43:BT43"/>
    <mergeCell ref="BC34:BF34"/>
    <mergeCell ref="BJ34:BJ44"/>
    <mergeCell ref="BL34:BR34"/>
    <mergeCell ref="BD35:BE35"/>
    <mergeCell ref="BG35:BH35"/>
    <mergeCell ref="BM35:BN35"/>
    <mergeCell ref="BP35:BQ35"/>
    <mergeCell ref="BR35:BT35"/>
    <mergeCell ref="BD36:BE36"/>
    <mergeCell ref="BF36:BG36"/>
    <mergeCell ref="BM36:BO36"/>
    <mergeCell ref="BP36:BR36"/>
    <mergeCell ref="BS36:BT36"/>
    <mergeCell ref="BC37:BD37"/>
    <mergeCell ref="BE37:BF37"/>
    <mergeCell ref="BG37:BH37"/>
    <mergeCell ref="BC38:BE38"/>
    <mergeCell ref="BF38:BG38"/>
    <mergeCell ref="BL38:BR38"/>
    <mergeCell ref="BM39:BN39"/>
    <mergeCell ref="BP39:BQ39"/>
    <mergeCell ref="BR39:BT39"/>
    <mergeCell ref="BC40:BF40"/>
    <mergeCell ref="BM40:BO40"/>
    <mergeCell ref="BD29:BE29"/>
    <mergeCell ref="BG29:BH29"/>
    <mergeCell ref="BP29:BQ29"/>
    <mergeCell ref="BS29:BT29"/>
    <mergeCell ref="BC30:BE30"/>
    <mergeCell ref="BF30:BH30"/>
    <mergeCell ref="BJ30:BM31"/>
    <mergeCell ref="BO30:BQ30"/>
    <mergeCell ref="BR30:BT30"/>
    <mergeCell ref="BC31:BE31"/>
    <mergeCell ref="BF31:BG31"/>
    <mergeCell ref="BO31:BQ31"/>
    <mergeCell ref="BR31:BS31"/>
    <mergeCell ref="BC26:BE26"/>
    <mergeCell ref="BF26:BG26"/>
    <mergeCell ref="BJ26:BK26"/>
    <mergeCell ref="BM26:BN26"/>
    <mergeCell ref="BO26:BQ26"/>
    <mergeCell ref="BR26:BS26"/>
    <mergeCell ref="BI27:BK27"/>
    <mergeCell ref="BL27:BN27"/>
    <mergeCell ref="BC28:BF28"/>
    <mergeCell ref="BI28:BK28"/>
    <mergeCell ref="BL28:BM28"/>
    <mergeCell ref="BO28:BR28"/>
    <mergeCell ref="BC23:BF23"/>
    <mergeCell ref="BJ23:BM23"/>
    <mergeCell ref="BO23:BR23"/>
    <mergeCell ref="BD24:BE24"/>
    <mergeCell ref="BG24:BH24"/>
    <mergeCell ref="BP24:BQ24"/>
    <mergeCell ref="BS24:BT24"/>
    <mergeCell ref="BC25:BE25"/>
    <mergeCell ref="BF25:BH25"/>
    <mergeCell ref="BI25:BL25"/>
    <mergeCell ref="BO25:BQ25"/>
    <mergeCell ref="BR25:BT25"/>
    <mergeCell ref="BD18:BE18"/>
    <mergeCell ref="BG18:BH18"/>
    <mergeCell ref="BP18:BQ18"/>
    <mergeCell ref="BS18:BT18"/>
    <mergeCell ref="BC19:BE19"/>
    <mergeCell ref="BF19:BH19"/>
    <mergeCell ref="BJ19:BM20"/>
    <mergeCell ref="BO19:BQ19"/>
    <mergeCell ref="BR19:BT19"/>
    <mergeCell ref="BC20:BE20"/>
    <mergeCell ref="BF20:BG20"/>
    <mergeCell ref="BO20:BQ20"/>
    <mergeCell ref="BR20:BS20"/>
    <mergeCell ref="BC15:BE15"/>
    <mergeCell ref="BF15:BG15"/>
    <mergeCell ref="BJ15:BK15"/>
    <mergeCell ref="BM15:BN15"/>
    <mergeCell ref="BO15:BQ15"/>
    <mergeCell ref="BR15:BS15"/>
    <mergeCell ref="BI16:BK16"/>
    <mergeCell ref="BL16:BN16"/>
    <mergeCell ref="BC17:BF17"/>
    <mergeCell ref="BI17:BK17"/>
    <mergeCell ref="BL17:BM17"/>
    <mergeCell ref="BO17:BR17"/>
    <mergeCell ref="BC12:BF12"/>
    <mergeCell ref="BJ12:BM12"/>
    <mergeCell ref="BO12:BR12"/>
    <mergeCell ref="BD13:BE13"/>
    <mergeCell ref="BG13:BH13"/>
    <mergeCell ref="BP13:BQ13"/>
    <mergeCell ref="BS13:BT13"/>
    <mergeCell ref="BC14:BE14"/>
    <mergeCell ref="BF14:BH14"/>
    <mergeCell ref="BI14:BL14"/>
    <mergeCell ref="BO14:BQ14"/>
    <mergeCell ref="BR14:BT14"/>
    <mergeCell ref="BD7:BE7"/>
    <mergeCell ref="BG7:BH7"/>
    <mergeCell ref="BP7:BQ7"/>
    <mergeCell ref="BS7:BT7"/>
    <mergeCell ref="BC8:BE8"/>
    <mergeCell ref="BF8:BH8"/>
    <mergeCell ref="BJ8:BM9"/>
    <mergeCell ref="BO8:BQ8"/>
    <mergeCell ref="BR8:BT8"/>
    <mergeCell ref="BC9:BE9"/>
    <mergeCell ref="BF9:BG9"/>
    <mergeCell ref="BO9:BQ9"/>
    <mergeCell ref="BR9:BS9"/>
    <mergeCell ref="BC4:BE4"/>
    <mergeCell ref="BF4:BG4"/>
    <mergeCell ref="BJ4:BK4"/>
    <mergeCell ref="BM4:BN4"/>
    <mergeCell ref="BO4:BQ4"/>
    <mergeCell ref="BR4:BS4"/>
    <mergeCell ref="BI5:BK5"/>
    <mergeCell ref="BL5:BN5"/>
    <mergeCell ref="BC6:BF6"/>
    <mergeCell ref="BI6:BK6"/>
    <mergeCell ref="BL6:BM6"/>
    <mergeCell ref="BO6:BR6"/>
    <mergeCell ref="BC1:BF1"/>
    <mergeCell ref="BJ1:BM1"/>
    <mergeCell ref="BO1:BR1"/>
    <mergeCell ref="BD2:BE2"/>
    <mergeCell ref="BG2:BH2"/>
    <mergeCell ref="BP2:BQ2"/>
    <mergeCell ref="BS2:BT2"/>
    <mergeCell ref="BC3:BE3"/>
    <mergeCell ref="BF3:BH3"/>
    <mergeCell ref="BI3:BL3"/>
    <mergeCell ref="BO3:BQ3"/>
    <mergeCell ref="BR3:BT3"/>
    <mergeCell ref="G74:H74"/>
    <mergeCell ref="D75:E75"/>
    <mergeCell ref="G75:H75"/>
    <mergeCell ref="P74:Q74"/>
    <mergeCell ref="J75:K75"/>
    <mergeCell ref="P75:Q75"/>
    <mergeCell ref="J73:K73"/>
    <mergeCell ref="M73:N73"/>
    <mergeCell ref="P73:Q73"/>
    <mergeCell ref="J74:K74"/>
    <mergeCell ref="Z19:AC20"/>
    <mergeCell ref="AE19:AG19"/>
    <mergeCell ref="AH19:AJ19"/>
    <mergeCell ref="AE20:AG20"/>
    <mergeCell ref="AH20:AI20"/>
    <mergeCell ref="S26:U26"/>
    <mergeCell ref="V26:W26"/>
    <mergeCell ref="W18:X18"/>
    <mergeCell ref="S19:U19"/>
    <mergeCell ref="V19:X19"/>
    <mergeCell ref="S20:U20"/>
    <mergeCell ref="V20:W20"/>
    <mergeCell ref="S23:V23"/>
    <mergeCell ref="Z23:AC23"/>
    <mergeCell ref="AE23:AH23"/>
    <mergeCell ref="T24:U24"/>
    <mergeCell ref="W24:X24"/>
    <mergeCell ref="AF24:AG24"/>
    <mergeCell ref="AI24:AJ24"/>
    <mergeCell ref="S25:U25"/>
    <mergeCell ref="V25:X25"/>
    <mergeCell ref="Y25:AB25"/>
    <mergeCell ref="AE25:AG25"/>
    <mergeCell ref="AH25:AJ25"/>
    <mergeCell ref="AF7:AG7"/>
    <mergeCell ref="AH9:AI9"/>
    <mergeCell ref="AB6:AC6"/>
    <mergeCell ref="AE4:AG4"/>
    <mergeCell ref="Y14:AB14"/>
    <mergeCell ref="Z15:AA15"/>
    <mergeCell ref="Y16:AA16"/>
    <mergeCell ref="AB16:AD16"/>
    <mergeCell ref="AI7:AJ7"/>
    <mergeCell ref="AF13:AG13"/>
    <mergeCell ref="AI13:AJ13"/>
    <mergeCell ref="AE14:AG14"/>
    <mergeCell ref="AH14:AJ14"/>
    <mergeCell ref="AC15:AD15"/>
    <mergeCell ref="AE15:AG15"/>
    <mergeCell ref="AH15:AI15"/>
    <mergeCell ref="G27:I27"/>
    <mergeCell ref="J27:L27"/>
    <mergeCell ref="G28:I28"/>
    <mergeCell ref="J28:K28"/>
    <mergeCell ref="A28:D28"/>
    <mergeCell ref="B29:C29"/>
    <mergeCell ref="E29:F29"/>
    <mergeCell ref="S3:U3"/>
    <mergeCell ref="S4:U4"/>
    <mergeCell ref="M12:P12"/>
    <mergeCell ref="N13:O13"/>
    <mergeCell ref="Q13:R13"/>
    <mergeCell ref="M14:O14"/>
    <mergeCell ref="P14:R14"/>
    <mergeCell ref="M15:O15"/>
    <mergeCell ref="P15:Q15"/>
    <mergeCell ref="G14:J14"/>
    <mergeCell ref="H15:I15"/>
    <mergeCell ref="K15:L15"/>
    <mergeCell ref="A9:C9"/>
    <mergeCell ref="D9:E9"/>
    <mergeCell ref="A12:D12"/>
    <mergeCell ref="B13:C13"/>
    <mergeCell ref="E13:F13"/>
    <mergeCell ref="A1:D1"/>
    <mergeCell ref="E2:F2"/>
    <mergeCell ref="B2:C2"/>
    <mergeCell ref="A4:C4"/>
    <mergeCell ref="D4:E4"/>
    <mergeCell ref="M8:O8"/>
    <mergeCell ref="P8:R8"/>
    <mergeCell ref="M9:O9"/>
    <mergeCell ref="P9:Q9"/>
    <mergeCell ref="B7:C7"/>
    <mergeCell ref="E7:F7"/>
    <mergeCell ref="A8:C8"/>
    <mergeCell ref="D8:F8"/>
    <mergeCell ref="D3:F3"/>
    <mergeCell ref="A3:C3"/>
    <mergeCell ref="G3:J3"/>
    <mergeCell ref="H4:I4"/>
    <mergeCell ref="K4:L4"/>
    <mergeCell ref="G5:I5"/>
    <mergeCell ref="J5:L5"/>
    <mergeCell ref="G6:I6"/>
    <mergeCell ref="J6:K6"/>
    <mergeCell ref="A6:D6"/>
    <mergeCell ref="M1:P1"/>
    <mergeCell ref="N2:O2"/>
    <mergeCell ref="Q2:R2"/>
    <mergeCell ref="M3:O3"/>
    <mergeCell ref="P3:R3"/>
    <mergeCell ref="M4:O4"/>
    <mergeCell ref="P4:Q4"/>
    <mergeCell ref="M6:P6"/>
    <mergeCell ref="N7:O7"/>
    <mergeCell ref="Q7:R7"/>
    <mergeCell ref="A14:C14"/>
    <mergeCell ref="D14:F14"/>
    <mergeCell ref="A15:C15"/>
    <mergeCell ref="D15:E15"/>
    <mergeCell ref="J16:L16"/>
    <mergeCell ref="G17:I17"/>
    <mergeCell ref="J17:K17"/>
    <mergeCell ref="A17:D17"/>
    <mergeCell ref="B18:C18"/>
    <mergeCell ref="E18:F18"/>
    <mergeCell ref="A19:C19"/>
    <mergeCell ref="D19:F19"/>
    <mergeCell ref="A20:C20"/>
    <mergeCell ref="D20:E20"/>
    <mergeCell ref="G16:I16"/>
    <mergeCell ref="M17:P17"/>
    <mergeCell ref="N18:O18"/>
    <mergeCell ref="Q18:R18"/>
    <mergeCell ref="M19:O19"/>
    <mergeCell ref="P19:R19"/>
    <mergeCell ref="M20:O20"/>
    <mergeCell ref="P20:Q20"/>
    <mergeCell ref="M23:P23"/>
    <mergeCell ref="N24:O24"/>
    <mergeCell ref="Q24:R24"/>
    <mergeCell ref="A23:D23"/>
    <mergeCell ref="B24:C24"/>
    <mergeCell ref="E24:F24"/>
    <mergeCell ref="A25:C25"/>
    <mergeCell ref="D25:F25"/>
    <mergeCell ref="A26:C26"/>
    <mergeCell ref="D26:E26"/>
    <mergeCell ref="G25:J25"/>
    <mergeCell ref="H26:I26"/>
    <mergeCell ref="M25:O25"/>
    <mergeCell ref="P25:R25"/>
    <mergeCell ref="M26:O26"/>
    <mergeCell ref="P26:Q26"/>
    <mergeCell ref="K26:L26"/>
    <mergeCell ref="P30:R30"/>
    <mergeCell ref="M31:O31"/>
    <mergeCell ref="P31:Q31"/>
    <mergeCell ref="K40:M40"/>
    <mergeCell ref="N40:P40"/>
    <mergeCell ref="J42:P42"/>
    <mergeCell ref="K43:L43"/>
    <mergeCell ref="P43:R43"/>
    <mergeCell ref="K44:M44"/>
    <mergeCell ref="N44:P44"/>
    <mergeCell ref="N35:O35"/>
    <mergeCell ref="N43:O43"/>
    <mergeCell ref="N55:O55"/>
    <mergeCell ref="J70:L70"/>
    <mergeCell ref="M70:O70"/>
    <mergeCell ref="P70:R70"/>
    <mergeCell ref="E35:F35"/>
    <mergeCell ref="A40:D40"/>
    <mergeCell ref="B41:C41"/>
    <mergeCell ref="E41:F41"/>
    <mergeCell ref="B36:C36"/>
    <mergeCell ref="A37:B37"/>
    <mergeCell ref="D36:E36"/>
    <mergeCell ref="K35:L35"/>
    <mergeCell ref="P35:R35"/>
    <mergeCell ref="K36:M36"/>
    <mergeCell ref="N36:P36"/>
    <mergeCell ref="J38:P38"/>
    <mergeCell ref="E37:F37"/>
    <mergeCell ref="Q40:R40"/>
    <mergeCell ref="Q36:R36"/>
    <mergeCell ref="N39:O39"/>
    <mergeCell ref="K39:L39"/>
    <mergeCell ref="P39:R39"/>
    <mergeCell ref="D42:E42"/>
    <mergeCell ref="A43:B43"/>
    <mergeCell ref="A55:B55"/>
    <mergeCell ref="E55:F55"/>
    <mergeCell ref="J55:K55"/>
    <mergeCell ref="A59:B59"/>
    <mergeCell ref="C59:H59"/>
    <mergeCell ref="J59:K59"/>
    <mergeCell ref="E64:F64"/>
    <mergeCell ref="A62:B62"/>
    <mergeCell ref="A63:B63"/>
    <mergeCell ref="A61:D61"/>
    <mergeCell ref="C62:D62"/>
    <mergeCell ref="C63:D63"/>
    <mergeCell ref="A64:B64"/>
    <mergeCell ref="C64:D64"/>
    <mergeCell ref="E61:H61"/>
    <mergeCell ref="E62:F62"/>
    <mergeCell ref="G62:H62"/>
    <mergeCell ref="E63:F63"/>
    <mergeCell ref="G63:H63"/>
    <mergeCell ref="G64:H64"/>
    <mergeCell ref="G65:H65"/>
    <mergeCell ref="E66:F66"/>
    <mergeCell ref="G66:H66"/>
    <mergeCell ref="J61:M61"/>
    <mergeCell ref="N61:Q61"/>
    <mergeCell ref="J62:K62"/>
    <mergeCell ref="P78:Q78"/>
    <mergeCell ref="J80:K80"/>
    <mergeCell ref="P66:Q66"/>
    <mergeCell ref="A69:R69"/>
    <mergeCell ref="N64:O64"/>
    <mergeCell ref="G71:H71"/>
    <mergeCell ref="A65:B65"/>
    <mergeCell ref="C65:D65"/>
    <mergeCell ref="A66:B66"/>
    <mergeCell ref="C66:D66"/>
    <mergeCell ref="E65:F65"/>
    <mergeCell ref="M74:N74"/>
    <mergeCell ref="A75:B75"/>
    <mergeCell ref="M75:N75"/>
    <mergeCell ref="G72:H72"/>
    <mergeCell ref="D72:E72"/>
    <mergeCell ref="P72:Q72"/>
    <mergeCell ref="D74:E74"/>
    <mergeCell ref="H1:K1"/>
    <mergeCell ref="H12:K12"/>
    <mergeCell ref="H23:K23"/>
    <mergeCell ref="H34:H44"/>
    <mergeCell ref="K50:R50"/>
    <mergeCell ref="B48:I50"/>
    <mergeCell ref="K48:R48"/>
    <mergeCell ref="H8:K9"/>
    <mergeCell ref="H19:K20"/>
    <mergeCell ref="H30:K31"/>
    <mergeCell ref="J47:M47"/>
    <mergeCell ref="A34:D34"/>
    <mergeCell ref="B35:C35"/>
    <mergeCell ref="J34:P34"/>
    <mergeCell ref="N47:R47"/>
    <mergeCell ref="Q44:R44"/>
    <mergeCell ref="A30:C30"/>
    <mergeCell ref="D30:F30"/>
    <mergeCell ref="A31:C31"/>
    <mergeCell ref="D31:E31"/>
    <mergeCell ref="M28:P28"/>
    <mergeCell ref="N29:O29"/>
    <mergeCell ref="Q29:R29"/>
    <mergeCell ref="M30:O30"/>
    <mergeCell ref="B42:C42"/>
    <mergeCell ref="C37:D37"/>
    <mergeCell ref="D38:E38"/>
    <mergeCell ref="A38:C38"/>
    <mergeCell ref="C43:D43"/>
    <mergeCell ref="E43:F43"/>
    <mergeCell ref="A44:C44"/>
    <mergeCell ref="D44:E44"/>
    <mergeCell ref="A47:D47"/>
    <mergeCell ref="E47:I47"/>
    <mergeCell ref="K98:M98"/>
    <mergeCell ref="K94:M94"/>
    <mergeCell ref="F94:I94"/>
    <mergeCell ref="F95:I95"/>
    <mergeCell ref="K95:M95"/>
    <mergeCell ref="F96:I96"/>
    <mergeCell ref="K96:M96"/>
    <mergeCell ref="F97:I97"/>
    <mergeCell ref="K97:M97"/>
    <mergeCell ref="D82:E82"/>
    <mergeCell ref="G82:H82"/>
    <mergeCell ref="A85:H85"/>
    <mergeCell ref="A86:D86"/>
    <mergeCell ref="E86:H86"/>
    <mergeCell ref="E87:H87"/>
    <mergeCell ref="J85:Q85"/>
    <mergeCell ref="J86:M86"/>
    <mergeCell ref="N86:Q86"/>
    <mergeCell ref="J87:M87"/>
    <mergeCell ref="N87:Q87"/>
    <mergeCell ref="A87:D87"/>
    <mergeCell ref="J82:K82"/>
    <mergeCell ref="M82:N82"/>
    <mergeCell ref="P82:Q82"/>
    <mergeCell ref="A82:B82"/>
    <mergeCell ref="AI2:AJ2"/>
    <mergeCell ref="V3:X3"/>
    <mergeCell ref="Y3:AB3"/>
    <mergeCell ref="AE3:AG3"/>
    <mergeCell ref="AH3:AJ3"/>
    <mergeCell ref="V4:W4"/>
    <mergeCell ref="Z4:AA4"/>
    <mergeCell ref="AC4:AD4"/>
    <mergeCell ref="AH4:AI4"/>
    <mergeCell ref="Z1:AC1"/>
    <mergeCell ref="AE1:AH1"/>
    <mergeCell ref="T2:U2"/>
    <mergeCell ref="W2:X2"/>
    <mergeCell ref="AF2:AG2"/>
    <mergeCell ref="Y5:AA5"/>
    <mergeCell ref="AB5:AD5"/>
    <mergeCell ref="S6:V6"/>
    <mergeCell ref="Y6:AA6"/>
    <mergeCell ref="AE6:AH6"/>
    <mergeCell ref="T7:U7"/>
    <mergeCell ref="W7:X7"/>
    <mergeCell ref="T13:U13"/>
    <mergeCell ref="W13:X13"/>
    <mergeCell ref="S14:U14"/>
    <mergeCell ref="V14:X14"/>
    <mergeCell ref="S15:U15"/>
    <mergeCell ref="V15:W15"/>
    <mergeCell ref="S1:V1"/>
    <mergeCell ref="S17:V17"/>
    <mergeCell ref="T18:U18"/>
    <mergeCell ref="S8:U8"/>
    <mergeCell ref="V8:X8"/>
    <mergeCell ref="Z8:AC9"/>
    <mergeCell ref="AE8:AG8"/>
    <mergeCell ref="AH8:AJ8"/>
    <mergeCell ref="S9:U9"/>
    <mergeCell ref="AE9:AG9"/>
    <mergeCell ref="S12:V12"/>
    <mergeCell ref="Z12:AC12"/>
    <mergeCell ref="AE12:AH12"/>
    <mergeCell ref="V9:W9"/>
    <mergeCell ref="Y17:AA17"/>
    <mergeCell ref="AB17:AC17"/>
    <mergeCell ref="AE17:AH17"/>
    <mergeCell ref="AF18:AG18"/>
    <mergeCell ref="AI18:AJ18"/>
    <mergeCell ref="Z26:AA26"/>
    <mergeCell ref="AC26:AD26"/>
    <mergeCell ref="AE26:AG26"/>
    <mergeCell ref="AH26:AI26"/>
    <mergeCell ref="Y27:AA27"/>
    <mergeCell ref="S28:V28"/>
    <mergeCell ref="Y28:AA28"/>
    <mergeCell ref="AB28:AC28"/>
    <mergeCell ref="AE28:AH28"/>
    <mergeCell ref="AB27:AD27"/>
    <mergeCell ref="T29:U29"/>
    <mergeCell ref="W29:X29"/>
    <mergeCell ref="AF29:AG29"/>
    <mergeCell ref="AI29:AJ29"/>
    <mergeCell ref="V30:X30"/>
    <mergeCell ref="Z30:AC31"/>
    <mergeCell ref="AE30:AG30"/>
    <mergeCell ref="AH30:AJ30"/>
    <mergeCell ref="S31:U31"/>
    <mergeCell ref="V31:W31"/>
    <mergeCell ref="AE31:AG31"/>
    <mergeCell ref="AH31:AI31"/>
    <mergeCell ref="S30:U30"/>
    <mergeCell ref="S47:V47"/>
    <mergeCell ref="W47:AA47"/>
    <mergeCell ref="AB47:AE47"/>
    <mergeCell ref="AF47:AJ47"/>
    <mergeCell ref="AC43:AD43"/>
    <mergeCell ref="S34:V34"/>
    <mergeCell ref="W37:X37"/>
    <mergeCell ref="S38:U38"/>
    <mergeCell ref="V38:W38"/>
    <mergeCell ref="AB38:AH38"/>
    <mergeCell ref="AF39:AG39"/>
    <mergeCell ref="AH39:AJ39"/>
    <mergeCell ref="S40:V40"/>
    <mergeCell ref="AC40:AE40"/>
    <mergeCell ref="AI36:AJ36"/>
    <mergeCell ref="S37:T37"/>
    <mergeCell ref="AB34:AH34"/>
    <mergeCell ref="T35:U35"/>
    <mergeCell ref="W35:X35"/>
    <mergeCell ref="AC35:AD35"/>
    <mergeCell ref="AF35:AG35"/>
    <mergeCell ref="AH35:AJ35"/>
    <mergeCell ref="T36:U36"/>
    <mergeCell ref="V36:W36"/>
    <mergeCell ref="AI40:AJ40"/>
    <mergeCell ref="AC39:AD39"/>
    <mergeCell ref="T41:U41"/>
    <mergeCell ref="W41:X41"/>
    <mergeCell ref="T42:U42"/>
    <mergeCell ref="V42:W42"/>
    <mergeCell ref="AB42:AH42"/>
    <mergeCell ref="S43:T43"/>
    <mergeCell ref="U43:V43"/>
    <mergeCell ref="W43:X43"/>
    <mergeCell ref="AF43:AG43"/>
    <mergeCell ref="AH43:AJ43"/>
    <mergeCell ref="Z34:Z44"/>
    <mergeCell ref="S44:U44"/>
    <mergeCell ref="V44:W44"/>
    <mergeCell ref="AC44:AE44"/>
    <mergeCell ref="AF44:AH44"/>
    <mergeCell ref="AI44:AJ44"/>
    <mergeCell ref="AC36:AE36"/>
    <mergeCell ref="AF36:AH36"/>
    <mergeCell ref="U37:V37"/>
    <mergeCell ref="AF40:AH40"/>
    <mergeCell ref="S48:S50"/>
    <mergeCell ref="T48:AA50"/>
    <mergeCell ref="AC48:AJ48"/>
    <mergeCell ref="AB49:AE49"/>
    <mergeCell ref="AF49:AJ49"/>
    <mergeCell ref="AC50:AJ50"/>
    <mergeCell ref="A51:I52"/>
    <mergeCell ref="J51:R52"/>
    <mergeCell ref="A54:B54"/>
    <mergeCell ref="E54:F54"/>
    <mergeCell ref="J54:K54"/>
    <mergeCell ref="N54:O54"/>
    <mergeCell ref="J49:M49"/>
    <mergeCell ref="N49:R49"/>
    <mergeCell ref="A48:A50"/>
    <mergeCell ref="L62:M62"/>
    <mergeCell ref="N62:O62"/>
    <mergeCell ref="P62:Q62"/>
    <mergeCell ref="J63:K63"/>
    <mergeCell ref="L63:M63"/>
    <mergeCell ref="N63:O63"/>
    <mergeCell ref="P63:Q63"/>
    <mergeCell ref="J64:K64"/>
    <mergeCell ref="L64:M64"/>
    <mergeCell ref="P64:Q64"/>
    <mergeCell ref="J65:K65"/>
    <mergeCell ref="L65:M65"/>
    <mergeCell ref="N65:O65"/>
    <mergeCell ref="P65:Q65"/>
    <mergeCell ref="J66:K66"/>
    <mergeCell ref="L66:M66"/>
    <mergeCell ref="N66:O66"/>
    <mergeCell ref="A77:C77"/>
    <mergeCell ref="D77:F77"/>
    <mergeCell ref="A70:C70"/>
    <mergeCell ref="D70:F70"/>
    <mergeCell ref="G70:I70"/>
    <mergeCell ref="A71:B71"/>
    <mergeCell ref="D71:E71"/>
    <mergeCell ref="A72:B72"/>
    <mergeCell ref="A73:B73"/>
    <mergeCell ref="D73:E73"/>
    <mergeCell ref="G73:H73"/>
    <mergeCell ref="A74:B74"/>
    <mergeCell ref="J71:K71"/>
    <mergeCell ref="M71:N71"/>
    <mergeCell ref="P71:Q71"/>
    <mergeCell ref="J72:K72"/>
    <mergeCell ref="M72:N72"/>
    <mergeCell ref="A78:B78"/>
    <mergeCell ref="G78:H78"/>
    <mergeCell ref="A79:B79"/>
    <mergeCell ref="D79:E79"/>
    <mergeCell ref="G79:H79"/>
    <mergeCell ref="D80:E80"/>
    <mergeCell ref="G80:H80"/>
    <mergeCell ref="A81:B81"/>
    <mergeCell ref="D81:E81"/>
    <mergeCell ref="G81:H81"/>
    <mergeCell ref="A80:B80"/>
    <mergeCell ref="D78:E78"/>
    <mergeCell ref="L59:Q59"/>
    <mergeCell ref="G100:L100"/>
    <mergeCell ref="J77:L77"/>
    <mergeCell ref="J78:K78"/>
    <mergeCell ref="M78:N78"/>
    <mergeCell ref="J79:K79"/>
    <mergeCell ref="M79:N79"/>
    <mergeCell ref="M80:N80"/>
    <mergeCell ref="P80:Q80"/>
    <mergeCell ref="J81:K81"/>
    <mergeCell ref="M81:N81"/>
    <mergeCell ref="P81:Q81"/>
    <mergeCell ref="P79:Q79"/>
    <mergeCell ref="M77:O77"/>
    <mergeCell ref="P77:R77"/>
    <mergeCell ref="G77:I77"/>
    <mergeCell ref="F91:I91"/>
    <mergeCell ref="K91:M91"/>
    <mergeCell ref="F92:I92"/>
    <mergeCell ref="K92:M92"/>
    <mergeCell ref="F93:I93"/>
    <mergeCell ref="K93:M93"/>
    <mergeCell ref="F90:M90"/>
    <mergeCell ref="F98:I98"/>
    <mergeCell ref="AK1:AN1"/>
    <mergeCell ref="AR1:AU1"/>
    <mergeCell ref="AW1:AZ1"/>
    <mergeCell ref="AL2:AM2"/>
    <mergeCell ref="AO2:AP2"/>
    <mergeCell ref="AX2:AY2"/>
    <mergeCell ref="BA2:BB2"/>
    <mergeCell ref="AK3:AM3"/>
    <mergeCell ref="AN3:AP3"/>
    <mergeCell ref="AQ3:AT3"/>
    <mergeCell ref="AW3:AY3"/>
    <mergeCell ref="AZ3:BB3"/>
    <mergeCell ref="AK4:AM4"/>
    <mergeCell ref="AN4:AO4"/>
    <mergeCell ref="AR4:AS4"/>
    <mergeCell ref="AU4:AV4"/>
    <mergeCell ref="AW4:AY4"/>
    <mergeCell ref="AZ4:BA4"/>
    <mergeCell ref="AQ5:AS5"/>
    <mergeCell ref="AT5:AV5"/>
    <mergeCell ref="AK6:AN6"/>
    <mergeCell ref="AQ6:AS6"/>
    <mergeCell ref="AT6:AU6"/>
    <mergeCell ref="AW6:AZ6"/>
    <mergeCell ref="AL7:AM7"/>
    <mergeCell ref="AO7:AP7"/>
    <mergeCell ref="AX7:AY7"/>
    <mergeCell ref="BA7:BB7"/>
    <mergeCell ref="AK8:AM8"/>
    <mergeCell ref="AN8:AP8"/>
    <mergeCell ref="AR8:AU9"/>
    <mergeCell ref="AW8:AY8"/>
    <mergeCell ref="AZ8:BB8"/>
    <mergeCell ref="AK9:AM9"/>
    <mergeCell ref="AN9:AO9"/>
    <mergeCell ref="AW9:AY9"/>
    <mergeCell ref="AZ9:BA9"/>
    <mergeCell ref="AK12:AN12"/>
    <mergeCell ref="AR12:AU12"/>
    <mergeCell ref="AW12:AZ12"/>
    <mergeCell ref="AL13:AM13"/>
    <mergeCell ref="AO13:AP13"/>
    <mergeCell ref="AX13:AY13"/>
    <mergeCell ref="BA13:BB13"/>
    <mergeCell ref="AK14:AM14"/>
    <mergeCell ref="AN14:AP14"/>
    <mergeCell ref="AQ14:AT14"/>
    <mergeCell ref="AW14:AY14"/>
    <mergeCell ref="AZ14:BB14"/>
    <mergeCell ref="AK15:AM15"/>
    <mergeCell ref="AN15:AO15"/>
    <mergeCell ref="AR15:AS15"/>
    <mergeCell ref="AU15:AV15"/>
    <mergeCell ref="AW15:AY15"/>
    <mergeCell ref="AZ15:BA15"/>
    <mergeCell ref="AQ16:AS16"/>
    <mergeCell ref="AT16:AV16"/>
    <mergeCell ref="AK17:AN17"/>
    <mergeCell ref="AQ17:AS17"/>
    <mergeCell ref="AT17:AU17"/>
    <mergeCell ref="AW17:AZ17"/>
    <mergeCell ref="AL18:AM18"/>
    <mergeCell ref="AO18:AP18"/>
    <mergeCell ref="AX18:AY18"/>
    <mergeCell ref="BA18:BB18"/>
    <mergeCell ref="AK19:AM19"/>
    <mergeCell ref="AN19:AP19"/>
    <mergeCell ref="AR19:AU20"/>
    <mergeCell ref="AW19:AY19"/>
    <mergeCell ref="AZ19:BB19"/>
    <mergeCell ref="AK20:AM20"/>
    <mergeCell ref="AN20:AO20"/>
    <mergeCell ref="AW20:AY20"/>
    <mergeCell ref="AZ20:BA20"/>
    <mergeCell ref="AK23:AN23"/>
    <mergeCell ref="AR23:AU23"/>
    <mergeCell ref="AW23:AZ23"/>
    <mergeCell ref="AL24:AM24"/>
    <mergeCell ref="AO24:AP24"/>
    <mergeCell ref="AX24:AY24"/>
    <mergeCell ref="BA24:BB24"/>
    <mergeCell ref="AK25:AM25"/>
    <mergeCell ref="AN25:AP25"/>
    <mergeCell ref="AQ25:AT25"/>
    <mergeCell ref="AW25:AY25"/>
    <mergeCell ref="AZ25:BB25"/>
    <mergeCell ref="AK26:AM26"/>
    <mergeCell ref="AN26:AO26"/>
    <mergeCell ref="AR26:AS26"/>
    <mergeCell ref="AU26:AV26"/>
    <mergeCell ref="AW26:AY26"/>
    <mergeCell ref="AZ26:BA26"/>
    <mergeCell ref="AQ27:AS27"/>
    <mergeCell ref="AT27:AV27"/>
    <mergeCell ref="AK28:AN28"/>
    <mergeCell ref="AQ28:AS28"/>
    <mergeCell ref="AT28:AU28"/>
    <mergeCell ref="AW28:AZ28"/>
    <mergeCell ref="AL29:AM29"/>
    <mergeCell ref="AO29:AP29"/>
    <mergeCell ref="AX29:AY29"/>
    <mergeCell ref="BA29:BB29"/>
    <mergeCell ref="AK30:AM30"/>
    <mergeCell ref="AN30:AP30"/>
    <mergeCell ref="AR30:AU31"/>
    <mergeCell ref="AW30:AY30"/>
    <mergeCell ref="AZ30:BB30"/>
    <mergeCell ref="AK31:AM31"/>
    <mergeCell ref="AN31:AO31"/>
    <mergeCell ref="AW31:AY31"/>
    <mergeCell ref="AZ31:BA31"/>
    <mergeCell ref="AK34:AN34"/>
    <mergeCell ref="AR34:AR44"/>
    <mergeCell ref="AT34:AZ34"/>
    <mergeCell ref="AL35:AM35"/>
    <mergeCell ref="AO35:AP35"/>
    <mergeCell ref="AU35:AV35"/>
    <mergeCell ref="AX35:AY35"/>
    <mergeCell ref="AZ35:BB35"/>
    <mergeCell ref="AL36:AM36"/>
    <mergeCell ref="AN36:AO36"/>
    <mergeCell ref="AU36:AW36"/>
    <mergeCell ref="AX36:AZ36"/>
    <mergeCell ref="BA36:BB36"/>
    <mergeCell ref="AK37:AL37"/>
    <mergeCell ref="AM37:AN37"/>
    <mergeCell ref="AO37:AP37"/>
    <mergeCell ref="AK38:AM38"/>
    <mergeCell ref="AN38:AO38"/>
    <mergeCell ref="AT38:AZ38"/>
    <mergeCell ref="AU39:AV39"/>
    <mergeCell ref="AX39:AY39"/>
    <mergeCell ref="AZ39:BB39"/>
    <mergeCell ref="AK40:AN40"/>
    <mergeCell ref="AU40:AW40"/>
    <mergeCell ref="AX40:AZ40"/>
    <mergeCell ref="BA40:BB40"/>
    <mergeCell ref="AL41:AM41"/>
    <mergeCell ref="AO41:AP41"/>
    <mergeCell ref="AL42:AM42"/>
    <mergeCell ref="AN42:AO42"/>
    <mergeCell ref="AT42:AZ42"/>
    <mergeCell ref="AK43:AL43"/>
    <mergeCell ref="AM43:AN43"/>
    <mergeCell ref="AO43:AP43"/>
    <mergeCell ref="AU43:AV43"/>
    <mergeCell ref="AX43:AY43"/>
    <mergeCell ref="AZ43:BB43"/>
    <mergeCell ref="AK48:AK50"/>
    <mergeCell ref="AL48:AS50"/>
    <mergeCell ref="AU48:BB48"/>
    <mergeCell ref="AT49:AW49"/>
    <mergeCell ref="AX49:BB49"/>
    <mergeCell ref="AU50:BB50"/>
    <mergeCell ref="AK44:AM44"/>
    <mergeCell ref="AN44:AO44"/>
    <mergeCell ref="AU44:AW44"/>
    <mergeCell ref="AX44:AZ44"/>
    <mergeCell ref="BA44:BB44"/>
    <mergeCell ref="AK47:AN47"/>
    <mergeCell ref="AO47:AS47"/>
    <mergeCell ref="AT47:AW47"/>
    <mergeCell ref="AX47:BB47"/>
  </mergeCells>
  <conditionalFormatting sqref="A51:R52">
    <cfRule type="cellIs" dxfId="181" priority="225" stopIfTrue="1" operator="equal">
      <formula>"OTR"</formula>
    </cfRule>
    <cfRule type="cellIs" dxfId="180" priority="226" stopIfTrue="1" operator="equal">
      <formula>"PAR"</formula>
    </cfRule>
    <cfRule type="cellIs" dxfId="179" priority="227" stopIfTrue="1" operator="equal">
      <formula>"CLP"</formula>
    </cfRule>
    <cfRule type="cellIs" dxfId="178" priority="228" stopIfTrue="1" operator="equal">
      <formula>"HAT"</formula>
    </cfRule>
    <cfRule type="cellIs" dxfId="177" priority="229" stopIfTrue="1" operator="equal">
      <formula>"LIB"</formula>
    </cfRule>
    <cfRule type="cellIs" dxfId="176" priority="230" stopIfTrue="1" operator="equal">
      <formula>"BA"</formula>
    </cfRule>
    <cfRule type="cellIs" dxfId="175" priority="231" stopIfTrue="1" operator="equal">
      <formula>"SPA"</formula>
    </cfRule>
    <cfRule type="cellIs" dxfId="174" priority="232" stopIfTrue="1" operator="equal">
      <formula>"OST"</formula>
    </cfRule>
    <cfRule type="cellIs" dxfId="173" priority="233" stopIfTrue="1" operator="equal">
      <formula>"BOH"</formula>
    </cfRule>
    <cfRule type="cellIs" dxfId="172" priority="234" stopIfTrue="1" operator="equal">
      <formula>"TAT"</formula>
    </cfRule>
    <cfRule type="cellIs" dxfId="171" priority="235" stopIfTrue="1" operator="equal">
      <formula>"MB"</formula>
    </cfRule>
    <cfRule type="cellIs" dxfId="170" priority="236" stopIfTrue="1" operator="equal">
      <formula>"VIT"</formula>
    </cfRule>
    <cfRule type="cellIs" dxfId="169" priority="237" stopIfTrue="1" operator="equal">
      <formula>"CHO"</formula>
    </cfRule>
    <cfRule type="cellIs" dxfId="168" priority="238" stopIfTrue="1" operator="equal">
      <formula>"SKV"</formula>
    </cfRule>
  </conditionalFormatting>
  <conditionalFormatting sqref="H19:K20">
    <cfRule type="cellIs" dxfId="167" priority="211" stopIfTrue="1" operator="equal">
      <formula>"OTR"</formula>
    </cfRule>
    <cfRule type="cellIs" dxfId="166" priority="212" stopIfTrue="1" operator="equal">
      <formula>"PAR"</formula>
    </cfRule>
    <cfRule type="cellIs" dxfId="165" priority="213" stopIfTrue="1" operator="equal">
      <formula>"CLP"</formula>
    </cfRule>
    <cfRule type="cellIs" dxfId="164" priority="214" stopIfTrue="1" operator="equal">
      <formula>"HAT"</formula>
    </cfRule>
    <cfRule type="cellIs" dxfId="163" priority="215" stopIfTrue="1" operator="equal">
      <formula>"LIB"</formula>
    </cfRule>
    <cfRule type="cellIs" dxfId="162" priority="216" stopIfTrue="1" operator="equal">
      <formula>"BA"</formula>
    </cfRule>
    <cfRule type="cellIs" dxfId="161" priority="217" stopIfTrue="1" operator="equal">
      <formula>"SPA"</formula>
    </cfRule>
    <cfRule type="cellIs" dxfId="160" priority="218" stopIfTrue="1" operator="equal">
      <formula>"OST"</formula>
    </cfRule>
    <cfRule type="cellIs" dxfId="159" priority="219" stopIfTrue="1" operator="equal">
      <formula>"BOH"</formula>
    </cfRule>
    <cfRule type="cellIs" dxfId="158" priority="220" stopIfTrue="1" operator="equal">
      <formula>"TAT"</formula>
    </cfRule>
    <cfRule type="cellIs" dxfId="157" priority="221" stopIfTrue="1" operator="equal">
      <formula>"MB"</formula>
    </cfRule>
    <cfRule type="cellIs" dxfId="156" priority="222" stopIfTrue="1" operator="equal">
      <formula>"VIT"</formula>
    </cfRule>
    <cfRule type="cellIs" dxfId="155" priority="223" stopIfTrue="1" operator="equal">
      <formula>"CHO"</formula>
    </cfRule>
    <cfRule type="cellIs" dxfId="154" priority="224" stopIfTrue="1" operator="equal">
      <formula>"SKV"</formula>
    </cfRule>
  </conditionalFormatting>
  <conditionalFormatting sqref="Z8:AC9">
    <cfRule type="cellIs" dxfId="153" priority="169" stopIfTrue="1" operator="equal">
      <formula>"OTR"</formula>
    </cfRule>
    <cfRule type="cellIs" dxfId="152" priority="170" stopIfTrue="1" operator="equal">
      <formula>"PAR"</formula>
    </cfRule>
    <cfRule type="cellIs" dxfId="151" priority="171" stopIfTrue="1" operator="equal">
      <formula>"CLP"</formula>
    </cfRule>
    <cfRule type="cellIs" dxfId="150" priority="172" stopIfTrue="1" operator="equal">
      <formula>"HAT"</formula>
    </cfRule>
    <cfRule type="cellIs" dxfId="149" priority="173" stopIfTrue="1" operator="equal">
      <formula>"LIB"</formula>
    </cfRule>
    <cfRule type="cellIs" dxfId="148" priority="174" stopIfTrue="1" operator="equal">
      <formula>"BA"</formula>
    </cfRule>
    <cfRule type="cellIs" dxfId="147" priority="175" stopIfTrue="1" operator="equal">
      <formula>"SPA"</formula>
    </cfRule>
    <cfRule type="cellIs" dxfId="146" priority="176" stopIfTrue="1" operator="equal">
      <formula>"OST"</formula>
    </cfRule>
    <cfRule type="cellIs" dxfId="145" priority="177" stopIfTrue="1" operator="equal">
      <formula>"BOH"</formula>
    </cfRule>
    <cfRule type="cellIs" dxfId="144" priority="178" stopIfTrue="1" operator="equal">
      <formula>"TAT"</formula>
    </cfRule>
    <cfRule type="cellIs" dxfId="143" priority="179" stopIfTrue="1" operator="equal">
      <formula>"MB"</formula>
    </cfRule>
    <cfRule type="cellIs" dxfId="142" priority="180" stopIfTrue="1" operator="equal">
      <formula>"VIT"</formula>
    </cfRule>
    <cfRule type="cellIs" dxfId="141" priority="181" stopIfTrue="1" operator="equal">
      <formula>"CHO"</formula>
    </cfRule>
    <cfRule type="cellIs" dxfId="140" priority="182" stopIfTrue="1" operator="equal">
      <formula>"SKV"</formula>
    </cfRule>
  </conditionalFormatting>
  <conditionalFormatting sqref="H8:K9">
    <cfRule type="cellIs" dxfId="139" priority="183" stopIfTrue="1" operator="equal">
      <formula>"OTR"</formula>
    </cfRule>
    <cfRule type="cellIs" dxfId="138" priority="184" stopIfTrue="1" operator="equal">
      <formula>"PAR"</formula>
    </cfRule>
    <cfRule type="cellIs" dxfId="137" priority="185" stopIfTrue="1" operator="equal">
      <formula>"CLP"</formula>
    </cfRule>
    <cfRule type="cellIs" dxfId="136" priority="186" stopIfTrue="1" operator="equal">
      <formula>"HAT"</formula>
    </cfRule>
    <cfRule type="cellIs" dxfId="135" priority="187" stopIfTrue="1" operator="equal">
      <formula>"LIB"</formula>
    </cfRule>
    <cfRule type="cellIs" dxfId="134" priority="188" stopIfTrue="1" operator="equal">
      <formula>"BA"</formula>
    </cfRule>
    <cfRule type="cellIs" dxfId="133" priority="189" stopIfTrue="1" operator="equal">
      <formula>"SPA"</formula>
    </cfRule>
    <cfRule type="cellIs" dxfId="132" priority="190" stopIfTrue="1" operator="equal">
      <formula>"OST"</formula>
    </cfRule>
    <cfRule type="cellIs" dxfId="131" priority="191" stopIfTrue="1" operator="equal">
      <formula>"BOH"</formula>
    </cfRule>
    <cfRule type="cellIs" dxfId="130" priority="192" stopIfTrue="1" operator="equal">
      <formula>"TAT"</formula>
    </cfRule>
    <cfRule type="cellIs" dxfId="129" priority="193" stopIfTrue="1" operator="equal">
      <formula>"MB"</formula>
    </cfRule>
    <cfRule type="cellIs" dxfId="128" priority="194" stopIfTrue="1" operator="equal">
      <formula>"VIT"</formula>
    </cfRule>
    <cfRule type="cellIs" dxfId="127" priority="195" stopIfTrue="1" operator="equal">
      <formula>"CHO"</formula>
    </cfRule>
    <cfRule type="cellIs" dxfId="126" priority="196" stopIfTrue="1" operator="equal">
      <formula>"SKV"</formula>
    </cfRule>
  </conditionalFormatting>
  <conditionalFormatting sqref="Z19:AC20">
    <cfRule type="cellIs" dxfId="125" priority="155" stopIfTrue="1" operator="equal">
      <formula>"OTR"</formula>
    </cfRule>
    <cfRule type="cellIs" dxfId="124" priority="156" stopIfTrue="1" operator="equal">
      <formula>"PAR"</formula>
    </cfRule>
    <cfRule type="cellIs" dxfId="123" priority="157" stopIfTrue="1" operator="equal">
      <formula>"CLP"</formula>
    </cfRule>
    <cfRule type="cellIs" dxfId="122" priority="158" stopIfTrue="1" operator="equal">
      <formula>"HAT"</formula>
    </cfRule>
    <cfRule type="cellIs" dxfId="121" priority="159" stopIfTrue="1" operator="equal">
      <formula>"LIB"</formula>
    </cfRule>
    <cfRule type="cellIs" dxfId="120" priority="160" stopIfTrue="1" operator="equal">
      <formula>"BA"</formula>
    </cfRule>
    <cfRule type="cellIs" dxfId="119" priority="161" stopIfTrue="1" operator="equal">
      <formula>"SPA"</formula>
    </cfRule>
    <cfRule type="cellIs" dxfId="118" priority="162" stopIfTrue="1" operator="equal">
      <formula>"OST"</formula>
    </cfRule>
    <cfRule type="cellIs" dxfId="117" priority="163" stopIfTrue="1" operator="equal">
      <formula>"BOH"</formula>
    </cfRule>
    <cfRule type="cellIs" dxfId="116" priority="164" stopIfTrue="1" operator="equal">
      <formula>"TAT"</formula>
    </cfRule>
    <cfRule type="cellIs" dxfId="115" priority="165" stopIfTrue="1" operator="equal">
      <formula>"MB"</formula>
    </cfRule>
    <cfRule type="cellIs" dxfId="114" priority="166" stopIfTrue="1" operator="equal">
      <formula>"VIT"</formula>
    </cfRule>
    <cfRule type="cellIs" dxfId="113" priority="167" stopIfTrue="1" operator="equal">
      <formula>"CHO"</formula>
    </cfRule>
    <cfRule type="cellIs" dxfId="112" priority="168" stopIfTrue="1" operator="equal">
      <formula>"SKV"</formula>
    </cfRule>
  </conditionalFormatting>
  <conditionalFormatting sqref="H30:K31">
    <cfRule type="cellIs" dxfId="111" priority="127" stopIfTrue="1" operator="equal">
      <formula>"OTR"</formula>
    </cfRule>
    <cfRule type="cellIs" dxfId="110" priority="128" stopIfTrue="1" operator="equal">
      <formula>"PAR"</formula>
    </cfRule>
    <cfRule type="cellIs" dxfId="109" priority="129" stopIfTrue="1" operator="equal">
      <formula>"CLP"</formula>
    </cfRule>
    <cfRule type="cellIs" dxfId="108" priority="130" stopIfTrue="1" operator="equal">
      <formula>"HAT"</formula>
    </cfRule>
    <cfRule type="cellIs" dxfId="107" priority="131" stopIfTrue="1" operator="equal">
      <formula>"LIB"</formula>
    </cfRule>
    <cfRule type="cellIs" dxfId="106" priority="132" stopIfTrue="1" operator="equal">
      <formula>"BA"</formula>
    </cfRule>
    <cfRule type="cellIs" dxfId="105" priority="133" stopIfTrue="1" operator="equal">
      <formula>"SPA"</formula>
    </cfRule>
    <cfRule type="cellIs" dxfId="104" priority="134" stopIfTrue="1" operator="equal">
      <formula>"OST"</formula>
    </cfRule>
    <cfRule type="cellIs" dxfId="103" priority="135" stopIfTrue="1" operator="equal">
      <formula>"BOH"</formula>
    </cfRule>
    <cfRule type="cellIs" dxfId="102" priority="136" stopIfTrue="1" operator="equal">
      <formula>"TAT"</formula>
    </cfRule>
    <cfRule type="cellIs" dxfId="101" priority="137" stopIfTrue="1" operator="equal">
      <formula>"MB"</formula>
    </cfRule>
    <cfRule type="cellIs" dxfId="100" priority="138" stopIfTrue="1" operator="equal">
      <formula>"VIT"</formula>
    </cfRule>
    <cfRule type="cellIs" dxfId="99" priority="139" stopIfTrue="1" operator="equal">
      <formula>"CHO"</formula>
    </cfRule>
    <cfRule type="cellIs" dxfId="98" priority="140" stopIfTrue="1" operator="equal">
      <formula>"SKV"</formula>
    </cfRule>
  </conditionalFormatting>
  <conditionalFormatting sqref="Z30:AC31">
    <cfRule type="cellIs" dxfId="97" priority="113" stopIfTrue="1" operator="equal">
      <formula>"OTR"</formula>
    </cfRule>
    <cfRule type="cellIs" dxfId="96" priority="114" stopIfTrue="1" operator="equal">
      <formula>"PAR"</formula>
    </cfRule>
    <cfRule type="cellIs" dxfId="95" priority="115" stopIfTrue="1" operator="equal">
      <formula>"CLP"</formula>
    </cfRule>
    <cfRule type="cellIs" dxfId="94" priority="116" stopIfTrue="1" operator="equal">
      <formula>"HAT"</formula>
    </cfRule>
    <cfRule type="cellIs" dxfId="93" priority="117" stopIfTrue="1" operator="equal">
      <formula>"LIB"</formula>
    </cfRule>
    <cfRule type="cellIs" dxfId="92" priority="118" stopIfTrue="1" operator="equal">
      <formula>"BA"</formula>
    </cfRule>
    <cfRule type="cellIs" dxfId="91" priority="119" stopIfTrue="1" operator="equal">
      <formula>"SPA"</formula>
    </cfRule>
    <cfRule type="cellIs" dxfId="90" priority="120" stopIfTrue="1" operator="equal">
      <formula>"OST"</formula>
    </cfRule>
    <cfRule type="cellIs" dxfId="89" priority="121" stopIfTrue="1" operator="equal">
      <formula>"BOH"</formula>
    </cfRule>
    <cfRule type="cellIs" dxfId="88" priority="122" stopIfTrue="1" operator="equal">
      <formula>"TAT"</formula>
    </cfRule>
    <cfRule type="cellIs" dxfId="87" priority="123" stopIfTrue="1" operator="equal">
      <formula>"MB"</formula>
    </cfRule>
    <cfRule type="cellIs" dxfId="86" priority="124" stopIfTrue="1" operator="equal">
      <formula>"VIT"</formula>
    </cfRule>
    <cfRule type="cellIs" dxfId="85" priority="125" stopIfTrue="1" operator="equal">
      <formula>"CHO"</formula>
    </cfRule>
    <cfRule type="cellIs" dxfId="84" priority="126" stopIfTrue="1" operator="equal">
      <formula>"SKV"</formula>
    </cfRule>
  </conditionalFormatting>
  <conditionalFormatting sqref="AR8:AU9">
    <cfRule type="cellIs" dxfId="83" priority="99" stopIfTrue="1" operator="equal">
      <formula>"OTR"</formula>
    </cfRule>
    <cfRule type="cellIs" dxfId="82" priority="100" stopIfTrue="1" operator="equal">
      <formula>"PAR"</formula>
    </cfRule>
    <cfRule type="cellIs" dxfId="81" priority="101" stopIfTrue="1" operator="equal">
      <formula>"CLP"</formula>
    </cfRule>
    <cfRule type="cellIs" dxfId="80" priority="102" stopIfTrue="1" operator="equal">
      <formula>"HAT"</formula>
    </cfRule>
    <cfRule type="cellIs" dxfId="79" priority="103" stopIfTrue="1" operator="equal">
      <formula>"LIB"</formula>
    </cfRule>
    <cfRule type="cellIs" dxfId="78" priority="104" stopIfTrue="1" operator="equal">
      <formula>"BA"</formula>
    </cfRule>
    <cfRule type="cellIs" dxfId="77" priority="105" stopIfTrue="1" operator="equal">
      <formula>"SPA"</formula>
    </cfRule>
    <cfRule type="cellIs" dxfId="76" priority="106" stopIfTrue="1" operator="equal">
      <formula>"OST"</formula>
    </cfRule>
    <cfRule type="cellIs" dxfId="75" priority="107" stopIfTrue="1" operator="equal">
      <formula>"BOH"</formula>
    </cfRule>
    <cfRule type="cellIs" dxfId="74" priority="108" stopIfTrue="1" operator="equal">
      <formula>"TAT"</formula>
    </cfRule>
    <cfRule type="cellIs" dxfId="73" priority="109" stopIfTrue="1" operator="equal">
      <formula>"MB"</formula>
    </cfRule>
    <cfRule type="cellIs" dxfId="72" priority="110" stopIfTrue="1" operator="equal">
      <formula>"VIT"</formula>
    </cfRule>
    <cfRule type="cellIs" dxfId="71" priority="111" stopIfTrue="1" operator="equal">
      <formula>"CHO"</formula>
    </cfRule>
    <cfRule type="cellIs" dxfId="70" priority="112" stopIfTrue="1" operator="equal">
      <formula>"SKV"</formula>
    </cfRule>
  </conditionalFormatting>
  <conditionalFormatting sqref="AR30:AU31">
    <cfRule type="cellIs" dxfId="69" priority="57" stopIfTrue="1" operator="equal">
      <formula>"OTR"</formula>
    </cfRule>
    <cfRule type="cellIs" dxfId="68" priority="58" stopIfTrue="1" operator="equal">
      <formula>"PAR"</formula>
    </cfRule>
    <cfRule type="cellIs" dxfId="67" priority="59" stopIfTrue="1" operator="equal">
      <formula>"CLP"</formula>
    </cfRule>
    <cfRule type="cellIs" dxfId="66" priority="60" stopIfTrue="1" operator="equal">
      <formula>"HAT"</formula>
    </cfRule>
    <cfRule type="cellIs" dxfId="65" priority="61" stopIfTrue="1" operator="equal">
      <formula>"LIB"</formula>
    </cfRule>
    <cfRule type="cellIs" dxfId="64" priority="62" stopIfTrue="1" operator="equal">
      <formula>"BA"</formula>
    </cfRule>
    <cfRule type="cellIs" dxfId="63" priority="63" stopIfTrue="1" operator="equal">
      <formula>"SPA"</formula>
    </cfRule>
    <cfRule type="cellIs" dxfId="62" priority="64" stopIfTrue="1" operator="equal">
      <formula>"OST"</formula>
    </cfRule>
    <cfRule type="cellIs" dxfId="61" priority="65" stopIfTrue="1" operator="equal">
      <formula>"BOH"</formula>
    </cfRule>
    <cfRule type="cellIs" dxfId="60" priority="66" stopIfTrue="1" operator="equal">
      <formula>"TAT"</formula>
    </cfRule>
    <cfRule type="cellIs" dxfId="59" priority="67" stopIfTrue="1" operator="equal">
      <formula>"MB"</formula>
    </cfRule>
    <cfRule type="cellIs" dxfId="58" priority="68" stopIfTrue="1" operator="equal">
      <formula>"VIT"</formula>
    </cfRule>
    <cfRule type="cellIs" dxfId="57" priority="69" stopIfTrue="1" operator="equal">
      <formula>"CHO"</formula>
    </cfRule>
    <cfRule type="cellIs" dxfId="56" priority="70" stopIfTrue="1" operator="equal">
      <formula>"SKV"</formula>
    </cfRule>
  </conditionalFormatting>
  <conditionalFormatting sqref="AR19:AU20">
    <cfRule type="cellIs" dxfId="55" priority="43" stopIfTrue="1" operator="equal">
      <formula>"OTR"</formula>
    </cfRule>
    <cfRule type="cellIs" dxfId="54" priority="44" stopIfTrue="1" operator="equal">
      <formula>"PAR"</formula>
    </cfRule>
    <cfRule type="cellIs" dxfId="53" priority="45" stopIfTrue="1" operator="equal">
      <formula>"CLP"</formula>
    </cfRule>
    <cfRule type="cellIs" dxfId="52" priority="46" stopIfTrue="1" operator="equal">
      <formula>"HAT"</formula>
    </cfRule>
    <cfRule type="cellIs" dxfId="51" priority="47" stopIfTrue="1" operator="equal">
      <formula>"LIB"</formula>
    </cfRule>
    <cfRule type="cellIs" dxfId="50" priority="48" stopIfTrue="1" operator="equal">
      <formula>"BA"</formula>
    </cfRule>
    <cfRule type="cellIs" dxfId="49" priority="49" stopIfTrue="1" operator="equal">
      <formula>"SPA"</formula>
    </cfRule>
    <cfRule type="cellIs" dxfId="48" priority="50" stopIfTrue="1" operator="equal">
      <formula>"OST"</formula>
    </cfRule>
    <cfRule type="cellIs" dxfId="47" priority="51" stopIfTrue="1" operator="equal">
      <formula>"BOH"</formula>
    </cfRule>
    <cfRule type="cellIs" dxfId="46" priority="52" stopIfTrue="1" operator="equal">
      <formula>"TAT"</formula>
    </cfRule>
    <cfRule type="cellIs" dxfId="45" priority="53" stopIfTrue="1" operator="equal">
      <formula>"MB"</formula>
    </cfRule>
    <cfRule type="cellIs" dxfId="44" priority="54" stopIfTrue="1" operator="equal">
      <formula>"VIT"</formula>
    </cfRule>
    <cfRule type="cellIs" dxfId="43" priority="55" stopIfTrue="1" operator="equal">
      <formula>"CHO"</formula>
    </cfRule>
    <cfRule type="cellIs" dxfId="42" priority="56" stopIfTrue="1" operator="equal">
      <formula>"SKV"</formula>
    </cfRule>
  </conditionalFormatting>
  <conditionalFormatting sqref="BJ8:BM9">
    <cfRule type="cellIs" dxfId="41" priority="29" stopIfTrue="1" operator="equal">
      <formula>"OTR"</formula>
    </cfRule>
    <cfRule type="cellIs" dxfId="40" priority="30" stopIfTrue="1" operator="equal">
      <formula>"PAR"</formula>
    </cfRule>
    <cfRule type="cellIs" dxfId="39" priority="31" stopIfTrue="1" operator="equal">
      <formula>"CLP"</formula>
    </cfRule>
    <cfRule type="cellIs" dxfId="38" priority="32" stopIfTrue="1" operator="equal">
      <formula>"HAT"</formula>
    </cfRule>
    <cfRule type="cellIs" dxfId="37" priority="33" stopIfTrue="1" operator="equal">
      <formula>"LIB"</formula>
    </cfRule>
    <cfRule type="cellIs" dxfId="36" priority="34" stopIfTrue="1" operator="equal">
      <formula>"BA"</formula>
    </cfRule>
    <cfRule type="cellIs" dxfId="35" priority="35" stopIfTrue="1" operator="equal">
      <formula>"SPA"</formula>
    </cfRule>
    <cfRule type="cellIs" dxfId="34" priority="36" stopIfTrue="1" operator="equal">
      <formula>"OST"</formula>
    </cfRule>
    <cfRule type="cellIs" dxfId="33" priority="37" stopIfTrue="1" operator="equal">
      <formula>"BOH"</formula>
    </cfRule>
    <cfRule type="cellIs" dxfId="32" priority="38" stopIfTrue="1" operator="equal">
      <formula>"TAT"</formula>
    </cfRule>
    <cfRule type="cellIs" dxfId="31" priority="39" stopIfTrue="1" operator="equal">
      <formula>"MB"</formula>
    </cfRule>
    <cfRule type="cellIs" dxfId="30" priority="40" stopIfTrue="1" operator="equal">
      <formula>"VIT"</formula>
    </cfRule>
    <cfRule type="cellIs" dxfId="29" priority="41" stopIfTrue="1" operator="equal">
      <formula>"CHO"</formula>
    </cfRule>
    <cfRule type="cellIs" dxfId="28" priority="42" stopIfTrue="1" operator="equal">
      <formula>"SKV"</formula>
    </cfRule>
  </conditionalFormatting>
  <conditionalFormatting sqref="BJ30:BM31">
    <cfRule type="cellIs" dxfId="27" priority="15" stopIfTrue="1" operator="equal">
      <formula>"OTR"</formula>
    </cfRule>
    <cfRule type="cellIs" dxfId="26" priority="16" stopIfTrue="1" operator="equal">
      <formula>"PAR"</formula>
    </cfRule>
    <cfRule type="cellIs" dxfId="25" priority="17" stopIfTrue="1" operator="equal">
      <formula>"CLP"</formula>
    </cfRule>
    <cfRule type="cellIs" dxfId="24" priority="18" stopIfTrue="1" operator="equal">
      <formula>"HAT"</formula>
    </cfRule>
    <cfRule type="cellIs" dxfId="23" priority="19" stopIfTrue="1" operator="equal">
      <formula>"LIB"</formula>
    </cfRule>
    <cfRule type="cellIs" dxfId="22" priority="20" stopIfTrue="1" operator="equal">
      <formula>"BA"</formula>
    </cfRule>
    <cfRule type="cellIs" dxfId="21" priority="21" stopIfTrue="1" operator="equal">
      <formula>"SPA"</formula>
    </cfRule>
    <cfRule type="cellIs" dxfId="20" priority="22" stopIfTrue="1" operator="equal">
      <formula>"OST"</formula>
    </cfRule>
    <cfRule type="cellIs" dxfId="19" priority="23" stopIfTrue="1" operator="equal">
      <formula>"BOH"</formula>
    </cfRule>
    <cfRule type="cellIs" dxfId="18" priority="24" stopIfTrue="1" operator="equal">
      <formula>"TAT"</formula>
    </cfRule>
    <cfRule type="cellIs" dxfId="17" priority="25" stopIfTrue="1" operator="equal">
      <formula>"MB"</formula>
    </cfRule>
    <cfRule type="cellIs" dxfId="16" priority="26" stopIfTrue="1" operator="equal">
      <formula>"VIT"</formula>
    </cfRule>
    <cfRule type="cellIs" dxfId="15" priority="27" stopIfTrue="1" operator="equal">
      <formula>"CHO"</formula>
    </cfRule>
    <cfRule type="cellIs" dxfId="14" priority="28" stopIfTrue="1" operator="equal">
      <formula>"SKV"</formula>
    </cfRule>
  </conditionalFormatting>
  <conditionalFormatting sqref="BJ19:BM20">
    <cfRule type="cellIs" dxfId="13" priority="1" stopIfTrue="1" operator="equal">
      <formula>"OTR"</formula>
    </cfRule>
    <cfRule type="cellIs" dxfId="12" priority="2" stopIfTrue="1" operator="equal">
      <formula>"PAR"</formula>
    </cfRule>
    <cfRule type="cellIs" dxfId="11" priority="3" stopIfTrue="1" operator="equal">
      <formula>"CLP"</formula>
    </cfRule>
    <cfRule type="cellIs" dxfId="10" priority="4" stopIfTrue="1" operator="equal">
      <formula>"HAT"</formula>
    </cfRule>
    <cfRule type="cellIs" dxfId="9" priority="5" stopIfTrue="1" operator="equal">
      <formula>"LIB"</formula>
    </cfRule>
    <cfRule type="cellIs" dxfId="8" priority="6" stopIfTrue="1" operator="equal">
      <formula>"BA"</formula>
    </cfRule>
    <cfRule type="cellIs" dxfId="7" priority="7" stopIfTrue="1" operator="equal">
      <formula>"SPA"</formula>
    </cfRule>
    <cfRule type="cellIs" dxfId="6" priority="8" stopIfTrue="1" operator="equal">
      <formula>"OST"</formula>
    </cfRule>
    <cfRule type="cellIs" dxfId="5" priority="9" stopIfTrue="1" operator="equal">
      <formula>"BOH"</formula>
    </cfRule>
    <cfRule type="cellIs" dxfId="4" priority="10" stopIfTrue="1" operator="equal">
      <formula>"TAT"</formula>
    </cfRule>
    <cfRule type="cellIs" dxfId="3" priority="11" stopIfTrue="1" operator="equal">
      <formula>"MB"</formula>
    </cfRule>
    <cfRule type="cellIs" dxfId="2" priority="12" stopIfTrue="1" operator="equal">
      <formula>"VIT"</formula>
    </cfRule>
    <cfRule type="cellIs" dxfId="1" priority="13" stopIfTrue="1" operator="equal">
      <formula>"CHO"</formula>
    </cfRule>
    <cfRule type="cellIs" dxfId="0" priority="14" stopIfTrue="1" operator="equal">
      <formula>"SKV"</formula>
    </cfRule>
  </conditionalFormatting>
  <dataValidations count="1">
    <dataValidation errorStyle="warning" allowBlank="1" showErrorMessage="1" errorTitle="Chybějící hráč!" error="Vámi zadaný hráč chybí na soupisce týmu." sqref="Q23 E1 E6 K3 W34 Q1 Q6 Q12 Q17 E12 K14 K25 E17 Q28 Q34 E28 Q38 E23 Q42 E34 W28 AC25 E40 W1 AC3 AI6 AI1 AC14 W6 AI12 W12 W17 AI17 AI23 W23 W40 AI34 AI38 AI42 AI28"/>
  </dataValidations>
  <pageMargins left="0.25" right="0.25" top="0.75" bottom="0.75" header="0.3" footer="0.3"/>
  <pageSetup paperSize="9" orientation="portrait" r:id="rId1"/>
  <headerFooter>
    <firstHeader>&amp;C&amp;"Bahnschrift Condensed,Condensed"&amp;22&amp;D</firstHeader>
  </headerFooter>
  <extLst>
    <ext xmlns:x14="http://schemas.microsoft.com/office/spreadsheetml/2009/9/main" uri="{CCE6A557-97BC-4b89-ADB6-D9C93CAAB3DF}">
      <x14:dataValidations xmlns:xm="http://schemas.microsoft.com/office/excel/2006/main" count="15">
        <x14:dataValidation type="list" allowBlank="1" showInputMessage="1" showErrorMessage="1">
          <x14:formula1>
            <xm:f>Tabulka!$A$42:$A$55</xm:f>
          </x14:formula1>
          <xm:sqref>A51:R52</xm:sqref>
        </x14:dataValidation>
        <x14:dataValidation type="list" errorStyle="warning" allowBlank="1" showErrorMessage="1" errorTitle="Chybějící člen realizačního týmu" error="Vámi zadaný člen realizačního týmu není na soupisce týmu.">
          <x14:formula1>
            <xm:f>SKV!$B$85:$B$88</xm:f>
          </x14:formula1>
          <xm:sqref>J102:M102</xm:sqref>
        </x14:dataValidation>
        <x14:dataValidation type="list" errorStyle="warning" allowBlank="1" showErrorMessage="1" errorTitle="Chybějící hráč" error="Vámi zadaný hráč není na soupisce týmu.">
          <x14:formula1>
            <xm:f>CHO!$B$48:$B$74</xm:f>
          </x14:formula1>
          <xm:sqref>Y3:AB3</xm:sqref>
        </x14:dataValidation>
        <x14:dataValidation type="list" errorStyle="warning" allowBlank="1" showErrorMessage="1" errorTitle="Chybějící brankář" error="Vámi zadaný brankář není na soupisce týmu.">
          <x14:formula1>
            <xm:f>OFFSET(VIT!$B$39,,,COUNTIF(VIT!$B$39:$B$45,"?*"))</xm:f>
          </x14:formula1>
          <xm:sqref>AK34:AN34 AK40:AN40</xm:sqref>
        </x14:dataValidation>
        <x14:dataValidation type="list" errorStyle="warning" allowBlank="1" showInputMessage="1" showErrorMessage="1" errorTitle="Chybějící člen realizačního týmu" error="Vámi zadaný člen realizačního týmu není na soupisce týmu.">
          <x14:formula1>
            <xm:f>OFFSET(SKV!$B$85,,,COUNTIF(SKV!$B$85:$B$92, "?*"))</xm:f>
          </x14:formula1>
          <xm:sqref>A47:D47 J47:M47 J49:M49</xm:sqref>
        </x14:dataValidation>
        <x14:dataValidation type="list" errorStyle="warning" allowBlank="1" showInputMessage="1" showErrorMessage="1" errorTitle="Chybějící brankář" error="Vámi zadaný brankář není na soupisce týmu.">
          <x14:formula1>
            <xm:f>OFFSET(SKV!$B$39,,,COUNTIF(SKV!$B$39:$B$45, "?*"))</xm:f>
          </x14:formula1>
          <xm:sqref>A34:D34 A40:D40</xm:sqref>
        </x14:dataValidation>
        <x14:dataValidation type="list" errorStyle="warning" allowBlank="1" showErrorMessage="1" errorTitle="Chybějící hráč" error="Vámi zadaný hráč není na soupisce týmu.">
          <x14:formula1>
            <xm:f>OFFSET(CHO!$B$48,,,COUNTIF(CHO!$B$48:$B$82, "?*"))</xm:f>
          </x14:formula1>
          <xm:sqref>AB42:AH42 AB38:AH38 AB34:AH34 AE28:AH28 S28:V28 Y25:AB25 S23:V23 AE23:AH23 AE17:AH17 S17:V17 Y14:AB14 AE12:AH12 S12:V12 S6:V6 AE6:AH6 AE1:AH1 S1:V1</xm:sqref>
        </x14:dataValidation>
        <x14:dataValidation type="list" errorStyle="warning" allowBlank="1" showErrorMessage="1" errorTitle="Chybějící hráč" error="Vámi zadaný hráč není na soupisce týmu.">
          <x14:formula1>
            <xm:f>OFFSET(CHO!$B$39,,,COUNTIF(CHO!$B$39:$B$45, "?*"))</xm:f>
          </x14:formula1>
          <xm:sqref>S34:V34 S40:V40</xm:sqref>
        </x14:dataValidation>
        <x14:dataValidation type="list" errorStyle="warning" allowBlank="1" showErrorMessage="1" errorTitle="Chybějící člen realizačního týmu" error="Vámi zadaný člen realizačního týmu není na soupisce.">
          <x14:formula1>
            <xm:f>OFFSET(CHO!$B$85,,,COUNTIF(CHO!$B$85:$B$92, "?*"))</xm:f>
          </x14:formula1>
          <xm:sqref>S47:V47 AB47:AE47 AB49:AE49</xm:sqref>
        </x14:dataValidation>
        <x14:dataValidation type="list" errorStyle="warning" allowBlank="1" showErrorMessage="1" errorTitle="Chybějící hráč" error="Vámi zadaný hráč není na soupisce týmu.">
          <x14:formula1>
            <xm:f>OFFSET(VIT!$B$48,,,COUNTIF(VIT!$B$48:$B$82, "?*"))</xm:f>
          </x14:formula1>
          <xm:sqref>AK1:AN1 AW1:AZ1 AQ3:AT3 AK6:AN6 AW6:AZ6 AW12:AZ12 AK12:AN12 AQ14:AT14 AW17:AZ17 AK17:AN17 AK23:AN23 AK28:AN28 AQ25:AT25 AW23:AZ23 AW28:AZ28 AT34:AZ34 AT38:AZ38 AT42:AZ42</xm:sqref>
        </x14:dataValidation>
        <x14:dataValidation type="list" errorStyle="warning" allowBlank="1" showErrorMessage="1" errorTitle="Chybějící člen realizačního týmu" error="Vámi zadaný člen realizačního týmu není na soupisce.">
          <x14:formula1>
            <xm:f>OFFSET(VIT!$B$85,,,COUNTIF(VIT!$B$85:$B$92,"?*"))</xm:f>
          </x14:formula1>
          <xm:sqref>AK47:AN47 AT47:AW47 AT49:AW49</xm:sqref>
        </x14:dataValidation>
        <x14:dataValidation type="list" errorStyle="warning" allowBlank="1" showErrorMessage="1" errorTitle="Chybějící hráč" error="Vámi zadaný hráč není na soupisce týmu.">
          <x14:formula1>
            <xm:f>OFFSET(SKV!$B$48,,,COUNTIF(SKV!$B$48:$B$82, "?*"))</xm:f>
          </x14:formula1>
          <xm:sqref>A1:D1 J42:P42 G3:J3 A6:D6 M6:P6 M12:P12 A12:D12 G14:J14 M17:P17 A17:D17 A23:D23 M23:P23 G25:J25 A28:D28 M28:P28 J34:P34 J38:P38 M1:P1</xm:sqref>
        </x14:dataValidation>
        <x14:dataValidation type="list" errorStyle="warning" allowBlank="1" showErrorMessage="1" errorTitle="Chybějící hráč" error="Vámi zadaný hráč není na soupisce týmu.">
          <x14:formula1>
            <xm:f>OFFSET(MB!$B$48,,,COUNTIF(MB!$B$48:$B$82, "?*"))</xm:f>
          </x14:formula1>
          <xm:sqref>BC1:BF1 BO1:BR1 BI3:BL3 BC6:BF6 BO6:BR6 BO12:BR12 BC12:BF12 BI14:BL14 BO17:BR17 BC17:BF17 BC23:BF23 BO23:BR23 BI25:BL25 BC28:BF28 BO28:BR28 BL34:BR34 BL38:BR38 BL42:BR42</xm:sqref>
        </x14:dataValidation>
        <x14:dataValidation type="list" errorStyle="warning" allowBlank="1" showErrorMessage="1" errorTitle="Chybějící člen realizačního týmu" error="Vámi zadaný člen realizačního týmu není na soupisce týmu.">
          <x14:formula1>
            <xm:f>OFFSET(MB!$B$85,,,COUNTIF(MB!$B$85:$B$92, "?*"))</xm:f>
          </x14:formula1>
          <xm:sqref>BC47:BF47 BL47:BO47 BL49:BO49</xm:sqref>
        </x14:dataValidation>
        <x14:dataValidation type="list" errorStyle="warning" allowBlank="1" showErrorMessage="1" errorTitle="Chybějící brankář" error="Vámi zadaný brankář není na soupisce týmu.">
          <x14:formula1>
            <xm:f>OFFSET(MB!$B$39,,,COUNTIF(MB!$B$39:$B$45, "?*"))</xm:f>
          </x14:formula1>
          <xm:sqref>BC40:BF40 BC34:BF34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B1" sqref="B1"/>
    </sheetView>
  </sheetViews>
  <sheetFormatPr defaultRowHeight="15" x14ac:dyDescent="0.25"/>
  <cols>
    <col min="2" max="2" width="18.85546875" bestFit="1" customWidth="1"/>
  </cols>
  <sheetData>
    <row r="1" spans="1:6" x14ac:dyDescent="0.25">
      <c r="A1" s="288" t="s">
        <v>36</v>
      </c>
      <c r="B1" s="1" t="s">
        <v>413</v>
      </c>
      <c r="C1" s="137">
        <v>29</v>
      </c>
      <c r="D1" s="289" t="str">
        <f t="shared" ref="D1:D5" si="0">IFERROR(RIGHT(B1,LEN(B1)-SEARCH(" ",B1)),"")</f>
        <v>Jiří Curney</v>
      </c>
      <c r="E1" s="289"/>
      <c r="F1" s="131"/>
    </row>
    <row r="2" spans="1:6" x14ac:dyDescent="0.25">
      <c r="A2" s="288"/>
      <c r="B2" s="1" t="s">
        <v>414</v>
      </c>
      <c r="C2" s="137">
        <v>25</v>
      </c>
      <c r="D2" s="289" t="str">
        <f t="shared" si="0"/>
        <v>Jan Natov</v>
      </c>
      <c r="E2" s="289"/>
      <c r="F2" s="131"/>
    </row>
    <row r="3" spans="1:6" x14ac:dyDescent="0.25">
      <c r="A3" s="288"/>
      <c r="B3" s="1" t="s">
        <v>415</v>
      </c>
      <c r="C3" s="137">
        <v>19</v>
      </c>
      <c r="D3" s="289" t="str">
        <f t="shared" si="0"/>
        <v>Jakub Bína</v>
      </c>
      <c r="E3" s="289"/>
      <c r="F3" s="131"/>
    </row>
    <row r="4" spans="1:6" x14ac:dyDescent="0.25">
      <c r="A4" s="288"/>
      <c r="B4" s="1" t="s">
        <v>416</v>
      </c>
      <c r="C4" s="137">
        <v>12</v>
      </c>
      <c r="D4" s="289" t="str">
        <f t="shared" si="0"/>
        <v>Daniel Šebek</v>
      </c>
      <c r="E4" s="289"/>
      <c r="F4" s="131"/>
    </row>
    <row r="5" spans="1:6" x14ac:dyDescent="0.25">
      <c r="A5" s="288"/>
      <c r="B5" s="1" t="s">
        <v>417</v>
      </c>
      <c r="C5" s="137">
        <v>11</v>
      </c>
      <c r="D5" s="289" t="str">
        <f t="shared" si="0"/>
        <v>Martin Tokoš</v>
      </c>
      <c r="E5" s="289"/>
      <c r="F5" s="131"/>
    </row>
    <row r="6" spans="1:6" x14ac:dyDescent="0.25">
      <c r="A6" s="288" t="s">
        <v>35</v>
      </c>
      <c r="B6" s="1" t="s">
        <v>418</v>
      </c>
      <c r="C6" s="137">
        <v>16</v>
      </c>
      <c r="D6" s="289" t="str">
        <f t="shared" ref="D6:D30" si="1">IFERROR(RIGHT(B6,LEN(B6)-SEARCH(" ",B6)),"")</f>
        <v>Jakub Bína</v>
      </c>
      <c r="E6" s="289"/>
      <c r="F6" s="131"/>
    </row>
    <row r="7" spans="1:6" x14ac:dyDescent="0.25">
      <c r="A7" s="288"/>
      <c r="B7" s="1" t="s">
        <v>414</v>
      </c>
      <c r="C7" s="137">
        <v>15</v>
      </c>
      <c r="D7" s="289" t="str">
        <f t="shared" si="1"/>
        <v>Jan Natov</v>
      </c>
      <c r="E7" s="289"/>
      <c r="F7" s="131"/>
    </row>
    <row r="8" spans="1:6" x14ac:dyDescent="0.25">
      <c r="A8" s="288"/>
      <c r="B8" s="1" t="s">
        <v>419</v>
      </c>
      <c r="C8" s="137">
        <v>11</v>
      </c>
      <c r="D8" s="289" t="str">
        <f t="shared" si="1"/>
        <v>Jiří Curney</v>
      </c>
      <c r="E8" s="289"/>
      <c r="F8" s="131"/>
    </row>
    <row r="9" spans="1:6" x14ac:dyDescent="0.25">
      <c r="A9" s="288"/>
      <c r="B9" s="1" t="s">
        <v>420</v>
      </c>
      <c r="C9" s="137">
        <v>10</v>
      </c>
      <c r="D9" s="289" t="str">
        <f t="shared" si="1"/>
        <v>Martin Tokoš</v>
      </c>
      <c r="E9" s="289"/>
      <c r="F9" s="131"/>
    </row>
    <row r="10" spans="1:6" x14ac:dyDescent="0.25">
      <c r="A10" s="288"/>
      <c r="B10" s="1" t="s">
        <v>421</v>
      </c>
      <c r="C10" s="137">
        <v>7</v>
      </c>
      <c r="D10" s="289" t="str">
        <f t="shared" si="1"/>
        <v>Mikuláš Komárek</v>
      </c>
      <c r="E10" s="289"/>
      <c r="F10" s="131"/>
    </row>
    <row r="11" spans="1:6" x14ac:dyDescent="0.25">
      <c r="A11" s="288" t="s">
        <v>37</v>
      </c>
      <c r="B11" s="1" t="s">
        <v>413</v>
      </c>
      <c r="C11" s="137">
        <v>18</v>
      </c>
      <c r="D11" s="289" t="str">
        <f t="shared" si="1"/>
        <v>Jiří Curney</v>
      </c>
      <c r="E11" s="289"/>
      <c r="F11" s="131"/>
    </row>
    <row r="12" spans="1:6" x14ac:dyDescent="0.25">
      <c r="A12" s="288"/>
      <c r="B12" s="1" t="s">
        <v>414</v>
      </c>
      <c r="C12" s="137">
        <v>10</v>
      </c>
      <c r="D12" s="289" t="str">
        <f t="shared" si="1"/>
        <v>Jan Natov</v>
      </c>
      <c r="E12" s="289"/>
      <c r="F12" s="131"/>
    </row>
    <row r="13" spans="1:6" x14ac:dyDescent="0.25">
      <c r="A13" s="288"/>
      <c r="B13" s="1" t="s">
        <v>422</v>
      </c>
      <c r="C13" s="137">
        <v>7</v>
      </c>
      <c r="D13" s="289" t="str">
        <f t="shared" si="1"/>
        <v>Daniel Šebek</v>
      </c>
      <c r="E13" s="289"/>
      <c r="F13" s="131"/>
    </row>
    <row r="14" spans="1:6" x14ac:dyDescent="0.25">
      <c r="A14" s="288"/>
      <c r="B14" s="1" t="s">
        <v>423</v>
      </c>
      <c r="C14" s="137">
        <v>7</v>
      </c>
      <c r="D14" s="289" t="str">
        <f t="shared" si="1"/>
        <v>Milan Tomašík</v>
      </c>
      <c r="E14" s="289"/>
      <c r="F14" s="131"/>
    </row>
    <row r="15" spans="1:6" x14ac:dyDescent="0.25">
      <c r="A15" s="288"/>
      <c r="B15" s="1" t="s">
        <v>424</v>
      </c>
      <c r="C15" s="137">
        <v>7</v>
      </c>
      <c r="D15" s="289" t="str">
        <f t="shared" si="1"/>
        <v>Petr Krzyžanek</v>
      </c>
      <c r="E15" s="289"/>
      <c r="F15" s="131"/>
    </row>
    <row r="16" spans="1:6" x14ac:dyDescent="0.25">
      <c r="A16" s="288" t="s">
        <v>38</v>
      </c>
      <c r="B16" s="1" t="s">
        <v>425</v>
      </c>
      <c r="C16" s="137">
        <v>16</v>
      </c>
      <c r="D16" s="289" t="str">
        <f t="shared" si="1"/>
        <v>Jan Natov</v>
      </c>
      <c r="E16" s="289"/>
      <c r="F16" s="131"/>
    </row>
    <row r="17" spans="1:6" x14ac:dyDescent="0.25">
      <c r="A17" s="288"/>
      <c r="B17" s="1" t="s">
        <v>426</v>
      </c>
      <c r="C17" s="137">
        <v>12</v>
      </c>
      <c r="D17" s="289" t="str">
        <f t="shared" si="1"/>
        <v>Martin Tokoš</v>
      </c>
      <c r="E17" s="289"/>
      <c r="F17" s="131"/>
    </row>
    <row r="18" spans="1:6" x14ac:dyDescent="0.25">
      <c r="A18" s="288"/>
      <c r="B18" s="1" t="s">
        <v>427</v>
      </c>
      <c r="C18" s="137">
        <v>6</v>
      </c>
      <c r="D18" s="289" t="str">
        <f t="shared" si="1"/>
        <v>Jan Řehoř</v>
      </c>
      <c r="E18" s="289"/>
      <c r="F18" s="131"/>
    </row>
    <row r="19" spans="1:6" x14ac:dyDescent="0.25">
      <c r="A19" s="288"/>
      <c r="B19" s="1" t="s">
        <v>428</v>
      </c>
      <c r="C19" s="137">
        <v>4</v>
      </c>
      <c r="D19" s="289" t="str">
        <f t="shared" si="1"/>
        <v>Aleš Höffer</v>
      </c>
      <c r="E19" s="289"/>
      <c r="F19" s="131"/>
    </row>
    <row r="20" spans="1:6" x14ac:dyDescent="0.25">
      <c r="A20" s="288"/>
      <c r="B20" s="1" t="s">
        <v>429</v>
      </c>
      <c r="C20" s="137">
        <v>4</v>
      </c>
      <c r="D20" s="289" t="str">
        <f t="shared" si="1"/>
        <v>Daniel Šebek</v>
      </c>
      <c r="E20" s="289"/>
      <c r="F20" s="131"/>
    </row>
    <row r="21" spans="1:6" x14ac:dyDescent="0.25">
      <c r="A21" s="288" t="s">
        <v>273</v>
      </c>
      <c r="B21" s="1" t="s">
        <v>430</v>
      </c>
      <c r="C21" s="137" t="s">
        <v>431</v>
      </c>
      <c r="D21" s="289" t="str">
        <f t="shared" si="1"/>
        <v>Lukáš Bauer</v>
      </c>
      <c r="E21" s="289"/>
      <c r="F21" s="131">
        <f t="shared" ref="F21:F30" si="2">IF(B21&lt;&gt;0,_xlfn.NUMBERVALUE(C21,","),"")</f>
        <v>3.51</v>
      </c>
    </row>
    <row r="22" spans="1:6" x14ac:dyDescent="0.25">
      <c r="A22" s="288"/>
      <c r="B22" s="1" t="s">
        <v>432</v>
      </c>
      <c r="C22" s="137" t="s">
        <v>433</v>
      </c>
      <c r="D22" s="289" t="str">
        <f t="shared" si="1"/>
        <v>Petr Musil</v>
      </c>
      <c r="E22" s="289"/>
      <c r="F22" s="131">
        <f t="shared" si="2"/>
        <v>4.74</v>
      </c>
    </row>
    <row r="23" spans="1:6" x14ac:dyDescent="0.25">
      <c r="A23" s="288"/>
      <c r="B23" s="1" t="s">
        <v>434</v>
      </c>
      <c r="C23" s="137" t="s">
        <v>435</v>
      </c>
      <c r="D23" s="289" t="str">
        <f t="shared" si="1"/>
        <v>Ondřej Tomšík</v>
      </c>
      <c r="E23" s="289"/>
      <c r="F23" s="131">
        <f t="shared" si="2"/>
        <v>15</v>
      </c>
    </row>
    <row r="24" spans="1:6" x14ac:dyDescent="0.25">
      <c r="A24" s="288"/>
      <c r="B24" s="1"/>
      <c r="C24" s="131"/>
      <c r="D24" s="289" t="str">
        <f t="shared" si="1"/>
        <v/>
      </c>
      <c r="E24" s="289"/>
      <c r="F24" s="131" t="str">
        <f t="shared" si="2"/>
        <v/>
      </c>
    </row>
    <row r="25" spans="1:6" x14ac:dyDescent="0.25">
      <c r="A25" s="288"/>
      <c r="B25" s="1"/>
      <c r="C25" s="131"/>
      <c r="D25" s="289" t="str">
        <f t="shared" si="1"/>
        <v/>
      </c>
      <c r="E25" s="289"/>
      <c r="F25" s="131" t="str">
        <f t="shared" si="2"/>
        <v/>
      </c>
    </row>
    <row r="26" spans="1:6" x14ac:dyDescent="0.25">
      <c r="A26" s="288" t="s">
        <v>253</v>
      </c>
      <c r="B26" s="1" t="s">
        <v>430</v>
      </c>
      <c r="C26" s="137">
        <v>7</v>
      </c>
      <c r="D26" s="289" t="str">
        <f t="shared" si="1"/>
        <v>Lukáš Bauer</v>
      </c>
      <c r="E26" s="289"/>
      <c r="F26" s="131">
        <f t="shared" si="2"/>
        <v>7</v>
      </c>
    </row>
    <row r="27" spans="1:6" x14ac:dyDescent="0.25">
      <c r="A27" s="288"/>
      <c r="B27" s="1" t="s">
        <v>432</v>
      </c>
      <c r="C27" s="137">
        <v>3</v>
      </c>
      <c r="D27" s="289" t="str">
        <f t="shared" si="1"/>
        <v>Petr Musil</v>
      </c>
      <c r="E27" s="289"/>
      <c r="F27" s="131">
        <f t="shared" si="2"/>
        <v>3</v>
      </c>
    </row>
    <row r="28" spans="1:6" x14ac:dyDescent="0.25">
      <c r="A28" s="288"/>
      <c r="B28" s="1" t="s">
        <v>434</v>
      </c>
      <c r="C28" s="137">
        <v>1</v>
      </c>
      <c r="D28" s="289" t="str">
        <f t="shared" si="1"/>
        <v>Ondřej Tomšík</v>
      </c>
      <c r="E28" s="289"/>
      <c r="F28" s="131">
        <f t="shared" si="2"/>
        <v>1</v>
      </c>
    </row>
    <row r="29" spans="1:6" x14ac:dyDescent="0.25">
      <c r="A29" s="288"/>
      <c r="B29" s="1"/>
      <c r="C29" s="131"/>
      <c r="D29" s="289" t="str">
        <f t="shared" si="1"/>
        <v/>
      </c>
      <c r="E29" s="289"/>
      <c r="F29" s="131" t="str">
        <f t="shared" si="2"/>
        <v/>
      </c>
    </row>
    <row r="30" spans="1:6" x14ac:dyDescent="0.25">
      <c r="A30" s="288"/>
      <c r="B30" s="1"/>
      <c r="C30" s="1"/>
      <c r="D30" s="286" t="str">
        <f t="shared" si="1"/>
        <v/>
      </c>
      <c r="E30" s="286"/>
      <c r="F30" s="131" t="str">
        <f t="shared" si="2"/>
        <v/>
      </c>
    </row>
  </sheetData>
  <mergeCells count="36">
    <mergeCell ref="A26:A30"/>
    <mergeCell ref="D26:E26"/>
    <mergeCell ref="D27:E27"/>
    <mergeCell ref="D28:E28"/>
    <mergeCell ref="D29:E29"/>
    <mergeCell ref="D30:E30"/>
    <mergeCell ref="A21:A25"/>
    <mergeCell ref="D21:E21"/>
    <mergeCell ref="D22:E22"/>
    <mergeCell ref="D23:E23"/>
    <mergeCell ref="D24:E24"/>
    <mergeCell ref="D25:E25"/>
    <mergeCell ref="A16:A20"/>
    <mergeCell ref="D16:E16"/>
    <mergeCell ref="D17:E17"/>
    <mergeCell ref="D18:E18"/>
    <mergeCell ref="D19:E19"/>
    <mergeCell ref="D20:E20"/>
    <mergeCell ref="A11:A15"/>
    <mergeCell ref="D11:E11"/>
    <mergeCell ref="D12:E12"/>
    <mergeCell ref="D13:E13"/>
    <mergeCell ref="D14:E14"/>
    <mergeCell ref="D15:E15"/>
    <mergeCell ref="A6:A10"/>
    <mergeCell ref="D6:E6"/>
    <mergeCell ref="D7:E7"/>
    <mergeCell ref="D8:E8"/>
    <mergeCell ref="D9:E9"/>
    <mergeCell ref="D10:E10"/>
    <mergeCell ref="A1:A5"/>
    <mergeCell ref="D1:E1"/>
    <mergeCell ref="D2:E2"/>
    <mergeCell ref="D3:E3"/>
    <mergeCell ref="D4:E4"/>
    <mergeCell ref="D5:E5"/>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5"/>
  <sheetViews>
    <sheetView view="pageLayout" zoomScaleNormal="100" workbookViewId="0">
      <selection activeCell="V2" sqref="V2"/>
    </sheetView>
  </sheetViews>
  <sheetFormatPr defaultRowHeight="15" x14ac:dyDescent="0.25"/>
  <cols>
    <col min="1" max="1" width="3.5703125" style="1" bestFit="1" customWidth="1"/>
    <col min="2" max="2" width="27.85546875" style="1" customWidth="1"/>
    <col min="3" max="14" width="5.28515625" style="1" customWidth="1"/>
    <col min="15" max="15" width="7.140625" style="1" customWidth="1"/>
    <col min="16" max="18" width="5.28515625" style="1" customWidth="1"/>
    <col min="19" max="19" width="7.140625" style="1" customWidth="1"/>
    <col min="20" max="21" width="5.28515625" style="1" customWidth="1"/>
    <col min="22" max="22" width="7.140625" style="1" customWidth="1"/>
    <col min="23" max="25" width="4.28515625" style="1" bestFit="1" customWidth="1"/>
    <col min="26" max="26" width="3.7109375" style="1" bestFit="1" customWidth="1"/>
    <col min="27" max="27" width="4" style="1" bestFit="1" customWidth="1"/>
    <col min="28" max="28" width="6" style="1" bestFit="1" customWidth="1"/>
    <col min="29" max="30" width="4" style="1" bestFit="1" customWidth="1"/>
    <col min="31" max="32" width="5" style="1" bestFit="1" customWidth="1"/>
    <col min="33" max="33" width="3.7109375" style="1" bestFit="1" customWidth="1"/>
    <col min="34" max="16384" width="9.140625" style="1"/>
  </cols>
  <sheetData>
    <row r="1" spans="1:33" s="15" customFormat="1" ht="24" customHeight="1" thickTop="1" thickBot="1" x14ac:dyDescent="0.3">
      <c r="A1" s="17" t="s">
        <v>64</v>
      </c>
      <c r="B1" s="18" t="s">
        <v>128</v>
      </c>
      <c r="C1" s="18" t="s">
        <v>89</v>
      </c>
      <c r="D1" s="18" t="s">
        <v>41</v>
      </c>
      <c r="E1" s="18" t="s">
        <v>129</v>
      </c>
      <c r="F1" s="18" t="s">
        <v>130</v>
      </c>
      <c r="G1" s="18" t="s">
        <v>42</v>
      </c>
      <c r="H1" s="19" t="s">
        <v>36</v>
      </c>
      <c r="I1" s="18" t="s">
        <v>131</v>
      </c>
      <c r="J1" s="18" t="s">
        <v>69</v>
      </c>
      <c r="K1" s="18" t="s">
        <v>132</v>
      </c>
      <c r="L1" s="18" t="s">
        <v>130</v>
      </c>
      <c r="M1" s="18" t="s">
        <v>135</v>
      </c>
      <c r="N1" s="18" t="s">
        <v>136</v>
      </c>
      <c r="O1" s="18" t="s">
        <v>133</v>
      </c>
      <c r="P1" s="18" t="s">
        <v>52</v>
      </c>
      <c r="Q1" s="18" t="s">
        <v>134</v>
      </c>
      <c r="R1" s="18" t="s">
        <v>137</v>
      </c>
      <c r="S1" s="18" t="s">
        <v>138</v>
      </c>
      <c r="T1" s="18" t="s">
        <v>38</v>
      </c>
      <c r="U1" s="18" t="s">
        <v>94</v>
      </c>
      <c r="V1" s="20" t="s">
        <v>142</v>
      </c>
      <c r="AE1" s="16"/>
      <c r="AF1" s="16"/>
      <c r="AG1" s="16"/>
    </row>
    <row r="2" spans="1:33" ht="24" customHeight="1" x14ac:dyDescent="0.25">
      <c r="A2" s="21">
        <v>1</v>
      </c>
      <c r="B2" s="22" t="str">
        <f>B26</f>
        <v>1. SC TEMPISH Vítkovice</v>
      </c>
      <c r="C2" s="23">
        <f t="shared" ref="C2:K2" si="0">C26</f>
        <v>16</v>
      </c>
      <c r="D2" s="23">
        <f t="shared" si="0"/>
        <v>14</v>
      </c>
      <c r="E2" s="23">
        <f t="shared" si="0"/>
        <v>0</v>
      </c>
      <c r="F2" s="23">
        <f t="shared" si="0"/>
        <v>1</v>
      </c>
      <c r="G2" s="23">
        <f t="shared" si="0"/>
        <v>1</v>
      </c>
      <c r="H2" s="24">
        <f t="shared" si="0"/>
        <v>43</v>
      </c>
      <c r="I2" s="23">
        <f>I26</f>
        <v>142</v>
      </c>
      <c r="J2" s="23">
        <f t="shared" si="0"/>
        <v>68</v>
      </c>
      <c r="K2" s="23">
        <f t="shared" si="0"/>
        <v>74</v>
      </c>
      <c r="L2" s="23">
        <f>L26</f>
        <v>26</v>
      </c>
      <c r="M2" s="23">
        <f t="shared" ref="M2:R2" si="1">M26</f>
        <v>10</v>
      </c>
      <c r="N2" s="23">
        <f t="shared" si="1"/>
        <v>1</v>
      </c>
      <c r="O2" s="25">
        <f t="shared" si="1"/>
        <v>38.46</v>
      </c>
      <c r="P2" s="23">
        <f t="shared" si="1"/>
        <v>19</v>
      </c>
      <c r="Q2" s="23">
        <f t="shared" si="1"/>
        <v>6</v>
      </c>
      <c r="R2" s="23">
        <f t="shared" si="1"/>
        <v>0</v>
      </c>
      <c r="S2" s="25">
        <f>S26</f>
        <v>68.42</v>
      </c>
      <c r="T2" s="23">
        <f>Z26</f>
        <v>40</v>
      </c>
      <c r="U2" s="23">
        <f t="shared" ref="U2:V2" si="2">AA26</f>
        <v>493</v>
      </c>
      <c r="V2" s="26">
        <f t="shared" si="2"/>
        <v>28.8</v>
      </c>
    </row>
    <row r="3" spans="1:33" s="14" customFormat="1" ht="24" customHeight="1" x14ac:dyDescent="0.25">
      <c r="A3" s="27">
        <v>2</v>
      </c>
      <c r="B3" s="28" t="str">
        <f t="shared" ref="B3:K3" si="3">B27</f>
        <v>Předvýběr.CZ Florbal MB</v>
      </c>
      <c r="C3" s="29">
        <f t="shared" si="3"/>
        <v>11</v>
      </c>
      <c r="D3" s="29">
        <f t="shared" si="3"/>
        <v>10</v>
      </c>
      <c r="E3" s="29">
        <f t="shared" si="3"/>
        <v>1</v>
      </c>
      <c r="F3" s="29">
        <f t="shared" si="3"/>
        <v>0</v>
      </c>
      <c r="G3" s="29">
        <f t="shared" si="3"/>
        <v>1</v>
      </c>
      <c r="H3" s="24">
        <f t="shared" si="3"/>
        <v>32</v>
      </c>
      <c r="I3" s="29">
        <f t="shared" si="3"/>
        <v>104</v>
      </c>
      <c r="J3" s="29">
        <f t="shared" si="3"/>
        <v>51</v>
      </c>
      <c r="K3" s="29">
        <f t="shared" si="3"/>
        <v>53</v>
      </c>
      <c r="L3" s="29">
        <f t="shared" ref="L3:S3" si="4">L27</f>
        <v>18</v>
      </c>
      <c r="M3" s="29">
        <f t="shared" si="4"/>
        <v>7</v>
      </c>
      <c r="N3" s="29">
        <f t="shared" si="4"/>
        <v>0</v>
      </c>
      <c r="O3" s="30">
        <f t="shared" si="4"/>
        <v>38.89</v>
      </c>
      <c r="P3" s="29">
        <f t="shared" si="4"/>
        <v>23</v>
      </c>
      <c r="Q3" s="29">
        <f t="shared" si="4"/>
        <v>6</v>
      </c>
      <c r="R3" s="29">
        <f t="shared" si="4"/>
        <v>1</v>
      </c>
      <c r="S3" s="30">
        <f t="shared" si="4"/>
        <v>73.91</v>
      </c>
      <c r="T3" s="29">
        <f t="shared" ref="T3:T15" si="5">Z27</f>
        <v>58</v>
      </c>
      <c r="U3" s="29">
        <f t="shared" ref="U3:U15" si="6">AA27</f>
        <v>341</v>
      </c>
      <c r="V3" s="31">
        <f t="shared" ref="V3:V15" si="7">AB27</f>
        <v>30.5</v>
      </c>
    </row>
    <row r="4" spans="1:33" ht="24" customHeight="1" x14ac:dyDescent="0.25">
      <c r="A4" s="21">
        <v>3</v>
      </c>
      <c r="B4" s="22" t="str">
        <f t="shared" ref="B4:K4" si="8">B28</f>
        <v>Tatran Teka Střešovice</v>
      </c>
      <c r="C4" s="23">
        <f t="shared" si="8"/>
        <v>14</v>
      </c>
      <c r="D4" s="23">
        <f t="shared" si="8"/>
        <v>10</v>
      </c>
      <c r="E4" s="23">
        <f t="shared" si="8"/>
        <v>1</v>
      </c>
      <c r="F4" s="23">
        <f t="shared" si="8"/>
        <v>0</v>
      </c>
      <c r="G4" s="23">
        <f t="shared" si="8"/>
        <v>3</v>
      </c>
      <c r="H4" s="24">
        <f t="shared" si="8"/>
        <v>32</v>
      </c>
      <c r="I4" s="23">
        <f t="shared" si="8"/>
        <v>110</v>
      </c>
      <c r="J4" s="23">
        <f t="shared" si="8"/>
        <v>62</v>
      </c>
      <c r="K4" s="23">
        <f t="shared" si="8"/>
        <v>48</v>
      </c>
      <c r="L4" s="23">
        <f t="shared" ref="L4:S4" si="9">L28</f>
        <v>41</v>
      </c>
      <c r="M4" s="23">
        <f t="shared" si="9"/>
        <v>19</v>
      </c>
      <c r="N4" s="23">
        <f t="shared" si="9"/>
        <v>1</v>
      </c>
      <c r="O4" s="25">
        <f t="shared" si="9"/>
        <v>46.34</v>
      </c>
      <c r="P4" s="23">
        <f t="shared" si="9"/>
        <v>27</v>
      </c>
      <c r="Q4" s="23">
        <f t="shared" si="9"/>
        <v>6</v>
      </c>
      <c r="R4" s="23">
        <f t="shared" si="9"/>
        <v>0</v>
      </c>
      <c r="S4" s="25">
        <f t="shared" si="9"/>
        <v>77.78</v>
      </c>
      <c r="T4" s="23">
        <f t="shared" si="5"/>
        <v>64</v>
      </c>
      <c r="U4" s="23">
        <f t="shared" si="6"/>
        <v>445</v>
      </c>
      <c r="V4" s="26">
        <f t="shared" si="7"/>
        <v>24.72</v>
      </c>
    </row>
    <row r="5" spans="1:33" s="14" customFormat="1" ht="24" customHeight="1" x14ac:dyDescent="0.25">
      <c r="A5" s="27">
        <v>4</v>
      </c>
      <c r="B5" s="28" t="str">
        <f t="shared" ref="B5:K5" si="10">B29</f>
        <v>FbŠ Bohemians</v>
      </c>
      <c r="C5" s="29">
        <f t="shared" si="10"/>
        <v>13</v>
      </c>
      <c r="D5" s="29">
        <f t="shared" si="10"/>
        <v>8</v>
      </c>
      <c r="E5" s="29">
        <f t="shared" si="10"/>
        <v>1</v>
      </c>
      <c r="F5" s="29">
        <f t="shared" si="10"/>
        <v>1</v>
      </c>
      <c r="G5" s="29">
        <f t="shared" si="10"/>
        <v>3</v>
      </c>
      <c r="H5" s="24">
        <f t="shared" si="10"/>
        <v>27</v>
      </c>
      <c r="I5" s="29">
        <f t="shared" si="10"/>
        <v>105</v>
      </c>
      <c r="J5" s="29">
        <f t="shared" si="10"/>
        <v>72</v>
      </c>
      <c r="K5" s="29">
        <f t="shared" si="10"/>
        <v>33</v>
      </c>
      <c r="L5" s="29">
        <f t="shared" ref="L5:S5" si="11">L29</f>
        <v>45</v>
      </c>
      <c r="M5" s="29">
        <f t="shared" si="11"/>
        <v>23</v>
      </c>
      <c r="N5" s="29">
        <f t="shared" si="11"/>
        <v>3</v>
      </c>
      <c r="O5" s="30">
        <f t="shared" si="11"/>
        <v>51.11</v>
      </c>
      <c r="P5" s="29">
        <f t="shared" si="11"/>
        <v>21</v>
      </c>
      <c r="Q5" s="29">
        <f t="shared" si="11"/>
        <v>2</v>
      </c>
      <c r="R5" s="29">
        <f t="shared" si="11"/>
        <v>2</v>
      </c>
      <c r="S5" s="30">
        <f t="shared" si="11"/>
        <v>90.48</v>
      </c>
      <c r="T5" s="29">
        <f t="shared" si="5"/>
        <v>52</v>
      </c>
      <c r="U5" s="29">
        <f t="shared" si="6"/>
        <v>401</v>
      </c>
      <c r="V5" s="31">
        <f t="shared" si="7"/>
        <v>26.18</v>
      </c>
    </row>
    <row r="6" spans="1:33" ht="24" customHeight="1" x14ac:dyDescent="0.25">
      <c r="A6" s="21">
        <v>5</v>
      </c>
      <c r="B6" s="22" t="str">
        <f t="shared" ref="B6:K6" si="12">B30</f>
        <v>FAT PIPE FLORBAL CHODOV</v>
      </c>
      <c r="C6" s="23">
        <f t="shared" si="12"/>
        <v>12</v>
      </c>
      <c r="D6" s="23">
        <f t="shared" si="12"/>
        <v>8</v>
      </c>
      <c r="E6" s="23">
        <f t="shared" si="12"/>
        <v>0</v>
      </c>
      <c r="F6" s="23">
        <f t="shared" si="12"/>
        <v>1</v>
      </c>
      <c r="G6" s="23">
        <f t="shared" si="12"/>
        <v>3</v>
      </c>
      <c r="H6" s="24">
        <f t="shared" si="12"/>
        <v>25</v>
      </c>
      <c r="I6" s="23">
        <f t="shared" si="12"/>
        <v>78</v>
      </c>
      <c r="J6" s="23">
        <f t="shared" si="12"/>
        <v>72</v>
      </c>
      <c r="K6" s="23">
        <f t="shared" si="12"/>
        <v>6</v>
      </c>
      <c r="L6" s="23">
        <f t="shared" ref="L6:S6" si="13">L30</f>
        <v>23</v>
      </c>
      <c r="M6" s="23">
        <f t="shared" si="13"/>
        <v>8</v>
      </c>
      <c r="N6" s="23">
        <f t="shared" si="13"/>
        <v>0</v>
      </c>
      <c r="O6" s="25">
        <f t="shared" si="13"/>
        <v>34.78</v>
      </c>
      <c r="P6" s="23">
        <f t="shared" si="13"/>
        <v>23</v>
      </c>
      <c r="Q6" s="23">
        <f t="shared" si="13"/>
        <v>10</v>
      </c>
      <c r="R6" s="23">
        <f t="shared" si="13"/>
        <v>0</v>
      </c>
      <c r="S6" s="25">
        <f t="shared" si="13"/>
        <v>56.52</v>
      </c>
      <c r="T6" s="23">
        <f t="shared" si="5"/>
        <v>58</v>
      </c>
      <c r="U6" s="23">
        <f t="shared" si="6"/>
        <v>366</v>
      </c>
      <c r="V6" s="26">
        <f t="shared" si="7"/>
        <v>21.31</v>
      </c>
    </row>
    <row r="7" spans="1:33" s="14" customFormat="1" ht="24" customHeight="1" x14ac:dyDescent="0.25">
      <c r="A7" s="27">
        <v>6</v>
      </c>
      <c r="B7" s="28" t="str">
        <f t="shared" ref="B7:K7" si="14">B31</f>
        <v>FBC ČPP OSTRAVA</v>
      </c>
      <c r="C7" s="29">
        <f t="shared" si="14"/>
        <v>15</v>
      </c>
      <c r="D7" s="29">
        <f t="shared" si="14"/>
        <v>7</v>
      </c>
      <c r="E7" s="29">
        <f t="shared" si="14"/>
        <v>2</v>
      </c>
      <c r="F7" s="29">
        <f t="shared" si="14"/>
        <v>0</v>
      </c>
      <c r="G7" s="29">
        <f t="shared" si="14"/>
        <v>6</v>
      </c>
      <c r="H7" s="24">
        <f t="shared" si="14"/>
        <v>25</v>
      </c>
      <c r="I7" s="29">
        <f t="shared" si="14"/>
        <v>87</v>
      </c>
      <c r="J7" s="29">
        <f t="shared" si="14"/>
        <v>87</v>
      </c>
      <c r="K7" s="29">
        <f t="shared" si="14"/>
        <v>0</v>
      </c>
      <c r="L7" s="29">
        <f t="shared" ref="L7:S7" si="15">L31</f>
        <v>29</v>
      </c>
      <c r="M7" s="29">
        <f t="shared" si="15"/>
        <v>8</v>
      </c>
      <c r="N7" s="29">
        <f t="shared" si="15"/>
        <v>1</v>
      </c>
      <c r="O7" s="30">
        <f t="shared" si="15"/>
        <v>27.59</v>
      </c>
      <c r="P7" s="29">
        <f t="shared" si="15"/>
        <v>35</v>
      </c>
      <c r="Q7" s="29">
        <f t="shared" si="15"/>
        <v>11</v>
      </c>
      <c r="R7" s="29">
        <f t="shared" si="15"/>
        <v>2</v>
      </c>
      <c r="S7" s="30">
        <f t="shared" si="15"/>
        <v>68.569999999999993</v>
      </c>
      <c r="T7" s="29">
        <f t="shared" si="5"/>
        <v>72</v>
      </c>
      <c r="U7" s="29">
        <f t="shared" si="6"/>
        <v>384</v>
      </c>
      <c r="V7" s="31">
        <f t="shared" si="7"/>
        <v>22.66</v>
      </c>
    </row>
    <row r="8" spans="1:33" ht="24" customHeight="1" x14ac:dyDescent="0.25">
      <c r="A8" s="21">
        <v>7</v>
      </c>
      <c r="B8" s="22" t="str">
        <f t="shared" ref="B8:K8" si="16">B32</f>
        <v>ACEMA Sparta Praha</v>
      </c>
      <c r="C8" s="23">
        <f t="shared" si="16"/>
        <v>12</v>
      </c>
      <c r="D8" s="23">
        <f t="shared" si="16"/>
        <v>7</v>
      </c>
      <c r="E8" s="23">
        <f t="shared" si="16"/>
        <v>0</v>
      </c>
      <c r="F8" s="23">
        <f t="shared" si="16"/>
        <v>0</v>
      </c>
      <c r="G8" s="23">
        <f t="shared" si="16"/>
        <v>5</v>
      </c>
      <c r="H8" s="24">
        <f t="shared" si="16"/>
        <v>21</v>
      </c>
      <c r="I8" s="23">
        <f t="shared" si="16"/>
        <v>80</v>
      </c>
      <c r="J8" s="23">
        <f t="shared" si="16"/>
        <v>64</v>
      </c>
      <c r="K8" s="23">
        <f t="shared" si="16"/>
        <v>16</v>
      </c>
      <c r="L8" s="23">
        <f t="shared" ref="L8:S8" si="17">L32</f>
        <v>21</v>
      </c>
      <c r="M8" s="23">
        <f t="shared" si="17"/>
        <v>11</v>
      </c>
      <c r="N8" s="23">
        <f t="shared" si="17"/>
        <v>0</v>
      </c>
      <c r="O8" s="25">
        <f t="shared" si="17"/>
        <v>52.38</v>
      </c>
      <c r="P8" s="23">
        <f t="shared" si="17"/>
        <v>29</v>
      </c>
      <c r="Q8" s="23">
        <f t="shared" si="17"/>
        <v>11</v>
      </c>
      <c r="R8" s="23">
        <f t="shared" si="17"/>
        <v>2</v>
      </c>
      <c r="S8" s="25">
        <f t="shared" si="17"/>
        <v>62.07</v>
      </c>
      <c r="T8" s="23">
        <f t="shared" si="5"/>
        <v>72</v>
      </c>
      <c r="U8" s="23">
        <f t="shared" si="6"/>
        <v>329</v>
      </c>
      <c r="V8" s="26">
        <f t="shared" si="7"/>
        <v>24.32</v>
      </c>
    </row>
    <row r="9" spans="1:33" s="14" customFormat="1" ht="24" customHeight="1" x14ac:dyDescent="0.25">
      <c r="A9" s="27">
        <v>8</v>
      </c>
      <c r="B9" s="28" t="str">
        <f t="shared" ref="B9:K9" si="18">B33</f>
        <v>BLACK ANGELS</v>
      </c>
      <c r="C9" s="29">
        <f t="shared" si="18"/>
        <v>15</v>
      </c>
      <c r="D9" s="29">
        <f t="shared" si="18"/>
        <v>5</v>
      </c>
      <c r="E9" s="29">
        <f t="shared" si="18"/>
        <v>2</v>
      </c>
      <c r="F9" s="29">
        <f t="shared" si="18"/>
        <v>0</v>
      </c>
      <c r="G9" s="29">
        <f t="shared" si="18"/>
        <v>9</v>
      </c>
      <c r="H9" s="24">
        <f t="shared" si="18"/>
        <v>19</v>
      </c>
      <c r="I9" s="29">
        <f t="shared" si="18"/>
        <v>92</v>
      </c>
      <c r="J9" s="29">
        <f t="shared" si="18"/>
        <v>121</v>
      </c>
      <c r="K9" s="29">
        <f t="shared" si="18"/>
        <v>-29</v>
      </c>
      <c r="L9" s="29">
        <f t="shared" ref="L9:S9" si="19">L33</f>
        <v>34</v>
      </c>
      <c r="M9" s="29">
        <f t="shared" si="19"/>
        <v>7</v>
      </c>
      <c r="N9" s="29">
        <f t="shared" si="19"/>
        <v>1</v>
      </c>
      <c r="O9" s="30">
        <f t="shared" si="19"/>
        <v>20.59</v>
      </c>
      <c r="P9" s="29">
        <f t="shared" si="19"/>
        <v>32</v>
      </c>
      <c r="Q9" s="29">
        <f t="shared" si="19"/>
        <v>16</v>
      </c>
      <c r="R9" s="29">
        <f t="shared" si="19"/>
        <v>1</v>
      </c>
      <c r="S9" s="30">
        <f t="shared" si="19"/>
        <v>50</v>
      </c>
      <c r="T9" s="29">
        <f t="shared" si="5"/>
        <v>70</v>
      </c>
      <c r="U9" s="29">
        <f t="shared" si="6"/>
        <v>385</v>
      </c>
      <c r="V9" s="31">
        <f t="shared" si="7"/>
        <v>23.9</v>
      </c>
    </row>
    <row r="10" spans="1:33" ht="24" customHeight="1" x14ac:dyDescent="0.25">
      <c r="A10" s="32">
        <v>9</v>
      </c>
      <c r="B10" s="22" t="str">
        <f t="shared" ref="B10:K10" si="20">B34</f>
        <v>FBC Liberec</v>
      </c>
      <c r="C10" s="23">
        <f t="shared" si="20"/>
        <v>13</v>
      </c>
      <c r="D10" s="23">
        <f t="shared" si="20"/>
        <v>4</v>
      </c>
      <c r="E10" s="23">
        <f t="shared" si="20"/>
        <v>1</v>
      </c>
      <c r="F10" s="23">
        <f t="shared" si="20"/>
        <v>0</v>
      </c>
      <c r="G10" s="23">
        <f t="shared" si="20"/>
        <v>8</v>
      </c>
      <c r="H10" s="24">
        <f t="shared" si="20"/>
        <v>14</v>
      </c>
      <c r="I10" s="23">
        <f t="shared" si="20"/>
        <v>73</v>
      </c>
      <c r="J10" s="23">
        <f t="shared" si="20"/>
        <v>90</v>
      </c>
      <c r="K10" s="23">
        <f t="shared" si="20"/>
        <v>-17</v>
      </c>
      <c r="L10" s="23">
        <f t="shared" ref="L10:S10" si="21">L34</f>
        <v>21</v>
      </c>
      <c r="M10" s="23">
        <f t="shared" si="21"/>
        <v>9</v>
      </c>
      <c r="N10" s="23">
        <f t="shared" si="21"/>
        <v>2</v>
      </c>
      <c r="O10" s="25">
        <f t="shared" si="21"/>
        <v>42.86</v>
      </c>
      <c r="P10" s="23">
        <f t="shared" si="21"/>
        <v>21</v>
      </c>
      <c r="Q10" s="23">
        <f t="shared" si="21"/>
        <v>7</v>
      </c>
      <c r="R10" s="23">
        <f t="shared" si="21"/>
        <v>1</v>
      </c>
      <c r="S10" s="25">
        <f t="shared" si="21"/>
        <v>66.67</v>
      </c>
      <c r="T10" s="23">
        <f t="shared" si="5"/>
        <v>52</v>
      </c>
      <c r="U10" s="23">
        <f t="shared" si="6"/>
        <v>308</v>
      </c>
      <c r="V10" s="26">
        <f t="shared" si="7"/>
        <v>23.7</v>
      </c>
    </row>
    <row r="11" spans="1:33" s="14" customFormat="1" ht="24" customHeight="1" x14ac:dyDescent="0.25">
      <c r="A11" s="33">
        <v>10</v>
      </c>
      <c r="B11" s="28" t="str">
        <f t="shared" ref="B11:K11" si="22">B35</f>
        <v>FBŠ Hummel Hattrick Brno</v>
      </c>
      <c r="C11" s="29">
        <f t="shared" si="22"/>
        <v>15</v>
      </c>
      <c r="D11" s="29">
        <f t="shared" si="22"/>
        <v>3</v>
      </c>
      <c r="E11" s="29">
        <f t="shared" si="22"/>
        <v>0</v>
      </c>
      <c r="F11" s="29">
        <f t="shared" si="22"/>
        <v>2</v>
      </c>
      <c r="G11" s="29">
        <f t="shared" si="22"/>
        <v>10</v>
      </c>
      <c r="H11" s="24">
        <f t="shared" si="22"/>
        <v>11</v>
      </c>
      <c r="I11" s="29">
        <f t="shared" si="22"/>
        <v>57</v>
      </c>
      <c r="J11" s="29">
        <f t="shared" si="22"/>
        <v>88</v>
      </c>
      <c r="K11" s="29">
        <f t="shared" si="22"/>
        <v>-31</v>
      </c>
      <c r="L11" s="29">
        <f t="shared" ref="L11:S11" si="23">L35</f>
        <v>26</v>
      </c>
      <c r="M11" s="29">
        <f t="shared" si="23"/>
        <v>15</v>
      </c>
      <c r="N11" s="29">
        <f t="shared" si="23"/>
        <v>2</v>
      </c>
      <c r="O11" s="30">
        <f t="shared" si="23"/>
        <v>57.69</v>
      </c>
      <c r="P11" s="29">
        <f t="shared" si="23"/>
        <v>28</v>
      </c>
      <c r="Q11" s="29">
        <f t="shared" si="23"/>
        <v>12</v>
      </c>
      <c r="R11" s="29">
        <f t="shared" si="23"/>
        <v>1</v>
      </c>
      <c r="S11" s="30">
        <f t="shared" si="23"/>
        <v>57.14</v>
      </c>
      <c r="T11" s="29">
        <f t="shared" si="5"/>
        <v>94</v>
      </c>
      <c r="U11" s="29">
        <f t="shared" si="6"/>
        <v>282</v>
      </c>
      <c r="V11" s="31">
        <f t="shared" si="7"/>
        <v>20.21</v>
      </c>
    </row>
    <row r="12" spans="1:33" ht="24" customHeight="1" x14ac:dyDescent="0.25">
      <c r="A12" s="34">
        <v>11</v>
      </c>
      <c r="B12" s="22" t="str">
        <f t="shared" ref="B12:K12" si="24">B36</f>
        <v>FBC 4CLEAN Česká Lípa</v>
      </c>
      <c r="C12" s="23">
        <f t="shared" si="24"/>
        <v>16</v>
      </c>
      <c r="D12" s="23">
        <f t="shared" si="24"/>
        <v>3</v>
      </c>
      <c r="E12" s="23">
        <f t="shared" si="24"/>
        <v>1</v>
      </c>
      <c r="F12" s="23">
        <f t="shared" si="24"/>
        <v>0</v>
      </c>
      <c r="G12" s="23">
        <f t="shared" si="24"/>
        <v>12</v>
      </c>
      <c r="H12" s="24">
        <f t="shared" si="24"/>
        <v>11</v>
      </c>
      <c r="I12" s="23">
        <f t="shared" si="24"/>
        <v>89</v>
      </c>
      <c r="J12" s="23">
        <f t="shared" si="24"/>
        <v>145</v>
      </c>
      <c r="K12" s="23">
        <f t="shared" si="24"/>
        <v>-56</v>
      </c>
      <c r="L12" s="23">
        <f t="shared" ref="L12:S12" si="25">L36</f>
        <v>15</v>
      </c>
      <c r="M12" s="23">
        <f t="shared" si="25"/>
        <v>5</v>
      </c>
      <c r="N12" s="23">
        <f t="shared" si="25"/>
        <v>0</v>
      </c>
      <c r="O12" s="25">
        <f t="shared" si="25"/>
        <v>33.33</v>
      </c>
      <c r="P12" s="23">
        <f t="shared" si="25"/>
        <v>31</v>
      </c>
      <c r="Q12" s="23">
        <f t="shared" si="25"/>
        <v>19</v>
      </c>
      <c r="R12" s="23">
        <f t="shared" si="25"/>
        <v>1</v>
      </c>
      <c r="S12" s="25">
        <f t="shared" si="25"/>
        <v>38.71</v>
      </c>
      <c r="T12" s="23">
        <f t="shared" si="5"/>
        <v>86</v>
      </c>
      <c r="U12" s="23">
        <f t="shared" si="6"/>
        <v>322</v>
      </c>
      <c r="V12" s="26">
        <f t="shared" si="7"/>
        <v>27.64</v>
      </c>
    </row>
    <row r="13" spans="1:33" s="14" customFormat="1" ht="24" customHeight="1" x14ac:dyDescent="0.25">
      <c r="A13" s="35">
        <v>12</v>
      </c>
      <c r="B13" s="28" t="str">
        <f t="shared" ref="B13:K13" si="26">B37</f>
        <v>SOKOLI Pardubice</v>
      </c>
      <c r="C13" s="29">
        <f t="shared" si="26"/>
        <v>11</v>
      </c>
      <c r="D13" s="29">
        <f t="shared" si="26"/>
        <v>3</v>
      </c>
      <c r="E13" s="29">
        <f t="shared" si="26"/>
        <v>0</v>
      </c>
      <c r="F13" s="29">
        <f t="shared" si="26"/>
        <v>1</v>
      </c>
      <c r="G13" s="29">
        <f t="shared" si="26"/>
        <v>7</v>
      </c>
      <c r="H13" s="24">
        <f t="shared" si="26"/>
        <v>10</v>
      </c>
      <c r="I13" s="29">
        <f t="shared" si="26"/>
        <v>54</v>
      </c>
      <c r="J13" s="29">
        <f t="shared" si="26"/>
        <v>91</v>
      </c>
      <c r="K13" s="29">
        <f t="shared" si="26"/>
        <v>-37</v>
      </c>
      <c r="L13" s="29">
        <f t="shared" ref="L13:S13" si="27">L37</f>
        <v>19</v>
      </c>
      <c r="M13" s="29">
        <f t="shared" si="27"/>
        <v>2</v>
      </c>
      <c r="N13" s="29">
        <f t="shared" si="27"/>
        <v>1</v>
      </c>
      <c r="O13" s="30">
        <f t="shared" si="27"/>
        <v>10.53</v>
      </c>
      <c r="P13" s="29">
        <f t="shared" si="27"/>
        <v>26</v>
      </c>
      <c r="Q13" s="29">
        <f t="shared" si="27"/>
        <v>11</v>
      </c>
      <c r="R13" s="29">
        <f t="shared" si="27"/>
        <v>1</v>
      </c>
      <c r="S13" s="30">
        <f t="shared" si="27"/>
        <v>57.69</v>
      </c>
      <c r="T13" s="29">
        <f t="shared" si="5"/>
        <v>58</v>
      </c>
      <c r="U13" s="29">
        <f t="shared" si="6"/>
        <v>242</v>
      </c>
      <c r="V13" s="31">
        <f t="shared" si="7"/>
        <v>22.31</v>
      </c>
    </row>
    <row r="14" spans="1:33" ht="24" customHeight="1" x14ac:dyDescent="0.25">
      <c r="A14" s="34">
        <v>13</v>
      </c>
      <c r="B14" s="22" t="str">
        <f t="shared" ref="B14:K14" si="28">B38</f>
        <v>Hu-Fa PANTHERS OTROKOVICE</v>
      </c>
      <c r="C14" s="23">
        <f t="shared" si="28"/>
        <v>13</v>
      </c>
      <c r="D14" s="23">
        <f t="shared" si="28"/>
        <v>2</v>
      </c>
      <c r="E14" s="23">
        <f t="shared" si="28"/>
        <v>0</v>
      </c>
      <c r="F14" s="23">
        <f t="shared" si="28"/>
        <v>2</v>
      </c>
      <c r="G14" s="23">
        <f t="shared" si="28"/>
        <v>9</v>
      </c>
      <c r="H14" s="24">
        <f t="shared" si="28"/>
        <v>8</v>
      </c>
      <c r="I14" s="23">
        <f t="shared" si="28"/>
        <v>51</v>
      </c>
      <c r="J14" s="23">
        <f t="shared" si="28"/>
        <v>85</v>
      </c>
      <c r="K14" s="23">
        <f t="shared" si="28"/>
        <v>-34</v>
      </c>
      <c r="L14" s="23">
        <f t="shared" ref="L14:S14" si="29">L38</f>
        <v>26</v>
      </c>
      <c r="M14" s="23">
        <f t="shared" si="29"/>
        <v>8</v>
      </c>
      <c r="N14" s="23">
        <f t="shared" si="29"/>
        <v>0</v>
      </c>
      <c r="O14" s="25">
        <f t="shared" si="29"/>
        <v>30.77</v>
      </c>
      <c r="P14" s="23">
        <f t="shared" si="29"/>
        <v>32</v>
      </c>
      <c r="Q14" s="23">
        <f t="shared" si="29"/>
        <v>12</v>
      </c>
      <c r="R14" s="23">
        <f t="shared" si="29"/>
        <v>1</v>
      </c>
      <c r="S14" s="25">
        <f t="shared" si="29"/>
        <v>62.5</v>
      </c>
      <c r="T14" s="23">
        <f t="shared" si="5"/>
        <v>74</v>
      </c>
      <c r="U14" s="23">
        <f t="shared" si="6"/>
        <v>278</v>
      </c>
      <c r="V14" s="26">
        <f t="shared" si="7"/>
        <v>18.350000000000001</v>
      </c>
    </row>
    <row r="15" spans="1:33" s="14" customFormat="1" ht="24" customHeight="1" thickBot="1" x14ac:dyDescent="0.3">
      <c r="A15" s="36">
        <v>14</v>
      </c>
      <c r="B15" s="37" t="str">
        <f t="shared" ref="B15:K15" si="30">B39</f>
        <v>TJ Sokol Královské Vinohrady</v>
      </c>
      <c r="C15" s="38">
        <f t="shared" si="30"/>
        <v>12</v>
      </c>
      <c r="D15" s="38">
        <f t="shared" si="30"/>
        <v>2</v>
      </c>
      <c r="E15" s="38">
        <f t="shared" si="30"/>
        <v>0</v>
      </c>
      <c r="F15" s="38">
        <f t="shared" si="30"/>
        <v>1</v>
      </c>
      <c r="G15" s="38">
        <f t="shared" si="30"/>
        <v>9</v>
      </c>
      <c r="H15" s="39">
        <f t="shared" si="30"/>
        <v>7</v>
      </c>
      <c r="I15" s="38">
        <f t="shared" si="30"/>
        <v>52</v>
      </c>
      <c r="J15" s="38">
        <f t="shared" si="30"/>
        <v>78</v>
      </c>
      <c r="K15" s="38">
        <f t="shared" si="30"/>
        <v>-26</v>
      </c>
      <c r="L15" s="38">
        <f t="shared" ref="L15:S15" si="31">L39</f>
        <v>21</v>
      </c>
      <c r="M15" s="38">
        <f t="shared" si="31"/>
        <v>9</v>
      </c>
      <c r="N15" s="38">
        <f t="shared" si="31"/>
        <v>2</v>
      </c>
      <c r="O15" s="40">
        <f t="shared" si="31"/>
        <v>42.86</v>
      </c>
      <c r="P15" s="38">
        <f t="shared" si="31"/>
        <v>18</v>
      </c>
      <c r="Q15" s="38">
        <f t="shared" si="31"/>
        <v>12</v>
      </c>
      <c r="R15" s="38">
        <f t="shared" si="31"/>
        <v>1</v>
      </c>
      <c r="S15" s="40">
        <f t="shared" si="31"/>
        <v>33.33</v>
      </c>
      <c r="T15" s="38">
        <f t="shared" si="5"/>
        <v>43</v>
      </c>
      <c r="U15" s="38">
        <f t="shared" si="6"/>
        <v>216</v>
      </c>
      <c r="V15" s="41">
        <f t="shared" si="7"/>
        <v>24.07</v>
      </c>
    </row>
    <row r="16" spans="1:33" ht="15.75" thickTop="1" x14ac:dyDescent="0.25"/>
    <row r="25" spans="1:37" s="2" customFormat="1" x14ac:dyDescent="0.25">
      <c r="B25" s="2" t="s">
        <v>128</v>
      </c>
      <c r="C25" s="2" t="s">
        <v>89</v>
      </c>
      <c r="D25" s="2" t="s">
        <v>41</v>
      </c>
      <c r="E25" s="2" t="s">
        <v>129</v>
      </c>
      <c r="F25" s="2" t="s">
        <v>130</v>
      </c>
      <c r="G25" s="2" t="s">
        <v>42</v>
      </c>
      <c r="H25" s="2" t="s">
        <v>36</v>
      </c>
      <c r="I25" s="2" t="s">
        <v>131</v>
      </c>
      <c r="J25" s="2" t="s">
        <v>69</v>
      </c>
      <c r="K25" s="2" t="s">
        <v>132</v>
      </c>
      <c r="L25" s="2" t="s">
        <v>130</v>
      </c>
      <c r="M25" s="2" t="s">
        <v>135</v>
      </c>
      <c r="N25" s="2" t="s">
        <v>136</v>
      </c>
      <c r="O25" s="2" t="s">
        <v>133</v>
      </c>
      <c r="P25" s="2" t="s">
        <v>52</v>
      </c>
      <c r="Q25" s="2" t="s">
        <v>134</v>
      </c>
      <c r="R25" s="2" t="s">
        <v>137</v>
      </c>
      <c r="S25" s="2" t="s">
        <v>138</v>
      </c>
      <c r="T25" s="2">
        <v>2</v>
      </c>
      <c r="U25" s="2">
        <v>5</v>
      </c>
      <c r="V25" s="2">
        <v>10</v>
      </c>
      <c r="W25" s="2" t="s">
        <v>139</v>
      </c>
      <c r="X25" s="2" t="s">
        <v>140</v>
      </c>
      <c r="Y25" s="2" t="s">
        <v>141</v>
      </c>
      <c r="Z25" s="2" t="s">
        <v>38</v>
      </c>
      <c r="AA25" s="2" t="s">
        <v>94</v>
      </c>
      <c r="AB25" s="2" t="s">
        <v>142</v>
      </c>
      <c r="AC25" s="2" t="s">
        <v>143</v>
      </c>
      <c r="AD25" s="2" t="s">
        <v>144</v>
      </c>
      <c r="AE25" s="3" t="s">
        <v>145</v>
      </c>
      <c r="AF25" s="3" t="s">
        <v>146</v>
      </c>
      <c r="AG25" s="3" t="s">
        <v>147</v>
      </c>
      <c r="AH25" s="2" t="s">
        <v>148</v>
      </c>
      <c r="AI25" s="2" t="s">
        <v>149</v>
      </c>
      <c r="AJ25" s="2" t="s">
        <v>150</v>
      </c>
      <c r="AK25" s="2" t="s">
        <v>232</v>
      </c>
    </row>
    <row r="26" spans="1:37" x14ac:dyDescent="0.25">
      <c r="A26" s="290">
        <v>1</v>
      </c>
      <c r="B26" s="1" t="s">
        <v>114</v>
      </c>
      <c r="C26" s="6">
        <v>16</v>
      </c>
      <c r="D26" s="6">
        <v>14</v>
      </c>
      <c r="E26" s="6">
        <v>0</v>
      </c>
      <c r="F26" s="6">
        <v>1</v>
      </c>
      <c r="G26" s="6">
        <v>1</v>
      </c>
      <c r="H26" s="6">
        <v>43</v>
      </c>
      <c r="I26" s="6">
        <v>142</v>
      </c>
      <c r="J26" s="6">
        <v>68</v>
      </c>
      <c r="K26" s="6">
        <v>74</v>
      </c>
      <c r="L26" s="6">
        <v>26</v>
      </c>
      <c r="M26" s="6">
        <v>10</v>
      </c>
      <c r="N26" s="6">
        <v>1</v>
      </c>
      <c r="O26" s="6">
        <v>38.46</v>
      </c>
      <c r="P26" s="6">
        <v>19</v>
      </c>
      <c r="Q26" s="6">
        <v>6</v>
      </c>
      <c r="R26" s="6">
        <v>0</v>
      </c>
      <c r="S26" s="6">
        <v>68.42</v>
      </c>
      <c r="T26" s="6">
        <v>20</v>
      </c>
      <c r="U26" s="6">
        <v>0</v>
      </c>
      <c r="V26" s="6">
        <v>0</v>
      </c>
      <c r="W26" s="6">
        <v>0</v>
      </c>
      <c r="X26" s="6">
        <v>0</v>
      </c>
      <c r="Y26" s="6">
        <v>0</v>
      </c>
      <c r="Z26" s="6">
        <v>40</v>
      </c>
      <c r="AA26" s="6">
        <v>493</v>
      </c>
      <c r="AB26" s="6">
        <v>28.8</v>
      </c>
      <c r="AC26" s="6">
        <v>387</v>
      </c>
      <c r="AD26" s="6">
        <v>357</v>
      </c>
      <c r="AE26" s="6">
        <v>48</v>
      </c>
      <c r="AF26" s="6">
        <v>45</v>
      </c>
      <c r="AG26" s="6">
        <v>29</v>
      </c>
      <c r="AH26" s="6">
        <f>_xlfn.RANK.EQ(O26,$O$26:$O$39,0)</f>
        <v>8</v>
      </c>
      <c r="AI26" s="6">
        <f>_xlfn.RANK.EQ(S26,$S$26:$S$39,0)</f>
        <v>5</v>
      </c>
      <c r="AJ26" s="6">
        <f>_xlfn.RANK.EQ(Z26,$Z$26:$Z$39,0)</f>
        <v>14</v>
      </c>
      <c r="AK26" s="6">
        <f>A26</f>
        <v>1</v>
      </c>
    </row>
    <row r="27" spans="1:37" x14ac:dyDescent="0.25">
      <c r="A27" s="290">
        <v>2</v>
      </c>
      <c r="B27" s="1" t="s">
        <v>115</v>
      </c>
      <c r="C27" s="6">
        <v>11</v>
      </c>
      <c r="D27" s="6">
        <v>10</v>
      </c>
      <c r="E27" s="6">
        <v>1</v>
      </c>
      <c r="F27" s="6">
        <v>0</v>
      </c>
      <c r="G27" s="6">
        <v>1</v>
      </c>
      <c r="H27" s="6">
        <v>32</v>
      </c>
      <c r="I27" s="6">
        <v>104</v>
      </c>
      <c r="J27" s="6">
        <v>51</v>
      </c>
      <c r="K27" s="6">
        <v>53</v>
      </c>
      <c r="L27" s="6">
        <v>18</v>
      </c>
      <c r="M27" s="6">
        <v>7</v>
      </c>
      <c r="N27" s="6">
        <v>0</v>
      </c>
      <c r="O27" s="6">
        <v>38.89</v>
      </c>
      <c r="P27" s="6">
        <v>23</v>
      </c>
      <c r="Q27" s="6">
        <v>6</v>
      </c>
      <c r="R27" s="6">
        <v>1</v>
      </c>
      <c r="S27" s="6">
        <v>73.91</v>
      </c>
      <c r="T27" s="6">
        <v>24</v>
      </c>
      <c r="U27" s="6">
        <v>0</v>
      </c>
      <c r="V27" s="6">
        <v>1</v>
      </c>
      <c r="W27" s="6">
        <v>0</v>
      </c>
      <c r="X27" s="6">
        <v>0</v>
      </c>
      <c r="Y27" s="6">
        <v>0</v>
      </c>
      <c r="Z27" s="6">
        <v>58</v>
      </c>
      <c r="AA27" s="6">
        <v>341</v>
      </c>
      <c r="AB27" s="6">
        <v>30.5</v>
      </c>
      <c r="AC27" s="6">
        <v>370</v>
      </c>
      <c r="AD27" s="6">
        <v>0</v>
      </c>
      <c r="AE27" s="6">
        <v>53</v>
      </c>
      <c r="AF27" s="6">
        <v>0</v>
      </c>
      <c r="AG27" s="6">
        <v>14</v>
      </c>
      <c r="AH27" s="6">
        <f t="shared" ref="AH27:AH39" si="32">_xlfn.RANK.EQ(O27,$O$26:$O$39,0)</f>
        <v>7</v>
      </c>
      <c r="AI27" s="6">
        <f t="shared" ref="AI27:AI39" si="33">_xlfn.RANK.EQ(S27,$S$26:$S$39,0)</f>
        <v>3</v>
      </c>
      <c r="AJ27" s="6">
        <f t="shared" ref="AJ27:AJ39" si="34">_xlfn.RANK.EQ(Z27,$Z$26:$Z$39,0)</f>
        <v>8</v>
      </c>
      <c r="AK27" s="6">
        <f t="shared" ref="AK27:AK39" si="35">A27</f>
        <v>2</v>
      </c>
    </row>
    <row r="28" spans="1:37" x14ac:dyDescent="0.25">
      <c r="A28" s="290">
        <v>3</v>
      </c>
      <c r="B28" s="1" t="s">
        <v>116</v>
      </c>
      <c r="C28" s="6">
        <v>14</v>
      </c>
      <c r="D28" s="6">
        <v>10</v>
      </c>
      <c r="E28" s="6">
        <v>1</v>
      </c>
      <c r="F28" s="6">
        <v>0</v>
      </c>
      <c r="G28" s="6">
        <v>3</v>
      </c>
      <c r="H28" s="6">
        <v>32</v>
      </c>
      <c r="I28" s="6">
        <v>110</v>
      </c>
      <c r="J28" s="6">
        <v>62</v>
      </c>
      <c r="K28" s="6">
        <v>48</v>
      </c>
      <c r="L28" s="6">
        <v>41</v>
      </c>
      <c r="M28" s="6">
        <v>19</v>
      </c>
      <c r="N28" s="6">
        <v>1</v>
      </c>
      <c r="O28" s="6">
        <v>46.34</v>
      </c>
      <c r="P28" s="6">
        <v>27</v>
      </c>
      <c r="Q28" s="6">
        <v>6</v>
      </c>
      <c r="R28" s="6">
        <v>0</v>
      </c>
      <c r="S28" s="6">
        <v>77.78</v>
      </c>
      <c r="T28" s="6">
        <v>27</v>
      </c>
      <c r="U28" s="6">
        <v>0</v>
      </c>
      <c r="V28" s="6">
        <v>1</v>
      </c>
      <c r="W28" s="6">
        <v>0</v>
      </c>
      <c r="X28" s="6">
        <v>0</v>
      </c>
      <c r="Y28" s="6">
        <v>0</v>
      </c>
      <c r="Z28" s="6">
        <v>64</v>
      </c>
      <c r="AA28" s="6">
        <v>445</v>
      </c>
      <c r="AB28" s="6">
        <v>24.72</v>
      </c>
      <c r="AC28" s="6">
        <v>301</v>
      </c>
      <c r="AD28" s="6">
        <v>185</v>
      </c>
      <c r="AE28" s="6">
        <v>43</v>
      </c>
      <c r="AF28" s="6">
        <v>26</v>
      </c>
      <c r="AG28" s="6">
        <v>19</v>
      </c>
      <c r="AH28" s="6">
        <f t="shared" si="32"/>
        <v>4</v>
      </c>
      <c r="AI28" s="6">
        <f t="shared" si="33"/>
        <v>2</v>
      </c>
      <c r="AJ28" s="6">
        <f t="shared" si="34"/>
        <v>7</v>
      </c>
      <c r="AK28" s="6">
        <f t="shared" si="35"/>
        <v>3</v>
      </c>
    </row>
    <row r="29" spans="1:37" x14ac:dyDescent="0.25">
      <c r="A29" s="290">
        <v>4</v>
      </c>
      <c r="B29" s="1" t="s">
        <v>117</v>
      </c>
      <c r="C29" s="6">
        <v>13</v>
      </c>
      <c r="D29" s="6">
        <v>8</v>
      </c>
      <c r="E29" s="6">
        <v>1</v>
      </c>
      <c r="F29" s="6">
        <v>1</v>
      </c>
      <c r="G29" s="6">
        <v>3</v>
      </c>
      <c r="H29" s="6">
        <v>27</v>
      </c>
      <c r="I29" s="6">
        <v>105</v>
      </c>
      <c r="J29" s="6">
        <v>72</v>
      </c>
      <c r="K29" s="6">
        <v>33</v>
      </c>
      <c r="L29" s="6">
        <v>45</v>
      </c>
      <c r="M29" s="6">
        <v>23</v>
      </c>
      <c r="N29" s="6">
        <v>3</v>
      </c>
      <c r="O29" s="6">
        <v>51.11</v>
      </c>
      <c r="P29" s="6">
        <v>21</v>
      </c>
      <c r="Q29" s="6">
        <v>2</v>
      </c>
      <c r="R29" s="6">
        <v>2</v>
      </c>
      <c r="S29" s="6">
        <v>90.48</v>
      </c>
      <c r="T29" s="6">
        <v>21</v>
      </c>
      <c r="U29" s="6">
        <v>0</v>
      </c>
      <c r="V29" s="6">
        <v>1</v>
      </c>
      <c r="W29" s="6">
        <v>0</v>
      </c>
      <c r="X29" s="6">
        <v>0</v>
      </c>
      <c r="Y29" s="6">
        <v>0</v>
      </c>
      <c r="Z29" s="6">
        <v>52</v>
      </c>
      <c r="AA29" s="6">
        <v>401</v>
      </c>
      <c r="AB29" s="6">
        <v>26.18</v>
      </c>
      <c r="AC29" s="6">
        <v>320</v>
      </c>
      <c r="AD29" s="6">
        <v>830</v>
      </c>
      <c r="AE29" s="6">
        <v>53</v>
      </c>
      <c r="AF29" s="6">
        <v>119</v>
      </c>
      <c r="AG29" s="6">
        <v>44</v>
      </c>
      <c r="AH29" s="6">
        <f t="shared" si="32"/>
        <v>3</v>
      </c>
      <c r="AI29" s="6">
        <f t="shared" si="33"/>
        <v>1</v>
      </c>
      <c r="AJ29" s="6">
        <f t="shared" si="34"/>
        <v>11</v>
      </c>
      <c r="AK29" s="6">
        <f t="shared" si="35"/>
        <v>4</v>
      </c>
    </row>
    <row r="30" spans="1:37" x14ac:dyDescent="0.25">
      <c r="A30" s="290">
        <v>5</v>
      </c>
      <c r="B30" s="1" t="s">
        <v>118</v>
      </c>
      <c r="C30" s="6">
        <v>12</v>
      </c>
      <c r="D30" s="6">
        <v>8</v>
      </c>
      <c r="E30" s="6">
        <v>0</v>
      </c>
      <c r="F30" s="6">
        <v>1</v>
      </c>
      <c r="G30" s="6">
        <v>3</v>
      </c>
      <c r="H30" s="6">
        <v>25</v>
      </c>
      <c r="I30" s="6">
        <v>78</v>
      </c>
      <c r="J30" s="6">
        <v>72</v>
      </c>
      <c r="K30" s="6">
        <v>6</v>
      </c>
      <c r="L30" s="6">
        <v>23</v>
      </c>
      <c r="M30" s="6">
        <v>8</v>
      </c>
      <c r="N30" s="6">
        <v>0</v>
      </c>
      <c r="O30" s="6">
        <v>34.78</v>
      </c>
      <c r="P30" s="6">
        <v>23</v>
      </c>
      <c r="Q30" s="6">
        <v>10</v>
      </c>
      <c r="R30" s="6">
        <v>0</v>
      </c>
      <c r="S30" s="6">
        <v>56.52</v>
      </c>
      <c r="T30" s="6">
        <v>24</v>
      </c>
      <c r="U30" s="6">
        <v>0</v>
      </c>
      <c r="V30" s="6">
        <v>1</v>
      </c>
      <c r="W30" s="6">
        <v>0</v>
      </c>
      <c r="X30" s="6">
        <v>0</v>
      </c>
      <c r="Y30" s="6">
        <v>0</v>
      </c>
      <c r="Z30" s="6">
        <v>58</v>
      </c>
      <c r="AA30" s="6">
        <v>366</v>
      </c>
      <c r="AB30" s="6">
        <v>21.31</v>
      </c>
      <c r="AC30" s="6">
        <v>162</v>
      </c>
      <c r="AD30" s="6">
        <v>410</v>
      </c>
      <c r="AE30" s="6">
        <v>27</v>
      </c>
      <c r="AF30" s="6">
        <v>68</v>
      </c>
      <c r="AG30" s="6">
        <v>22</v>
      </c>
      <c r="AH30" s="6">
        <f t="shared" si="32"/>
        <v>9</v>
      </c>
      <c r="AI30" s="6">
        <f t="shared" si="33"/>
        <v>11</v>
      </c>
      <c r="AJ30" s="6">
        <f t="shared" si="34"/>
        <v>8</v>
      </c>
      <c r="AK30" s="6">
        <f t="shared" si="35"/>
        <v>5</v>
      </c>
    </row>
    <row r="31" spans="1:37" x14ac:dyDescent="0.25">
      <c r="A31" s="290">
        <v>6</v>
      </c>
      <c r="B31" s="1" t="s">
        <v>119</v>
      </c>
      <c r="C31" s="6">
        <v>15</v>
      </c>
      <c r="D31" s="6">
        <v>7</v>
      </c>
      <c r="E31" s="6">
        <v>2</v>
      </c>
      <c r="F31" s="6">
        <v>0</v>
      </c>
      <c r="G31" s="6">
        <v>6</v>
      </c>
      <c r="H31" s="6">
        <v>25</v>
      </c>
      <c r="I31" s="6">
        <v>87</v>
      </c>
      <c r="J31" s="6">
        <v>87</v>
      </c>
      <c r="K31" s="6">
        <v>0</v>
      </c>
      <c r="L31" s="6">
        <v>29</v>
      </c>
      <c r="M31" s="6">
        <v>8</v>
      </c>
      <c r="N31" s="6">
        <v>1</v>
      </c>
      <c r="O31" s="6">
        <v>27.59</v>
      </c>
      <c r="P31" s="6">
        <v>35</v>
      </c>
      <c r="Q31" s="6">
        <v>11</v>
      </c>
      <c r="R31" s="6">
        <v>2</v>
      </c>
      <c r="S31" s="6">
        <v>68.569999999999993</v>
      </c>
      <c r="T31" s="6">
        <v>36</v>
      </c>
      <c r="U31" s="6">
        <v>0</v>
      </c>
      <c r="V31" s="6">
        <v>0</v>
      </c>
      <c r="W31" s="6">
        <v>0</v>
      </c>
      <c r="X31" s="6">
        <v>0</v>
      </c>
      <c r="Y31" s="6">
        <v>0</v>
      </c>
      <c r="Z31" s="6">
        <v>72</v>
      </c>
      <c r="AA31" s="6">
        <v>384</v>
      </c>
      <c r="AB31" s="6">
        <v>22.66</v>
      </c>
      <c r="AC31" s="6">
        <v>296</v>
      </c>
      <c r="AD31" s="6">
        <v>487</v>
      </c>
      <c r="AE31" s="6">
        <v>42</v>
      </c>
      <c r="AF31" s="6">
        <v>61</v>
      </c>
      <c r="AG31" s="6">
        <v>30</v>
      </c>
      <c r="AH31" s="6">
        <f t="shared" si="32"/>
        <v>12</v>
      </c>
      <c r="AI31" s="6">
        <f t="shared" si="33"/>
        <v>4</v>
      </c>
      <c r="AJ31" s="6">
        <f t="shared" si="34"/>
        <v>4</v>
      </c>
      <c r="AK31" s="6">
        <f t="shared" si="35"/>
        <v>6</v>
      </c>
    </row>
    <row r="32" spans="1:37" x14ac:dyDescent="0.25">
      <c r="A32" s="290">
        <v>7</v>
      </c>
      <c r="B32" s="1" t="s">
        <v>120</v>
      </c>
      <c r="C32" s="6">
        <v>12</v>
      </c>
      <c r="D32" s="6">
        <v>7</v>
      </c>
      <c r="E32" s="6">
        <v>0</v>
      </c>
      <c r="F32" s="6">
        <v>0</v>
      </c>
      <c r="G32" s="6">
        <v>5</v>
      </c>
      <c r="H32" s="6">
        <v>21</v>
      </c>
      <c r="I32" s="6">
        <v>80</v>
      </c>
      <c r="J32" s="6">
        <v>64</v>
      </c>
      <c r="K32" s="6">
        <v>16</v>
      </c>
      <c r="L32" s="6">
        <v>21</v>
      </c>
      <c r="M32" s="6">
        <v>11</v>
      </c>
      <c r="N32" s="6">
        <v>0</v>
      </c>
      <c r="O32" s="6">
        <v>52.38</v>
      </c>
      <c r="P32" s="6">
        <v>29</v>
      </c>
      <c r="Q32" s="6">
        <v>11</v>
      </c>
      <c r="R32" s="6">
        <v>2</v>
      </c>
      <c r="S32" s="6">
        <v>62.07</v>
      </c>
      <c r="T32" s="6">
        <v>31</v>
      </c>
      <c r="U32" s="6">
        <v>0</v>
      </c>
      <c r="V32" s="6">
        <v>1</v>
      </c>
      <c r="W32" s="6">
        <v>0</v>
      </c>
      <c r="X32" s="6">
        <v>0</v>
      </c>
      <c r="Y32" s="6">
        <v>0</v>
      </c>
      <c r="Z32" s="6">
        <v>72</v>
      </c>
      <c r="AA32" s="6">
        <v>329</v>
      </c>
      <c r="AB32" s="6">
        <v>24.32</v>
      </c>
      <c r="AC32" s="6">
        <v>872</v>
      </c>
      <c r="AD32" s="6">
        <v>245</v>
      </c>
      <c r="AE32" s="6">
        <v>125</v>
      </c>
      <c r="AF32" s="6">
        <v>49</v>
      </c>
      <c r="AG32" s="6">
        <v>43</v>
      </c>
      <c r="AH32" s="6">
        <f t="shared" si="32"/>
        <v>2</v>
      </c>
      <c r="AI32" s="6">
        <f t="shared" si="33"/>
        <v>8</v>
      </c>
      <c r="AJ32" s="6">
        <f t="shared" si="34"/>
        <v>4</v>
      </c>
      <c r="AK32" s="6">
        <f t="shared" si="35"/>
        <v>7</v>
      </c>
    </row>
    <row r="33" spans="1:37" x14ac:dyDescent="0.25">
      <c r="A33" s="290">
        <v>8</v>
      </c>
      <c r="B33" s="1" t="s">
        <v>121</v>
      </c>
      <c r="C33" s="6">
        <v>15</v>
      </c>
      <c r="D33" s="6">
        <v>5</v>
      </c>
      <c r="E33" s="6">
        <v>2</v>
      </c>
      <c r="F33" s="6">
        <v>0</v>
      </c>
      <c r="G33" s="6">
        <v>9</v>
      </c>
      <c r="H33" s="6">
        <v>19</v>
      </c>
      <c r="I33" s="6">
        <v>92</v>
      </c>
      <c r="J33" s="6">
        <v>121</v>
      </c>
      <c r="K33" s="6">
        <v>-29</v>
      </c>
      <c r="L33" s="6">
        <v>34</v>
      </c>
      <c r="M33" s="6">
        <v>7</v>
      </c>
      <c r="N33" s="6">
        <v>1</v>
      </c>
      <c r="O33" s="6">
        <v>20.59</v>
      </c>
      <c r="P33" s="6">
        <v>32</v>
      </c>
      <c r="Q33" s="6">
        <v>16</v>
      </c>
      <c r="R33" s="6">
        <v>1</v>
      </c>
      <c r="S33" s="6">
        <v>50</v>
      </c>
      <c r="T33" s="6">
        <v>35</v>
      </c>
      <c r="U33" s="6">
        <v>0</v>
      </c>
      <c r="V33" s="6">
        <v>0</v>
      </c>
      <c r="W33" s="6">
        <v>0</v>
      </c>
      <c r="X33" s="6">
        <v>0</v>
      </c>
      <c r="Y33" s="6">
        <v>0</v>
      </c>
      <c r="Z33" s="6">
        <v>70</v>
      </c>
      <c r="AA33" s="6">
        <v>385</v>
      </c>
      <c r="AB33" s="6">
        <v>23.9</v>
      </c>
      <c r="AC33" s="6">
        <v>280</v>
      </c>
      <c r="AD33" s="6">
        <v>540</v>
      </c>
      <c r="AE33" s="6">
        <v>40</v>
      </c>
      <c r="AF33" s="6">
        <v>68</v>
      </c>
      <c r="AG33" s="6">
        <v>32</v>
      </c>
      <c r="AH33" s="6">
        <f t="shared" si="32"/>
        <v>13</v>
      </c>
      <c r="AI33" s="6">
        <f t="shared" si="33"/>
        <v>12</v>
      </c>
      <c r="AJ33" s="6">
        <f t="shared" si="34"/>
        <v>6</v>
      </c>
      <c r="AK33" s="6">
        <f t="shared" si="35"/>
        <v>8</v>
      </c>
    </row>
    <row r="34" spans="1:37" x14ac:dyDescent="0.25">
      <c r="A34" s="290">
        <v>9</v>
      </c>
      <c r="B34" s="1" t="s">
        <v>122</v>
      </c>
      <c r="C34" s="6">
        <v>13</v>
      </c>
      <c r="D34" s="6">
        <v>4</v>
      </c>
      <c r="E34" s="6">
        <v>1</v>
      </c>
      <c r="F34" s="6">
        <v>0</v>
      </c>
      <c r="G34" s="6">
        <v>8</v>
      </c>
      <c r="H34" s="6">
        <v>14</v>
      </c>
      <c r="I34" s="6">
        <v>73</v>
      </c>
      <c r="J34" s="6">
        <v>90</v>
      </c>
      <c r="K34" s="6">
        <v>-17</v>
      </c>
      <c r="L34" s="6">
        <v>21</v>
      </c>
      <c r="M34" s="6">
        <v>9</v>
      </c>
      <c r="N34" s="6">
        <v>2</v>
      </c>
      <c r="O34" s="6">
        <v>42.86</v>
      </c>
      <c r="P34" s="6">
        <v>21</v>
      </c>
      <c r="Q34" s="6">
        <v>7</v>
      </c>
      <c r="R34" s="6">
        <v>1</v>
      </c>
      <c r="S34" s="6">
        <v>66.67</v>
      </c>
      <c r="T34" s="6">
        <v>26</v>
      </c>
      <c r="U34" s="6">
        <v>0</v>
      </c>
      <c r="V34" s="6">
        <v>0</v>
      </c>
      <c r="W34" s="6">
        <v>0</v>
      </c>
      <c r="X34" s="6">
        <v>0</v>
      </c>
      <c r="Y34" s="6">
        <v>0</v>
      </c>
      <c r="Z34" s="6">
        <v>52</v>
      </c>
      <c r="AA34" s="6">
        <v>308</v>
      </c>
      <c r="AB34" s="6">
        <v>23.7</v>
      </c>
      <c r="AC34" s="6">
        <v>227</v>
      </c>
      <c r="AD34" s="6">
        <v>107</v>
      </c>
      <c r="AE34" s="6">
        <v>32</v>
      </c>
      <c r="AF34" s="6">
        <v>18</v>
      </c>
      <c r="AG34" s="6">
        <v>13</v>
      </c>
      <c r="AH34" s="6">
        <f t="shared" si="32"/>
        <v>5</v>
      </c>
      <c r="AI34" s="6">
        <f t="shared" si="33"/>
        <v>6</v>
      </c>
      <c r="AJ34" s="6">
        <f t="shared" si="34"/>
        <v>11</v>
      </c>
      <c r="AK34" s="6">
        <f t="shared" si="35"/>
        <v>9</v>
      </c>
    </row>
    <row r="35" spans="1:37" x14ac:dyDescent="0.25">
      <c r="A35" s="290">
        <v>10</v>
      </c>
      <c r="B35" s="1" t="s">
        <v>123</v>
      </c>
      <c r="C35" s="6">
        <v>15</v>
      </c>
      <c r="D35" s="6">
        <v>3</v>
      </c>
      <c r="E35" s="6">
        <v>0</v>
      </c>
      <c r="F35" s="6">
        <v>2</v>
      </c>
      <c r="G35" s="6">
        <v>10</v>
      </c>
      <c r="H35" s="6">
        <v>11</v>
      </c>
      <c r="I35" s="6">
        <v>57</v>
      </c>
      <c r="J35" s="6">
        <v>88</v>
      </c>
      <c r="K35" s="6">
        <v>-31</v>
      </c>
      <c r="L35" s="6">
        <v>26</v>
      </c>
      <c r="M35" s="6">
        <v>15</v>
      </c>
      <c r="N35" s="6">
        <v>2</v>
      </c>
      <c r="O35" s="6">
        <v>57.69</v>
      </c>
      <c r="P35" s="6">
        <v>28</v>
      </c>
      <c r="Q35" s="6">
        <v>12</v>
      </c>
      <c r="R35" s="6">
        <v>1</v>
      </c>
      <c r="S35" s="6">
        <v>57.14</v>
      </c>
      <c r="T35" s="6">
        <v>32</v>
      </c>
      <c r="U35" s="6">
        <v>2</v>
      </c>
      <c r="V35" s="6">
        <v>0</v>
      </c>
      <c r="W35" s="6">
        <v>0</v>
      </c>
      <c r="X35" s="6">
        <v>1</v>
      </c>
      <c r="Y35" s="6">
        <v>0</v>
      </c>
      <c r="Z35" s="6">
        <v>94</v>
      </c>
      <c r="AA35" s="6">
        <v>282</v>
      </c>
      <c r="AB35" s="6">
        <v>20.21</v>
      </c>
      <c r="AC35" s="6">
        <v>407</v>
      </c>
      <c r="AD35" s="6">
        <v>324</v>
      </c>
      <c r="AE35" s="6">
        <v>58</v>
      </c>
      <c r="AF35" s="6">
        <v>40</v>
      </c>
      <c r="AG35" s="6">
        <v>28</v>
      </c>
      <c r="AH35" s="6">
        <f t="shared" si="32"/>
        <v>1</v>
      </c>
      <c r="AI35" s="6">
        <f t="shared" si="33"/>
        <v>10</v>
      </c>
      <c r="AJ35" s="6">
        <f t="shared" si="34"/>
        <v>1</v>
      </c>
      <c r="AK35" s="6">
        <f t="shared" si="35"/>
        <v>10</v>
      </c>
    </row>
    <row r="36" spans="1:37" x14ac:dyDescent="0.25">
      <c r="A36" s="290">
        <v>11</v>
      </c>
      <c r="B36" s="1" t="s">
        <v>124</v>
      </c>
      <c r="C36" s="6">
        <v>16</v>
      </c>
      <c r="D36" s="6">
        <v>3</v>
      </c>
      <c r="E36" s="6">
        <v>1</v>
      </c>
      <c r="F36" s="6">
        <v>0</v>
      </c>
      <c r="G36" s="6">
        <v>12</v>
      </c>
      <c r="H36" s="6">
        <v>11</v>
      </c>
      <c r="I36" s="6">
        <v>89</v>
      </c>
      <c r="J36" s="6">
        <v>145</v>
      </c>
      <c r="K36" s="6">
        <v>-56</v>
      </c>
      <c r="L36" s="6">
        <v>15</v>
      </c>
      <c r="M36" s="6">
        <v>5</v>
      </c>
      <c r="N36" s="6">
        <v>0</v>
      </c>
      <c r="O36" s="6">
        <v>33.33</v>
      </c>
      <c r="P36" s="6">
        <v>31</v>
      </c>
      <c r="Q36" s="6">
        <v>19</v>
      </c>
      <c r="R36" s="6">
        <v>1</v>
      </c>
      <c r="S36" s="6">
        <v>38.71</v>
      </c>
      <c r="T36" s="6">
        <v>33</v>
      </c>
      <c r="U36" s="6">
        <v>0</v>
      </c>
      <c r="V36" s="6">
        <v>2</v>
      </c>
      <c r="W36" s="6">
        <v>0</v>
      </c>
      <c r="X36" s="6">
        <v>0</v>
      </c>
      <c r="Y36" s="6">
        <v>0</v>
      </c>
      <c r="Z36" s="6">
        <v>86</v>
      </c>
      <c r="AA36" s="6">
        <v>322</v>
      </c>
      <c r="AB36" s="6">
        <v>27.64</v>
      </c>
      <c r="AC36" s="6">
        <v>290</v>
      </c>
      <c r="AD36" s="6">
        <v>532</v>
      </c>
      <c r="AE36" s="6">
        <v>41</v>
      </c>
      <c r="AF36" s="6">
        <v>59</v>
      </c>
      <c r="AG36" s="6">
        <v>32</v>
      </c>
      <c r="AH36" s="6">
        <f t="shared" si="32"/>
        <v>10</v>
      </c>
      <c r="AI36" s="6">
        <f t="shared" si="33"/>
        <v>13</v>
      </c>
      <c r="AJ36" s="6">
        <f t="shared" si="34"/>
        <v>2</v>
      </c>
      <c r="AK36" s="6">
        <f t="shared" si="35"/>
        <v>11</v>
      </c>
    </row>
    <row r="37" spans="1:37" x14ac:dyDescent="0.25">
      <c r="A37" s="290">
        <v>12</v>
      </c>
      <c r="B37" s="1" t="s">
        <v>125</v>
      </c>
      <c r="C37" s="6">
        <v>11</v>
      </c>
      <c r="D37" s="6">
        <v>3</v>
      </c>
      <c r="E37" s="6">
        <v>0</v>
      </c>
      <c r="F37" s="6">
        <v>1</v>
      </c>
      <c r="G37" s="6">
        <v>7</v>
      </c>
      <c r="H37" s="6">
        <v>10</v>
      </c>
      <c r="I37" s="6">
        <v>54</v>
      </c>
      <c r="J37" s="6">
        <v>91</v>
      </c>
      <c r="K37" s="6">
        <v>-37</v>
      </c>
      <c r="L37" s="6">
        <v>19</v>
      </c>
      <c r="M37" s="6">
        <v>2</v>
      </c>
      <c r="N37" s="6">
        <v>1</v>
      </c>
      <c r="O37" s="6">
        <v>10.53</v>
      </c>
      <c r="P37" s="6">
        <v>26</v>
      </c>
      <c r="Q37" s="6">
        <v>11</v>
      </c>
      <c r="R37" s="6">
        <v>1</v>
      </c>
      <c r="S37" s="6">
        <v>57.69</v>
      </c>
      <c r="T37" s="6">
        <v>29</v>
      </c>
      <c r="U37" s="6">
        <v>0</v>
      </c>
      <c r="V37" s="6">
        <v>0</v>
      </c>
      <c r="W37" s="6">
        <v>0</v>
      </c>
      <c r="X37" s="6">
        <v>0</v>
      </c>
      <c r="Y37" s="6">
        <v>0</v>
      </c>
      <c r="Z37" s="6">
        <v>58</v>
      </c>
      <c r="AA37" s="6">
        <v>242</v>
      </c>
      <c r="AB37" s="6">
        <v>22.31</v>
      </c>
      <c r="AC37" s="6">
        <v>268</v>
      </c>
      <c r="AD37" s="6">
        <v>460</v>
      </c>
      <c r="AE37" s="6">
        <v>67</v>
      </c>
      <c r="AF37" s="6">
        <v>66</v>
      </c>
      <c r="AG37" s="6">
        <v>28</v>
      </c>
      <c r="AH37" s="6">
        <f t="shared" si="32"/>
        <v>14</v>
      </c>
      <c r="AI37" s="6">
        <f t="shared" si="33"/>
        <v>9</v>
      </c>
      <c r="AJ37" s="6">
        <f t="shared" si="34"/>
        <v>8</v>
      </c>
      <c r="AK37" s="6">
        <f t="shared" si="35"/>
        <v>12</v>
      </c>
    </row>
    <row r="38" spans="1:37" x14ac:dyDescent="0.25">
      <c r="A38" s="290">
        <v>13</v>
      </c>
      <c r="B38" s="1" t="s">
        <v>126</v>
      </c>
      <c r="C38" s="6">
        <v>13</v>
      </c>
      <c r="D38" s="6">
        <v>2</v>
      </c>
      <c r="E38" s="6">
        <v>0</v>
      </c>
      <c r="F38" s="6">
        <v>2</v>
      </c>
      <c r="G38" s="6">
        <v>9</v>
      </c>
      <c r="H38" s="6">
        <v>8</v>
      </c>
      <c r="I38" s="6">
        <v>51</v>
      </c>
      <c r="J38" s="6">
        <v>85</v>
      </c>
      <c r="K38" s="6">
        <v>-34</v>
      </c>
      <c r="L38" s="6">
        <v>26</v>
      </c>
      <c r="M38" s="6">
        <v>8</v>
      </c>
      <c r="N38" s="6">
        <v>0</v>
      </c>
      <c r="O38" s="6">
        <v>30.77</v>
      </c>
      <c r="P38" s="6">
        <v>32</v>
      </c>
      <c r="Q38" s="6">
        <v>12</v>
      </c>
      <c r="R38" s="6">
        <v>1</v>
      </c>
      <c r="S38" s="6">
        <v>62.5</v>
      </c>
      <c r="T38" s="6">
        <v>37</v>
      </c>
      <c r="U38" s="6">
        <v>0</v>
      </c>
      <c r="V38" s="6">
        <v>0</v>
      </c>
      <c r="W38" s="6">
        <v>0</v>
      </c>
      <c r="X38" s="6">
        <v>0</v>
      </c>
      <c r="Y38" s="6">
        <v>0</v>
      </c>
      <c r="Z38" s="6">
        <v>74</v>
      </c>
      <c r="AA38" s="6">
        <v>278</v>
      </c>
      <c r="AB38" s="6">
        <v>18.350000000000001</v>
      </c>
      <c r="AC38" s="6">
        <v>249</v>
      </c>
      <c r="AD38" s="6">
        <v>113</v>
      </c>
      <c r="AE38" s="6">
        <v>31</v>
      </c>
      <c r="AF38" s="6">
        <v>23</v>
      </c>
      <c r="AG38" s="6">
        <v>14</v>
      </c>
      <c r="AH38" s="6">
        <f t="shared" si="32"/>
        <v>11</v>
      </c>
      <c r="AI38" s="6">
        <f t="shared" si="33"/>
        <v>7</v>
      </c>
      <c r="AJ38" s="6">
        <f t="shared" si="34"/>
        <v>3</v>
      </c>
      <c r="AK38" s="6">
        <f t="shared" si="35"/>
        <v>13</v>
      </c>
    </row>
    <row r="39" spans="1:37" x14ac:dyDescent="0.25">
      <c r="A39" s="290">
        <v>14</v>
      </c>
      <c r="B39" s="1" t="s">
        <v>127</v>
      </c>
      <c r="C39" s="6">
        <v>12</v>
      </c>
      <c r="D39" s="6">
        <v>2</v>
      </c>
      <c r="E39" s="6">
        <v>0</v>
      </c>
      <c r="F39" s="6">
        <v>1</v>
      </c>
      <c r="G39" s="6">
        <v>9</v>
      </c>
      <c r="H39" s="6">
        <v>7</v>
      </c>
      <c r="I39" s="6">
        <v>52</v>
      </c>
      <c r="J39" s="6">
        <v>78</v>
      </c>
      <c r="K39" s="6">
        <v>-26</v>
      </c>
      <c r="L39" s="6">
        <v>21</v>
      </c>
      <c r="M39" s="6">
        <v>9</v>
      </c>
      <c r="N39" s="6">
        <v>2</v>
      </c>
      <c r="O39" s="6">
        <v>42.86</v>
      </c>
      <c r="P39" s="6">
        <v>18</v>
      </c>
      <c r="Q39" s="6">
        <v>12</v>
      </c>
      <c r="R39" s="6">
        <v>1</v>
      </c>
      <c r="S39" s="6">
        <v>33.33</v>
      </c>
      <c r="T39" s="6">
        <v>19</v>
      </c>
      <c r="U39" s="6">
        <v>1</v>
      </c>
      <c r="V39" s="6">
        <v>0</v>
      </c>
      <c r="W39" s="6">
        <v>0</v>
      </c>
      <c r="X39" s="6">
        <v>0</v>
      </c>
      <c r="Y39" s="6">
        <v>0</v>
      </c>
      <c r="Z39" s="6">
        <v>43</v>
      </c>
      <c r="AA39" s="6">
        <v>216</v>
      </c>
      <c r="AB39" s="6">
        <v>24.07</v>
      </c>
      <c r="AC39" s="6">
        <v>311</v>
      </c>
      <c r="AD39" s="6">
        <v>150</v>
      </c>
      <c r="AE39" s="6">
        <v>52</v>
      </c>
      <c r="AF39" s="6">
        <v>25</v>
      </c>
      <c r="AG39" s="6">
        <v>18</v>
      </c>
      <c r="AH39" s="6">
        <f t="shared" si="32"/>
        <v>5</v>
      </c>
      <c r="AI39" s="6">
        <f t="shared" si="33"/>
        <v>14</v>
      </c>
      <c r="AJ39" s="6">
        <f t="shared" si="34"/>
        <v>13</v>
      </c>
      <c r="AK39" s="6">
        <f t="shared" si="35"/>
        <v>14</v>
      </c>
    </row>
    <row r="40" spans="1:37" x14ac:dyDescent="0.25">
      <c r="C40" s="137"/>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row>
    <row r="41" spans="1:37" x14ac:dyDescent="0.25">
      <c r="C41" s="137"/>
      <c r="D41" s="137"/>
      <c r="E41" s="137"/>
      <c r="F41" s="137"/>
      <c r="G41" s="137"/>
      <c r="H41" s="137"/>
      <c r="I41" s="137"/>
      <c r="J41" s="137"/>
      <c r="K41" s="137"/>
      <c r="L41" s="137"/>
      <c r="M41" s="137"/>
      <c r="N41" s="137"/>
      <c r="O41" s="137"/>
      <c r="P41" s="137"/>
      <c r="Q41" s="137"/>
      <c r="R41" s="137"/>
      <c r="S41" s="137"/>
      <c r="T41" s="137"/>
      <c r="U41" s="137"/>
      <c r="V41" s="137"/>
      <c r="W41" s="137"/>
      <c r="X41" s="137"/>
      <c r="Y41" s="137"/>
      <c r="Z41" s="137"/>
      <c r="AA41" s="137"/>
      <c r="AB41" s="137"/>
      <c r="AC41" s="137"/>
      <c r="AD41" s="137"/>
      <c r="AE41" s="137"/>
      <c r="AF41" s="137"/>
      <c r="AG41" s="137"/>
    </row>
    <row r="42" spans="1:37" x14ac:dyDescent="0.25">
      <c r="A42" s="1" t="s">
        <v>159</v>
      </c>
      <c r="B42" s="1" t="s">
        <v>121</v>
      </c>
    </row>
    <row r="43" spans="1:37" x14ac:dyDescent="0.25">
      <c r="A43" s="1" t="s">
        <v>153</v>
      </c>
      <c r="B43" s="1" t="s">
        <v>117</v>
      </c>
    </row>
    <row r="44" spans="1:37" x14ac:dyDescent="0.25">
      <c r="A44" s="1" t="s">
        <v>162</v>
      </c>
      <c r="B44" s="1" t="s">
        <v>124</v>
      </c>
    </row>
    <row r="45" spans="1:37" x14ac:dyDescent="0.25">
      <c r="A45" s="1" t="s">
        <v>161</v>
      </c>
      <c r="B45" s="1" t="s">
        <v>123</v>
      </c>
    </row>
    <row r="46" spans="1:37" x14ac:dyDescent="0.25">
      <c r="A46" s="1" t="s">
        <v>155</v>
      </c>
      <c r="B46" s="1" t="s">
        <v>118</v>
      </c>
    </row>
    <row r="47" spans="1:37" x14ac:dyDescent="0.25">
      <c r="A47" s="1" t="s">
        <v>154</v>
      </c>
      <c r="B47" s="1" t="s">
        <v>122</v>
      </c>
    </row>
    <row r="48" spans="1:37" x14ac:dyDescent="0.25">
      <c r="A48" s="1" t="s">
        <v>160</v>
      </c>
      <c r="B48" s="1" t="s">
        <v>115</v>
      </c>
    </row>
    <row r="49" spans="1:2" x14ac:dyDescent="0.25">
      <c r="A49" s="1" t="s">
        <v>156</v>
      </c>
      <c r="B49" s="1" t="s">
        <v>119</v>
      </c>
    </row>
    <row r="50" spans="1:2" x14ac:dyDescent="0.25">
      <c r="A50" s="1" t="s">
        <v>163</v>
      </c>
      <c r="B50" s="1" t="s">
        <v>126</v>
      </c>
    </row>
    <row r="51" spans="1:2" x14ac:dyDescent="0.25">
      <c r="A51" s="1" t="s">
        <v>157</v>
      </c>
      <c r="B51" s="1" t="s">
        <v>125</v>
      </c>
    </row>
    <row r="52" spans="1:2" x14ac:dyDescent="0.25">
      <c r="A52" s="1" t="s">
        <v>29</v>
      </c>
      <c r="B52" s="1" t="s">
        <v>127</v>
      </c>
    </row>
    <row r="53" spans="1:2" x14ac:dyDescent="0.25">
      <c r="A53" s="1" t="s">
        <v>158</v>
      </c>
      <c r="B53" s="1" t="s">
        <v>120</v>
      </c>
    </row>
    <row r="54" spans="1:2" x14ac:dyDescent="0.25">
      <c r="A54" s="1" t="s">
        <v>152</v>
      </c>
      <c r="B54" s="1" t="s">
        <v>116</v>
      </c>
    </row>
    <row r="55" spans="1:2" x14ac:dyDescent="0.25">
      <c r="A55" s="1" t="s">
        <v>151</v>
      </c>
      <c r="B55" s="1" t="s">
        <v>114</v>
      </c>
    </row>
  </sheetData>
  <sortState ref="A41:B54">
    <sortCondition ref="A41:A54"/>
  </sortState>
  <pageMargins left="0.25" right="0.25" top="0.75" bottom="0.75" header="0.3" footer="0.3"/>
  <pageSetup paperSize="9" orientation="landscape" r:id="rId1"/>
  <headerFooter>
    <oddHeader>&amp;C&amp;"Bahnschrift,Tučné"&amp;22Tabulka Tipsport superligy</oddHeader>
    <oddFooter>&amp;C&amp;"Bahnschrift Condensed,Condensed"&amp;20&amp;D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2"/>
  <sheetViews>
    <sheetView tabSelected="1" zoomScaleNormal="100" workbookViewId="0">
      <selection activeCell="B2" sqref="B2"/>
    </sheetView>
  </sheetViews>
  <sheetFormatPr defaultRowHeight="15" customHeight="1" x14ac:dyDescent="0.25"/>
  <cols>
    <col min="1" max="1" width="10.140625" style="1" bestFit="1" customWidth="1"/>
    <col min="2" max="2" width="18.28515625" style="1" bestFit="1" customWidth="1"/>
    <col min="3" max="3" width="10.140625" style="1" bestFit="1" customWidth="1"/>
    <col min="4" max="14" width="9.140625" style="6" customWidth="1"/>
    <col min="15" max="15" width="20.7109375" style="6" bestFit="1" customWidth="1"/>
    <col min="16" max="16" width="9.140625" style="6" customWidth="1"/>
    <col min="17" max="17" width="23.140625" style="12" customWidth="1"/>
    <col min="18" max="18" width="9.140625" style="1" customWidth="1"/>
    <col min="19" max="19" width="10" style="6" bestFit="1" customWidth="1"/>
    <col min="20" max="20" width="11.85546875" style="1" bestFit="1" customWidth="1"/>
    <col min="21" max="21" width="9.85546875" style="1" bestFit="1" customWidth="1"/>
    <col min="22" max="23" width="9.140625" style="1"/>
    <col min="24" max="26" width="13.7109375" style="1" customWidth="1"/>
    <col min="27" max="27" width="10" style="1" bestFit="1" customWidth="1"/>
    <col min="28" max="16384" width="9.140625" style="1"/>
  </cols>
  <sheetData>
    <row r="1" spans="1:19" s="2" customFormat="1" ht="15" customHeight="1" x14ac:dyDescent="0.25">
      <c r="A1" s="9" t="s">
        <v>64</v>
      </c>
      <c r="B1" s="2" t="s">
        <v>65</v>
      </c>
      <c r="D1" s="2" t="s">
        <v>66</v>
      </c>
      <c r="E1" s="2" t="s">
        <v>67</v>
      </c>
      <c r="F1" s="2" t="s">
        <v>35</v>
      </c>
      <c r="G1" s="2" t="s">
        <v>68</v>
      </c>
      <c r="H1" s="2" t="s">
        <v>69</v>
      </c>
      <c r="I1" s="2" t="s">
        <v>37</v>
      </c>
      <c r="J1" s="2" t="s">
        <v>36</v>
      </c>
      <c r="K1" s="2" t="s">
        <v>38</v>
      </c>
      <c r="L1" s="2" t="s">
        <v>70</v>
      </c>
      <c r="M1" s="2" t="s">
        <v>30</v>
      </c>
      <c r="N1" s="3" t="s">
        <v>71</v>
      </c>
      <c r="O1" s="2" t="s">
        <v>86</v>
      </c>
      <c r="Q1" s="135" t="s">
        <v>49</v>
      </c>
    </row>
    <row r="2" spans="1:19" s="4" customFormat="1" ht="15" customHeight="1" x14ac:dyDescent="0.25">
      <c r="A2" s="64">
        <v>1</v>
      </c>
      <c r="B2" s="4" t="s">
        <v>14</v>
      </c>
      <c r="D2" s="5" t="s">
        <v>57</v>
      </c>
      <c r="E2" s="5">
        <v>12</v>
      </c>
      <c r="F2" s="5">
        <v>9</v>
      </c>
      <c r="G2" s="5">
        <v>1</v>
      </c>
      <c r="H2" s="5">
        <v>1</v>
      </c>
      <c r="I2" s="5">
        <v>6</v>
      </c>
      <c r="J2" s="5">
        <v>15</v>
      </c>
      <c r="K2" s="5">
        <v>10</v>
      </c>
      <c r="L2" s="5">
        <v>20</v>
      </c>
      <c r="M2" s="5">
        <v>32</v>
      </c>
      <c r="N2" s="5">
        <v>-12</v>
      </c>
      <c r="O2" s="6" t="str">
        <f t="shared" ref="O2:O36" si="0">IF(B2&lt;&gt;0,CONCATENATE(E2 + IFERROR(VLOOKUP(B2,$B$48:$Z$82,23, FALSE),"error_matches")," OZ , ",J2 + IFERROR(VLOOKUP(B2,$B$48:$Z$82,24, FALSE),"error_goals") + IFERROR(VLOOKUP(B2,$B$48:$Z$82,25, FALSE),"error_assists")," (",F2 + IFERROR(VLOOKUP(B2,$B$48:$Z$82,24, FALSE),"error_goals"),"+",I2 + + IFERROR(VLOOKUP(B2,$B$48:$Z$82,25, FALSE),"error_assists"),"), ",IF(N2&gt;0,"+",""),N2," ±"),"")</f>
        <v>12 OZ , 15 (9+6), -12 ±</v>
      </c>
      <c r="P2" s="5"/>
      <c r="Q2" s="134" t="s">
        <v>254</v>
      </c>
      <c r="S2" s="5"/>
    </row>
    <row r="3" spans="1:19" s="4" customFormat="1" ht="15" customHeight="1" x14ac:dyDescent="0.25">
      <c r="A3" s="64">
        <v>2</v>
      </c>
      <c r="B3" s="4" t="s">
        <v>21</v>
      </c>
      <c r="D3" s="5" t="s">
        <v>57</v>
      </c>
      <c r="E3" s="5">
        <v>12</v>
      </c>
      <c r="F3" s="5">
        <v>11</v>
      </c>
      <c r="G3" s="5">
        <v>4</v>
      </c>
      <c r="H3" s="5">
        <v>0</v>
      </c>
      <c r="I3" s="5">
        <v>2</v>
      </c>
      <c r="J3" s="5">
        <v>13</v>
      </c>
      <c r="K3" s="5">
        <v>0</v>
      </c>
      <c r="L3" s="5">
        <v>10</v>
      </c>
      <c r="M3" s="5">
        <v>21</v>
      </c>
      <c r="N3" s="5">
        <v>-11</v>
      </c>
      <c r="O3" s="131" t="str">
        <f t="shared" si="0"/>
        <v>12 OZ , 13 (11+2), -11 ±</v>
      </c>
      <c r="P3" s="5"/>
      <c r="Q3" s="134" t="s">
        <v>255</v>
      </c>
      <c r="S3" s="5"/>
    </row>
    <row r="4" spans="1:19" s="4" customFormat="1" ht="15" customHeight="1" x14ac:dyDescent="0.25">
      <c r="A4" s="64">
        <v>3</v>
      </c>
      <c r="B4" s="4" t="s">
        <v>12</v>
      </c>
      <c r="D4" s="5" t="s">
        <v>57</v>
      </c>
      <c r="E4" s="5">
        <v>11</v>
      </c>
      <c r="F4" s="5">
        <v>6</v>
      </c>
      <c r="G4" s="5">
        <v>1</v>
      </c>
      <c r="H4" s="5">
        <v>0</v>
      </c>
      <c r="I4" s="5">
        <v>6</v>
      </c>
      <c r="J4" s="5">
        <v>12</v>
      </c>
      <c r="K4" s="5">
        <v>0</v>
      </c>
      <c r="L4" s="5">
        <v>19</v>
      </c>
      <c r="M4" s="5">
        <v>18</v>
      </c>
      <c r="N4" s="5">
        <v>1</v>
      </c>
      <c r="O4" s="131" t="str">
        <f t="shared" si="0"/>
        <v>11 OZ , 12 (6+6), +1 ±</v>
      </c>
      <c r="P4" s="5"/>
      <c r="Q4" s="134" t="s">
        <v>372</v>
      </c>
      <c r="S4" s="5"/>
    </row>
    <row r="5" spans="1:19" s="4" customFormat="1" ht="15" customHeight="1" x14ac:dyDescent="0.25">
      <c r="A5" s="64">
        <v>4</v>
      </c>
      <c r="B5" s="4" t="s">
        <v>2</v>
      </c>
      <c r="D5" s="5"/>
      <c r="E5" s="5">
        <v>9</v>
      </c>
      <c r="F5" s="5">
        <v>4</v>
      </c>
      <c r="G5" s="5">
        <v>0</v>
      </c>
      <c r="H5" s="5">
        <v>0</v>
      </c>
      <c r="I5" s="5">
        <v>6</v>
      </c>
      <c r="J5" s="5">
        <v>10</v>
      </c>
      <c r="K5" s="5">
        <v>0</v>
      </c>
      <c r="L5" s="5">
        <v>16</v>
      </c>
      <c r="M5" s="5">
        <v>30</v>
      </c>
      <c r="N5" s="5">
        <v>-14</v>
      </c>
      <c r="O5" s="131" t="str">
        <f t="shared" si="0"/>
        <v>9 OZ , 10 (4+6), -14 ±</v>
      </c>
      <c r="P5" s="5"/>
      <c r="Q5" s="134" t="s">
        <v>256</v>
      </c>
      <c r="S5" s="5"/>
    </row>
    <row r="6" spans="1:19" ht="15" customHeight="1" x14ac:dyDescent="0.25">
      <c r="A6" s="65">
        <v>5</v>
      </c>
      <c r="B6" s="1" t="s">
        <v>3</v>
      </c>
      <c r="D6" s="137" t="s">
        <v>57</v>
      </c>
      <c r="E6" s="137">
        <v>12</v>
      </c>
      <c r="F6" s="137">
        <v>5</v>
      </c>
      <c r="G6" s="137">
        <v>0</v>
      </c>
      <c r="H6" s="137">
        <v>0</v>
      </c>
      <c r="I6" s="137">
        <v>3</v>
      </c>
      <c r="J6" s="137">
        <v>8</v>
      </c>
      <c r="K6" s="137">
        <v>4</v>
      </c>
      <c r="L6" s="137">
        <v>12</v>
      </c>
      <c r="M6" s="137">
        <v>12</v>
      </c>
      <c r="N6" s="137">
        <v>0</v>
      </c>
      <c r="O6" s="131" t="str">
        <f t="shared" si="0"/>
        <v>12 OZ , 8 (5+3), 0 ±</v>
      </c>
    </row>
    <row r="7" spans="1:19" ht="15" customHeight="1" x14ac:dyDescent="0.25">
      <c r="A7" s="65">
        <v>6</v>
      </c>
      <c r="B7" s="1" t="s">
        <v>19</v>
      </c>
      <c r="D7" s="137" t="s">
        <v>57</v>
      </c>
      <c r="E7" s="137">
        <v>11</v>
      </c>
      <c r="F7" s="137">
        <v>3</v>
      </c>
      <c r="G7" s="137">
        <v>0</v>
      </c>
      <c r="H7" s="137">
        <v>0</v>
      </c>
      <c r="I7" s="137">
        <v>5</v>
      </c>
      <c r="J7" s="137">
        <v>8</v>
      </c>
      <c r="K7" s="137">
        <v>0</v>
      </c>
      <c r="L7" s="137">
        <v>11</v>
      </c>
      <c r="M7" s="137">
        <v>14</v>
      </c>
      <c r="N7" s="137">
        <v>-3</v>
      </c>
      <c r="O7" s="131" t="str">
        <f t="shared" si="0"/>
        <v>11 OZ , 8 (3+5), -3 ±</v>
      </c>
    </row>
    <row r="8" spans="1:19" ht="15" customHeight="1" x14ac:dyDescent="0.25">
      <c r="A8" s="65">
        <v>7</v>
      </c>
      <c r="B8" s="1" t="s">
        <v>62</v>
      </c>
      <c r="D8" s="137" t="s">
        <v>52</v>
      </c>
      <c r="E8" s="137">
        <v>12</v>
      </c>
      <c r="F8" s="137">
        <v>5</v>
      </c>
      <c r="G8" s="137">
        <v>3</v>
      </c>
      <c r="H8" s="137">
        <v>0</v>
      </c>
      <c r="I8" s="137">
        <v>2</v>
      </c>
      <c r="J8" s="137">
        <v>7</v>
      </c>
      <c r="K8" s="137">
        <v>4</v>
      </c>
      <c r="L8" s="137">
        <v>18</v>
      </c>
      <c r="M8" s="137">
        <v>30</v>
      </c>
      <c r="N8" s="137">
        <v>-12</v>
      </c>
      <c r="O8" s="131" t="str">
        <f t="shared" si="0"/>
        <v>12 OZ , 7 (5+2), -12 ±</v>
      </c>
    </row>
    <row r="9" spans="1:19" ht="15" customHeight="1" x14ac:dyDescent="0.25">
      <c r="A9" s="65">
        <v>8</v>
      </c>
      <c r="B9" s="1" t="s">
        <v>31</v>
      </c>
      <c r="D9" s="137"/>
      <c r="E9" s="137">
        <v>9</v>
      </c>
      <c r="F9" s="137">
        <v>0</v>
      </c>
      <c r="G9" s="137">
        <v>0</v>
      </c>
      <c r="H9" s="137">
        <v>0</v>
      </c>
      <c r="I9" s="137">
        <v>5</v>
      </c>
      <c r="J9" s="137">
        <v>5</v>
      </c>
      <c r="K9" s="137">
        <v>2</v>
      </c>
      <c r="L9" s="137">
        <v>3</v>
      </c>
      <c r="M9" s="137">
        <v>3</v>
      </c>
      <c r="N9" s="137">
        <v>0</v>
      </c>
      <c r="O9" s="131" t="str">
        <f t="shared" si="0"/>
        <v>9 OZ , 5 (0+5), 0 ±</v>
      </c>
    </row>
    <row r="10" spans="1:19" ht="15" customHeight="1" x14ac:dyDescent="0.25">
      <c r="A10" s="65">
        <v>9</v>
      </c>
      <c r="B10" s="1" t="s">
        <v>20</v>
      </c>
      <c r="D10" s="137"/>
      <c r="E10" s="137">
        <v>12</v>
      </c>
      <c r="F10" s="137">
        <v>2</v>
      </c>
      <c r="G10" s="137">
        <v>0</v>
      </c>
      <c r="H10" s="137">
        <v>0</v>
      </c>
      <c r="I10" s="137">
        <v>2</v>
      </c>
      <c r="J10" s="137">
        <v>4</v>
      </c>
      <c r="K10" s="137">
        <v>7</v>
      </c>
      <c r="L10" s="137">
        <v>19</v>
      </c>
      <c r="M10" s="137">
        <v>21</v>
      </c>
      <c r="N10" s="137">
        <v>-2</v>
      </c>
      <c r="O10" s="131" t="str">
        <f t="shared" si="0"/>
        <v>12 OZ , 4 (2+2), -2 ±</v>
      </c>
    </row>
    <row r="11" spans="1:19" ht="15" customHeight="1" x14ac:dyDescent="0.25">
      <c r="A11" s="65">
        <v>10</v>
      </c>
      <c r="B11" s="1" t="s">
        <v>5</v>
      </c>
      <c r="D11" s="137"/>
      <c r="E11" s="137">
        <v>12</v>
      </c>
      <c r="F11" s="137">
        <v>3</v>
      </c>
      <c r="G11" s="137">
        <v>0</v>
      </c>
      <c r="H11" s="137">
        <v>0</v>
      </c>
      <c r="I11" s="137">
        <v>0</v>
      </c>
      <c r="J11" s="137">
        <v>3</v>
      </c>
      <c r="K11" s="137">
        <v>0</v>
      </c>
      <c r="L11" s="137">
        <v>13</v>
      </c>
      <c r="M11" s="137">
        <v>26</v>
      </c>
      <c r="N11" s="137">
        <v>-13</v>
      </c>
      <c r="O11" s="131" t="str">
        <f t="shared" si="0"/>
        <v>12 OZ , 3 (3+0), -13 ±</v>
      </c>
    </row>
    <row r="12" spans="1:19" ht="15" customHeight="1" x14ac:dyDescent="0.25">
      <c r="A12" s="65">
        <v>11</v>
      </c>
      <c r="B12" s="1" t="s">
        <v>10</v>
      </c>
      <c r="D12" s="137" t="s">
        <v>57</v>
      </c>
      <c r="E12" s="137">
        <v>9</v>
      </c>
      <c r="F12" s="137">
        <v>1</v>
      </c>
      <c r="G12" s="137">
        <v>0</v>
      </c>
      <c r="H12" s="137">
        <v>0</v>
      </c>
      <c r="I12" s="137">
        <v>2</v>
      </c>
      <c r="J12" s="137">
        <v>3</v>
      </c>
      <c r="K12" s="137">
        <v>8</v>
      </c>
      <c r="L12" s="137">
        <v>12</v>
      </c>
      <c r="M12" s="137">
        <v>12</v>
      </c>
      <c r="N12" s="137">
        <v>0</v>
      </c>
      <c r="O12" s="131" t="str">
        <f t="shared" si="0"/>
        <v>9 OZ , 3 (1+2), 0 ±</v>
      </c>
    </row>
    <row r="13" spans="1:19" ht="15" customHeight="1" x14ac:dyDescent="0.25">
      <c r="A13" s="65">
        <v>12</v>
      </c>
      <c r="B13" s="1" t="s">
        <v>17</v>
      </c>
      <c r="D13" s="137" t="s">
        <v>57</v>
      </c>
      <c r="E13" s="137">
        <v>11</v>
      </c>
      <c r="F13" s="137">
        <v>1</v>
      </c>
      <c r="G13" s="137">
        <v>0</v>
      </c>
      <c r="H13" s="137">
        <v>0</v>
      </c>
      <c r="I13" s="137">
        <v>2</v>
      </c>
      <c r="J13" s="137">
        <v>3</v>
      </c>
      <c r="K13" s="137">
        <v>2</v>
      </c>
      <c r="L13" s="137">
        <v>13</v>
      </c>
      <c r="M13" s="137">
        <v>20</v>
      </c>
      <c r="N13" s="137">
        <v>-7</v>
      </c>
      <c r="O13" s="131" t="str">
        <f t="shared" si="0"/>
        <v>11 OZ , 3 (1+2), -7 ±</v>
      </c>
    </row>
    <row r="14" spans="1:19" ht="15" customHeight="1" x14ac:dyDescent="0.25">
      <c r="A14" s="65">
        <v>13</v>
      </c>
      <c r="B14" s="1" t="s">
        <v>0</v>
      </c>
      <c r="D14" s="137" t="s">
        <v>52</v>
      </c>
      <c r="E14" s="137">
        <v>5</v>
      </c>
      <c r="F14" s="137">
        <v>0</v>
      </c>
      <c r="G14" s="137">
        <v>0</v>
      </c>
      <c r="H14" s="137">
        <v>0</v>
      </c>
      <c r="I14" s="137">
        <v>2</v>
      </c>
      <c r="J14" s="137">
        <v>2</v>
      </c>
      <c r="K14" s="137">
        <v>2</v>
      </c>
      <c r="L14" s="137">
        <v>3</v>
      </c>
      <c r="M14" s="137">
        <v>8</v>
      </c>
      <c r="N14" s="137">
        <v>-5</v>
      </c>
      <c r="O14" s="131" t="str">
        <f t="shared" si="0"/>
        <v>9 OZ , 3 (0+3), -5 ±</v>
      </c>
    </row>
    <row r="15" spans="1:19" ht="15" customHeight="1" x14ac:dyDescent="0.25">
      <c r="A15" s="65">
        <v>14</v>
      </c>
      <c r="B15" s="1" t="s">
        <v>56</v>
      </c>
      <c r="D15" s="137"/>
      <c r="E15" s="137">
        <v>3</v>
      </c>
      <c r="F15" s="137">
        <v>1</v>
      </c>
      <c r="G15" s="137">
        <v>0</v>
      </c>
      <c r="H15" s="137">
        <v>0</v>
      </c>
      <c r="I15" s="137">
        <v>0</v>
      </c>
      <c r="J15" s="137">
        <v>1</v>
      </c>
      <c r="K15" s="137">
        <v>0</v>
      </c>
      <c r="L15" s="137">
        <v>1</v>
      </c>
      <c r="M15" s="137">
        <v>0</v>
      </c>
      <c r="N15" s="137">
        <v>1</v>
      </c>
      <c r="O15" s="131" t="str">
        <f t="shared" si="0"/>
        <v>3 OZ , 1 (1+0), +1 ±</v>
      </c>
    </row>
    <row r="16" spans="1:19" ht="15" customHeight="1" x14ac:dyDescent="0.25">
      <c r="A16" s="65">
        <v>15</v>
      </c>
      <c r="B16" s="1" t="s">
        <v>26</v>
      </c>
      <c r="D16" s="137" t="s">
        <v>52</v>
      </c>
      <c r="E16" s="137">
        <v>11</v>
      </c>
      <c r="F16" s="137">
        <v>1</v>
      </c>
      <c r="G16" s="137">
        <v>0</v>
      </c>
      <c r="H16" s="137">
        <v>0</v>
      </c>
      <c r="I16" s="137">
        <v>0</v>
      </c>
      <c r="J16" s="137">
        <v>1</v>
      </c>
      <c r="K16" s="137">
        <v>0</v>
      </c>
      <c r="L16" s="137">
        <v>4</v>
      </c>
      <c r="M16" s="137">
        <v>7</v>
      </c>
      <c r="N16" s="137">
        <v>-3</v>
      </c>
      <c r="O16" s="131" t="str">
        <f t="shared" si="0"/>
        <v>11 OZ , 1 (1+0), -3 ±</v>
      </c>
    </row>
    <row r="17" spans="1:19" ht="15" customHeight="1" x14ac:dyDescent="0.25">
      <c r="A17" s="65">
        <v>16</v>
      </c>
      <c r="B17" s="1" t="s">
        <v>4</v>
      </c>
      <c r="D17" s="137" t="s">
        <v>52</v>
      </c>
      <c r="E17" s="137">
        <v>12</v>
      </c>
      <c r="F17" s="137">
        <v>0</v>
      </c>
      <c r="G17" s="137">
        <v>0</v>
      </c>
      <c r="H17" s="137">
        <v>0</v>
      </c>
      <c r="I17" s="137">
        <v>1</v>
      </c>
      <c r="J17" s="137">
        <v>1</v>
      </c>
      <c r="K17" s="137">
        <v>2</v>
      </c>
      <c r="L17" s="137">
        <v>11</v>
      </c>
      <c r="M17" s="137">
        <v>19</v>
      </c>
      <c r="N17" s="137">
        <v>-8</v>
      </c>
      <c r="O17" s="131" t="str">
        <f t="shared" si="0"/>
        <v>12 OZ , 1 (0+1), -8 ±</v>
      </c>
    </row>
    <row r="18" spans="1:19" ht="15" customHeight="1" x14ac:dyDescent="0.25">
      <c r="A18" s="65">
        <v>17</v>
      </c>
      <c r="B18" s="1" t="s">
        <v>60</v>
      </c>
      <c r="D18" s="137"/>
      <c r="E18" s="137">
        <v>0</v>
      </c>
      <c r="F18" s="137">
        <v>0</v>
      </c>
      <c r="G18" s="137">
        <v>0</v>
      </c>
      <c r="H18" s="137">
        <v>0</v>
      </c>
      <c r="I18" s="137">
        <v>0</v>
      </c>
      <c r="J18" s="137">
        <v>0</v>
      </c>
      <c r="K18" s="137">
        <v>0</v>
      </c>
      <c r="L18" s="137">
        <v>0</v>
      </c>
      <c r="M18" s="137">
        <v>0</v>
      </c>
      <c r="N18" s="137">
        <v>0</v>
      </c>
      <c r="O18" s="131" t="str">
        <f t="shared" si="0"/>
        <v>0 OZ , 0 (0+0), 0 ±</v>
      </c>
    </row>
    <row r="19" spans="1:19" ht="15" customHeight="1" x14ac:dyDescent="0.25">
      <c r="A19" s="65">
        <v>18</v>
      </c>
      <c r="B19" s="1" t="s">
        <v>59</v>
      </c>
      <c r="D19" s="137"/>
      <c r="E19" s="137">
        <v>2</v>
      </c>
      <c r="F19" s="137">
        <v>0</v>
      </c>
      <c r="G19" s="137">
        <v>0</v>
      </c>
      <c r="H19" s="137">
        <v>0</v>
      </c>
      <c r="I19" s="137">
        <v>0</v>
      </c>
      <c r="J19" s="137">
        <v>0</v>
      </c>
      <c r="K19" s="137">
        <v>0</v>
      </c>
      <c r="L19" s="137">
        <v>0</v>
      </c>
      <c r="M19" s="137">
        <v>0</v>
      </c>
      <c r="N19" s="137">
        <v>0</v>
      </c>
      <c r="O19" s="131" t="str">
        <f t="shared" si="0"/>
        <v>2 OZ , 0 (0+0), 0 ±</v>
      </c>
    </row>
    <row r="20" spans="1:19" ht="15" customHeight="1" x14ac:dyDescent="0.25">
      <c r="A20" s="65">
        <v>19</v>
      </c>
      <c r="B20" s="1" t="s">
        <v>61</v>
      </c>
      <c r="D20" s="137"/>
      <c r="E20" s="137">
        <v>3</v>
      </c>
      <c r="F20" s="137">
        <v>0</v>
      </c>
      <c r="G20" s="137">
        <v>0</v>
      </c>
      <c r="H20" s="137">
        <v>0</v>
      </c>
      <c r="I20" s="137">
        <v>0</v>
      </c>
      <c r="J20" s="137">
        <v>0</v>
      </c>
      <c r="K20" s="137">
        <v>0</v>
      </c>
      <c r="L20" s="137">
        <v>0</v>
      </c>
      <c r="M20" s="137">
        <v>1</v>
      </c>
      <c r="N20" s="137">
        <v>-1</v>
      </c>
      <c r="O20" s="131" t="str">
        <f t="shared" si="0"/>
        <v>3 OZ , 0 (0+0), -1 ±</v>
      </c>
    </row>
    <row r="21" spans="1:19" ht="15" customHeight="1" x14ac:dyDescent="0.25">
      <c r="A21" s="65">
        <v>20</v>
      </c>
      <c r="B21" s="1" t="s">
        <v>63</v>
      </c>
      <c r="D21" s="137" t="s">
        <v>35</v>
      </c>
      <c r="E21" s="137">
        <v>0</v>
      </c>
      <c r="F21" s="137">
        <v>0</v>
      </c>
      <c r="G21" s="137">
        <v>0</v>
      </c>
      <c r="H21" s="137">
        <v>0</v>
      </c>
      <c r="I21" s="137">
        <v>0</v>
      </c>
      <c r="J21" s="137">
        <v>0</v>
      </c>
      <c r="K21" s="137">
        <v>0</v>
      </c>
      <c r="L21" s="137">
        <v>0</v>
      </c>
      <c r="M21" s="137">
        <v>0</v>
      </c>
      <c r="N21" s="137">
        <v>0</v>
      </c>
      <c r="O21" s="131" t="str">
        <f t="shared" si="0"/>
        <v>0 OZ , 0 (0+0), 0 ±</v>
      </c>
    </row>
    <row r="22" spans="1:19" ht="15" customHeight="1" x14ac:dyDescent="0.25">
      <c r="A22" s="65">
        <v>21</v>
      </c>
      <c r="B22" s="1" t="s">
        <v>53</v>
      </c>
      <c r="D22" s="137"/>
      <c r="E22" s="137">
        <v>4</v>
      </c>
      <c r="F22" s="137">
        <v>0</v>
      </c>
      <c r="G22" s="137">
        <v>0</v>
      </c>
      <c r="H22" s="137">
        <v>0</v>
      </c>
      <c r="I22" s="137">
        <v>0</v>
      </c>
      <c r="J22" s="137">
        <v>0</v>
      </c>
      <c r="K22" s="137">
        <v>0</v>
      </c>
      <c r="L22" s="137">
        <v>1</v>
      </c>
      <c r="M22" s="137">
        <v>5</v>
      </c>
      <c r="N22" s="137">
        <v>-4</v>
      </c>
      <c r="O22" s="131" t="str">
        <f t="shared" si="0"/>
        <v>4 OZ , 0 (0+0), -4 ±</v>
      </c>
    </row>
    <row r="23" spans="1:19" ht="15" customHeight="1" x14ac:dyDescent="0.25">
      <c r="A23" s="65">
        <v>22</v>
      </c>
      <c r="B23" s="1" t="s">
        <v>58</v>
      </c>
      <c r="D23" s="137"/>
      <c r="E23" s="137">
        <v>6</v>
      </c>
      <c r="F23" s="137">
        <v>0</v>
      </c>
      <c r="G23" s="137">
        <v>0</v>
      </c>
      <c r="H23" s="137">
        <v>0</v>
      </c>
      <c r="I23" s="137">
        <v>0</v>
      </c>
      <c r="J23" s="137">
        <v>0</v>
      </c>
      <c r="K23" s="137">
        <v>0</v>
      </c>
      <c r="L23" s="137">
        <v>0</v>
      </c>
      <c r="M23" s="137">
        <v>0</v>
      </c>
      <c r="N23" s="137">
        <v>0</v>
      </c>
      <c r="O23" s="131" t="str">
        <f t="shared" si="0"/>
        <v>6 OZ , 0 (0+0), 0 ±</v>
      </c>
    </row>
    <row r="24" spans="1:19" ht="15" customHeight="1" x14ac:dyDescent="0.25">
      <c r="A24" s="65">
        <v>23</v>
      </c>
      <c r="B24" s="1" t="s">
        <v>33</v>
      </c>
      <c r="D24" s="137" t="s">
        <v>35</v>
      </c>
      <c r="E24" s="137">
        <v>0</v>
      </c>
      <c r="F24" s="137">
        <v>0</v>
      </c>
      <c r="G24" s="137">
        <v>0</v>
      </c>
      <c r="H24" s="137">
        <v>0</v>
      </c>
      <c r="I24" s="137">
        <v>0</v>
      </c>
      <c r="J24" s="137">
        <v>0</v>
      </c>
      <c r="K24" s="137">
        <v>0</v>
      </c>
      <c r="L24" s="137">
        <v>0</v>
      </c>
      <c r="M24" s="137">
        <v>1</v>
      </c>
      <c r="N24" s="137">
        <v>-1</v>
      </c>
      <c r="O24" s="131" t="str">
        <f t="shared" si="0"/>
        <v>0 OZ , 0 (0+0), -1 ±</v>
      </c>
    </row>
    <row r="25" spans="1:19" ht="15" customHeight="1" x14ac:dyDescent="0.25">
      <c r="A25" s="65">
        <v>24</v>
      </c>
      <c r="B25" s="1" t="s">
        <v>23</v>
      </c>
      <c r="D25" s="137" t="s">
        <v>52</v>
      </c>
      <c r="E25" s="137">
        <v>9</v>
      </c>
      <c r="F25" s="137">
        <v>0</v>
      </c>
      <c r="G25" s="137">
        <v>0</v>
      </c>
      <c r="H25" s="137">
        <v>0</v>
      </c>
      <c r="I25" s="137">
        <v>0</v>
      </c>
      <c r="J25" s="137">
        <v>0</v>
      </c>
      <c r="K25" s="137">
        <v>0</v>
      </c>
      <c r="L25" s="137">
        <v>10</v>
      </c>
      <c r="M25" s="137">
        <v>7</v>
      </c>
      <c r="N25" s="137">
        <v>3</v>
      </c>
      <c r="O25" s="131" t="str">
        <f t="shared" si="0"/>
        <v>9 OZ , 0 (0+0), +3 ±</v>
      </c>
    </row>
    <row r="26" spans="1:19" ht="15" customHeight="1" x14ac:dyDescent="0.25">
      <c r="A26" s="65">
        <v>25</v>
      </c>
      <c r="B26" s="1" t="s">
        <v>28</v>
      </c>
      <c r="D26" s="137"/>
      <c r="E26" s="137">
        <v>9</v>
      </c>
      <c r="F26" s="137">
        <v>0</v>
      </c>
      <c r="G26" s="137">
        <v>0</v>
      </c>
      <c r="H26" s="137">
        <v>0</v>
      </c>
      <c r="I26" s="137">
        <v>0</v>
      </c>
      <c r="J26" s="137">
        <v>0</v>
      </c>
      <c r="K26" s="137">
        <v>0</v>
      </c>
      <c r="L26" s="137">
        <v>1</v>
      </c>
      <c r="M26" s="137">
        <v>3</v>
      </c>
      <c r="N26" s="137">
        <v>-2</v>
      </c>
      <c r="O26" s="131" t="str">
        <f t="shared" si="0"/>
        <v>9 OZ , 0 (0+0), -2 ±</v>
      </c>
    </row>
    <row r="27" spans="1:19" ht="15" customHeight="1" x14ac:dyDescent="0.25">
      <c r="A27" s="65">
        <v>26</v>
      </c>
      <c r="B27" s="1" t="s">
        <v>24</v>
      </c>
      <c r="D27" s="137" t="s">
        <v>52</v>
      </c>
      <c r="E27" s="137">
        <v>12</v>
      </c>
      <c r="F27" s="137">
        <v>0</v>
      </c>
      <c r="G27" s="137">
        <v>0</v>
      </c>
      <c r="H27" s="137">
        <v>0</v>
      </c>
      <c r="I27" s="137">
        <v>0</v>
      </c>
      <c r="J27" s="137">
        <v>0</v>
      </c>
      <c r="K27" s="137">
        <v>2</v>
      </c>
      <c r="L27" s="137">
        <v>2</v>
      </c>
      <c r="M27" s="137">
        <v>7</v>
      </c>
      <c r="N27" s="137">
        <v>-5</v>
      </c>
      <c r="O27" s="131" t="str">
        <f t="shared" si="0"/>
        <v>12 OZ , 0 (0+0), -5 ±</v>
      </c>
    </row>
    <row r="28" spans="1:19" ht="15" customHeight="1" x14ac:dyDescent="0.25">
      <c r="A28" s="65">
        <v>27</v>
      </c>
      <c r="B28" s="1" t="s">
        <v>32</v>
      </c>
      <c r="D28" s="137" t="s">
        <v>35</v>
      </c>
      <c r="E28" s="137">
        <v>0</v>
      </c>
      <c r="F28" s="137">
        <v>0</v>
      </c>
      <c r="G28" s="137">
        <v>0</v>
      </c>
      <c r="H28" s="137">
        <v>0</v>
      </c>
      <c r="I28" s="137">
        <v>0</v>
      </c>
      <c r="J28" s="137">
        <v>0</v>
      </c>
      <c r="K28" s="137">
        <v>0</v>
      </c>
      <c r="L28" s="137">
        <v>0</v>
      </c>
      <c r="M28" s="137">
        <v>0</v>
      </c>
      <c r="N28" s="137">
        <v>0</v>
      </c>
      <c r="O28" s="131" t="str">
        <f t="shared" si="0"/>
        <v>0 OZ , 0 (0+0), 0 ±</v>
      </c>
    </row>
    <row r="29" spans="1:19" ht="15" customHeight="1" x14ac:dyDescent="0.25">
      <c r="A29" s="65"/>
      <c r="D29" s="131"/>
      <c r="E29" s="131"/>
      <c r="F29" s="131"/>
      <c r="G29" s="131"/>
      <c r="H29" s="131"/>
      <c r="I29" s="131"/>
      <c r="J29" s="131"/>
      <c r="K29" s="131"/>
      <c r="L29" s="131"/>
      <c r="M29" s="131"/>
      <c r="N29" s="131"/>
      <c r="O29" s="131" t="str">
        <f t="shared" si="0"/>
        <v/>
      </c>
      <c r="P29" s="131"/>
      <c r="Q29" s="130"/>
      <c r="S29" s="131"/>
    </row>
    <row r="30" spans="1:19" ht="15" customHeight="1" x14ac:dyDescent="0.25">
      <c r="A30" s="65"/>
      <c r="D30" s="131"/>
      <c r="E30" s="131"/>
      <c r="F30" s="131"/>
      <c r="G30" s="131"/>
      <c r="H30" s="131"/>
      <c r="I30" s="131"/>
      <c r="J30" s="131"/>
      <c r="K30" s="131"/>
      <c r="L30" s="131"/>
      <c r="M30" s="131"/>
      <c r="N30" s="131"/>
      <c r="O30" s="131" t="str">
        <f t="shared" si="0"/>
        <v/>
      </c>
      <c r="P30" s="131"/>
      <c r="Q30" s="130"/>
      <c r="S30" s="131"/>
    </row>
    <row r="31" spans="1:19" ht="15" customHeight="1" x14ac:dyDescent="0.25">
      <c r="A31" s="65"/>
      <c r="D31" s="131"/>
      <c r="E31" s="131"/>
      <c r="F31" s="131"/>
      <c r="G31" s="131"/>
      <c r="H31" s="131"/>
      <c r="I31" s="131"/>
      <c r="J31" s="131"/>
      <c r="K31" s="131"/>
      <c r="L31" s="131"/>
      <c r="M31" s="131"/>
      <c r="N31" s="131"/>
      <c r="O31" s="131" t="str">
        <f t="shared" si="0"/>
        <v/>
      </c>
      <c r="P31" s="131"/>
      <c r="Q31" s="130"/>
      <c r="S31" s="131"/>
    </row>
    <row r="32" spans="1:19" ht="15" customHeight="1" x14ac:dyDescent="0.25">
      <c r="A32" s="65"/>
      <c r="D32" s="131"/>
      <c r="E32" s="131"/>
      <c r="F32" s="131"/>
      <c r="G32" s="131"/>
      <c r="H32" s="131"/>
      <c r="I32" s="131"/>
      <c r="J32" s="131"/>
      <c r="K32" s="131"/>
      <c r="L32" s="131"/>
      <c r="M32" s="131"/>
      <c r="N32" s="131"/>
      <c r="O32" s="131" t="str">
        <f t="shared" si="0"/>
        <v/>
      </c>
      <c r="P32" s="131"/>
      <c r="Q32" s="130"/>
      <c r="S32" s="131"/>
    </row>
    <row r="33" spans="1:27" ht="15" customHeight="1" x14ac:dyDescent="0.25">
      <c r="A33" s="65"/>
      <c r="D33" s="131"/>
      <c r="E33" s="131"/>
      <c r="F33" s="131"/>
      <c r="G33" s="131"/>
      <c r="H33" s="131"/>
      <c r="I33" s="131"/>
      <c r="J33" s="131"/>
      <c r="K33" s="131"/>
      <c r="L33" s="131"/>
      <c r="M33" s="131"/>
      <c r="N33" s="131"/>
      <c r="O33" s="131" t="str">
        <f t="shared" si="0"/>
        <v/>
      </c>
      <c r="P33" s="131"/>
      <c r="Q33" s="130"/>
      <c r="S33" s="131"/>
    </row>
    <row r="34" spans="1:27" ht="15" customHeight="1" x14ac:dyDescent="0.25">
      <c r="A34" s="65"/>
      <c r="D34" s="131"/>
      <c r="E34" s="131"/>
      <c r="F34" s="131"/>
      <c r="G34" s="131"/>
      <c r="H34" s="131"/>
      <c r="I34" s="131"/>
      <c r="J34" s="131"/>
      <c r="K34" s="131"/>
      <c r="L34" s="131"/>
      <c r="M34" s="131"/>
      <c r="N34" s="131"/>
      <c r="O34" s="131" t="str">
        <f t="shared" si="0"/>
        <v/>
      </c>
      <c r="P34" s="131"/>
      <c r="Q34" s="130"/>
      <c r="S34" s="131"/>
    </row>
    <row r="35" spans="1:27" ht="15" customHeight="1" x14ac:dyDescent="0.25">
      <c r="A35" s="65"/>
      <c r="D35" s="131"/>
      <c r="E35" s="131"/>
      <c r="F35" s="131"/>
      <c r="G35" s="131"/>
      <c r="H35" s="131"/>
      <c r="I35" s="131"/>
      <c r="J35" s="131"/>
      <c r="K35" s="131"/>
      <c r="L35" s="131"/>
      <c r="M35" s="131"/>
      <c r="N35" s="131"/>
      <c r="O35" s="131" t="str">
        <f t="shared" si="0"/>
        <v/>
      </c>
      <c r="P35" s="131"/>
      <c r="Q35" s="130"/>
      <c r="S35" s="131"/>
    </row>
    <row r="36" spans="1:27" ht="15" customHeight="1" x14ac:dyDescent="0.25">
      <c r="A36" s="65"/>
      <c r="D36" s="131"/>
      <c r="E36" s="131"/>
      <c r="F36" s="131"/>
      <c r="G36" s="131"/>
      <c r="H36" s="131"/>
      <c r="I36" s="131"/>
      <c r="J36" s="131"/>
      <c r="K36" s="131"/>
      <c r="L36" s="131"/>
      <c r="M36" s="131"/>
      <c r="N36" s="131"/>
      <c r="O36" s="131" t="str">
        <f t="shared" si="0"/>
        <v/>
      </c>
      <c r="P36" s="131"/>
      <c r="Q36" s="130"/>
      <c r="S36" s="131"/>
    </row>
    <row r="38" spans="1:27" s="2" customFormat="1" ht="15" customHeight="1" x14ac:dyDescent="0.25">
      <c r="A38" s="9" t="s">
        <v>64</v>
      </c>
      <c r="B38" s="2" t="s">
        <v>65</v>
      </c>
      <c r="D38" s="2" t="s">
        <v>89</v>
      </c>
      <c r="E38" s="2" t="s">
        <v>90</v>
      </c>
      <c r="F38" s="2" t="s">
        <v>91</v>
      </c>
      <c r="G38" s="2" t="s">
        <v>41</v>
      </c>
      <c r="H38" s="2" t="s">
        <v>92</v>
      </c>
      <c r="I38" s="2" t="s">
        <v>93</v>
      </c>
      <c r="J38" s="2" t="s">
        <v>94</v>
      </c>
      <c r="K38" s="2" t="s">
        <v>85</v>
      </c>
      <c r="L38" s="2" t="s">
        <v>42</v>
      </c>
      <c r="M38" s="2" t="s">
        <v>95</v>
      </c>
      <c r="N38" s="3" t="s">
        <v>37</v>
      </c>
      <c r="O38" s="2" t="s">
        <v>38</v>
      </c>
      <c r="P38" s="2" t="s">
        <v>100</v>
      </c>
      <c r="Q38" s="2" t="s">
        <v>101</v>
      </c>
      <c r="R38" s="2" t="s">
        <v>102</v>
      </c>
    </row>
    <row r="39" spans="1:27" ht="15" customHeight="1" x14ac:dyDescent="0.25">
      <c r="A39" s="8" t="s">
        <v>51</v>
      </c>
      <c r="B39" s="1" t="s">
        <v>32</v>
      </c>
      <c r="D39" s="137">
        <v>12</v>
      </c>
      <c r="E39" s="137">
        <v>9</v>
      </c>
      <c r="F39" s="13" t="s">
        <v>96</v>
      </c>
      <c r="G39" s="137">
        <v>2</v>
      </c>
      <c r="H39" s="137">
        <v>53</v>
      </c>
      <c r="I39" s="137">
        <v>1</v>
      </c>
      <c r="J39" s="137">
        <v>207</v>
      </c>
      <c r="K39" s="137">
        <v>0</v>
      </c>
      <c r="L39" s="137">
        <v>7</v>
      </c>
      <c r="M39" s="137">
        <v>154</v>
      </c>
      <c r="N39" s="137">
        <v>0</v>
      </c>
      <c r="O39" s="137">
        <v>0</v>
      </c>
      <c r="P39" s="13">
        <f>IF(B39&lt;&gt;0,IFERROR(H39/(F39/60),0),"")</f>
        <v>5.9745237290046216</v>
      </c>
      <c r="Q39" s="13">
        <f>IF(B39&lt;&gt;0,IFERROR((M39/J39)*100,0),"")</f>
        <v>74.39613526570048</v>
      </c>
      <c r="R39" s="6" t="str">
        <f>IF(B39&lt;&gt;0,CONCATENATE(G39, " V, ",L39," P"),"")</f>
        <v>2 V, 7 P</v>
      </c>
    </row>
    <row r="40" spans="1:27" ht="15" customHeight="1" x14ac:dyDescent="0.25">
      <c r="A40" s="8" t="s">
        <v>50</v>
      </c>
      <c r="B40" s="1" t="s">
        <v>33</v>
      </c>
      <c r="D40" s="137">
        <v>8</v>
      </c>
      <c r="E40" s="137">
        <v>2</v>
      </c>
      <c r="F40" s="13" t="s">
        <v>97</v>
      </c>
      <c r="G40" s="137">
        <v>0</v>
      </c>
      <c r="H40" s="137">
        <v>15</v>
      </c>
      <c r="I40" s="137">
        <v>0</v>
      </c>
      <c r="J40" s="137">
        <v>58</v>
      </c>
      <c r="K40" s="137">
        <v>0</v>
      </c>
      <c r="L40" s="137">
        <v>2</v>
      </c>
      <c r="M40" s="137">
        <v>43</v>
      </c>
      <c r="N40" s="137">
        <v>0</v>
      </c>
      <c r="O40" s="137">
        <v>0</v>
      </c>
      <c r="P40" s="13">
        <f t="shared" ref="P40:P45" si="1">IF(B40&lt;&gt;0,IFERROR(H40/(F40/60),0),"")</f>
        <v>7.6595744680851068</v>
      </c>
      <c r="Q40" s="13">
        <f t="shared" ref="Q40:Q45" si="2">IF(B40&lt;&gt;0,IFERROR((M40/J40)*100,0),"")</f>
        <v>74.137931034482762</v>
      </c>
      <c r="R40" s="131" t="str">
        <f t="shared" ref="R40:R45" si="3">IF(B40&lt;&gt;0,CONCATENATE(G40, " V, ",L40," P"),"")</f>
        <v>0 V, 2 P</v>
      </c>
    </row>
    <row r="41" spans="1:27" ht="15" customHeight="1" x14ac:dyDescent="0.25">
      <c r="A41" s="8" t="s">
        <v>54</v>
      </c>
      <c r="B41" s="1" t="s">
        <v>63</v>
      </c>
      <c r="D41" s="137">
        <v>3</v>
      </c>
      <c r="E41" s="137">
        <v>1</v>
      </c>
      <c r="F41" s="13" t="s">
        <v>98</v>
      </c>
      <c r="G41" s="137">
        <v>0</v>
      </c>
      <c r="H41" s="137">
        <v>7</v>
      </c>
      <c r="I41" s="137">
        <v>0</v>
      </c>
      <c r="J41" s="137">
        <v>23</v>
      </c>
      <c r="K41" s="137">
        <v>0</v>
      </c>
      <c r="L41" s="137">
        <v>1</v>
      </c>
      <c r="M41" s="137">
        <v>16</v>
      </c>
      <c r="N41" s="137">
        <v>0</v>
      </c>
      <c r="O41" s="137">
        <v>0</v>
      </c>
      <c r="P41" s="13">
        <f t="shared" si="1"/>
        <v>7.1819425444596448</v>
      </c>
      <c r="Q41" s="13">
        <f t="shared" si="2"/>
        <v>69.565217391304344</v>
      </c>
      <c r="R41" s="131" t="str">
        <f t="shared" si="3"/>
        <v>0 V, 1 P</v>
      </c>
    </row>
    <row r="42" spans="1:27" ht="15" customHeight="1" x14ac:dyDescent="0.25">
      <c r="A42" s="8" t="s">
        <v>55</v>
      </c>
      <c r="B42" s="1" t="s">
        <v>60</v>
      </c>
      <c r="D42" s="137">
        <v>1</v>
      </c>
      <c r="E42" s="137">
        <v>0</v>
      </c>
      <c r="F42" s="13" t="s">
        <v>99</v>
      </c>
      <c r="G42" s="137">
        <v>0</v>
      </c>
      <c r="H42" s="137">
        <v>0</v>
      </c>
      <c r="I42" s="137">
        <v>0</v>
      </c>
      <c r="J42" s="137">
        <v>0</v>
      </c>
      <c r="K42" s="137">
        <v>0</v>
      </c>
      <c r="L42" s="137">
        <v>0</v>
      </c>
      <c r="M42" s="137">
        <v>0</v>
      </c>
      <c r="N42" s="137">
        <v>0</v>
      </c>
      <c r="O42" s="137">
        <v>0</v>
      </c>
      <c r="P42" s="13">
        <f t="shared" si="1"/>
        <v>0</v>
      </c>
      <c r="Q42" s="13">
        <f t="shared" si="2"/>
        <v>0</v>
      </c>
      <c r="R42" s="131" t="str">
        <f t="shared" si="3"/>
        <v>0 V, 0 P</v>
      </c>
    </row>
    <row r="43" spans="1:27" ht="15" customHeight="1" x14ac:dyDescent="0.25">
      <c r="A43" s="8"/>
      <c r="D43" s="131"/>
      <c r="E43" s="131"/>
      <c r="F43" s="13"/>
      <c r="G43" s="131"/>
      <c r="H43" s="131"/>
      <c r="I43" s="131"/>
      <c r="J43" s="131"/>
      <c r="K43" s="131"/>
      <c r="L43" s="131"/>
      <c r="M43" s="131"/>
      <c r="N43" s="131"/>
      <c r="O43" s="131"/>
      <c r="P43" s="13" t="str">
        <f t="shared" si="1"/>
        <v/>
      </c>
      <c r="Q43" s="13" t="str">
        <f t="shared" si="2"/>
        <v/>
      </c>
      <c r="R43" s="131" t="str">
        <f t="shared" si="3"/>
        <v/>
      </c>
      <c r="S43" s="131"/>
    </row>
    <row r="44" spans="1:27" ht="15" customHeight="1" x14ac:dyDescent="0.25">
      <c r="A44" s="8"/>
      <c r="D44" s="131"/>
      <c r="E44" s="131"/>
      <c r="F44" s="13"/>
      <c r="G44" s="131"/>
      <c r="H44" s="131"/>
      <c r="I44" s="131"/>
      <c r="J44" s="131"/>
      <c r="K44" s="131"/>
      <c r="L44" s="131"/>
      <c r="M44" s="131"/>
      <c r="N44" s="131"/>
      <c r="O44" s="131"/>
      <c r="P44" s="13" t="str">
        <f t="shared" si="1"/>
        <v/>
      </c>
      <c r="Q44" s="13" t="str">
        <f t="shared" si="2"/>
        <v/>
      </c>
      <c r="R44" s="131" t="str">
        <f t="shared" si="3"/>
        <v/>
      </c>
      <c r="S44" s="131"/>
    </row>
    <row r="45" spans="1:27" ht="15" customHeight="1" x14ac:dyDescent="0.25">
      <c r="P45" s="13" t="str">
        <f t="shared" si="1"/>
        <v/>
      </c>
      <c r="Q45" s="13" t="str">
        <f t="shared" si="2"/>
        <v/>
      </c>
      <c r="R45" s="131" t="str">
        <f t="shared" si="3"/>
        <v/>
      </c>
    </row>
    <row r="46" spans="1:27" ht="15" customHeight="1" x14ac:dyDescent="0.25">
      <c r="X46" s="286" t="s">
        <v>384</v>
      </c>
      <c r="Y46" s="286"/>
      <c r="Z46" s="286"/>
    </row>
    <row r="47" spans="1:27" s="2" customFormat="1" ht="15" customHeight="1" x14ac:dyDescent="0.25">
      <c r="A47" s="7">
        <f ca="1">TODAY()</f>
        <v>44205</v>
      </c>
      <c r="B47" s="2" t="s">
        <v>65</v>
      </c>
      <c r="C47" s="2" t="s">
        <v>72</v>
      </c>
      <c r="D47" s="2" t="s">
        <v>73</v>
      </c>
      <c r="E47" s="2" t="s">
        <v>76</v>
      </c>
      <c r="F47" s="2" t="s">
        <v>77</v>
      </c>
      <c r="G47" s="2" t="s">
        <v>78</v>
      </c>
      <c r="H47" s="2" t="s">
        <v>79</v>
      </c>
      <c r="I47" s="2" t="s">
        <v>47</v>
      </c>
      <c r="J47" s="2" t="s">
        <v>64</v>
      </c>
      <c r="K47" s="2" t="s">
        <v>169</v>
      </c>
      <c r="L47" s="2" t="s">
        <v>83</v>
      </c>
      <c r="M47" s="2" t="s">
        <v>74</v>
      </c>
      <c r="N47" s="2" t="s">
        <v>75</v>
      </c>
      <c r="O47" s="2" t="s">
        <v>87</v>
      </c>
      <c r="P47" s="2" t="s">
        <v>88</v>
      </c>
      <c r="Q47" s="2" t="s">
        <v>80</v>
      </c>
      <c r="R47" s="2" t="s">
        <v>81</v>
      </c>
      <c r="S47" s="2" t="s">
        <v>103</v>
      </c>
      <c r="T47" s="2" t="s">
        <v>168</v>
      </c>
      <c r="U47" s="2" t="s">
        <v>374</v>
      </c>
      <c r="V47" s="2" t="s">
        <v>375</v>
      </c>
      <c r="W47" s="2" t="s">
        <v>376</v>
      </c>
      <c r="X47" s="2" t="s">
        <v>383</v>
      </c>
      <c r="Y47" s="2" t="s">
        <v>381</v>
      </c>
      <c r="Z47" s="2" t="s">
        <v>382</v>
      </c>
    </row>
    <row r="48" spans="1:27" ht="15" customHeight="1" x14ac:dyDescent="0.25">
      <c r="B48" s="1" t="s">
        <v>0</v>
      </c>
      <c r="C48" s="10">
        <v>36257</v>
      </c>
      <c r="D48" s="6">
        <f t="shared" ref="D48:D75" ca="1" si="4">IF(C48 &lt;&gt; 0,ROUNDDOWN(($A$47-C48)/365.25,0),"")</f>
        <v>21</v>
      </c>
      <c r="E48" s="6">
        <v>110</v>
      </c>
      <c r="F48" s="6">
        <v>38</v>
      </c>
      <c r="G48" s="6">
        <v>29</v>
      </c>
      <c r="H48" s="6">
        <f t="shared" ref="H48:H75" si="5">IF(B48&lt;&gt;0,F48+G48,"")</f>
        <v>67</v>
      </c>
      <c r="I48" s="6">
        <v>5</v>
      </c>
      <c r="J48" s="6">
        <v>77</v>
      </c>
      <c r="L48" s="6" t="s">
        <v>84</v>
      </c>
      <c r="M48" s="6">
        <v>184</v>
      </c>
      <c r="N48" s="6">
        <v>81</v>
      </c>
      <c r="O48" s="6" t="str">
        <f t="shared" ref="O48:O82" si="6">IF(B48&lt;&gt;0,CONCATENATE(E48+IFERROR(VLOOKUP(B48,$B$2:$N$28,4,FALSE),X48), " OZ, ", H48+IFERROR(VLOOKUP(B48,$B$2:$N$28,9,FALSE),Y48+Z48), " (", F48+IFERROR(VLOOKUP(B48,$B$2:$N$28,5,FALSE),Y48), "+",G48+IFERROR(VLOOKUP(B48,$B$2:$N$28,8,FALSE), Z48), ")"), "")</f>
        <v>115 OZ, 69 (38+31)</v>
      </c>
      <c r="P48" s="6" t="str">
        <f t="shared" ref="P48:P75" si="7">IF(M48&lt;&gt;0,CONCATENATE(M48,"/",N48),"")</f>
        <v>184/81</v>
      </c>
      <c r="Q48" s="12" t="s">
        <v>1</v>
      </c>
      <c r="R48" s="6">
        <v>2008</v>
      </c>
      <c r="S48" s="131" t="str">
        <f>IFERROR(CONCATENATE(E48+VLOOKUP(B48,$B$39:$R$42,4,FALSE), " OZ, ",G48+VLOOKUP(B48,$B$39:$R$42,13,FALSE), " A"),"")</f>
        <v/>
      </c>
      <c r="T48" s="1" t="str">
        <f t="shared" ref="T48:T82" si="8">IF(B48&lt;&gt;0,IF(V48=1,U48,CONCATENATE(U48," ",W48,".")),"")</f>
        <v>Cabejšek</v>
      </c>
      <c r="U48" s="1" t="str">
        <f>IFERROR(RIGHT(B48,LEN(B48)-SEARCH(" ", B48,1)),"")</f>
        <v>Cabejšek</v>
      </c>
      <c r="V48" s="131">
        <f>IF(B48&lt;&gt;0,COUNTIF($U$48:$U$82,U48),"")</f>
        <v>1</v>
      </c>
      <c r="W48" s="131" t="str">
        <f>IFERROR(LEFT(LEFT(B48,SEARCH(" ",B48,1)),1),"")</f>
        <v>D</v>
      </c>
      <c r="X48" s="131">
        <v>4</v>
      </c>
      <c r="Y48" s="131">
        <v>0</v>
      </c>
      <c r="Z48" s="131">
        <v>1</v>
      </c>
      <c r="AA48" s="131"/>
    </row>
    <row r="49" spans="2:27" ht="15" customHeight="1" x14ac:dyDescent="0.25">
      <c r="B49" s="1" t="s">
        <v>53</v>
      </c>
      <c r="C49" s="10">
        <v>35835</v>
      </c>
      <c r="D49" s="131">
        <f t="shared" ca="1" si="4"/>
        <v>22</v>
      </c>
      <c r="E49" s="6">
        <v>68</v>
      </c>
      <c r="F49" s="6">
        <v>2</v>
      </c>
      <c r="G49" s="6">
        <v>0</v>
      </c>
      <c r="H49" s="131">
        <f t="shared" si="5"/>
        <v>2</v>
      </c>
      <c r="I49" s="6">
        <v>4</v>
      </c>
      <c r="J49" s="6">
        <v>33</v>
      </c>
      <c r="L49" s="6" t="s">
        <v>42</v>
      </c>
      <c r="M49" s="6">
        <v>194</v>
      </c>
      <c r="N49" s="6">
        <v>90</v>
      </c>
      <c r="O49" s="131" t="str">
        <f t="shared" si="6"/>
        <v>72 OZ, 2 (2+0)</v>
      </c>
      <c r="P49" s="131" t="str">
        <f t="shared" si="7"/>
        <v>194/90</v>
      </c>
      <c r="Q49" s="12" t="s">
        <v>29</v>
      </c>
      <c r="R49" s="6">
        <v>2005</v>
      </c>
      <c r="S49" s="131" t="str">
        <f t="shared" ref="S49:S75" si="9">IFERROR(CONCATENATE(E49+VLOOKUP(B49,$B$39:$R$42,4,FALSE), " OZ, ",G49+VLOOKUP(B49,$B$39:$R$42,13,FALSE), " A"),"")</f>
        <v/>
      </c>
      <c r="T49" s="1" t="str">
        <f t="shared" si="8"/>
        <v>Záň</v>
      </c>
      <c r="U49" s="1" t="str">
        <f t="shared" ref="U49:U82" si="10">IFERROR(RIGHT(B49,LEN(B49)-SEARCH(" ", B49,1)),"")</f>
        <v>Záň</v>
      </c>
      <c r="V49" s="131">
        <f t="shared" ref="V49:V82" si="11">IF(B49&lt;&gt;0,COUNTIF($U$48:$U$82,U49),"")</f>
        <v>1</v>
      </c>
      <c r="W49" s="131" t="str">
        <f t="shared" ref="W49:W82" si="12">IFERROR(LEFT(LEFT(B49,SEARCH(" ",B49,1)),1),"")</f>
        <v>D</v>
      </c>
      <c r="X49" s="131"/>
      <c r="Y49" s="131"/>
      <c r="Z49" s="131"/>
      <c r="AA49" s="131"/>
    </row>
    <row r="50" spans="2:27" ht="15" customHeight="1" x14ac:dyDescent="0.25">
      <c r="B50" s="1" t="s">
        <v>4</v>
      </c>
      <c r="C50" s="10">
        <v>34880</v>
      </c>
      <c r="D50" s="131">
        <f t="shared" ca="1" si="4"/>
        <v>25</v>
      </c>
      <c r="E50" s="6">
        <v>77</v>
      </c>
      <c r="F50" s="6">
        <v>18</v>
      </c>
      <c r="G50" s="6">
        <v>10</v>
      </c>
      <c r="H50" s="131">
        <f t="shared" si="5"/>
        <v>28</v>
      </c>
      <c r="I50" s="6">
        <v>5</v>
      </c>
      <c r="J50" s="6">
        <v>28</v>
      </c>
      <c r="L50" s="6" t="s">
        <v>42</v>
      </c>
      <c r="M50" s="6">
        <v>183</v>
      </c>
      <c r="N50" s="6">
        <v>76</v>
      </c>
      <c r="O50" s="131" t="str">
        <f t="shared" si="6"/>
        <v>89 OZ, 29 (18+11)</v>
      </c>
      <c r="P50" s="131" t="str">
        <f t="shared" si="7"/>
        <v>183/76</v>
      </c>
      <c r="Q50" s="12" t="s">
        <v>8</v>
      </c>
      <c r="R50" s="6">
        <v>2006</v>
      </c>
      <c r="S50" s="131" t="str">
        <f t="shared" si="9"/>
        <v/>
      </c>
      <c r="T50" s="1" t="str">
        <f t="shared" si="8"/>
        <v>Fiala</v>
      </c>
      <c r="U50" s="1" t="str">
        <f t="shared" si="10"/>
        <v>Fiala</v>
      </c>
      <c r="V50" s="131">
        <f t="shared" si="11"/>
        <v>1</v>
      </c>
      <c r="W50" s="131" t="str">
        <f t="shared" si="12"/>
        <v>J</v>
      </c>
      <c r="X50" s="131"/>
      <c r="Y50" s="131"/>
      <c r="Z50" s="131"/>
      <c r="AA50" s="131"/>
    </row>
    <row r="51" spans="2:27" ht="15" customHeight="1" x14ac:dyDescent="0.25">
      <c r="B51" s="1" t="s">
        <v>56</v>
      </c>
      <c r="C51" s="10">
        <v>31929</v>
      </c>
      <c r="D51" s="131">
        <f t="shared" ca="1" si="4"/>
        <v>33</v>
      </c>
      <c r="E51" s="6">
        <v>64</v>
      </c>
      <c r="F51" s="6">
        <v>18</v>
      </c>
      <c r="G51" s="6">
        <v>20</v>
      </c>
      <c r="H51" s="131">
        <f t="shared" si="5"/>
        <v>38</v>
      </c>
      <c r="I51" s="6">
        <v>5</v>
      </c>
      <c r="J51" s="6">
        <v>10</v>
      </c>
      <c r="L51" s="6" t="s">
        <v>42</v>
      </c>
      <c r="M51" s="6">
        <v>179</v>
      </c>
      <c r="N51" s="6">
        <v>82</v>
      </c>
      <c r="O51" s="131" t="str">
        <f t="shared" si="6"/>
        <v>67 OZ, 39 (19+20)</v>
      </c>
      <c r="P51" s="131" t="str">
        <f t="shared" si="7"/>
        <v>179/82</v>
      </c>
      <c r="Q51" s="12" t="s">
        <v>230</v>
      </c>
      <c r="R51" s="6">
        <v>1997</v>
      </c>
      <c r="S51" s="131" t="str">
        <f t="shared" si="9"/>
        <v/>
      </c>
      <c r="T51" s="1" t="str">
        <f t="shared" si="8"/>
        <v>Linhart</v>
      </c>
      <c r="U51" s="1" t="str">
        <f t="shared" si="10"/>
        <v>Linhart</v>
      </c>
      <c r="V51" s="131">
        <f t="shared" si="11"/>
        <v>1</v>
      </c>
      <c r="W51" s="131" t="str">
        <f t="shared" si="12"/>
        <v>J</v>
      </c>
      <c r="X51" s="131"/>
      <c r="Y51" s="131"/>
      <c r="Z51" s="131"/>
      <c r="AA51" s="131"/>
    </row>
    <row r="52" spans="2:27" ht="15" customHeight="1" x14ac:dyDescent="0.25">
      <c r="B52" s="1" t="s">
        <v>28</v>
      </c>
      <c r="C52" s="10">
        <v>37402</v>
      </c>
      <c r="D52" s="131">
        <f t="shared" ca="1" si="4"/>
        <v>18</v>
      </c>
      <c r="E52" s="6">
        <v>0</v>
      </c>
      <c r="F52" s="6">
        <v>0</v>
      </c>
      <c r="G52" s="6">
        <v>0</v>
      </c>
      <c r="H52" s="131">
        <f t="shared" si="5"/>
        <v>0</v>
      </c>
      <c r="I52" s="6">
        <v>1</v>
      </c>
      <c r="J52" s="6">
        <v>26</v>
      </c>
      <c r="L52" s="6" t="s">
        <v>84</v>
      </c>
      <c r="M52" s="6">
        <v>181</v>
      </c>
      <c r="N52" s="6">
        <v>66</v>
      </c>
      <c r="O52" s="131" t="str">
        <f t="shared" si="6"/>
        <v>9 OZ, 0 (0+0)</v>
      </c>
      <c r="P52" s="131" t="str">
        <f t="shared" si="7"/>
        <v>181/66</v>
      </c>
      <c r="Q52" s="12" t="s">
        <v>29</v>
      </c>
      <c r="R52" s="6" t="s">
        <v>30</v>
      </c>
      <c r="S52" s="131" t="str">
        <f t="shared" si="9"/>
        <v/>
      </c>
      <c r="T52" s="1" t="str">
        <f t="shared" si="8"/>
        <v>Pinkas</v>
      </c>
      <c r="U52" s="1" t="str">
        <f t="shared" si="10"/>
        <v>Pinkas</v>
      </c>
      <c r="V52" s="131">
        <f t="shared" si="11"/>
        <v>1</v>
      </c>
      <c r="W52" s="131" t="str">
        <f t="shared" si="12"/>
        <v>J</v>
      </c>
      <c r="X52" s="131"/>
      <c r="Y52" s="131"/>
      <c r="Z52" s="131"/>
      <c r="AA52" s="131"/>
    </row>
    <row r="53" spans="2:27" ht="15" customHeight="1" x14ac:dyDescent="0.25">
      <c r="B53" s="1" t="s">
        <v>19</v>
      </c>
      <c r="C53" s="10">
        <v>36658</v>
      </c>
      <c r="D53" s="131">
        <f t="shared" ca="1" si="4"/>
        <v>20</v>
      </c>
      <c r="E53" s="6">
        <v>0</v>
      </c>
      <c r="F53" s="6">
        <v>0</v>
      </c>
      <c r="G53" s="6">
        <v>0</v>
      </c>
      <c r="H53" s="131">
        <f t="shared" si="5"/>
        <v>0</v>
      </c>
      <c r="I53" s="6">
        <v>1</v>
      </c>
      <c r="J53" s="6">
        <v>99</v>
      </c>
      <c r="L53" s="6" t="s">
        <v>84</v>
      </c>
      <c r="M53" s="6">
        <v>186</v>
      </c>
      <c r="N53" s="6">
        <v>80</v>
      </c>
      <c r="O53" s="131" t="str">
        <f t="shared" si="6"/>
        <v>11 OZ, 8 (3+5)</v>
      </c>
      <c r="P53" s="131" t="str">
        <f t="shared" si="7"/>
        <v>186/80</v>
      </c>
      <c r="Q53" s="12" t="s">
        <v>82</v>
      </c>
      <c r="R53" s="6">
        <v>2014</v>
      </c>
      <c r="S53" s="131" t="str">
        <f t="shared" si="9"/>
        <v/>
      </c>
      <c r="T53" s="1" t="str">
        <f t="shared" si="8"/>
        <v>Procházka</v>
      </c>
      <c r="U53" s="1" t="str">
        <f t="shared" si="10"/>
        <v>Procházka</v>
      </c>
      <c r="V53" s="131">
        <f t="shared" si="11"/>
        <v>1</v>
      </c>
      <c r="W53" s="131" t="str">
        <f t="shared" si="12"/>
        <v>J</v>
      </c>
      <c r="X53" s="131"/>
      <c r="Y53" s="131"/>
      <c r="Z53" s="131"/>
      <c r="AA53" s="131"/>
    </row>
    <row r="54" spans="2:27" ht="15" customHeight="1" x14ac:dyDescent="0.25">
      <c r="B54" s="1" t="s">
        <v>10</v>
      </c>
      <c r="C54" s="10">
        <v>32666</v>
      </c>
      <c r="D54" s="131">
        <f t="shared" ca="1" si="4"/>
        <v>31</v>
      </c>
      <c r="E54" s="6">
        <v>186</v>
      </c>
      <c r="F54" s="6">
        <v>63</v>
      </c>
      <c r="G54" s="6">
        <v>58</v>
      </c>
      <c r="H54" s="131">
        <f t="shared" si="5"/>
        <v>121</v>
      </c>
      <c r="I54" s="6">
        <v>11</v>
      </c>
      <c r="J54" s="6">
        <v>76</v>
      </c>
      <c r="L54" s="6" t="s">
        <v>84</v>
      </c>
      <c r="M54" s="6">
        <v>192</v>
      </c>
      <c r="N54" s="6">
        <v>83</v>
      </c>
      <c r="O54" s="131" t="str">
        <f t="shared" si="6"/>
        <v>195 OZ, 124 (64+60)</v>
      </c>
      <c r="P54" s="131" t="str">
        <f t="shared" si="7"/>
        <v>192/83</v>
      </c>
      <c r="Q54" s="12" t="s">
        <v>11</v>
      </c>
      <c r="R54" s="6">
        <v>2003</v>
      </c>
      <c r="S54" s="131" t="str">
        <f t="shared" si="9"/>
        <v/>
      </c>
      <c r="T54" s="1" t="str">
        <f t="shared" si="8"/>
        <v>Svoboda</v>
      </c>
      <c r="U54" s="1" t="str">
        <f t="shared" si="10"/>
        <v>Svoboda</v>
      </c>
      <c r="V54" s="131">
        <f t="shared" si="11"/>
        <v>1</v>
      </c>
      <c r="W54" s="131" t="str">
        <f t="shared" si="12"/>
        <v>J</v>
      </c>
      <c r="X54" s="131"/>
      <c r="Y54" s="131"/>
      <c r="Z54" s="131"/>
      <c r="AA54" s="131"/>
    </row>
    <row r="55" spans="2:27" ht="15" customHeight="1" x14ac:dyDescent="0.25">
      <c r="B55" s="1" t="s">
        <v>33</v>
      </c>
      <c r="C55" s="10">
        <v>32155</v>
      </c>
      <c r="D55" s="131">
        <f t="shared" ca="1" si="4"/>
        <v>32</v>
      </c>
      <c r="E55" s="6">
        <v>14</v>
      </c>
      <c r="F55" s="6">
        <v>0</v>
      </c>
      <c r="G55" s="6">
        <v>0</v>
      </c>
      <c r="H55" s="131">
        <f t="shared" si="5"/>
        <v>0</v>
      </c>
      <c r="I55" s="6">
        <v>4</v>
      </c>
      <c r="J55" s="6">
        <v>13</v>
      </c>
      <c r="L55" s="6" t="s">
        <v>30</v>
      </c>
      <c r="M55" s="6">
        <v>177</v>
      </c>
      <c r="N55" s="6">
        <v>87</v>
      </c>
      <c r="O55" s="131" t="str">
        <f t="shared" si="6"/>
        <v>14 OZ, 0 (0+0)</v>
      </c>
      <c r="P55" s="131" t="str">
        <f t="shared" si="7"/>
        <v>177/87</v>
      </c>
      <c r="Q55" s="12" t="s">
        <v>34</v>
      </c>
      <c r="R55" s="6">
        <v>1999</v>
      </c>
      <c r="S55" s="131" t="str">
        <f t="shared" si="9"/>
        <v>16 OZ, 0 A</v>
      </c>
      <c r="T55" s="1" t="str">
        <f t="shared" si="8"/>
        <v>Buchta</v>
      </c>
      <c r="U55" s="1" t="str">
        <f t="shared" si="10"/>
        <v>Buchta</v>
      </c>
      <c r="V55" s="131">
        <f t="shared" si="11"/>
        <v>1</v>
      </c>
      <c r="W55" s="131" t="str">
        <f t="shared" si="12"/>
        <v>J</v>
      </c>
      <c r="X55" s="131"/>
      <c r="Y55" s="131"/>
      <c r="Z55" s="131"/>
      <c r="AA55" s="131"/>
    </row>
    <row r="56" spans="2:27" ht="15" customHeight="1" x14ac:dyDescent="0.25">
      <c r="B56" s="1" t="s">
        <v>32</v>
      </c>
      <c r="C56" s="10">
        <v>35171</v>
      </c>
      <c r="D56" s="131">
        <f t="shared" ca="1" si="4"/>
        <v>24</v>
      </c>
      <c r="E56" s="6">
        <v>20</v>
      </c>
      <c r="F56" s="6">
        <v>0</v>
      </c>
      <c r="G56" s="6">
        <v>2</v>
      </c>
      <c r="H56" s="131">
        <f t="shared" si="5"/>
        <v>2</v>
      </c>
      <c r="I56" s="6">
        <v>6</v>
      </c>
      <c r="J56" s="6">
        <v>42</v>
      </c>
      <c r="L56" s="6" t="s">
        <v>30</v>
      </c>
      <c r="M56" s="6">
        <v>187</v>
      </c>
      <c r="N56" s="6">
        <v>88</v>
      </c>
      <c r="O56" s="131" t="str">
        <f t="shared" si="6"/>
        <v>20 OZ, 2 (0+2)</v>
      </c>
      <c r="P56" s="131" t="str">
        <f t="shared" si="7"/>
        <v>187/88</v>
      </c>
      <c r="Q56" s="12" t="s">
        <v>8</v>
      </c>
      <c r="R56" s="6">
        <v>2008</v>
      </c>
      <c r="S56" s="131" t="str">
        <f t="shared" si="9"/>
        <v>29 OZ, 2 A</v>
      </c>
      <c r="T56" s="1" t="str">
        <f t="shared" si="8"/>
        <v>Šantora</v>
      </c>
      <c r="U56" s="1" t="str">
        <f t="shared" si="10"/>
        <v>Šantora</v>
      </c>
      <c r="V56" s="131">
        <f t="shared" si="11"/>
        <v>1</v>
      </c>
      <c r="W56" s="131" t="str">
        <f t="shared" si="12"/>
        <v>K</v>
      </c>
      <c r="X56" s="131"/>
      <c r="Y56" s="131"/>
      <c r="Z56" s="131"/>
      <c r="AA56" s="131"/>
    </row>
    <row r="57" spans="2:27" ht="15" customHeight="1" x14ac:dyDescent="0.25">
      <c r="B57" s="4" t="s">
        <v>21</v>
      </c>
      <c r="C57" s="10">
        <v>34105</v>
      </c>
      <c r="D57" s="131">
        <f t="shared" ca="1" si="4"/>
        <v>27</v>
      </c>
      <c r="E57" s="6">
        <v>135</v>
      </c>
      <c r="F57" s="6">
        <v>73</v>
      </c>
      <c r="G57" s="6">
        <v>40</v>
      </c>
      <c r="H57" s="131">
        <f t="shared" si="5"/>
        <v>113</v>
      </c>
      <c r="I57" s="6">
        <v>7</v>
      </c>
      <c r="J57" s="6">
        <v>27</v>
      </c>
      <c r="L57" s="6" t="s">
        <v>84</v>
      </c>
      <c r="M57" s="6">
        <v>180</v>
      </c>
      <c r="N57" s="6">
        <v>78</v>
      </c>
      <c r="O57" s="131" t="str">
        <f t="shared" si="6"/>
        <v>147 OZ, 126 (84+42)</v>
      </c>
      <c r="P57" s="131" t="str">
        <f t="shared" si="7"/>
        <v>180/78</v>
      </c>
      <c r="Q57" s="12" t="s">
        <v>22</v>
      </c>
      <c r="R57" s="6">
        <v>2007</v>
      </c>
      <c r="S57" s="131" t="str">
        <f t="shared" si="9"/>
        <v/>
      </c>
      <c r="T57" s="1" t="str">
        <f t="shared" si="8"/>
        <v>Gregor</v>
      </c>
      <c r="U57" s="1" t="str">
        <f t="shared" si="10"/>
        <v>Gregor</v>
      </c>
      <c r="V57" s="131">
        <f t="shared" si="11"/>
        <v>1</v>
      </c>
      <c r="W57" s="131" t="str">
        <f t="shared" si="12"/>
        <v>L</v>
      </c>
      <c r="X57" s="131"/>
      <c r="Y57" s="131"/>
      <c r="Z57" s="131"/>
      <c r="AA57" s="131"/>
    </row>
    <row r="58" spans="2:27" ht="15" customHeight="1" x14ac:dyDescent="0.25">
      <c r="B58" s="1" t="s">
        <v>5</v>
      </c>
      <c r="C58" s="10">
        <v>32379</v>
      </c>
      <c r="D58" s="131">
        <f t="shared" ca="1" si="4"/>
        <v>32</v>
      </c>
      <c r="E58" s="6">
        <v>71</v>
      </c>
      <c r="F58" s="6">
        <v>6</v>
      </c>
      <c r="G58" s="6">
        <v>6</v>
      </c>
      <c r="H58" s="131">
        <f t="shared" si="5"/>
        <v>12</v>
      </c>
      <c r="I58" s="6">
        <v>6</v>
      </c>
      <c r="J58" s="6">
        <v>19</v>
      </c>
      <c r="L58" s="6" t="s">
        <v>42</v>
      </c>
      <c r="M58" s="6">
        <v>187</v>
      </c>
      <c r="N58" s="6">
        <v>92</v>
      </c>
      <c r="O58" s="131" t="str">
        <f t="shared" si="6"/>
        <v>83 OZ, 15 (9+6)</v>
      </c>
      <c r="P58" s="131" t="str">
        <f t="shared" si="7"/>
        <v>187/92</v>
      </c>
      <c r="Q58" s="12" t="s">
        <v>9</v>
      </c>
      <c r="R58" s="6">
        <v>2000</v>
      </c>
      <c r="S58" s="131" t="str">
        <f t="shared" si="9"/>
        <v/>
      </c>
      <c r="T58" s="1" t="str">
        <f t="shared" si="8"/>
        <v>Lanc</v>
      </c>
      <c r="U58" s="1" t="str">
        <f t="shared" si="10"/>
        <v>Lanc</v>
      </c>
      <c r="V58" s="131">
        <f t="shared" si="11"/>
        <v>1</v>
      </c>
      <c r="W58" s="131" t="str">
        <f t="shared" si="12"/>
        <v>L</v>
      </c>
      <c r="X58" s="131"/>
      <c r="Y58" s="131"/>
      <c r="Z58" s="131"/>
      <c r="AA58" s="131"/>
    </row>
    <row r="59" spans="2:27" ht="15" customHeight="1" x14ac:dyDescent="0.25">
      <c r="B59" s="1" t="s">
        <v>58</v>
      </c>
      <c r="C59" s="10">
        <v>37455</v>
      </c>
      <c r="D59" s="131">
        <f t="shared" ca="1" si="4"/>
        <v>18</v>
      </c>
      <c r="E59" s="6">
        <v>0</v>
      </c>
      <c r="F59" s="6">
        <v>0</v>
      </c>
      <c r="G59" s="6">
        <v>0</v>
      </c>
      <c r="H59" s="131">
        <f t="shared" si="5"/>
        <v>0</v>
      </c>
      <c r="I59" s="6">
        <v>1</v>
      </c>
      <c r="J59" s="6">
        <v>81</v>
      </c>
      <c r="L59" s="6" t="s">
        <v>84</v>
      </c>
      <c r="M59" s="6">
        <v>187</v>
      </c>
      <c r="N59" s="6">
        <v>61</v>
      </c>
      <c r="O59" s="131" t="str">
        <f t="shared" si="6"/>
        <v>6 OZ, 0 (0+0)</v>
      </c>
      <c r="P59" s="131" t="str">
        <f t="shared" si="7"/>
        <v>187/61</v>
      </c>
      <c r="Q59" s="12" t="s">
        <v>29</v>
      </c>
      <c r="R59" s="6">
        <v>2013</v>
      </c>
      <c r="S59" s="131" t="str">
        <f t="shared" si="9"/>
        <v/>
      </c>
      <c r="T59" s="1" t="str">
        <f t="shared" si="8"/>
        <v>Paštika</v>
      </c>
      <c r="U59" s="1" t="str">
        <f t="shared" si="10"/>
        <v>Paštika</v>
      </c>
      <c r="V59" s="131">
        <f t="shared" si="11"/>
        <v>1</v>
      </c>
      <c r="W59" s="131" t="str">
        <f t="shared" si="12"/>
        <v>M</v>
      </c>
      <c r="X59" s="131"/>
      <c r="Y59" s="131"/>
      <c r="Z59" s="131"/>
      <c r="AA59" s="131"/>
    </row>
    <row r="60" spans="2:27" ht="15" customHeight="1" x14ac:dyDescent="0.25">
      <c r="B60" s="1" t="s">
        <v>23</v>
      </c>
      <c r="C60" s="10">
        <v>34368</v>
      </c>
      <c r="D60" s="131">
        <f t="shared" ca="1" si="4"/>
        <v>26</v>
      </c>
      <c r="E60" s="6">
        <v>115</v>
      </c>
      <c r="F60" s="6">
        <v>13</v>
      </c>
      <c r="G60" s="6">
        <v>14</v>
      </c>
      <c r="H60" s="131">
        <f t="shared" si="5"/>
        <v>27</v>
      </c>
      <c r="I60" s="6">
        <v>8</v>
      </c>
      <c r="J60" s="6">
        <v>2</v>
      </c>
      <c r="L60" s="6" t="s">
        <v>42</v>
      </c>
      <c r="M60" s="6">
        <v>187</v>
      </c>
      <c r="N60" s="6">
        <v>93</v>
      </c>
      <c r="O60" s="131" t="str">
        <f t="shared" si="6"/>
        <v>124 OZ, 27 (13+14)</v>
      </c>
      <c r="P60" s="131" t="str">
        <f t="shared" si="7"/>
        <v>187/93</v>
      </c>
      <c r="Q60" s="12" t="s">
        <v>224</v>
      </c>
      <c r="R60" s="6">
        <v>2001</v>
      </c>
      <c r="S60" s="131" t="str">
        <f t="shared" si="9"/>
        <v/>
      </c>
      <c r="T60" s="1" t="str">
        <f t="shared" si="8"/>
        <v>Jelínek</v>
      </c>
      <c r="U60" s="1" t="str">
        <f t="shared" si="10"/>
        <v>Jelínek</v>
      </c>
      <c r="V60" s="131">
        <f t="shared" si="11"/>
        <v>1</v>
      </c>
      <c r="W60" s="131" t="str">
        <f t="shared" si="12"/>
        <v>M</v>
      </c>
      <c r="X60" s="131"/>
      <c r="Y60" s="131"/>
      <c r="Z60" s="131"/>
      <c r="AA60" s="131"/>
    </row>
    <row r="61" spans="2:27" ht="15" customHeight="1" x14ac:dyDescent="0.25">
      <c r="B61" s="4" t="s">
        <v>2</v>
      </c>
      <c r="C61" s="10">
        <v>35382</v>
      </c>
      <c r="D61" s="131">
        <f t="shared" ca="1" si="4"/>
        <v>24</v>
      </c>
      <c r="E61" s="6">
        <v>65</v>
      </c>
      <c r="F61" s="6">
        <v>37</v>
      </c>
      <c r="G61" s="6">
        <v>34</v>
      </c>
      <c r="H61" s="131">
        <f t="shared" si="5"/>
        <v>71</v>
      </c>
      <c r="I61" s="6">
        <v>5</v>
      </c>
      <c r="J61" s="6">
        <v>29</v>
      </c>
      <c r="L61" s="6" t="s">
        <v>84</v>
      </c>
      <c r="M61" s="6">
        <v>192</v>
      </c>
      <c r="N61" s="6">
        <v>94</v>
      </c>
      <c r="O61" s="131" t="str">
        <f t="shared" si="6"/>
        <v>74 OZ, 81 (41+40)</v>
      </c>
      <c r="P61" s="131" t="str">
        <f t="shared" si="7"/>
        <v>192/94</v>
      </c>
      <c r="Q61" s="12" t="s">
        <v>6</v>
      </c>
      <c r="R61" s="6">
        <v>2005</v>
      </c>
      <c r="S61" s="131" t="str">
        <f t="shared" si="9"/>
        <v/>
      </c>
      <c r="T61" s="1" t="str">
        <f t="shared" si="8"/>
        <v>Skřivánek</v>
      </c>
      <c r="U61" s="1" t="str">
        <f t="shared" si="10"/>
        <v>Skřivánek</v>
      </c>
      <c r="V61" s="131">
        <f t="shared" si="11"/>
        <v>1</v>
      </c>
      <c r="W61" s="131" t="str">
        <f t="shared" si="12"/>
        <v>M</v>
      </c>
      <c r="X61" s="131"/>
      <c r="Y61" s="131"/>
      <c r="Z61" s="131"/>
      <c r="AA61" s="131"/>
    </row>
    <row r="62" spans="2:27" ht="15" customHeight="1" x14ac:dyDescent="0.25">
      <c r="B62" s="1" t="s">
        <v>59</v>
      </c>
      <c r="D62" s="131" t="str">
        <f t="shared" si="4"/>
        <v/>
      </c>
      <c r="E62" s="6">
        <v>0</v>
      </c>
      <c r="F62" s="6">
        <v>0</v>
      </c>
      <c r="G62" s="6">
        <v>0</v>
      </c>
      <c r="H62" s="131">
        <f t="shared" si="5"/>
        <v>0</v>
      </c>
      <c r="I62" s="6">
        <v>1</v>
      </c>
      <c r="J62" s="6">
        <v>12</v>
      </c>
      <c r="O62" s="131" t="str">
        <f t="shared" si="6"/>
        <v>2 OZ, 0 (0+0)</v>
      </c>
      <c r="P62" s="131" t="str">
        <f t="shared" si="7"/>
        <v/>
      </c>
      <c r="R62" s="6"/>
      <c r="S62" s="131" t="str">
        <f t="shared" si="9"/>
        <v/>
      </c>
      <c r="T62" s="1" t="str">
        <f t="shared" si="8"/>
        <v>Šolaja</v>
      </c>
      <c r="U62" s="1" t="str">
        <f t="shared" si="10"/>
        <v>Šolaja</v>
      </c>
      <c r="V62" s="131">
        <f t="shared" si="11"/>
        <v>1</v>
      </c>
      <c r="W62" s="131" t="str">
        <f t="shared" si="12"/>
        <v>M</v>
      </c>
      <c r="X62" s="131"/>
      <c r="Y62" s="131"/>
      <c r="Z62" s="131"/>
      <c r="AA62" s="131"/>
    </row>
    <row r="63" spans="2:27" ht="15" customHeight="1" x14ac:dyDescent="0.25">
      <c r="B63" s="1" t="s">
        <v>61</v>
      </c>
      <c r="C63" s="10">
        <v>37453</v>
      </c>
      <c r="D63" s="131">
        <f t="shared" ca="1" si="4"/>
        <v>18</v>
      </c>
      <c r="E63" s="6">
        <v>4</v>
      </c>
      <c r="F63" s="6">
        <v>1</v>
      </c>
      <c r="G63" s="6">
        <v>0</v>
      </c>
      <c r="H63" s="131">
        <f t="shared" si="5"/>
        <v>1</v>
      </c>
      <c r="I63" s="6">
        <v>2</v>
      </c>
      <c r="J63" s="6">
        <v>87</v>
      </c>
      <c r="L63" s="6" t="s">
        <v>42</v>
      </c>
      <c r="M63" s="6">
        <v>181</v>
      </c>
      <c r="N63" s="6">
        <v>75</v>
      </c>
      <c r="O63" s="131" t="str">
        <f t="shared" si="6"/>
        <v>7 OZ, 1 (1+0)</v>
      </c>
      <c r="P63" s="131" t="str">
        <f t="shared" si="7"/>
        <v>181/75</v>
      </c>
      <c r="Q63" s="12" t="s">
        <v>231</v>
      </c>
      <c r="R63" s="6"/>
      <c r="S63" s="131" t="str">
        <f t="shared" si="9"/>
        <v/>
      </c>
      <c r="T63" s="1" t="str">
        <f t="shared" si="8"/>
        <v>Šaroch</v>
      </c>
      <c r="U63" s="1" t="str">
        <f t="shared" si="10"/>
        <v>Šaroch</v>
      </c>
      <c r="V63" s="131">
        <f t="shared" si="11"/>
        <v>1</v>
      </c>
      <c r="W63" s="131" t="str">
        <f t="shared" si="12"/>
        <v>M</v>
      </c>
      <c r="X63" s="131"/>
      <c r="Y63" s="131"/>
      <c r="Z63" s="131"/>
      <c r="AA63" s="131"/>
    </row>
    <row r="64" spans="2:27" ht="15" customHeight="1" x14ac:dyDescent="0.25">
      <c r="B64" s="1" t="s">
        <v>60</v>
      </c>
      <c r="C64" s="10">
        <v>37561</v>
      </c>
      <c r="D64" s="131">
        <f t="shared" ca="1" si="4"/>
        <v>18</v>
      </c>
      <c r="E64" s="6">
        <v>0</v>
      </c>
      <c r="F64" s="6">
        <v>0</v>
      </c>
      <c r="G64" s="6">
        <v>0</v>
      </c>
      <c r="H64" s="131">
        <f t="shared" si="5"/>
        <v>0</v>
      </c>
      <c r="I64" s="6">
        <v>1</v>
      </c>
      <c r="J64" s="6">
        <v>88</v>
      </c>
      <c r="L64" s="6" t="s">
        <v>30</v>
      </c>
      <c r="M64" s="6">
        <v>180</v>
      </c>
      <c r="N64" s="6">
        <v>83</v>
      </c>
      <c r="O64" s="131" t="str">
        <f t="shared" si="6"/>
        <v>0 OZ, 0 (0+0)</v>
      </c>
      <c r="P64" s="131" t="str">
        <f t="shared" si="7"/>
        <v>180/83</v>
      </c>
      <c r="R64" s="6"/>
      <c r="S64" s="131" t="str">
        <f t="shared" si="9"/>
        <v>0 OZ, 0 A</v>
      </c>
      <c r="T64" s="1" t="str">
        <f t="shared" si="8"/>
        <v>Lorenc</v>
      </c>
      <c r="U64" s="1" t="str">
        <f t="shared" si="10"/>
        <v>Lorenc</v>
      </c>
      <c r="V64" s="131">
        <f t="shared" si="11"/>
        <v>1</v>
      </c>
      <c r="W64" s="131" t="str">
        <f t="shared" si="12"/>
        <v>M</v>
      </c>
      <c r="X64" s="131"/>
      <c r="Y64" s="131"/>
      <c r="Z64" s="131"/>
      <c r="AA64" s="131"/>
    </row>
    <row r="65" spans="2:27" ht="15" customHeight="1" x14ac:dyDescent="0.25">
      <c r="B65" s="4" t="s">
        <v>14</v>
      </c>
      <c r="C65" s="10">
        <v>33907</v>
      </c>
      <c r="D65" s="131">
        <f t="shared" ca="1" si="4"/>
        <v>28</v>
      </c>
      <c r="E65" s="6">
        <v>178</v>
      </c>
      <c r="F65" s="6">
        <v>90</v>
      </c>
      <c r="G65" s="6">
        <v>74</v>
      </c>
      <c r="H65" s="131">
        <f t="shared" si="5"/>
        <v>164</v>
      </c>
      <c r="I65" s="6">
        <v>10</v>
      </c>
      <c r="J65" s="6">
        <v>78</v>
      </c>
      <c r="L65" s="6" t="s">
        <v>84</v>
      </c>
      <c r="M65" s="6">
        <v>172</v>
      </c>
      <c r="N65" s="6">
        <v>73</v>
      </c>
      <c r="O65" s="131" t="str">
        <f t="shared" si="6"/>
        <v>190 OZ, 179 (99+80)</v>
      </c>
      <c r="P65" s="131" t="str">
        <f t="shared" si="7"/>
        <v>172/73</v>
      </c>
      <c r="Q65" s="12" t="s">
        <v>15</v>
      </c>
      <c r="R65" s="6">
        <v>2000</v>
      </c>
      <c r="S65" s="131" t="str">
        <f t="shared" si="9"/>
        <v/>
      </c>
      <c r="T65" s="1" t="str">
        <f t="shared" si="8"/>
        <v>Strachota</v>
      </c>
      <c r="U65" s="1" t="str">
        <f t="shared" si="10"/>
        <v>Strachota</v>
      </c>
      <c r="V65" s="131">
        <f t="shared" si="11"/>
        <v>1</v>
      </c>
      <c r="W65" s="131" t="str">
        <f t="shared" si="12"/>
        <v>M</v>
      </c>
      <c r="X65" s="131"/>
      <c r="Y65" s="131"/>
      <c r="Z65" s="131"/>
      <c r="AA65" s="131"/>
    </row>
    <row r="66" spans="2:27" ht="15" customHeight="1" x14ac:dyDescent="0.25">
      <c r="B66" s="4" t="s">
        <v>12</v>
      </c>
      <c r="C66" s="10">
        <v>33786</v>
      </c>
      <c r="D66" s="131">
        <f t="shared" ca="1" si="4"/>
        <v>28</v>
      </c>
      <c r="E66" s="6">
        <v>117</v>
      </c>
      <c r="F66" s="6">
        <v>79</v>
      </c>
      <c r="G66" s="6">
        <v>50</v>
      </c>
      <c r="H66" s="131">
        <f t="shared" si="5"/>
        <v>129</v>
      </c>
      <c r="I66" s="6">
        <v>9</v>
      </c>
      <c r="J66" s="6">
        <v>23</v>
      </c>
      <c r="L66" s="6" t="s">
        <v>84</v>
      </c>
      <c r="M66" s="6">
        <v>181</v>
      </c>
      <c r="N66" s="6">
        <v>78</v>
      </c>
      <c r="O66" s="131" t="str">
        <f t="shared" si="6"/>
        <v>128 OZ, 141 (85+56)</v>
      </c>
      <c r="P66" s="131" t="str">
        <f t="shared" si="7"/>
        <v>181/78</v>
      </c>
      <c r="Q66" s="12" t="s">
        <v>13</v>
      </c>
      <c r="R66" s="6">
        <v>2003</v>
      </c>
      <c r="S66" s="131" t="str">
        <f t="shared" si="9"/>
        <v/>
      </c>
      <c r="T66" s="1" t="str">
        <f t="shared" si="8"/>
        <v>Bína</v>
      </c>
      <c r="U66" s="1" t="str">
        <f t="shared" si="10"/>
        <v>Bína</v>
      </c>
      <c r="V66" s="131">
        <f t="shared" si="11"/>
        <v>1</v>
      </c>
      <c r="W66" s="131" t="str">
        <f t="shared" si="12"/>
        <v>M</v>
      </c>
      <c r="X66" s="131"/>
      <c r="Y66" s="131"/>
      <c r="Z66" s="131"/>
      <c r="AA66" s="131"/>
    </row>
    <row r="67" spans="2:27" ht="15" customHeight="1" x14ac:dyDescent="0.25">
      <c r="B67" s="1" t="s">
        <v>26</v>
      </c>
      <c r="C67" s="10">
        <v>37000</v>
      </c>
      <c r="D67" s="131">
        <f t="shared" ca="1" si="4"/>
        <v>19</v>
      </c>
      <c r="E67" s="6">
        <v>33</v>
      </c>
      <c r="F67" s="6">
        <v>3</v>
      </c>
      <c r="G67" s="6">
        <v>5</v>
      </c>
      <c r="H67" s="131">
        <f t="shared" si="5"/>
        <v>8</v>
      </c>
      <c r="I67" s="6">
        <v>3</v>
      </c>
      <c r="J67" s="6">
        <v>11</v>
      </c>
      <c r="L67" s="6" t="s">
        <v>84</v>
      </c>
      <c r="M67" s="6">
        <v>181</v>
      </c>
      <c r="N67" s="6">
        <v>80</v>
      </c>
      <c r="O67" s="131" t="str">
        <f t="shared" si="6"/>
        <v>44 OZ, 9 (4+5)</v>
      </c>
      <c r="P67" s="131" t="str">
        <f t="shared" si="7"/>
        <v>181/80</v>
      </c>
      <c r="Q67" s="12" t="s">
        <v>27</v>
      </c>
      <c r="R67" s="6">
        <v>2013</v>
      </c>
      <c r="S67" s="131" t="str">
        <f t="shared" si="9"/>
        <v/>
      </c>
      <c r="T67" s="1" t="str">
        <f t="shared" si="8"/>
        <v>Gold</v>
      </c>
      <c r="U67" s="1" t="str">
        <f t="shared" si="10"/>
        <v>Gold</v>
      </c>
      <c r="V67" s="131">
        <f t="shared" si="11"/>
        <v>1</v>
      </c>
      <c r="W67" s="131" t="str">
        <f t="shared" si="12"/>
        <v>O</v>
      </c>
      <c r="X67" s="131"/>
      <c r="Y67" s="131"/>
      <c r="Z67" s="131"/>
      <c r="AA67" s="131"/>
    </row>
    <row r="68" spans="2:27" ht="15" customHeight="1" x14ac:dyDescent="0.25">
      <c r="B68" s="1" t="s">
        <v>62</v>
      </c>
      <c r="C68" s="10">
        <v>34200</v>
      </c>
      <c r="D68" s="131">
        <f t="shared" ca="1" si="4"/>
        <v>27</v>
      </c>
      <c r="E68" s="6">
        <v>83</v>
      </c>
      <c r="F68" s="6">
        <v>24</v>
      </c>
      <c r="G68" s="6">
        <v>18</v>
      </c>
      <c r="H68" s="131">
        <f t="shared" si="5"/>
        <v>42</v>
      </c>
      <c r="I68" s="6">
        <v>6</v>
      </c>
      <c r="J68" s="6">
        <v>65</v>
      </c>
      <c r="K68" s="6" t="s">
        <v>234</v>
      </c>
      <c r="L68" s="6" t="s">
        <v>42</v>
      </c>
      <c r="M68" s="6">
        <v>169</v>
      </c>
      <c r="N68" s="6">
        <v>65</v>
      </c>
      <c r="O68" s="131" t="str">
        <f t="shared" si="6"/>
        <v>95 OZ, 49 (29+20)</v>
      </c>
      <c r="P68" s="131" t="str">
        <f t="shared" si="7"/>
        <v>169/65</v>
      </c>
      <c r="Q68" s="12" t="s">
        <v>16</v>
      </c>
      <c r="R68" s="6">
        <v>2004</v>
      </c>
      <c r="S68" s="131" t="str">
        <f t="shared" si="9"/>
        <v/>
      </c>
      <c r="T68" s="1" t="str">
        <f t="shared" si="8"/>
        <v>Stuchlík O.</v>
      </c>
      <c r="U68" s="1" t="str">
        <f t="shared" si="10"/>
        <v>Stuchlík</v>
      </c>
      <c r="V68" s="131">
        <f t="shared" si="11"/>
        <v>2</v>
      </c>
      <c r="W68" s="131" t="str">
        <f t="shared" si="12"/>
        <v>O</v>
      </c>
      <c r="X68" s="131"/>
      <c r="Y68" s="131"/>
      <c r="Z68" s="131"/>
      <c r="AA68" s="131"/>
    </row>
    <row r="69" spans="2:27" ht="15" customHeight="1" x14ac:dyDescent="0.25">
      <c r="B69" s="1" t="s">
        <v>31</v>
      </c>
      <c r="C69" s="10">
        <v>36825</v>
      </c>
      <c r="D69" s="131">
        <f t="shared" ca="1" si="4"/>
        <v>20</v>
      </c>
      <c r="E69" s="6">
        <v>33</v>
      </c>
      <c r="F69" s="6">
        <v>2</v>
      </c>
      <c r="G69" s="6">
        <v>6</v>
      </c>
      <c r="H69" s="131">
        <f t="shared" si="5"/>
        <v>8</v>
      </c>
      <c r="I69" s="6">
        <v>3</v>
      </c>
      <c r="J69" s="6">
        <v>32</v>
      </c>
      <c r="L69" s="6" t="s">
        <v>84</v>
      </c>
      <c r="M69" s="6">
        <v>175</v>
      </c>
      <c r="N69" s="6">
        <v>70</v>
      </c>
      <c r="O69" s="131" t="str">
        <f t="shared" si="6"/>
        <v>42 OZ, 13 (2+11)</v>
      </c>
      <c r="P69" s="131" t="str">
        <f t="shared" si="7"/>
        <v>175/70</v>
      </c>
      <c r="Q69" s="12" t="s">
        <v>29</v>
      </c>
      <c r="R69" s="6">
        <v>2015</v>
      </c>
      <c r="S69" s="131" t="str">
        <f t="shared" si="9"/>
        <v/>
      </c>
      <c r="T69" s="1" t="str">
        <f t="shared" si="8"/>
        <v>Hájek</v>
      </c>
      <c r="U69" s="1" t="str">
        <f t="shared" si="10"/>
        <v>Hájek</v>
      </c>
      <c r="V69" s="131">
        <f t="shared" si="11"/>
        <v>1</v>
      </c>
      <c r="W69" s="131" t="str">
        <f t="shared" si="12"/>
        <v>P</v>
      </c>
      <c r="X69" s="131"/>
      <c r="Y69" s="131"/>
      <c r="Z69" s="131"/>
      <c r="AA69" s="131"/>
    </row>
    <row r="70" spans="2:27" ht="15" customHeight="1" x14ac:dyDescent="0.25">
      <c r="B70" s="1" t="s">
        <v>3</v>
      </c>
      <c r="C70" s="10">
        <v>33357</v>
      </c>
      <c r="D70" s="131">
        <f t="shared" ca="1" si="4"/>
        <v>29</v>
      </c>
      <c r="E70" s="6">
        <v>56</v>
      </c>
      <c r="F70" s="6">
        <v>35</v>
      </c>
      <c r="G70" s="6">
        <v>17</v>
      </c>
      <c r="H70" s="131">
        <f t="shared" si="5"/>
        <v>52</v>
      </c>
      <c r="I70" s="6">
        <v>4</v>
      </c>
      <c r="J70" s="6">
        <v>24</v>
      </c>
      <c r="L70" s="6" t="s">
        <v>84</v>
      </c>
      <c r="M70" s="6">
        <v>180</v>
      </c>
      <c r="N70" s="6">
        <v>78</v>
      </c>
      <c r="O70" s="131" t="str">
        <f t="shared" si="6"/>
        <v>68 OZ, 60 (40+20)</v>
      </c>
      <c r="P70" s="131" t="str">
        <f t="shared" si="7"/>
        <v>180/78</v>
      </c>
      <c r="Q70" s="12" t="s">
        <v>7</v>
      </c>
      <c r="R70" s="6">
        <v>2008</v>
      </c>
      <c r="S70" s="131" t="str">
        <f t="shared" si="9"/>
        <v/>
      </c>
      <c r="T70" s="1" t="str">
        <f t="shared" si="8"/>
        <v>Hartman</v>
      </c>
      <c r="U70" s="1" t="str">
        <f t="shared" si="10"/>
        <v>Hartman</v>
      </c>
      <c r="V70" s="131">
        <f t="shared" si="11"/>
        <v>1</v>
      </c>
      <c r="W70" s="131" t="str">
        <f t="shared" si="12"/>
        <v>P</v>
      </c>
      <c r="X70" s="131"/>
      <c r="Y70" s="131"/>
      <c r="Z70" s="131"/>
      <c r="AA70" s="131"/>
    </row>
    <row r="71" spans="2:27" ht="15" customHeight="1" x14ac:dyDescent="0.25">
      <c r="B71" s="1" t="s">
        <v>17</v>
      </c>
      <c r="C71" s="10">
        <v>33619</v>
      </c>
      <c r="D71" s="131">
        <f t="shared" ca="1" si="4"/>
        <v>28</v>
      </c>
      <c r="E71" s="6">
        <v>79</v>
      </c>
      <c r="F71" s="6">
        <v>4</v>
      </c>
      <c r="G71" s="6">
        <v>15</v>
      </c>
      <c r="H71" s="131">
        <f t="shared" si="5"/>
        <v>19</v>
      </c>
      <c r="I71" s="6">
        <v>5</v>
      </c>
      <c r="J71" s="6">
        <v>4</v>
      </c>
      <c r="L71" s="6" t="s">
        <v>84</v>
      </c>
      <c r="M71" s="6">
        <v>197</v>
      </c>
      <c r="N71" s="6">
        <v>92</v>
      </c>
      <c r="O71" s="131" t="str">
        <f t="shared" si="6"/>
        <v>90 OZ, 22 (5+17)</v>
      </c>
      <c r="P71" s="131" t="str">
        <f t="shared" si="7"/>
        <v>197/92</v>
      </c>
      <c r="Q71" s="12" t="s">
        <v>18</v>
      </c>
      <c r="R71" s="6">
        <v>2007</v>
      </c>
      <c r="S71" s="131" t="str">
        <f t="shared" si="9"/>
        <v/>
      </c>
      <c r="T71" s="1" t="str">
        <f t="shared" si="8"/>
        <v>Vnuk</v>
      </c>
      <c r="U71" s="1" t="str">
        <f t="shared" si="10"/>
        <v>Vnuk</v>
      </c>
      <c r="V71" s="131">
        <f t="shared" si="11"/>
        <v>1</v>
      </c>
      <c r="W71" s="131" t="str">
        <f t="shared" si="12"/>
        <v>R</v>
      </c>
      <c r="X71" s="131"/>
      <c r="Y71" s="131"/>
      <c r="Z71" s="131"/>
      <c r="AA71" s="131"/>
    </row>
    <row r="72" spans="2:27" ht="15" customHeight="1" x14ac:dyDescent="0.25">
      <c r="B72" s="1" t="s">
        <v>63</v>
      </c>
      <c r="C72" s="10">
        <v>34726</v>
      </c>
      <c r="D72" s="131">
        <f t="shared" ca="1" si="4"/>
        <v>25</v>
      </c>
      <c r="H72" s="131">
        <f t="shared" si="5"/>
        <v>0</v>
      </c>
      <c r="I72" s="6">
        <v>3</v>
      </c>
      <c r="J72" s="6">
        <v>37</v>
      </c>
      <c r="L72" s="6" t="s">
        <v>30</v>
      </c>
      <c r="M72" s="6">
        <v>190</v>
      </c>
      <c r="N72" s="6">
        <v>80</v>
      </c>
      <c r="O72" s="131" t="str">
        <f t="shared" si="6"/>
        <v>0 OZ, 0 (0+0)</v>
      </c>
      <c r="P72" s="131" t="str">
        <f t="shared" si="7"/>
        <v>190/80</v>
      </c>
      <c r="Q72" s="12" t="s">
        <v>267</v>
      </c>
      <c r="R72" s="6">
        <v>2007</v>
      </c>
      <c r="S72" s="131" t="str">
        <f t="shared" si="9"/>
        <v>1 OZ, 0 A</v>
      </c>
      <c r="T72" s="1" t="str">
        <f t="shared" si="8"/>
        <v>Mazák</v>
      </c>
      <c r="U72" s="1" t="str">
        <f t="shared" si="10"/>
        <v>Mazák</v>
      </c>
      <c r="V72" s="131">
        <f t="shared" si="11"/>
        <v>1</v>
      </c>
      <c r="W72" s="131" t="str">
        <f t="shared" si="12"/>
        <v>R</v>
      </c>
      <c r="X72" s="131"/>
      <c r="Y72" s="131"/>
      <c r="Z72" s="131"/>
      <c r="AA72" s="131"/>
    </row>
    <row r="73" spans="2:27" ht="15" customHeight="1" x14ac:dyDescent="0.25">
      <c r="B73" s="1" t="s">
        <v>24</v>
      </c>
      <c r="C73" s="10">
        <v>36364</v>
      </c>
      <c r="D73" s="131">
        <f t="shared" ca="1" si="4"/>
        <v>21</v>
      </c>
      <c r="E73" s="6">
        <v>0</v>
      </c>
      <c r="F73" s="6">
        <v>0</v>
      </c>
      <c r="G73" s="6">
        <v>0</v>
      </c>
      <c r="H73" s="131">
        <f t="shared" si="5"/>
        <v>0</v>
      </c>
      <c r="I73" s="6">
        <v>1</v>
      </c>
      <c r="J73" s="6">
        <v>47</v>
      </c>
      <c r="L73" s="6" t="s">
        <v>84</v>
      </c>
      <c r="M73" s="6">
        <v>181</v>
      </c>
      <c r="N73" s="6">
        <v>82</v>
      </c>
      <c r="O73" s="131" t="str">
        <f t="shared" si="6"/>
        <v>12 OZ, 0 (0+0)</v>
      </c>
      <c r="P73" s="131" t="str">
        <f t="shared" si="7"/>
        <v>181/82</v>
      </c>
      <c r="Q73" s="12" t="s">
        <v>25</v>
      </c>
      <c r="R73" s="6">
        <v>2009</v>
      </c>
      <c r="S73" s="131" t="str">
        <f t="shared" si="9"/>
        <v/>
      </c>
      <c r="T73" s="1" t="str">
        <f t="shared" si="8"/>
        <v>Čuda</v>
      </c>
      <c r="U73" s="1" t="str">
        <f t="shared" si="10"/>
        <v>Čuda</v>
      </c>
      <c r="V73" s="131">
        <f t="shared" si="11"/>
        <v>1</v>
      </c>
      <c r="W73" s="131" t="str">
        <f t="shared" si="12"/>
        <v>Š</v>
      </c>
      <c r="X73" s="131"/>
      <c r="Y73" s="131"/>
      <c r="Z73" s="131"/>
      <c r="AA73" s="131"/>
    </row>
    <row r="74" spans="2:27" ht="15" customHeight="1" x14ac:dyDescent="0.25">
      <c r="B74" s="1" t="s">
        <v>373</v>
      </c>
      <c r="C74" s="10">
        <v>37777</v>
      </c>
      <c r="D74" s="131">
        <f t="shared" ca="1" si="4"/>
        <v>17</v>
      </c>
      <c r="E74" s="6">
        <v>0</v>
      </c>
      <c r="F74" s="6">
        <v>0</v>
      </c>
      <c r="G74" s="6">
        <v>0</v>
      </c>
      <c r="H74" s="131">
        <f t="shared" si="5"/>
        <v>0</v>
      </c>
      <c r="I74" s="6">
        <v>1</v>
      </c>
      <c r="J74" s="6">
        <v>89</v>
      </c>
      <c r="L74" s="6" t="s">
        <v>84</v>
      </c>
      <c r="M74" s="6">
        <v>185</v>
      </c>
      <c r="N74" s="6">
        <v>71</v>
      </c>
      <c r="O74" s="131" t="str">
        <f t="shared" si="6"/>
        <v>8 OZ, 1 (0+1)</v>
      </c>
      <c r="P74" s="131" t="str">
        <f t="shared" si="7"/>
        <v>185/71</v>
      </c>
      <c r="Q74" s="12" t="s">
        <v>377</v>
      </c>
      <c r="R74" s="6">
        <v>2009</v>
      </c>
      <c r="S74" s="131" t="str">
        <f t="shared" si="9"/>
        <v/>
      </c>
      <c r="T74" s="1" t="str">
        <f t="shared" si="8"/>
        <v>Klápa</v>
      </c>
      <c r="U74" s="1" t="str">
        <f t="shared" si="10"/>
        <v>Klápa</v>
      </c>
      <c r="V74" s="131">
        <f t="shared" si="11"/>
        <v>1</v>
      </c>
      <c r="W74" s="131" t="str">
        <f t="shared" si="12"/>
        <v>V</v>
      </c>
      <c r="X74" s="131">
        <v>8</v>
      </c>
      <c r="Y74" s="131">
        <v>0</v>
      </c>
      <c r="Z74" s="131">
        <v>1</v>
      </c>
      <c r="AA74" s="131"/>
    </row>
    <row r="75" spans="2:27" ht="15" customHeight="1" x14ac:dyDescent="0.25">
      <c r="B75" s="1" t="s">
        <v>20</v>
      </c>
      <c r="C75" s="10">
        <v>34200</v>
      </c>
      <c r="D75" s="131">
        <f t="shared" ca="1" si="4"/>
        <v>27</v>
      </c>
      <c r="E75" s="131">
        <v>71</v>
      </c>
      <c r="F75" s="131">
        <v>18</v>
      </c>
      <c r="G75" s="131">
        <v>47</v>
      </c>
      <c r="H75" s="131">
        <f t="shared" si="5"/>
        <v>65</v>
      </c>
      <c r="I75" s="131">
        <v>5</v>
      </c>
      <c r="J75" s="131">
        <v>64</v>
      </c>
      <c r="K75" s="131"/>
      <c r="L75" s="131" t="s">
        <v>84</v>
      </c>
      <c r="M75" s="131">
        <v>173</v>
      </c>
      <c r="N75" s="131">
        <v>68</v>
      </c>
      <c r="O75" s="131" t="str">
        <f t="shared" si="6"/>
        <v>83 OZ, 69 (20+49)</v>
      </c>
      <c r="P75" s="131" t="str">
        <f t="shared" si="7"/>
        <v>173/68</v>
      </c>
      <c r="Q75" s="130" t="s">
        <v>6</v>
      </c>
      <c r="R75" s="131">
        <v>2003</v>
      </c>
      <c r="S75" s="131" t="str">
        <f t="shared" si="9"/>
        <v/>
      </c>
      <c r="T75" s="1" t="str">
        <f t="shared" si="8"/>
        <v>Stuchlík Z.</v>
      </c>
      <c r="U75" s="1" t="str">
        <f t="shared" si="10"/>
        <v>Stuchlík</v>
      </c>
      <c r="V75" s="131">
        <f t="shared" si="11"/>
        <v>2</v>
      </c>
      <c r="W75" s="131" t="str">
        <f t="shared" si="12"/>
        <v>Z</v>
      </c>
      <c r="X75" s="131"/>
      <c r="Y75" s="131"/>
      <c r="Z75" s="131"/>
      <c r="AA75" s="131"/>
    </row>
    <row r="76" spans="2:27" ht="15" customHeight="1" x14ac:dyDescent="0.25">
      <c r="C76" s="10"/>
      <c r="D76" s="131" t="str">
        <f t="shared" ref="D76:D82" si="13">IF(C76 &lt;&gt; 0,ROUNDDOWN(($A$47-C76)/365.25,0),"")</f>
        <v/>
      </c>
      <c r="E76" s="131"/>
      <c r="F76" s="131"/>
      <c r="G76" s="131"/>
      <c r="H76" s="131" t="str">
        <f t="shared" ref="H76:H82" si="14">IF(B76&lt;&gt;0,F76+G76,"")</f>
        <v/>
      </c>
      <c r="I76" s="131"/>
      <c r="J76" s="131"/>
      <c r="K76" s="131"/>
      <c r="L76" s="131"/>
      <c r="M76" s="131"/>
      <c r="N76" s="131"/>
      <c r="O76" s="131" t="str">
        <f t="shared" si="6"/>
        <v/>
      </c>
      <c r="P76" s="131" t="str">
        <f t="shared" ref="P76:P82" si="15">IF(M76&lt;&gt;0,CONCATENATE(M76,"/",N76),"")</f>
        <v/>
      </c>
      <c r="Q76" s="130"/>
      <c r="R76" s="131"/>
      <c r="S76" s="131"/>
      <c r="T76" s="1" t="str">
        <f t="shared" si="8"/>
        <v/>
      </c>
      <c r="U76" s="1" t="str">
        <f t="shared" si="10"/>
        <v/>
      </c>
      <c r="V76" s="131" t="str">
        <f t="shared" si="11"/>
        <v/>
      </c>
      <c r="W76" s="131" t="str">
        <f t="shared" si="12"/>
        <v/>
      </c>
      <c r="X76" s="131"/>
      <c r="Y76" s="131"/>
      <c r="Z76" s="131"/>
      <c r="AA76" s="131"/>
    </row>
    <row r="77" spans="2:27" ht="15" customHeight="1" x14ac:dyDescent="0.25">
      <c r="C77" s="10"/>
      <c r="D77" s="131" t="str">
        <f t="shared" si="13"/>
        <v/>
      </c>
      <c r="E77" s="131"/>
      <c r="F77" s="131"/>
      <c r="G77" s="131"/>
      <c r="H77" s="131" t="str">
        <f t="shared" si="14"/>
        <v/>
      </c>
      <c r="I77" s="131"/>
      <c r="J77" s="131"/>
      <c r="K77" s="131"/>
      <c r="L77" s="131"/>
      <c r="M77" s="131"/>
      <c r="N77" s="131"/>
      <c r="O77" s="131" t="str">
        <f t="shared" si="6"/>
        <v/>
      </c>
      <c r="P77" s="131" t="str">
        <f t="shared" si="15"/>
        <v/>
      </c>
      <c r="Q77" s="130"/>
      <c r="R77" s="131"/>
      <c r="S77" s="131"/>
      <c r="T77" s="1" t="str">
        <f t="shared" si="8"/>
        <v/>
      </c>
      <c r="U77" s="1" t="str">
        <f t="shared" si="10"/>
        <v/>
      </c>
      <c r="V77" s="131" t="str">
        <f t="shared" si="11"/>
        <v/>
      </c>
      <c r="W77" s="131" t="str">
        <f t="shared" si="12"/>
        <v/>
      </c>
      <c r="X77" s="131"/>
      <c r="Y77" s="131"/>
      <c r="Z77" s="131"/>
      <c r="AA77" s="131"/>
    </row>
    <row r="78" spans="2:27" ht="15" customHeight="1" x14ac:dyDescent="0.25">
      <c r="C78" s="10"/>
      <c r="D78" s="131" t="str">
        <f t="shared" si="13"/>
        <v/>
      </c>
      <c r="E78" s="131"/>
      <c r="F78" s="131"/>
      <c r="G78" s="131"/>
      <c r="H78" s="131" t="str">
        <f t="shared" si="14"/>
        <v/>
      </c>
      <c r="I78" s="131"/>
      <c r="J78" s="131"/>
      <c r="K78" s="131"/>
      <c r="L78" s="131"/>
      <c r="M78" s="131"/>
      <c r="N78" s="131"/>
      <c r="O78" s="131" t="str">
        <f t="shared" si="6"/>
        <v/>
      </c>
      <c r="P78" s="131" t="str">
        <f t="shared" si="15"/>
        <v/>
      </c>
      <c r="Q78" s="130"/>
      <c r="R78" s="131"/>
      <c r="S78" s="131"/>
      <c r="T78" s="1" t="str">
        <f t="shared" si="8"/>
        <v/>
      </c>
      <c r="U78" s="1" t="str">
        <f t="shared" si="10"/>
        <v/>
      </c>
      <c r="V78" s="131" t="str">
        <f t="shared" si="11"/>
        <v/>
      </c>
      <c r="W78" s="131" t="str">
        <f t="shared" si="12"/>
        <v/>
      </c>
      <c r="X78" s="131"/>
      <c r="Y78" s="131"/>
      <c r="Z78" s="131"/>
      <c r="AA78" s="131"/>
    </row>
    <row r="79" spans="2:27" ht="15" customHeight="1" x14ac:dyDescent="0.25">
      <c r="C79" s="10"/>
      <c r="D79" s="131" t="str">
        <f t="shared" si="13"/>
        <v/>
      </c>
      <c r="E79" s="131"/>
      <c r="F79" s="131"/>
      <c r="G79" s="131"/>
      <c r="H79" s="131" t="str">
        <f t="shared" si="14"/>
        <v/>
      </c>
      <c r="I79" s="131"/>
      <c r="J79" s="131"/>
      <c r="K79" s="131"/>
      <c r="L79" s="131"/>
      <c r="M79" s="131"/>
      <c r="N79" s="131"/>
      <c r="O79" s="131" t="str">
        <f t="shared" si="6"/>
        <v/>
      </c>
      <c r="P79" s="131" t="str">
        <f t="shared" si="15"/>
        <v/>
      </c>
      <c r="Q79" s="130"/>
      <c r="R79" s="131"/>
      <c r="S79" s="131"/>
      <c r="T79" s="1" t="str">
        <f t="shared" si="8"/>
        <v/>
      </c>
      <c r="U79" s="1" t="str">
        <f t="shared" si="10"/>
        <v/>
      </c>
      <c r="V79" s="131" t="str">
        <f t="shared" si="11"/>
        <v/>
      </c>
      <c r="W79" s="131" t="str">
        <f t="shared" si="12"/>
        <v/>
      </c>
      <c r="X79" s="131"/>
      <c r="Y79" s="131"/>
      <c r="Z79" s="131"/>
      <c r="AA79" s="131"/>
    </row>
    <row r="80" spans="2:27" ht="15" customHeight="1" x14ac:dyDescent="0.25">
      <c r="C80" s="10"/>
      <c r="D80" s="131" t="str">
        <f t="shared" si="13"/>
        <v/>
      </c>
      <c r="E80" s="131"/>
      <c r="F80" s="131"/>
      <c r="G80" s="131"/>
      <c r="H80" s="131" t="str">
        <f t="shared" si="14"/>
        <v/>
      </c>
      <c r="I80" s="131"/>
      <c r="J80" s="131"/>
      <c r="K80" s="131"/>
      <c r="L80" s="131"/>
      <c r="M80" s="131"/>
      <c r="N80" s="131"/>
      <c r="O80" s="131" t="str">
        <f t="shared" si="6"/>
        <v/>
      </c>
      <c r="P80" s="131" t="str">
        <f t="shared" si="15"/>
        <v/>
      </c>
      <c r="Q80" s="130"/>
      <c r="R80" s="131"/>
      <c r="S80" s="131"/>
      <c r="T80" s="1" t="str">
        <f t="shared" si="8"/>
        <v/>
      </c>
      <c r="U80" s="1" t="str">
        <f t="shared" si="10"/>
        <v/>
      </c>
      <c r="V80" s="131" t="str">
        <f t="shared" si="11"/>
        <v/>
      </c>
      <c r="W80" s="131" t="str">
        <f t="shared" si="12"/>
        <v/>
      </c>
      <c r="X80" s="131"/>
      <c r="Y80" s="131"/>
      <c r="Z80" s="131"/>
      <c r="AA80" s="131"/>
    </row>
    <row r="81" spans="1:27" ht="15" customHeight="1" x14ac:dyDescent="0.25">
      <c r="C81" s="10"/>
      <c r="D81" s="131" t="str">
        <f t="shared" si="13"/>
        <v/>
      </c>
      <c r="E81" s="131"/>
      <c r="F81" s="131"/>
      <c r="G81" s="131"/>
      <c r="H81" s="131" t="str">
        <f t="shared" si="14"/>
        <v/>
      </c>
      <c r="I81" s="131"/>
      <c r="J81" s="131"/>
      <c r="K81" s="131"/>
      <c r="L81" s="131"/>
      <c r="M81" s="131"/>
      <c r="N81" s="131"/>
      <c r="O81" s="131" t="str">
        <f t="shared" si="6"/>
        <v/>
      </c>
      <c r="P81" s="131" t="str">
        <f t="shared" si="15"/>
        <v/>
      </c>
      <c r="Q81" s="130"/>
      <c r="R81" s="131"/>
      <c r="S81" s="131"/>
      <c r="T81" s="1" t="str">
        <f t="shared" si="8"/>
        <v/>
      </c>
      <c r="U81" s="1" t="str">
        <f t="shared" si="10"/>
        <v/>
      </c>
      <c r="V81" s="131" t="str">
        <f t="shared" si="11"/>
        <v/>
      </c>
      <c r="W81" s="131" t="str">
        <f t="shared" si="12"/>
        <v/>
      </c>
      <c r="X81" s="131"/>
      <c r="Y81" s="131"/>
      <c r="Z81" s="131"/>
      <c r="AA81" s="131"/>
    </row>
    <row r="82" spans="1:27" ht="15" customHeight="1" x14ac:dyDescent="0.25">
      <c r="C82" s="10"/>
      <c r="D82" s="131" t="str">
        <f t="shared" si="13"/>
        <v/>
      </c>
      <c r="E82" s="131"/>
      <c r="F82" s="131"/>
      <c r="G82" s="131"/>
      <c r="H82" s="131" t="str">
        <f t="shared" si="14"/>
        <v/>
      </c>
      <c r="I82" s="131"/>
      <c r="J82" s="131"/>
      <c r="K82" s="131"/>
      <c r="L82" s="131"/>
      <c r="M82" s="131"/>
      <c r="N82" s="131"/>
      <c r="O82" s="131" t="str">
        <f t="shared" si="6"/>
        <v/>
      </c>
      <c r="P82" s="131" t="str">
        <f t="shared" si="15"/>
        <v/>
      </c>
      <c r="Q82" s="130"/>
      <c r="R82" s="131"/>
      <c r="S82" s="131"/>
      <c r="T82" s="1" t="str">
        <f t="shared" si="8"/>
        <v/>
      </c>
      <c r="U82" s="1" t="str">
        <f t="shared" si="10"/>
        <v/>
      </c>
      <c r="V82" s="131" t="str">
        <f t="shared" si="11"/>
        <v/>
      </c>
      <c r="W82" s="131" t="str">
        <f t="shared" si="12"/>
        <v/>
      </c>
      <c r="X82" s="131"/>
      <c r="Y82" s="131"/>
      <c r="Z82" s="131"/>
      <c r="AA82" s="131"/>
    </row>
    <row r="84" spans="1:27" s="2" customFormat="1" ht="15" customHeight="1" x14ac:dyDescent="0.25">
      <c r="A84" s="7">
        <f ca="1">TODAY()</f>
        <v>44205</v>
      </c>
      <c r="B84" s="2" t="s">
        <v>65</v>
      </c>
      <c r="C84" s="2" t="s">
        <v>72</v>
      </c>
      <c r="D84" s="2" t="s">
        <v>73</v>
      </c>
      <c r="E84" s="288" t="s">
        <v>104</v>
      </c>
      <c r="F84" s="288"/>
      <c r="G84" s="288" t="s">
        <v>110</v>
      </c>
      <c r="H84" s="288"/>
      <c r="I84" s="288"/>
      <c r="J84" s="288"/>
      <c r="K84" s="288"/>
      <c r="Q84" s="11"/>
    </row>
    <row r="85" spans="1:27" ht="30" customHeight="1" x14ac:dyDescent="0.25">
      <c r="B85" s="1" t="s">
        <v>105</v>
      </c>
      <c r="C85" s="10">
        <v>30490</v>
      </c>
      <c r="D85" s="6">
        <f ca="1">IF(B85&lt;&gt;0,ROUNDDOWN(($A$84-C85)/365.25,0),"")</f>
        <v>37</v>
      </c>
      <c r="E85" s="287" t="s">
        <v>109</v>
      </c>
      <c r="F85" s="287"/>
      <c r="G85" s="287" t="s">
        <v>205</v>
      </c>
      <c r="H85" s="287"/>
      <c r="I85" s="287"/>
      <c r="J85" s="287"/>
      <c r="K85" s="287"/>
    </row>
    <row r="86" spans="1:27" ht="30" customHeight="1" x14ac:dyDescent="0.25">
      <c r="B86" s="1" t="s">
        <v>106</v>
      </c>
      <c r="C86" s="10">
        <v>31402</v>
      </c>
      <c r="D86" s="131">
        <f t="shared" ref="D86:D92" ca="1" si="16">IF(B86&lt;&gt;0,ROUNDDOWN(($A$84-C86)/365.25,0),"")</f>
        <v>35</v>
      </c>
      <c r="E86" s="287" t="s">
        <v>109</v>
      </c>
      <c r="F86" s="287"/>
      <c r="G86" s="287" t="s">
        <v>204</v>
      </c>
      <c r="H86" s="287"/>
      <c r="I86" s="287"/>
      <c r="J86" s="287"/>
      <c r="K86" s="287"/>
    </row>
    <row r="87" spans="1:27" ht="30" customHeight="1" x14ac:dyDescent="0.25">
      <c r="B87" s="1" t="s">
        <v>107</v>
      </c>
      <c r="C87" s="10">
        <v>34755</v>
      </c>
      <c r="D87" s="131">
        <f t="shared" ca="1" si="16"/>
        <v>25</v>
      </c>
      <c r="E87" s="287" t="s">
        <v>111</v>
      </c>
      <c r="F87" s="287"/>
      <c r="G87" s="287"/>
      <c r="H87" s="287"/>
      <c r="I87" s="287"/>
      <c r="J87" s="287"/>
      <c r="K87" s="287"/>
    </row>
    <row r="88" spans="1:27" ht="30" customHeight="1" x14ac:dyDescent="0.25">
      <c r="B88" s="1" t="s">
        <v>108</v>
      </c>
      <c r="C88" s="10">
        <v>35465</v>
      </c>
      <c r="D88" s="131">
        <f t="shared" ca="1" si="16"/>
        <v>23</v>
      </c>
      <c r="E88" s="287" t="s">
        <v>112</v>
      </c>
      <c r="F88" s="287"/>
      <c r="G88" s="287" t="s">
        <v>113</v>
      </c>
      <c r="H88" s="287"/>
      <c r="I88" s="287"/>
      <c r="J88" s="287"/>
      <c r="K88" s="287"/>
    </row>
    <row r="89" spans="1:27" ht="30" customHeight="1" x14ac:dyDescent="0.25">
      <c r="D89" s="131" t="str">
        <f t="shared" si="16"/>
        <v/>
      </c>
      <c r="E89" s="287"/>
      <c r="F89" s="287"/>
      <c r="G89" s="287"/>
      <c r="H89" s="287"/>
      <c r="I89" s="287"/>
      <c r="J89" s="287"/>
      <c r="K89" s="287"/>
    </row>
    <row r="90" spans="1:27" ht="30" customHeight="1" x14ac:dyDescent="0.25">
      <c r="D90" s="131" t="str">
        <f t="shared" si="16"/>
        <v/>
      </c>
      <c r="E90" s="287"/>
      <c r="F90" s="287"/>
      <c r="G90" s="287"/>
      <c r="H90" s="287"/>
      <c r="I90" s="287"/>
      <c r="J90" s="287"/>
      <c r="K90" s="287"/>
    </row>
    <row r="91" spans="1:27" ht="30" customHeight="1" x14ac:dyDescent="0.25">
      <c r="D91" s="131" t="str">
        <f t="shared" si="16"/>
        <v/>
      </c>
      <c r="E91" s="287"/>
      <c r="F91" s="287"/>
      <c r="G91" s="287"/>
      <c r="H91" s="287"/>
      <c r="I91" s="287"/>
      <c r="J91" s="287"/>
      <c r="K91" s="287"/>
    </row>
    <row r="92" spans="1:27" ht="30" customHeight="1" x14ac:dyDescent="0.25">
      <c r="D92" s="131" t="str">
        <f t="shared" si="16"/>
        <v/>
      </c>
      <c r="E92" s="287"/>
      <c r="F92" s="287"/>
      <c r="G92" s="287"/>
      <c r="H92" s="287"/>
      <c r="I92" s="287"/>
      <c r="J92" s="287"/>
      <c r="K92" s="287"/>
    </row>
  </sheetData>
  <sortState ref="B48:T75">
    <sortCondition ref="B48:B75"/>
  </sortState>
  <mergeCells count="19">
    <mergeCell ref="E92:F92"/>
    <mergeCell ref="G89:K89"/>
    <mergeCell ref="G90:K90"/>
    <mergeCell ref="G91:K91"/>
    <mergeCell ref="G92:K92"/>
    <mergeCell ref="X46:Z46"/>
    <mergeCell ref="E89:F89"/>
    <mergeCell ref="E90:F90"/>
    <mergeCell ref="E91:F91"/>
    <mergeCell ref="E84:F84"/>
    <mergeCell ref="E85:F85"/>
    <mergeCell ref="E86:F86"/>
    <mergeCell ref="E87:F87"/>
    <mergeCell ref="E88:F88"/>
    <mergeCell ref="G84:K84"/>
    <mergeCell ref="G85:K85"/>
    <mergeCell ref="G86:K86"/>
    <mergeCell ref="G87:K87"/>
    <mergeCell ref="G88:K88"/>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D1" sqref="D1:E1"/>
    </sheetView>
  </sheetViews>
  <sheetFormatPr defaultRowHeight="15" x14ac:dyDescent="0.25"/>
  <cols>
    <col min="2" max="2" width="18.140625" bestFit="1" customWidth="1"/>
    <col min="4" max="4" width="9.140625" customWidth="1"/>
  </cols>
  <sheetData>
    <row r="1" spans="1:6" x14ac:dyDescent="0.25">
      <c r="A1" s="288" t="s">
        <v>36</v>
      </c>
      <c r="B1" s="1" t="s">
        <v>268</v>
      </c>
      <c r="C1" s="137">
        <v>15</v>
      </c>
      <c r="D1" s="289" t="str">
        <f t="shared" ref="D1:D30" si="0">IFERROR(RIGHT(B1,LEN(B1)-SEARCH(" ",B1)),"")</f>
        <v>Michal Strachota</v>
      </c>
      <c r="E1" s="289"/>
      <c r="F1" s="6"/>
    </row>
    <row r="2" spans="1:6" x14ac:dyDescent="0.25">
      <c r="A2" s="288"/>
      <c r="B2" s="1" t="s">
        <v>269</v>
      </c>
      <c r="C2" s="137">
        <v>13</v>
      </c>
      <c r="D2" s="289" t="str">
        <f t="shared" si="0"/>
        <v>Lukáš Gregor</v>
      </c>
      <c r="E2" s="289"/>
      <c r="F2" s="6"/>
    </row>
    <row r="3" spans="1:6" x14ac:dyDescent="0.25">
      <c r="A3" s="288"/>
      <c r="B3" s="1" t="s">
        <v>270</v>
      </c>
      <c r="C3" s="137">
        <v>12</v>
      </c>
      <c r="D3" s="289" t="str">
        <f t="shared" si="0"/>
        <v>Milan Bína</v>
      </c>
      <c r="E3" s="289"/>
      <c r="F3" s="6"/>
    </row>
    <row r="4" spans="1:6" x14ac:dyDescent="0.25">
      <c r="A4" s="288"/>
      <c r="B4" s="1" t="s">
        <v>271</v>
      </c>
      <c r="C4" s="137">
        <v>10</v>
      </c>
      <c r="D4" s="289" t="str">
        <f t="shared" si="0"/>
        <v>Martin Skřivánek</v>
      </c>
      <c r="E4" s="289"/>
      <c r="F4" s="6"/>
    </row>
    <row r="5" spans="1:6" x14ac:dyDescent="0.25">
      <c r="A5" s="288"/>
      <c r="B5" s="1" t="s">
        <v>272</v>
      </c>
      <c r="C5" s="137">
        <v>8</v>
      </c>
      <c r="D5" s="289" t="str">
        <f t="shared" si="0"/>
        <v>Petr Hartman</v>
      </c>
      <c r="E5" s="289"/>
      <c r="F5" s="6"/>
    </row>
    <row r="6" spans="1:6" x14ac:dyDescent="0.25">
      <c r="A6" s="288" t="s">
        <v>35</v>
      </c>
      <c r="B6" s="1" t="s">
        <v>274</v>
      </c>
      <c r="C6" s="137">
        <v>11</v>
      </c>
      <c r="D6" s="289" t="str">
        <f t="shared" si="0"/>
        <v>Lukáš Gregor</v>
      </c>
      <c r="E6" s="289"/>
      <c r="F6" s="6"/>
    </row>
    <row r="7" spans="1:6" x14ac:dyDescent="0.25">
      <c r="A7" s="288"/>
      <c r="B7" s="1" t="s">
        <v>275</v>
      </c>
      <c r="C7" s="137">
        <v>9</v>
      </c>
      <c r="D7" s="289" t="str">
        <f t="shared" si="0"/>
        <v>Michal Strachota</v>
      </c>
      <c r="E7" s="289"/>
      <c r="F7" s="6"/>
    </row>
    <row r="8" spans="1:6" x14ac:dyDescent="0.25">
      <c r="A8" s="288"/>
      <c r="B8" s="1" t="s">
        <v>270</v>
      </c>
      <c r="C8" s="137">
        <v>6</v>
      </c>
      <c r="D8" s="289" t="str">
        <f t="shared" si="0"/>
        <v>Milan Bína</v>
      </c>
      <c r="E8" s="289"/>
      <c r="F8" s="6"/>
    </row>
    <row r="9" spans="1:6" x14ac:dyDescent="0.25">
      <c r="A9" s="288"/>
      <c r="B9" s="1" t="s">
        <v>276</v>
      </c>
      <c r="C9" s="137">
        <v>5</v>
      </c>
      <c r="D9" s="289" t="str">
        <f t="shared" si="0"/>
        <v>Ondřej Stuchlík</v>
      </c>
      <c r="E9" s="289"/>
      <c r="F9" s="6"/>
    </row>
    <row r="10" spans="1:6" x14ac:dyDescent="0.25">
      <c r="A10" s="288"/>
      <c r="B10" s="1" t="s">
        <v>272</v>
      </c>
      <c r="C10" s="137">
        <v>5</v>
      </c>
      <c r="D10" s="289" t="str">
        <f t="shared" si="0"/>
        <v>Petr Hartman</v>
      </c>
      <c r="E10" s="289"/>
      <c r="F10" s="6"/>
    </row>
    <row r="11" spans="1:6" x14ac:dyDescent="0.25">
      <c r="A11" s="288" t="s">
        <v>37</v>
      </c>
      <c r="B11" s="1" t="s">
        <v>277</v>
      </c>
      <c r="C11" s="137">
        <v>6</v>
      </c>
      <c r="D11" s="289" t="str">
        <f t="shared" si="0"/>
        <v>Martin Skřivánek</v>
      </c>
      <c r="E11" s="289"/>
      <c r="F11" s="6"/>
    </row>
    <row r="12" spans="1:6" x14ac:dyDescent="0.25">
      <c r="A12" s="288"/>
      <c r="B12" s="1" t="s">
        <v>275</v>
      </c>
      <c r="C12" s="137">
        <v>6</v>
      </c>
      <c r="D12" s="289" t="str">
        <f t="shared" si="0"/>
        <v>Michal Strachota</v>
      </c>
      <c r="E12" s="289"/>
      <c r="F12" s="6"/>
    </row>
    <row r="13" spans="1:6" x14ac:dyDescent="0.25">
      <c r="A13" s="288"/>
      <c r="B13" s="1" t="s">
        <v>270</v>
      </c>
      <c r="C13" s="137">
        <v>6</v>
      </c>
      <c r="D13" s="289" t="str">
        <f t="shared" si="0"/>
        <v>Milan Bína</v>
      </c>
      <c r="E13" s="289"/>
      <c r="F13" s="6"/>
    </row>
    <row r="14" spans="1:6" x14ac:dyDescent="0.25">
      <c r="A14" s="288"/>
      <c r="B14" s="1" t="s">
        <v>278</v>
      </c>
      <c r="C14" s="137">
        <v>5</v>
      </c>
      <c r="D14" s="289" t="str">
        <f t="shared" si="0"/>
        <v>Jan Procházka</v>
      </c>
      <c r="E14" s="289"/>
      <c r="F14" s="6"/>
    </row>
    <row r="15" spans="1:6" x14ac:dyDescent="0.25">
      <c r="A15" s="288"/>
      <c r="B15" s="1" t="s">
        <v>279</v>
      </c>
      <c r="C15" s="137">
        <v>5</v>
      </c>
      <c r="D15" s="289" t="str">
        <f t="shared" si="0"/>
        <v>Pavel Hájek</v>
      </c>
      <c r="E15" s="289"/>
      <c r="F15" s="6"/>
    </row>
    <row r="16" spans="1:6" x14ac:dyDescent="0.25">
      <c r="A16" s="288" t="s">
        <v>38</v>
      </c>
      <c r="B16" s="1" t="s">
        <v>268</v>
      </c>
      <c r="C16" s="137">
        <v>10</v>
      </c>
      <c r="D16" s="289" t="str">
        <f t="shared" si="0"/>
        <v>Michal Strachota</v>
      </c>
      <c r="E16" s="289"/>
      <c r="F16" s="6"/>
    </row>
    <row r="17" spans="1:6" x14ac:dyDescent="0.25">
      <c r="A17" s="288"/>
      <c r="B17" s="1" t="s">
        <v>280</v>
      </c>
      <c r="C17" s="137">
        <v>8</v>
      </c>
      <c r="D17" s="289" t="str">
        <f t="shared" si="0"/>
        <v>Jan Svoboda</v>
      </c>
      <c r="E17" s="289"/>
      <c r="F17" s="6"/>
    </row>
    <row r="18" spans="1:6" x14ac:dyDescent="0.25">
      <c r="A18" s="288"/>
      <c r="B18" s="1" t="s">
        <v>281</v>
      </c>
      <c r="C18" s="137">
        <v>7</v>
      </c>
      <c r="D18" s="289" t="str">
        <f t="shared" si="0"/>
        <v>Zbyněk Stuchlík</v>
      </c>
      <c r="E18" s="289"/>
      <c r="F18" s="6"/>
    </row>
    <row r="19" spans="1:6" x14ac:dyDescent="0.25">
      <c r="A19" s="288"/>
      <c r="B19" s="1" t="s">
        <v>276</v>
      </c>
      <c r="C19" s="137">
        <v>4</v>
      </c>
      <c r="D19" s="289" t="str">
        <f t="shared" si="0"/>
        <v>Ondřej Stuchlík</v>
      </c>
      <c r="E19" s="289"/>
      <c r="F19" s="6"/>
    </row>
    <row r="20" spans="1:6" x14ac:dyDescent="0.25">
      <c r="A20" s="288"/>
      <c r="B20" s="1" t="s">
        <v>272</v>
      </c>
      <c r="C20" s="137">
        <v>4</v>
      </c>
      <c r="D20" s="289" t="str">
        <f t="shared" si="0"/>
        <v>Petr Hartman</v>
      </c>
      <c r="E20" s="289"/>
      <c r="F20" s="6"/>
    </row>
    <row r="21" spans="1:6" x14ac:dyDescent="0.25">
      <c r="A21" s="288" t="s">
        <v>273</v>
      </c>
      <c r="B21" s="1" t="s">
        <v>282</v>
      </c>
      <c r="C21" s="137" t="s">
        <v>283</v>
      </c>
      <c r="D21" s="289" t="str">
        <f t="shared" si="0"/>
        <v>Karel Šantora</v>
      </c>
      <c r="E21" s="289"/>
      <c r="F21" s="6">
        <f>IF(B21&lt;&gt;0,_xlfn.NUMBERVALUE(C21,","),"")</f>
        <v>5.97</v>
      </c>
    </row>
    <row r="22" spans="1:6" x14ac:dyDescent="0.25">
      <c r="A22" s="288"/>
      <c r="B22" s="1" t="s">
        <v>284</v>
      </c>
      <c r="C22" s="137" t="s">
        <v>285</v>
      </c>
      <c r="D22" s="289" t="str">
        <f t="shared" si="0"/>
        <v>Matyáš Lorenc</v>
      </c>
      <c r="E22" s="289"/>
      <c r="F22" s="6">
        <f>IF(B22&lt;&gt;0,_xlfn.NUMBERVALUE(C22,","),"")</f>
        <v>0</v>
      </c>
    </row>
    <row r="23" spans="1:6" x14ac:dyDescent="0.25">
      <c r="A23" s="288"/>
      <c r="B23" s="1" t="s">
        <v>286</v>
      </c>
      <c r="C23" s="137" t="s">
        <v>287</v>
      </c>
      <c r="D23" s="289" t="str">
        <f t="shared" si="0"/>
        <v>Rastislav Mazák</v>
      </c>
      <c r="E23" s="289"/>
      <c r="F23" s="6">
        <f>IF(B23&lt;&gt;0,_xlfn.NUMBERVALUE(C23,","),"")</f>
        <v>7.18</v>
      </c>
    </row>
    <row r="24" spans="1:6" x14ac:dyDescent="0.25">
      <c r="A24" s="288"/>
      <c r="B24" s="1" t="s">
        <v>288</v>
      </c>
      <c r="C24" s="137" t="s">
        <v>289</v>
      </c>
      <c r="D24" s="289" t="str">
        <f t="shared" si="0"/>
        <v>Jiří Buchta</v>
      </c>
      <c r="E24" s="289"/>
      <c r="F24" s="6">
        <f>IF(B24&lt;&gt;0,_xlfn.NUMBERVALUE(C24,","),"")</f>
        <v>7.66</v>
      </c>
    </row>
    <row r="25" spans="1:6" x14ac:dyDescent="0.25">
      <c r="A25" s="288"/>
      <c r="B25" s="1"/>
      <c r="C25" s="6"/>
      <c r="D25" s="289" t="str">
        <f t="shared" si="0"/>
        <v/>
      </c>
      <c r="E25" s="289"/>
      <c r="F25" s="6" t="str">
        <f>IF(B25&lt;&gt;0,_xlfn.NUMBERVALUE(C25,","),"")</f>
        <v/>
      </c>
    </row>
    <row r="26" spans="1:6" x14ac:dyDescent="0.25">
      <c r="A26" s="288" t="s">
        <v>253</v>
      </c>
      <c r="B26" s="1" t="s">
        <v>282</v>
      </c>
      <c r="C26" s="137">
        <v>2</v>
      </c>
      <c r="D26" s="289" t="str">
        <f t="shared" si="0"/>
        <v>Karel Šantora</v>
      </c>
      <c r="E26" s="289"/>
      <c r="F26" s="6">
        <f>IF(B26&lt;&gt;0,C26,"")</f>
        <v>2</v>
      </c>
    </row>
    <row r="27" spans="1:6" x14ac:dyDescent="0.25">
      <c r="A27" s="288"/>
      <c r="B27" s="1" t="s">
        <v>290</v>
      </c>
      <c r="C27" s="137">
        <v>0</v>
      </c>
      <c r="D27" s="289" t="str">
        <f t="shared" si="0"/>
        <v>Jiří Buchta</v>
      </c>
      <c r="E27" s="289"/>
      <c r="F27" s="6">
        <f>IF(B27&lt;&gt;0,C27,"")</f>
        <v>0</v>
      </c>
    </row>
    <row r="28" spans="1:6" x14ac:dyDescent="0.25">
      <c r="A28" s="288"/>
      <c r="B28" s="1" t="s">
        <v>291</v>
      </c>
      <c r="C28" s="137">
        <v>0</v>
      </c>
      <c r="D28" s="289" t="str">
        <f t="shared" si="0"/>
        <v>Matyáš Lorenc</v>
      </c>
      <c r="E28" s="289"/>
      <c r="F28" s="6">
        <f>IF(B28&lt;&gt;0,C28,"")</f>
        <v>0</v>
      </c>
    </row>
    <row r="29" spans="1:6" x14ac:dyDescent="0.25">
      <c r="A29" s="288"/>
      <c r="B29" s="1" t="s">
        <v>292</v>
      </c>
      <c r="C29" s="137">
        <v>0</v>
      </c>
      <c r="D29" s="289" t="str">
        <f t="shared" si="0"/>
        <v>Rastislav Mazák</v>
      </c>
      <c r="E29" s="289"/>
      <c r="F29" s="6">
        <f>IF(B29&lt;&gt;0,C29,"")</f>
        <v>0</v>
      </c>
    </row>
    <row r="30" spans="1:6" x14ac:dyDescent="0.25">
      <c r="A30" s="288"/>
      <c r="B30" s="1"/>
      <c r="C30" s="1"/>
      <c r="D30" s="286" t="str">
        <f t="shared" si="0"/>
        <v/>
      </c>
      <c r="E30" s="286"/>
      <c r="F30" s="6" t="str">
        <f>IF(B30&lt;&gt;0,C30,"")</f>
        <v/>
      </c>
    </row>
  </sheetData>
  <mergeCells count="36">
    <mergeCell ref="D15:E15"/>
    <mergeCell ref="D16:E16"/>
    <mergeCell ref="D17:E17"/>
    <mergeCell ref="D30:E30"/>
    <mergeCell ref="D19:E19"/>
    <mergeCell ref="D20:E20"/>
    <mergeCell ref="D21:E21"/>
    <mergeCell ref="D22:E22"/>
    <mergeCell ref="D23:E23"/>
    <mergeCell ref="D24:E24"/>
    <mergeCell ref="D25:E25"/>
    <mergeCell ref="D26:E26"/>
    <mergeCell ref="D27:E27"/>
    <mergeCell ref="D28:E28"/>
    <mergeCell ref="D29:E29"/>
    <mergeCell ref="D10:E10"/>
    <mergeCell ref="D11:E11"/>
    <mergeCell ref="D12:E12"/>
    <mergeCell ref="D13:E13"/>
    <mergeCell ref="D14:E14"/>
    <mergeCell ref="A21:A25"/>
    <mergeCell ref="A26:A30"/>
    <mergeCell ref="D6:E6"/>
    <mergeCell ref="A1:A5"/>
    <mergeCell ref="A6:A10"/>
    <mergeCell ref="A11:A15"/>
    <mergeCell ref="A16:A20"/>
    <mergeCell ref="D1:E1"/>
    <mergeCell ref="D2:E2"/>
    <mergeCell ref="D3:E3"/>
    <mergeCell ref="D4:E4"/>
    <mergeCell ref="D5:E5"/>
    <mergeCell ref="D18:E18"/>
    <mergeCell ref="D7:E7"/>
    <mergeCell ref="D8:E8"/>
    <mergeCell ref="D9:E9"/>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2"/>
  <sheetViews>
    <sheetView topLeftCell="A73" zoomScaleNormal="100" workbookViewId="0">
      <selection activeCell="D85" sqref="D85"/>
    </sheetView>
  </sheetViews>
  <sheetFormatPr defaultRowHeight="15" customHeight="1" x14ac:dyDescent="0.25"/>
  <cols>
    <col min="1" max="1" width="10.140625" style="1" bestFit="1" customWidth="1"/>
    <col min="2" max="2" width="18.28515625" style="1" customWidth="1"/>
    <col min="3" max="3" width="10.140625" style="1" bestFit="1" customWidth="1"/>
    <col min="4" max="14" width="9.140625" style="6" customWidth="1"/>
    <col min="15" max="15" width="22" style="6" bestFit="1" customWidth="1"/>
    <col min="16" max="16" width="9.140625" style="6" customWidth="1"/>
    <col min="17" max="17" width="23.140625" style="12" customWidth="1"/>
    <col min="18" max="18" width="9.140625" style="1" customWidth="1"/>
    <col min="19" max="19" width="10" style="6" bestFit="1" customWidth="1"/>
    <col min="20" max="20" width="11.85546875" style="1" bestFit="1" customWidth="1"/>
    <col min="21" max="23" width="9.140625" style="1"/>
    <col min="24" max="26" width="13.7109375" style="131" customWidth="1"/>
    <col min="27" max="16384" width="9.140625" style="1"/>
  </cols>
  <sheetData>
    <row r="1" spans="1:26" s="2" customFormat="1" ht="15" customHeight="1" x14ac:dyDescent="0.25">
      <c r="A1" s="9" t="s">
        <v>64</v>
      </c>
      <c r="B1" s="2" t="s">
        <v>65</v>
      </c>
      <c r="D1" s="2" t="s">
        <v>66</v>
      </c>
      <c r="E1" s="2" t="s">
        <v>67</v>
      </c>
      <c r="F1" s="2" t="s">
        <v>35</v>
      </c>
      <c r="G1" s="2" t="s">
        <v>68</v>
      </c>
      <c r="H1" s="2" t="s">
        <v>69</v>
      </c>
      <c r="I1" s="2" t="s">
        <v>37</v>
      </c>
      <c r="J1" s="2" t="s">
        <v>36</v>
      </c>
      <c r="K1" s="2" t="s">
        <v>38</v>
      </c>
      <c r="L1" s="2" t="s">
        <v>70</v>
      </c>
      <c r="M1" s="2" t="s">
        <v>30</v>
      </c>
      <c r="N1" s="3" t="s">
        <v>71</v>
      </c>
      <c r="O1" s="2" t="s">
        <v>86</v>
      </c>
      <c r="Q1" s="135" t="s">
        <v>49</v>
      </c>
      <c r="X1" s="129"/>
      <c r="Y1" s="129"/>
      <c r="Z1" s="129"/>
    </row>
    <row r="2" spans="1:26" s="4" customFormat="1" x14ac:dyDescent="0.25">
      <c r="A2" s="64">
        <v>1</v>
      </c>
      <c r="B2" s="4" t="s">
        <v>170</v>
      </c>
      <c r="D2" s="5" t="s">
        <v>57</v>
      </c>
      <c r="E2" s="5">
        <v>12</v>
      </c>
      <c r="F2" s="5">
        <v>18</v>
      </c>
      <c r="G2" s="5">
        <v>3</v>
      </c>
      <c r="H2" s="5">
        <v>0</v>
      </c>
      <c r="I2" s="5">
        <v>9</v>
      </c>
      <c r="J2" s="5">
        <v>27</v>
      </c>
      <c r="K2" s="5">
        <v>2</v>
      </c>
      <c r="L2" s="5">
        <v>30</v>
      </c>
      <c r="M2" s="5">
        <v>20</v>
      </c>
      <c r="N2" s="5">
        <v>10</v>
      </c>
      <c r="O2" s="131" t="str">
        <f>IF(B2&lt;&gt;0,CONCATENATE(E2 + IFERROR(VLOOKUP(B2,$B$48:$Z$82,23, FALSE),"error_matches")," OZ , ",J2 + IFERROR(VLOOKUP(B2,$B$48:$Z$82,24, FALSE),"error_goals") + IFERROR(VLOOKUP(B2,$B$48:$Z$82,25, FALSE),"error_assists")," (",F2 + IFERROR(VLOOKUP(B2,$B$48:$Z$82,24, FALSE),"error_goals"),"+",I2 + + IFERROR(VLOOKUP(B2,$B$48:$Z$82,25, FALSE),"error_assists"),"), ",IF(N2&gt;0,"+",""),N2," ±"),"")</f>
        <v>12 OZ , 27 (18+9), +10 ±</v>
      </c>
      <c r="P2" s="5"/>
      <c r="Q2" s="134" t="s">
        <v>257</v>
      </c>
      <c r="S2" s="5"/>
      <c r="X2" s="5"/>
      <c r="Y2" s="5"/>
      <c r="Z2" s="5"/>
    </row>
    <row r="3" spans="1:26" s="4" customFormat="1" x14ac:dyDescent="0.25">
      <c r="A3" s="64">
        <v>2</v>
      </c>
      <c r="B3" s="4" t="s">
        <v>171</v>
      </c>
      <c r="D3" s="5" t="s">
        <v>57</v>
      </c>
      <c r="E3" s="5">
        <v>12</v>
      </c>
      <c r="F3" s="5">
        <v>14</v>
      </c>
      <c r="G3" s="5">
        <v>1</v>
      </c>
      <c r="H3" s="5">
        <v>0</v>
      </c>
      <c r="I3" s="5">
        <v>10</v>
      </c>
      <c r="J3" s="5">
        <v>24</v>
      </c>
      <c r="K3" s="5">
        <v>2</v>
      </c>
      <c r="L3" s="5">
        <v>33</v>
      </c>
      <c r="M3" s="5">
        <v>21</v>
      </c>
      <c r="N3" s="5">
        <v>12</v>
      </c>
      <c r="O3" s="131" t="str">
        <f t="shared" ref="O3:O36" si="0">IF(B3&lt;&gt;0,CONCATENATE(E3 + IFERROR(VLOOKUP(B3,$B$48:$Z$82,23, FALSE),"error_matches")," OZ , ",J3 + IFERROR(VLOOKUP(B3,$B$48:$Z$82,24, FALSE),"error_goals") + IFERROR(VLOOKUP(B3,$B$48:$Z$82,25, FALSE),"error_assists")," (",F3 + IFERROR(VLOOKUP(B3,$B$48:$Z$82,24, FALSE),"error_goals"),"+",I3 + + IFERROR(VLOOKUP(B3,$B$48:$Z$82,25, FALSE),"error_assists"),"), ",IF(N3&gt;0,"+",""),N3," ±"),"")</f>
        <v>12 OZ , 24 (14+10), +12 ±</v>
      </c>
      <c r="P3" s="5"/>
      <c r="Q3" s="134" t="s">
        <v>379</v>
      </c>
      <c r="S3" s="5"/>
      <c r="X3" s="5"/>
      <c r="Y3" s="5"/>
      <c r="Z3" s="5"/>
    </row>
    <row r="4" spans="1:26" s="4" customFormat="1" x14ac:dyDescent="0.25">
      <c r="A4" s="64">
        <v>3</v>
      </c>
      <c r="B4" s="4" t="s">
        <v>172</v>
      </c>
      <c r="D4" s="5" t="s">
        <v>57</v>
      </c>
      <c r="E4" s="5">
        <v>11</v>
      </c>
      <c r="F4" s="5">
        <v>8</v>
      </c>
      <c r="G4" s="5">
        <v>2</v>
      </c>
      <c r="H4" s="5">
        <v>0</v>
      </c>
      <c r="I4" s="5">
        <v>7</v>
      </c>
      <c r="J4" s="5">
        <v>15</v>
      </c>
      <c r="K4" s="5">
        <v>2</v>
      </c>
      <c r="L4" s="5">
        <v>27</v>
      </c>
      <c r="M4" s="5">
        <v>17</v>
      </c>
      <c r="N4" s="5">
        <v>10</v>
      </c>
      <c r="O4" s="131" t="str">
        <f t="shared" si="0"/>
        <v>11 OZ , 15 (8+7), +10 ±</v>
      </c>
      <c r="P4" s="5"/>
      <c r="Q4" s="134" t="s">
        <v>380</v>
      </c>
      <c r="S4" s="5"/>
      <c r="X4" s="5"/>
      <c r="Y4" s="5"/>
      <c r="Z4" s="5"/>
    </row>
    <row r="5" spans="1:26" s="4" customFormat="1" x14ac:dyDescent="0.25">
      <c r="A5" s="64">
        <v>4</v>
      </c>
      <c r="B5" s="4" t="s">
        <v>173</v>
      </c>
      <c r="D5" s="5" t="s">
        <v>57</v>
      </c>
      <c r="E5" s="5">
        <v>11</v>
      </c>
      <c r="F5" s="5">
        <v>10</v>
      </c>
      <c r="G5" s="5">
        <v>0</v>
      </c>
      <c r="H5" s="5">
        <v>0</v>
      </c>
      <c r="I5" s="5">
        <v>3</v>
      </c>
      <c r="J5" s="5">
        <v>13</v>
      </c>
      <c r="K5" s="5">
        <v>4</v>
      </c>
      <c r="L5" s="5">
        <v>14</v>
      </c>
      <c r="M5" s="5">
        <v>17</v>
      </c>
      <c r="N5" s="5">
        <v>-3</v>
      </c>
      <c r="O5" s="131" t="str">
        <f t="shared" si="0"/>
        <v>11 OZ , 13 (10+3), -3 ±</v>
      </c>
      <c r="P5" s="5"/>
      <c r="Q5" s="134" t="s">
        <v>378</v>
      </c>
      <c r="S5" s="5"/>
      <c r="X5" s="5"/>
      <c r="Y5" s="5"/>
      <c r="Z5" s="5"/>
    </row>
    <row r="6" spans="1:26" x14ac:dyDescent="0.25">
      <c r="A6" s="65">
        <v>5</v>
      </c>
      <c r="B6" s="1" t="s">
        <v>174</v>
      </c>
      <c r="D6" s="137" t="s">
        <v>52</v>
      </c>
      <c r="E6" s="137">
        <v>12</v>
      </c>
      <c r="F6" s="137">
        <v>2</v>
      </c>
      <c r="G6" s="137">
        <v>0</v>
      </c>
      <c r="H6" s="137">
        <v>0</v>
      </c>
      <c r="I6" s="137">
        <v>10</v>
      </c>
      <c r="J6" s="137">
        <v>12</v>
      </c>
      <c r="K6" s="137">
        <v>2</v>
      </c>
      <c r="L6" s="137">
        <v>34</v>
      </c>
      <c r="M6" s="137">
        <v>19</v>
      </c>
      <c r="N6" s="137">
        <v>15</v>
      </c>
      <c r="O6" s="131" t="str">
        <f t="shared" si="0"/>
        <v>12 OZ , 12 (2+10), +15 ±</v>
      </c>
    </row>
    <row r="7" spans="1:26" x14ac:dyDescent="0.25">
      <c r="A7" s="65">
        <v>6</v>
      </c>
      <c r="B7" s="1" t="s">
        <v>175</v>
      </c>
      <c r="D7" s="137" t="s">
        <v>52</v>
      </c>
      <c r="E7" s="137">
        <v>12</v>
      </c>
      <c r="F7" s="137">
        <v>4</v>
      </c>
      <c r="G7" s="137">
        <v>1</v>
      </c>
      <c r="H7" s="137">
        <v>0</v>
      </c>
      <c r="I7" s="137">
        <v>5</v>
      </c>
      <c r="J7" s="137">
        <v>9</v>
      </c>
      <c r="K7" s="137">
        <v>0</v>
      </c>
      <c r="L7" s="137">
        <v>22</v>
      </c>
      <c r="M7" s="137">
        <v>21</v>
      </c>
      <c r="N7" s="137">
        <v>1</v>
      </c>
      <c r="O7" s="131" t="str">
        <f t="shared" si="0"/>
        <v>12 OZ , 9 (4+5), +1 ±</v>
      </c>
    </row>
    <row r="8" spans="1:26" x14ac:dyDescent="0.25">
      <c r="A8" s="65">
        <v>7</v>
      </c>
      <c r="B8" s="1" t="s">
        <v>176</v>
      </c>
      <c r="D8" s="137"/>
      <c r="E8" s="137">
        <v>12</v>
      </c>
      <c r="F8" s="137">
        <v>3</v>
      </c>
      <c r="G8" s="137">
        <v>0</v>
      </c>
      <c r="H8" s="137">
        <v>0</v>
      </c>
      <c r="I8" s="137">
        <v>6</v>
      </c>
      <c r="J8" s="137">
        <v>9</v>
      </c>
      <c r="K8" s="137">
        <v>2</v>
      </c>
      <c r="L8" s="137">
        <v>13</v>
      </c>
      <c r="M8" s="137">
        <v>19</v>
      </c>
      <c r="N8" s="137">
        <v>-6</v>
      </c>
      <c r="O8" s="131" t="str">
        <f t="shared" si="0"/>
        <v>12 OZ , 9 (3+6), -6 ±</v>
      </c>
    </row>
    <row r="9" spans="1:26" x14ac:dyDescent="0.25">
      <c r="A9" s="65">
        <v>8</v>
      </c>
      <c r="B9" s="1" t="s">
        <v>177</v>
      </c>
      <c r="D9" s="137" t="s">
        <v>52</v>
      </c>
      <c r="E9" s="137">
        <v>12</v>
      </c>
      <c r="F9" s="137">
        <v>2</v>
      </c>
      <c r="G9" s="137">
        <v>0</v>
      </c>
      <c r="H9" s="137">
        <v>0</v>
      </c>
      <c r="I9" s="137">
        <v>5</v>
      </c>
      <c r="J9" s="137">
        <v>7</v>
      </c>
      <c r="K9" s="137">
        <v>18</v>
      </c>
      <c r="L9" s="137">
        <v>17</v>
      </c>
      <c r="M9" s="137">
        <v>18</v>
      </c>
      <c r="N9" s="137">
        <v>-1</v>
      </c>
      <c r="O9" s="131" t="str">
        <f t="shared" si="0"/>
        <v>12 OZ , 7 (2+5), -1 ±</v>
      </c>
    </row>
    <row r="10" spans="1:26" x14ac:dyDescent="0.25">
      <c r="A10" s="65">
        <v>9</v>
      </c>
      <c r="B10" s="1" t="s">
        <v>178</v>
      </c>
      <c r="D10" s="137"/>
      <c r="E10" s="137">
        <v>12</v>
      </c>
      <c r="F10" s="137">
        <v>4</v>
      </c>
      <c r="G10" s="137">
        <v>0</v>
      </c>
      <c r="H10" s="137">
        <v>0</v>
      </c>
      <c r="I10" s="137">
        <v>2</v>
      </c>
      <c r="J10" s="137">
        <v>6</v>
      </c>
      <c r="K10" s="137">
        <v>0</v>
      </c>
      <c r="L10" s="137">
        <v>12</v>
      </c>
      <c r="M10" s="137">
        <v>16</v>
      </c>
      <c r="N10" s="137">
        <v>-4</v>
      </c>
      <c r="O10" s="131" t="str">
        <f t="shared" si="0"/>
        <v>12 OZ , 6 (4+2), -4 ±</v>
      </c>
    </row>
    <row r="11" spans="1:26" x14ac:dyDescent="0.25">
      <c r="A11" s="65">
        <v>10</v>
      </c>
      <c r="B11" s="1" t="s">
        <v>179</v>
      </c>
      <c r="D11" s="137"/>
      <c r="E11" s="137">
        <v>12</v>
      </c>
      <c r="F11" s="137">
        <v>4</v>
      </c>
      <c r="G11" s="137">
        <v>1</v>
      </c>
      <c r="H11" s="137">
        <v>0</v>
      </c>
      <c r="I11" s="137">
        <v>1</v>
      </c>
      <c r="J11" s="137">
        <v>5</v>
      </c>
      <c r="K11" s="137">
        <v>0</v>
      </c>
      <c r="L11" s="137">
        <v>10</v>
      </c>
      <c r="M11" s="137">
        <v>10</v>
      </c>
      <c r="N11" s="137">
        <v>0</v>
      </c>
      <c r="O11" s="131" t="str">
        <f t="shared" si="0"/>
        <v>12 OZ , 5 (4+1), 0 ±</v>
      </c>
    </row>
    <row r="12" spans="1:26" x14ac:dyDescent="0.25">
      <c r="A12" s="65">
        <v>11</v>
      </c>
      <c r="B12" s="1" t="s">
        <v>180</v>
      </c>
      <c r="D12" s="137" t="s">
        <v>57</v>
      </c>
      <c r="E12" s="137">
        <v>8</v>
      </c>
      <c r="F12" s="137">
        <v>2</v>
      </c>
      <c r="G12" s="137">
        <v>0</v>
      </c>
      <c r="H12" s="137">
        <v>0</v>
      </c>
      <c r="I12" s="137">
        <v>3</v>
      </c>
      <c r="J12" s="137">
        <v>5</v>
      </c>
      <c r="K12" s="137">
        <v>0</v>
      </c>
      <c r="L12" s="137">
        <v>14</v>
      </c>
      <c r="M12" s="137">
        <v>10</v>
      </c>
      <c r="N12" s="137">
        <v>4</v>
      </c>
      <c r="O12" s="131" t="str">
        <f t="shared" si="0"/>
        <v>8 OZ , 5 (2+3), +4 ±</v>
      </c>
    </row>
    <row r="13" spans="1:26" x14ac:dyDescent="0.25">
      <c r="A13" s="65">
        <v>12</v>
      </c>
      <c r="B13" s="1" t="s">
        <v>181</v>
      </c>
      <c r="D13" s="137" t="s">
        <v>57</v>
      </c>
      <c r="E13" s="137">
        <v>12</v>
      </c>
      <c r="F13" s="137">
        <v>1</v>
      </c>
      <c r="G13" s="137">
        <v>0</v>
      </c>
      <c r="H13" s="137">
        <v>0</v>
      </c>
      <c r="I13" s="137">
        <v>3</v>
      </c>
      <c r="J13" s="137">
        <v>4</v>
      </c>
      <c r="K13" s="137">
        <v>2</v>
      </c>
      <c r="L13" s="137">
        <v>8</v>
      </c>
      <c r="M13" s="137">
        <v>11</v>
      </c>
      <c r="N13" s="137">
        <v>-3</v>
      </c>
      <c r="O13" s="131" t="str">
        <f t="shared" si="0"/>
        <v>12 OZ , 4 (1+3), -3 ±</v>
      </c>
    </row>
    <row r="14" spans="1:26" x14ac:dyDescent="0.25">
      <c r="A14" s="65">
        <v>13</v>
      </c>
      <c r="B14" s="1" t="s">
        <v>182</v>
      </c>
      <c r="D14" s="137"/>
      <c r="E14" s="137">
        <v>9</v>
      </c>
      <c r="F14" s="137">
        <v>2</v>
      </c>
      <c r="G14" s="137">
        <v>0</v>
      </c>
      <c r="H14" s="137">
        <v>0</v>
      </c>
      <c r="I14" s="137">
        <v>1</v>
      </c>
      <c r="J14" s="137">
        <v>3</v>
      </c>
      <c r="K14" s="137">
        <v>4</v>
      </c>
      <c r="L14" s="137">
        <v>8</v>
      </c>
      <c r="M14" s="137">
        <v>10</v>
      </c>
      <c r="N14" s="137">
        <v>-2</v>
      </c>
      <c r="O14" s="131" t="str">
        <f t="shared" si="0"/>
        <v>9 OZ , 3 (2+1), -2 ±</v>
      </c>
    </row>
    <row r="15" spans="1:26" x14ac:dyDescent="0.25">
      <c r="A15" s="65">
        <v>14</v>
      </c>
      <c r="B15" s="1" t="s">
        <v>183</v>
      </c>
      <c r="D15" s="137" t="s">
        <v>52</v>
      </c>
      <c r="E15" s="137">
        <v>12</v>
      </c>
      <c r="F15" s="137">
        <v>2</v>
      </c>
      <c r="G15" s="137">
        <v>0</v>
      </c>
      <c r="H15" s="137">
        <v>0</v>
      </c>
      <c r="I15" s="137">
        <v>0</v>
      </c>
      <c r="J15" s="137">
        <v>2</v>
      </c>
      <c r="K15" s="137">
        <v>6</v>
      </c>
      <c r="L15" s="137">
        <v>7</v>
      </c>
      <c r="M15" s="137">
        <v>11</v>
      </c>
      <c r="N15" s="137">
        <v>-4</v>
      </c>
      <c r="O15" s="131" t="str">
        <f t="shared" si="0"/>
        <v>12 OZ , 2 (2+0), -4 ±</v>
      </c>
    </row>
    <row r="16" spans="1:26" x14ac:dyDescent="0.25">
      <c r="A16" s="65">
        <v>15</v>
      </c>
      <c r="B16" s="1" t="s">
        <v>184</v>
      </c>
      <c r="D16" s="137" t="s">
        <v>57</v>
      </c>
      <c r="E16" s="137">
        <v>10</v>
      </c>
      <c r="F16" s="137">
        <v>1</v>
      </c>
      <c r="G16" s="137">
        <v>0</v>
      </c>
      <c r="H16" s="137">
        <v>0</v>
      </c>
      <c r="I16" s="137">
        <v>1</v>
      </c>
      <c r="J16" s="137">
        <v>2</v>
      </c>
      <c r="K16" s="137">
        <v>2</v>
      </c>
      <c r="L16" s="137">
        <v>12</v>
      </c>
      <c r="M16" s="137">
        <v>15</v>
      </c>
      <c r="N16" s="137">
        <v>-3</v>
      </c>
      <c r="O16" s="131" t="str">
        <f t="shared" si="0"/>
        <v>10 OZ , 2 (1+1), -3 ±</v>
      </c>
    </row>
    <row r="17" spans="1:19" x14ac:dyDescent="0.25">
      <c r="A17" s="65">
        <v>16</v>
      </c>
      <c r="B17" s="1" t="s">
        <v>185</v>
      </c>
      <c r="D17" s="137" t="s">
        <v>52</v>
      </c>
      <c r="E17" s="137">
        <v>6</v>
      </c>
      <c r="F17" s="137">
        <v>0</v>
      </c>
      <c r="G17" s="137">
        <v>0</v>
      </c>
      <c r="H17" s="137">
        <v>0</v>
      </c>
      <c r="I17" s="137">
        <v>2</v>
      </c>
      <c r="J17" s="137">
        <v>2</v>
      </c>
      <c r="K17" s="137">
        <v>4</v>
      </c>
      <c r="L17" s="137">
        <v>11</v>
      </c>
      <c r="M17" s="137">
        <v>6</v>
      </c>
      <c r="N17" s="137">
        <v>5</v>
      </c>
      <c r="O17" s="131" t="str">
        <f t="shared" si="0"/>
        <v>6 OZ , 2 (0+2), +5 ±</v>
      </c>
    </row>
    <row r="18" spans="1:19" x14ac:dyDescent="0.25">
      <c r="A18" s="65">
        <v>17</v>
      </c>
      <c r="B18" s="1" t="s">
        <v>186</v>
      </c>
      <c r="D18" s="137" t="s">
        <v>57</v>
      </c>
      <c r="E18" s="137">
        <v>12</v>
      </c>
      <c r="F18" s="137">
        <v>0</v>
      </c>
      <c r="G18" s="137">
        <v>0</v>
      </c>
      <c r="H18" s="137">
        <v>0</v>
      </c>
      <c r="I18" s="137">
        <v>1</v>
      </c>
      <c r="J18" s="137">
        <v>1</v>
      </c>
      <c r="K18" s="137">
        <v>0</v>
      </c>
      <c r="L18" s="137">
        <v>3</v>
      </c>
      <c r="M18" s="137">
        <v>7</v>
      </c>
      <c r="N18" s="137">
        <v>-4</v>
      </c>
      <c r="O18" s="131" t="str">
        <f t="shared" si="0"/>
        <v>12 OZ , 1 (0+1), -4 ±</v>
      </c>
    </row>
    <row r="19" spans="1:19" x14ac:dyDescent="0.25">
      <c r="A19" s="65">
        <v>18</v>
      </c>
      <c r="B19" s="1" t="s">
        <v>190</v>
      </c>
      <c r="D19" s="137"/>
      <c r="E19" s="137">
        <v>2</v>
      </c>
      <c r="F19" s="137">
        <v>0</v>
      </c>
      <c r="G19" s="137">
        <v>0</v>
      </c>
      <c r="H19" s="137">
        <v>0</v>
      </c>
      <c r="I19" s="137">
        <v>0</v>
      </c>
      <c r="J19" s="137">
        <v>0</v>
      </c>
      <c r="K19" s="137">
        <v>0</v>
      </c>
      <c r="L19" s="137">
        <v>0</v>
      </c>
      <c r="M19" s="137">
        <v>0</v>
      </c>
      <c r="N19" s="137">
        <v>0</v>
      </c>
      <c r="O19" s="131" t="str">
        <f t="shared" si="0"/>
        <v>2 OZ , 0 (0+0), 0 ±</v>
      </c>
    </row>
    <row r="20" spans="1:19" x14ac:dyDescent="0.25">
      <c r="A20" s="65">
        <v>19</v>
      </c>
      <c r="B20" s="1" t="s">
        <v>187</v>
      </c>
      <c r="D20" s="137" t="s">
        <v>57</v>
      </c>
      <c r="E20" s="137">
        <v>2</v>
      </c>
      <c r="F20" s="137">
        <v>0</v>
      </c>
      <c r="G20" s="137">
        <v>0</v>
      </c>
      <c r="H20" s="137">
        <v>0</v>
      </c>
      <c r="I20" s="137">
        <v>0</v>
      </c>
      <c r="J20" s="137">
        <v>0</v>
      </c>
      <c r="K20" s="137">
        <v>0</v>
      </c>
      <c r="L20" s="137">
        <v>0</v>
      </c>
      <c r="M20" s="137">
        <v>2</v>
      </c>
      <c r="N20" s="137">
        <v>-2</v>
      </c>
      <c r="O20" s="131" t="str">
        <f t="shared" si="0"/>
        <v>2 OZ , 0 (0+0), -2 ±</v>
      </c>
    </row>
    <row r="21" spans="1:19" x14ac:dyDescent="0.25">
      <c r="A21" s="65">
        <v>20</v>
      </c>
      <c r="B21" s="1" t="s">
        <v>189</v>
      </c>
      <c r="D21" s="137" t="s">
        <v>57</v>
      </c>
      <c r="E21" s="137">
        <v>2</v>
      </c>
      <c r="F21" s="137">
        <v>0</v>
      </c>
      <c r="G21" s="137">
        <v>0</v>
      </c>
      <c r="H21" s="137">
        <v>0</v>
      </c>
      <c r="I21" s="137">
        <v>0</v>
      </c>
      <c r="J21" s="137">
        <v>0</v>
      </c>
      <c r="K21" s="137">
        <v>0</v>
      </c>
      <c r="L21" s="137">
        <v>0</v>
      </c>
      <c r="M21" s="137">
        <v>0</v>
      </c>
      <c r="N21" s="137">
        <v>0</v>
      </c>
      <c r="O21" s="131" t="str">
        <f t="shared" si="0"/>
        <v>2 OZ , 0 (0+0), 0 ±</v>
      </c>
    </row>
    <row r="22" spans="1:19" x14ac:dyDescent="0.25">
      <c r="A22" s="65">
        <v>21</v>
      </c>
      <c r="B22" s="1" t="s">
        <v>188</v>
      </c>
      <c r="D22" s="137" t="s">
        <v>35</v>
      </c>
      <c r="E22" s="137">
        <v>0</v>
      </c>
      <c r="F22" s="137">
        <v>0</v>
      </c>
      <c r="G22" s="137">
        <v>0</v>
      </c>
      <c r="H22" s="137">
        <v>0</v>
      </c>
      <c r="I22" s="137">
        <v>0</v>
      </c>
      <c r="J22" s="137">
        <v>0</v>
      </c>
      <c r="K22" s="137">
        <v>0</v>
      </c>
      <c r="L22" s="137">
        <v>0</v>
      </c>
      <c r="M22" s="137">
        <v>0</v>
      </c>
      <c r="N22" s="137">
        <v>0</v>
      </c>
      <c r="O22" s="131" t="str">
        <f t="shared" si="0"/>
        <v>0 OZ , 0 (0+0), 0 ±</v>
      </c>
    </row>
    <row r="23" spans="1:19" x14ac:dyDescent="0.25">
      <c r="A23" s="65">
        <v>22</v>
      </c>
      <c r="B23" s="1" t="s">
        <v>191</v>
      </c>
      <c r="D23" s="137"/>
      <c r="E23" s="137">
        <v>3</v>
      </c>
      <c r="F23" s="137">
        <v>0</v>
      </c>
      <c r="G23" s="137">
        <v>0</v>
      </c>
      <c r="H23" s="137">
        <v>0</v>
      </c>
      <c r="I23" s="137">
        <v>0</v>
      </c>
      <c r="J23" s="137">
        <v>0</v>
      </c>
      <c r="K23" s="137">
        <v>0</v>
      </c>
      <c r="L23" s="137">
        <v>1</v>
      </c>
      <c r="M23" s="137">
        <v>0</v>
      </c>
      <c r="N23" s="137">
        <v>1</v>
      </c>
      <c r="O23" s="131" t="str">
        <f t="shared" si="0"/>
        <v>3 OZ , 0 (0+0), +1 ±</v>
      </c>
    </row>
    <row r="24" spans="1:19" x14ac:dyDescent="0.25">
      <c r="A24" s="65">
        <v>23</v>
      </c>
      <c r="B24" s="1" t="s">
        <v>192</v>
      </c>
      <c r="D24" s="137"/>
      <c r="E24" s="137">
        <v>4</v>
      </c>
      <c r="F24" s="137">
        <v>0</v>
      </c>
      <c r="G24" s="137">
        <v>0</v>
      </c>
      <c r="H24" s="137">
        <v>0</v>
      </c>
      <c r="I24" s="137">
        <v>0</v>
      </c>
      <c r="J24" s="137">
        <v>0</v>
      </c>
      <c r="K24" s="137">
        <v>0</v>
      </c>
      <c r="L24" s="137">
        <v>0</v>
      </c>
      <c r="M24" s="137">
        <v>0</v>
      </c>
      <c r="N24" s="137">
        <v>0</v>
      </c>
      <c r="O24" s="131" t="str">
        <f t="shared" si="0"/>
        <v>4 OZ , 0 (0+0), 0 ±</v>
      </c>
    </row>
    <row r="25" spans="1:19" x14ac:dyDescent="0.25">
      <c r="A25" s="65">
        <v>24</v>
      </c>
      <c r="B25" s="1" t="s">
        <v>193</v>
      </c>
      <c r="D25" s="137" t="s">
        <v>35</v>
      </c>
      <c r="E25" s="137">
        <v>0</v>
      </c>
      <c r="F25" s="137">
        <v>0</v>
      </c>
      <c r="G25" s="137">
        <v>0</v>
      </c>
      <c r="H25" s="137">
        <v>0</v>
      </c>
      <c r="I25" s="137">
        <v>0</v>
      </c>
      <c r="J25" s="137">
        <v>0</v>
      </c>
      <c r="K25" s="137">
        <v>0</v>
      </c>
      <c r="L25" s="137">
        <v>0</v>
      </c>
      <c r="M25" s="137">
        <v>0</v>
      </c>
      <c r="N25" s="137">
        <v>0</v>
      </c>
      <c r="O25" s="131" t="str">
        <f t="shared" si="0"/>
        <v>0 OZ , 0 (0+0), 0 ±</v>
      </c>
    </row>
    <row r="26" spans="1:19" x14ac:dyDescent="0.25">
      <c r="A26" s="65">
        <v>25</v>
      </c>
      <c r="B26" s="1" t="s">
        <v>194</v>
      </c>
      <c r="D26" s="137" t="s">
        <v>35</v>
      </c>
      <c r="E26" s="137">
        <v>0</v>
      </c>
      <c r="F26" s="137">
        <v>0</v>
      </c>
      <c r="G26" s="137">
        <v>0</v>
      </c>
      <c r="H26" s="137">
        <v>0</v>
      </c>
      <c r="I26" s="137">
        <v>0</v>
      </c>
      <c r="J26" s="137">
        <v>0</v>
      </c>
      <c r="K26" s="137">
        <v>0</v>
      </c>
      <c r="L26" s="137">
        <v>0</v>
      </c>
      <c r="M26" s="137">
        <v>0</v>
      </c>
      <c r="N26" s="137">
        <v>0</v>
      </c>
      <c r="O26" s="131" t="str">
        <f t="shared" si="0"/>
        <v>0 OZ , 0 (0+0), 0 ±</v>
      </c>
    </row>
    <row r="27" spans="1:19" x14ac:dyDescent="0.25">
      <c r="A27" s="65">
        <v>26</v>
      </c>
      <c r="B27" s="1" t="s">
        <v>195</v>
      </c>
      <c r="D27" s="137" t="s">
        <v>57</v>
      </c>
      <c r="E27" s="137">
        <v>12</v>
      </c>
      <c r="F27" s="137">
        <v>0</v>
      </c>
      <c r="G27" s="137">
        <v>0</v>
      </c>
      <c r="H27" s="137">
        <v>0</v>
      </c>
      <c r="I27" s="137">
        <v>0</v>
      </c>
      <c r="J27" s="137">
        <v>0</v>
      </c>
      <c r="K27" s="137">
        <v>8</v>
      </c>
      <c r="L27" s="137">
        <v>7</v>
      </c>
      <c r="M27" s="137">
        <v>6</v>
      </c>
      <c r="N27" s="137">
        <v>1</v>
      </c>
      <c r="O27" s="131" t="str">
        <f t="shared" si="0"/>
        <v>12 OZ , 0 (0+0), +1 ±</v>
      </c>
    </row>
    <row r="28" spans="1:19" x14ac:dyDescent="0.25">
      <c r="A28" s="65">
        <v>27</v>
      </c>
      <c r="B28" s="1" t="s">
        <v>196</v>
      </c>
      <c r="D28" s="137"/>
      <c r="E28" s="137">
        <v>0</v>
      </c>
      <c r="F28" s="137">
        <v>0</v>
      </c>
      <c r="G28" s="137">
        <v>0</v>
      </c>
      <c r="H28" s="137">
        <v>0</v>
      </c>
      <c r="I28" s="137">
        <v>0</v>
      </c>
      <c r="J28" s="137">
        <v>0</v>
      </c>
      <c r="K28" s="137">
        <v>0</v>
      </c>
      <c r="L28" s="137">
        <v>0</v>
      </c>
      <c r="M28" s="137">
        <v>0</v>
      </c>
      <c r="N28" s="137">
        <v>0</v>
      </c>
      <c r="O28" s="131" t="str">
        <f t="shared" si="0"/>
        <v>0 OZ , 0 (0+0), 0 ±</v>
      </c>
    </row>
    <row r="29" spans="1:19" x14ac:dyDescent="0.25">
      <c r="A29" s="65"/>
      <c r="D29" s="131"/>
      <c r="E29" s="131"/>
      <c r="F29" s="131"/>
      <c r="G29" s="131"/>
      <c r="H29" s="131"/>
      <c r="I29" s="131"/>
      <c r="J29" s="131"/>
      <c r="K29" s="131"/>
      <c r="L29" s="131"/>
      <c r="M29" s="131"/>
      <c r="N29" s="131"/>
      <c r="O29" s="131" t="str">
        <f t="shared" si="0"/>
        <v/>
      </c>
      <c r="P29" s="131"/>
      <c r="Q29" s="130"/>
      <c r="S29" s="131"/>
    </row>
    <row r="30" spans="1:19" x14ac:dyDescent="0.25">
      <c r="A30" s="65"/>
      <c r="D30" s="131"/>
      <c r="E30" s="131"/>
      <c r="F30" s="131"/>
      <c r="G30" s="131"/>
      <c r="H30" s="131"/>
      <c r="I30" s="131"/>
      <c r="J30" s="131"/>
      <c r="K30" s="131"/>
      <c r="L30" s="131"/>
      <c r="M30" s="131"/>
      <c r="N30" s="131"/>
      <c r="O30" s="131" t="str">
        <f t="shared" si="0"/>
        <v/>
      </c>
      <c r="P30" s="131"/>
      <c r="Q30" s="130"/>
      <c r="S30" s="131"/>
    </row>
    <row r="31" spans="1:19" x14ac:dyDescent="0.25">
      <c r="A31" s="65"/>
      <c r="D31" s="131"/>
      <c r="E31" s="131"/>
      <c r="F31" s="131"/>
      <c r="G31" s="131"/>
      <c r="H31" s="131"/>
      <c r="I31" s="131"/>
      <c r="J31" s="131"/>
      <c r="K31" s="131"/>
      <c r="L31" s="131"/>
      <c r="M31" s="131"/>
      <c r="N31" s="131"/>
      <c r="O31" s="131" t="str">
        <f t="shared" si="0"/>
        <v/>
      </c>
      <c r="P31" s="131"/>
      <c r="Q31" s="130"/>
      <c r="S31" s="131"/>
    </row>
    <row r="32" spans="1:19" x14ac:dyDescent="0.25">
      <c r="A32" s="65"/>
      <c r="D32" s="131"/>
      <c r="E32" s="131"/>
      <c r="F32" s="131"/>
      <c r="G32" s="131"/>
      <c r="H32" s="131"/>
      <c r="I32" s="131"/>
      <c r="J32" s="131"/>
      <c r="K32" s="131"/>
      <c r="L32" s="131"/>
      <c r="M32" s="131"/>
      <c r="N32" s="131"/>
      <c r="O32" s="131" t="str">
        <f t="shared" si="0"/>
        <v/>
      </c>
      <c r="P32" s="131"/>
      <c r="Q32" s="130"/>
      <c r="S32" s="131"/>
    </row>
    <row r="33" spans="1:26" x14ac:dyDescent="0.25">
      <c r="A33" s="65"/>
      <c r="D33" s="131"/>
      <c r="E33" s="131"/>
      <c r="F33" s="131"/>
      <c r="G33" s="131"/>
      <c r="H33" s="131"/>
      <c r="I33" s="131"/>
      <c r="J33" s="131"/>
      <c r="K33" s="131"/>
      <c r="L33" s="131"/>
      <c r="M33" s="131"/>
      <c r="N33" s="131"/>
      <c r="O33" s="131" t="str">
        <f t="shared" si="0"/>
        <v/>
      </c>
      <c r="P33" s="131"/>
      <c r="Q33" s="130"/>
      <c r="S33" s="131"/>
    </row>
    <row r="34" spans="1:26" x14ac:dyDescent="0.25">
      <c r="A34" s="65"/>
      <c r="D34" s="131"/>
      <c r="E34" s="131"/>
      <c r="F34" s="131"/>
      <c r="G34" s="131"/>
      <c r="H34" s="131"/>
      <c r="I34" s="131"/>
      <c r="J34" s="131"/>
      <c r="K34" s="131"/>
      <c r="L34" s="131"/>
      <c r="M34" s="131"/>
      <c r="N34" s="131"/>
      <c r="O34" s="131" t="str">
        <f t="shared" si="0"/>
        <v/>
      </c>
      <c r="P34" s="131"/>
      <c r="Q34" s="130"/>
      <c r="S34" s="131"/>
    </row>
    <row r="35" spans="1:26" x14ac:dyDescent="0.25">
      <c r="A35" s="65"/>
      <c r="D35" s="131"/>
      <c r="E35" s="131"/>
      <c r="F35" s="131"/>
      <c r="G35" s="131"/>
      <c r="H35" s="131"/>
      <c r="I35" s="131"/>
      <c r="J35" s="131"/>
      <c r="K35" s="131"/>
      <c r="L35" s="131"/>
      <c r="M35" s="131"/>
      <c r="N35" s="131"/>
      <c r="O35" s="131" t="str">
        <f t="shared" si="0"/>
        <v/>
      </c>
      <c r="P35" s="131"/>
      <c r="Q35" s="130"/>
      <c r="S35" s="131"/>
    </row>
    <row r="36" spans="1:26" x14ac:dyDescent="0.25">
      <c r="A36" s="65"/>
      <c r="D36" s="131"/>
      <c r="E36" s="131"/>
      <c r="F36" s="131"/>
      <c r="G36" s="131"/>
      <c r="H36" s="131"/>
      <c r="I36" s="131"/>
      <c r="J36" s="131"/>
      <c r="K36" s="131"/>
      <c r="L36" s="131"/>
      <c r="M36" s="131"/>
      <c r="N36" s="131"/>
      <c r="O36" s="131" t="str">
        <f t="shared" si="0"/>
        <v/>
      </c>
      <c r="P36" s="131"/>
      <c r="Q36" s="130"/>
      <c r="S36" s="131"/>
    </row>
    <row r="38" spans="1:26" s="2" customFormat="1" ht="15" customHeight="1" x14ac:dyDescent="0.25">
      <c r="A38" s="9" t="s">
        <v>64</v>
      </c>
      <c r="B38" s="2" t="s">
        <v>65</v>
      </c>
      <c r="D38" s="2" t="s">
        <v>89</v>
      </c>
      <c r="E38" s="2" t="s">
        <v>90</v>
      </c>
      <c r="F38" s="2" t="s">
        <v>91</v>
      </c>
      <c r="G38" s="2" t="s">
        <v>41</v>
      </c>
      <c r="H38" s="2" t="s">
        <v>92</v>
      </c>
      <c r="I38" s="2" t="s">
        <v>93</v>
      </c>
      <c r="J38" s="2" t="s">
        <v>94</v>
      </c>
      <c r="K38" s="2" t="s">
        <v>85</v>
      </c>
      <c r="L38" s="2" t="s">
        <v>42</v>
      </c>
      <c r="M38" s="2" t="s">
        <v>95</v>
      </c>
      <c r="N38" s="3" t="s">
        <v>37</v>
      </c>
      <c r="O38" s="2" t="s">
        <v>38</v>
      </c>
      <c r="P38" s="2" t="s">
        <v>100</v>
      </c>
      <c r="Q38" s="2" t="s">
        <v>101</v>
      </c>
      <c r="R38" s="2" t="s">
        <v>102</v>
      </c>
      <c r="X38" s="129"/>
      <c r="Y38" s="129"/>
      <c r="Z38" s="129"/>
    </row>
    <row r="39" spans="1:26" x14ac:dyDescent="0.25">
      <c r="A39" s="65">
        <v>1</v>
      </c>
      <c r="B39" s="1" t="s">
        <v>194</v>
      </c>
      <c r="D39" s="137">
        <v>6</v>
      </c>
      <c r="E39" s="137">
        <v>6</v>
      </c>
      <c r="F39" s="13">
        <v>361.25</v>
      </c>
      <c r="G39" s="137">
        <v>3</v>
      </c>
      <c r="H39" s="137">
        <v>26</v>
      </c>
      <c r="I39" s="137">
        <v>0</v>
      </c>
      <c r="J39" s="137">
        <v>147</v>
      </c>
      <c r="K39" s="137">
        <v>0</v>
      </c>
      <c r="L39" s="137">
        <v>3</v>
      </c>
      <c r="M39" s="137">
        <v>121</v>
      </c>
      <c r="N39" s="137">
        <v>0</v>
      </c>
      <c r="O39" s="137">
        <v>0</v>
      </c>
      <c r="P39" s="13">
        <f>IF(B39&lt;&gt;0,IFERROR(H39/(F39/60),0),"")</f>
        <v>4.3183391003460212</v>
      </c>
      <c r="Q39" s="13">
        <f>IF(B39&lt;&gt;0,IFERROR((M39/J39)*100,0),"")</f>
        <v>82.312925170068027</v>
      </c>
      <c r="R39" s="131" t="str">
        <f>IF(B39&lt;&gt;0,CONCATENATE(G39, " V, ",L39," P"),"")</f>
        <v>3 V, 3 P</v>
      </c>
    </row>
    <row r="40" spans="1:26" x14ac:dyDescent="0.25">
      <c r="A40" s="65">
        <v>2</v>
      </c>
      <c r="B40" s="1" t="s">
        <v>196</v>
      </c>
      <c r="D40" s="137">
        <v>12</v>
      </c>
      <c r="E40" s="137">
        <v>4</v>
      </c>
      <c r="F40" s="13">
        <v>237.77</v>
      </c>
      <c r="G40" s="137">
        <v>3</v>
      </c>
      <c r="H40" s="137">
        <v>25</v>
      </c>
      <c r="I40" s="137">
        <v>0</v>
      </c>
      <c r="J40" s="137">
        <v>87</v>
      </c>
      <c r="K40" s="137">
        <v>0</v>
      </c>
      <c r="L40" s="137">
        <v>1</v>
      </c>
      <c r="M40" s="137">
        <v>62</v>
      </c>
      <c r="N40" s="137">
        <v>0</v>
      </c>
      <c r="O40" s="137">
        <v>0</v>
      </c>
      <c r="P40" s="13">
        <f t="shared" ref="P40:P45" si="1">IF(B40&lt;&gt;0,IFERROR(H40/(F40/60),0),"")</f>
        <v>6.3086175716028086</v>
      </c>
      <c r="Q40" s="13">
        <f t="shared" ref="Q40:Q45" si="2">IF(B40&lt;&gt;0,IFERROR((M40/J40)*100,0),"")</f>
        <v>71.264367816091962</v>
      </c>
      <c r="R40" s="131" t="str">
        <f t="shared" ref="R40:R45" si="3">IF(B40&lt;&gt;0,CONCATENATE(G40, " V, ",L40," P"),"")</f>
        <v>3 V, 1 P</v>
      </c>
    </row>
    <row r="41" spans="1:26" x14ac:dyDescent="0.25">
      <c r="A41" s="65">
        <v>3</v>
      </c>
      <c r="B41" s="1" t="s">
        <v>193</v>
      </c>
      <c r="D41" s="137">
        <v>4</v>
      </c>
      <c r="E41" s="137">
        <v>2</v>
      </c>
      <c r="F41" s="13">
        <v>120</v>
      </c>
      <c r="G41" s="137">
        <v>2</v>
      </c>
      <c r="H41" s="137">
        <v>11</v>
      </c>
      <c r="I41" s="137">
        <v>0</v>
      </c>
      <c r="J41" s="137">
        <v>44</v>
      </c>
      <c r="K41" s="137">
        <v>0</v>
      </c>
      <c r="L41" s="137">
        <v>0</v>
      </c>
      <c r="M41" s="137">
        <v>33</v>
      </c>
      <c r="N41" s="137">
        <v>0</v>
      </c>
      <c r="O41" s="137">
        <v>0</v>
      </c>
      <c r="P41" s="13">
        <f t="shared" si="1"/>
        <v>5.5</v>
      </c>
      <c r="Q41" s="13">
        <f t="shared" si="2"/>
        <v>75</v>
      </c>
      <c r="R41" s="131" t="str">
        <f t="shared" si="3"/>
        <v>2 V, 0 P</v>
      </c>
    </row>
    <row r="42" spans="1:26" x14ac:dyDescent="0.25">
      <c r="A42" s="65">
        <v>4</v>
      </c>
      <c r="B42" s="1" t="s">
        <v>188</v>
      </c>
      <c r="D42" s="137">
        <v>2</v>
      </c>
      <c r="E42" s="137">
        <v>0</v>
      </c>
      <c r="F42" s="13">
        <v>0</v>
      </c>
      <c r="G42" s="137">
        <v>0</v>
      </c>
      <c r="H42" s="137">
        <v>0</v>
      </c>
      <c r="I42" s="137">
        <v>0</v>
      </c>
      <c r="J42" s="137">
        <v>0</v>
      </c>
      <c r="K42" s="137">
        <v>0</v>
      </c>
      <c r="L42" s="137">
        <v>0</v>
      </c>
      <c r="M42" s="137">
        <v>0</v>
      </c>
      <c r="N42" s="137">
        <v>0</v>
      </c>
      <c r="O42" s="137">
        <v>0</v>
      </c>
      <c r="P42" s="13">
        <f t="shared" si="1"/>
        <v>0</v>
      </c>
      <c r="Q42" s="13">
        <f t="shared" si="2"/>
        <v>0</v>
      </c>
      <c r="R42" s="131" t="str">
        <f t="shared" si="3"/>
        <v>0 V, 0 P</v>
      </c>
    </row>
    <row r="43" spans="1:26" x14ac:dyDescent="0.25">
      <c r="A43" s="65"/>
      <c r="D43" s="131"/>
      <c r="E43" s="131"/>
      <c r="F43" s="13"/>
      <c r="G43" s="131"/>
      <c r="H43" s="131"/>
      <c r="I43" s="131"/>
      <c r="J43" s="131"/>
      <c r="K43" s="131"/>
      <c r="L43" s="131"/>
      <c r="M43" s="131"/>
      <c r="N43" s="131"/>
      <c r="O43" s="131"/>
      <c r="P43" s="13" t="str">
        <f t="shared" si="1"/>
        <v/>
      </c>
      <c r="Q43" s="13" t="str">
        <f t="shared" si="2"/>
        <v/>
      </c>
      <c r="R43" s="131" t="str">
        <f t="shared" si="3"/>
        <v/>
      </c>
      <c r="S43" s="131"/>
    </row>
    <row r="44" spans="1:26" x14ac:dyDescent="0.25">
      <c r="A44" s="65"/>
      <c r="D44" s="131"/>
      <c r="E44" s="131"/>
      <c r="F44" s="13"/>
      <c r="G44" s="131"/>
      <c r="H44" s="131"/>
      <c r="I44" s="131"/>
      <c r="J44" s="131"/>
      <c r="K44" s="131"/>
      <c r="L44" s="131"/>
      <c r="M44" s="131"/>
      <c r="N44" s="131"/>
      <c r="O44" s="131"/>
      <c r="P44" s="13" t="str">
        <f t="shared" si="1"/>
        <v/>
      </c>
      <c r="Q44" s="13" t="str">
        <f t="shared" si="2"/>
        <v/>
      </c>
      <c r="R44" s="131" t="str">
        <f t="shared" si="3"/>
        <v/>
      </c>
      <c r="S44" s="131"/>
    </row>
    <row r="45" spans="1:26" ht="15" customHeight="1" x14ac:dyDescent="0.25">
      <c r="P45" s="13" t="str">
        <f t="shared" si="1"/>
        <v/>
      </c>
      <c r="Q45" s="13" t="str">
        <f t="shared" si="2"/>
        <v/>
      </c>
      <c r="R45" s="131" t="str">
        <f t="shared" si="3"/>
        <v/>
      </c>
    </row>
    <row r="46" spans="1:26" ht="15" customHeight="1" x14ac:dyDescent="0.25">
      <c r="X46" s="286" t="s">
        <v>384</v>
      </c>
      <c r="Y46" s="286"/>
      <c r="Z46" s="286"/>
    </row>
    <row r="47" spans="1:26" s="2" customFormat="1" ht="15" customHeight="1" x14ac:dyDescent="0.25">
      <c r="A47" s="7">
        <f ca="1">TODAY()</f>
        <v>44205</v>
      </c>
      <c r="B47" s="2" t="s">
        <v>65</v>
      </c>
      <c r="C47" s="2" t="s">
        <v>72</v>
      </c>
      <c r="D47" s="2" t="s">
        <v>73</v>
      </c>
      <c r="E47" s="2" t="s">
        <v>76</v>
      </c>
      <c r="F47" s="2" t="s">
        <v>77</v>
      </c>
      <c r="G47" s="2" t="s">
        <v>78</v>
      </c>
      <c r="H47" s="2" t="s">
        <v>79</v>
      </c>
      <c r="I47" s="2" t="s">
        <v>47</v>
      </c>
      <c r="J47" s="2" t="s">
        <v>64</v>
      </c>
      <c r="K47" s="2" t="s">
        <v>169</v>
      </c>
      <c r="L47" s="2" t="s">
        <v>83</v>
      </c>
      <c r="M47" s="2" t="s">
        <v>74</v>
      </c>
      <c r="N47" s="2" t="s">
        <v>75</v>
      </c>
      <c r="O47" s="2" t="s">
        <v>87</v>
      </c>
      <c r="P47" s="2" t="s">
        <v>88</v>
      </c>
      <c r="Q47" s="2" t="s">
        <v>80</v>
      </c>
      <c r="R47" s="2" t="s">
        <v>81</v>
      </c>
      <c r="S47" s="2" t="s">
        <v>103</v>
      </c>
      <c r="T47" s="2" t="s">
        <v>168</v>
      </c>
      <c r="U47" s="2" t="s">
        <v>374</v>
      </c>
      <c r="V47" s="2" t="s">
        <v>375</v>
      </c>
      <c r="W47" s="2" t="s">
        <v>376</v>
      </c>
      <c r="X47" s="129" t="s">
        <v>383</v>
      </c>
      <c r="Y47" s="129" t="s">
        <v>381</v>
      </c>
      <c r="Z47" s="129" t="s">
        <v>382</v>
      </c>
    </row>
    <row r="48" spans="1:26" ht="15" customHeight="1" x14ac:dyDescent="0.25">
      <c r="B48" s="1" t="s">
        <v>187</v>
      </c>
      <c r="C48" s="10">
        <v>35401</v>
      </c>
      <c r="D48" s="131">
        <f ca="1">IF(C48 &lt;&gt; 0,ROUNDDOWN(($A$47-C48)/365.25,0),"")</f>
        <v>24</v>
      </c>
      <c r="E48" s="6">
        <v>146</v>
      </c>
      <c r="F48" s="6">
        <v>34</v>
      </c>
      <c r="G48" s="6">
        <v>21</v>
      </c>
      <c r="H48" s="131">
        <f>IF(B48&lt;&gt;0,F48+G48,"")</f>
        <v>55</v>
      </c>
      <c r="I48" s="6">
        <v>8</v>
      </c>
      <c r="J48" s="6">
        <v>12</v>
      </c>
      <c r="L48" s="6" t="s">
        <v>84</v>
      </c>
      <c r="M48" s="6">
        <v>183</v>
      </c>
      <c r="N48" s="6">
        <v>88</v>
      </c>
      <c r="O48" s="131" t="str">
        <f>IF(B48&lt;&gt;0,CONCATENATE(E48+IFERROR(VLOOKUP(B48,$B$2:$N$28,4,FALSE),X47), " OZ, ", H48+IFERROR(VLOOKUP(B48,$B$2:$N$28,9,FALSE),Y47+Z47), " (", F48+IFERROR(VLOOKUP(B48,$B$2:$N$28,5,FALSE),Y47), "+",G48+IFERROR(VLOOKUP(B48,$B$2:$N$28,8,FALSE), Z47), ")"), "")</f>
        <v>148 OZ, 55 (34+21)</v>
      </c>
      <c r="P48" s="131" t="str">
        <f>IF(M48&lt;&gt;0,CONCATENATE(M48,"/",N48),"")</f>
        <v>183/88</v>
      </c>
      <c r="Q48" s="12" t="s">
        <v>217</v>
      </c>
      <c r="R48" s="6">
        <v>2007</v>
      </c>
      <c r="S48" s="131" t="str">
        <f>IFERROR(CONCATENATE(E48+VLOOKUP(B48,$B$39:$R$42,4,FALSE), " OZ, ",G48+VLOOKUP(B48,$B$39:$R$42,13,FALSE), " A"),"")</f>
        <v/>
      </c>
      <c r="T48" s="1" t="str">
        <f>IF(B48&lt;&gt;0,IF(V48=1,U48,CONCATENATE(U48," ",W48,".")),"")</f>
        <v>Kašovský</v>
      </c>
      <c r="U48" s="1" t="str">
        <f>IFERROR(RIGHT(B48,LEN(B48)-SEARCH(" ", B48,1)),"")</f>
        <v>Kašovský</v>
      </c>
      <c r="V48" s="131">
        <f>IF(B48&lt;&gt;0,COUNTIF($U$48:$U$82,U48),"")</f>
        <v>1</v>
      </c>
      <c r="W48" s="131" t="str">
        <f>IFERROR(LEFT(LEFT(B48,SEARCH(" ",B48,1)),1),"")</f>
        <v>D</v>
      </c>
    </row>
    <row r="49" spans="2:23" ht="15" customHeight="1" x14ac:dyDescent="0.25">
      <c r="B49" s="1" t="s">
        <v>179</v>
      </c>
      <c r="C49" s="10">
        <v>36733</v>
      </c>
      <c r="D49" s="131">
        <f t="shared" ref="D49:D82" ca="1" si="4">IF(C49 &lt;&gt; 0,ROUNDDOWN(($A$47-C49)/365.25,0),"")</f>
        <v>20</v>
      </c>
      <c r="E49" s="6">
        <v>20</v>
      </c>
      <c r="F49" s="6">
        <v>3</v>
      </c>
      <c r="G49" s="6">
        <v>4</v>
      </c>
      <c r="H49" s="131">
        <f t="shared" ref="H49:H82" si="5">IF(B49&lt;&gt;0,F49+G49,"")</f>
        <v>7</v>
      </c>
      <c r="I49" s="6">
        <v>3</v>
      </c>
      <c r="J49" s="6">
        <v>77</v>
      </c>
      <c r="L49" s="6" t="s">
        <v>84</v>
      </c>
      <c r="M49" s="6">
        <v>183</v>
      </c>
      <c r="N49" s="6">
        <v>92</v>
      </c>
      <c r="O49" s="131" t="str">
        <f t="shared" ref="O49:O82" si="6">IF(B49&lt;&gt;0,CONCATENATE(E49+IFERROR(VLOOKUP(B49,$B$2:$N$28,4,FALSE),X49), " OZ, ", H49+IFERROR(VLOOKUP(B49,$B$2:$N$28,9,FALSE),Y49+Z49), " (", F49+IFERROR(VLOOKUP(B49,$B$2:$N$28,5,FALSE),Y49), "+",G49+IFERROR(VLOOKUP(B49,$B$2:$N$28,8,FALSE), Z49), ")"), "")</f>
        <v>32 OZ, 12 (7+5)</v>
      </c>
      <c r="P49" s="131" t="str">
        <f t="shared" ref="P49:P82" si="7">IF(M49&lt;&gt;0,CONCATENATE(M49,"/",N49),"")</f>
        <v>183/92</v>
      </c>
      <c r="Q49" s="12" t="s">
        <v>228</v>
      </c>
      <c r="R49" s="6">
        <v>2007</v>
      </c>
      <c r="S49" s="131" t="str">
        <f t="shared" ref="S49:S82" si="8">IFERROR(CONCATENATE(E49+VLOOKUP(B49,$B$39:$R$42,4,FALSE), " OZ, ",G49+VLOOKUP(B49,$B$39:$R$42,13,FALSE), " A"),"")</f>
        <v/>
      </c>
      <c r="T49" s="1" t="str">
        <f t="shared" ref="T49:T82" si="9">IF(B49&lt;&gt;0,IF(V49=1,U49,CONCATENATE(U49," ",W49,".")),"")</f>
        <v>Eremiáš</v>
      </c>
      <c r="U49" s="1" t="str">
        <f t="shared" ref="U49:U82" si="10">IFERROR(RIGHT(B49,LEN(B49)-SEARCH(" ", B49,1)),"")</f>
        <v>Eremiáš</v>
      </c>
      <c r="V49" s="131">
        <f t="shared" ref="V49:V82" si="11">IF(B49&lt;&gt;0,COUNTIF($U$48:$U$82,U49),"")</f>
        <v>1</v>
      </c>
      <c r="W49" s="131" t="str">
        <f t="shared" ref="W49:W82" si="12">IFERROR(LEFT(LEFT(B49,SEARCH(" ",B49,1)),1),"")</f>
        <v>D</v>
      </c>
    </row>
    <row r="50" spans="2:23" ht="15" customHeight="1" x14ac:dyDescent="0.25">
      <c r="B50" s="1" t="s">
        <v>180</v>
      </c>
      <c r="C50" s="10">
        <v>36184</v>
      </c>
      <c r="D50" s="131">
        <f t="shared" ca="1" si="4"/>
        <v>21</v>
      </c>
      <c r="E50" s="6">
        <v>78</v>
      </c>
      <c r="F50" s="6">
        <v>31</v>
      </c>
      <c r="G50" s="6">
        <v>11</v>
      </c>
      <c r="H50" s="131">
        <f t="shared" si="5"/>
        <v>42</v>
      </c>
      <c r="I50" s="6">
        <v>5</v>
      </c>
      <c r="J50" s="6">
        <v>4</v>
      </c>
      <c r="L50" s="6" t="s">
        <v>84</v>
      </c>
      <c r="M50" s="6">
        <v>184</v>
      </c>
      <c r="N50" s="6">
        <v>78</v>
      </c>
      <c r="O50" s="131" t="str">
        <f t="shared" si="6"/>
        <v>86 OZ, 47 (33+14)</v>
      </c>
      <c r="P50" s="131" t="str">
        <f t="shared" si="7"/>
        <v>184/78</v>
      </c>
      <c r="Q50" s="12" t="s">
        <v>215</v>
      </c>
      <c r="R50" s="6">
        <v>2008</v>
      </c>
      <c r="S50" s="131" t="str">
        <f t="shared" si="8"/>
        <v/>
      </c>
      <c r="T50" s="1" t="str">
        <f t="shared" si="9"/>
        <v>Maxa</v>
      </c>
      <c r="U50" s="1" t="str">
        <f t="shared" si="10"/>
        <v>Maxa</v>
      </c>
      <c r="V50" s="131">
        <f t="shared" si="11"/>
        <v>1</v>
      </c>
      <c r="W50" s="131" t="str">
        <f t="shared" si="12"/>
        <v>D</v>
      </c>
    </row>
    <row r="51" spans="2:23" ht="15" customHeight="1" x14ac:dyDescent="0.25">
      <c r="B51" s="1" t="s">
        <v>182</v>
      </c>
      <c r="C51" s="10">
        <v>37679</v>
      </c>
      <c r="D51" s="131">
        <f t="shared" ca="1" si="4"/>
        <v>17</v>
      </c>
      <c r="E51" s="6">
        <v>0</v>
      </c>
      <c r="F51" s="6">
        <v>0</v>
      </c>
      <c r="G51" s="6">
        <v>0</v>
      </c>
      <c r="H51" s="131">
        <f t="shared" si="5"/>
        <v>0</v>
      </c>
      <c r="I51" s="6">
        <v>1</v>
      </c>
      <c r="J51" s="6">
        <v>93</v>
      </c>
      <c r="L51" s="6" t="s">
        <v>84</v>
      </c>
      <c r="M51" s="6">
        <v>175</v>
      </c>
      <c r="N51" s="6">
        <v>67</v>
      </c>
      <c r="O51" s="131" t="str">
        <f t="shared" si="6"/>
        <v>9 OZ, 3 (2+1)</v>
      </c>
      <c r="P51" s="131" t="str">
        <f t="shared" si="7"/>
        <v>175/67</v>
      </c>
      <c r="Q51" s="12" t="s">
        <v>220</v>
      </c>
      <c r="R51" s="6">
        <v>2010</v>
      </c>
      <c r="S51" s="131" t="str">
        <f t="shared" si="8"/>
        <v/>
      </c>
      <c r="T51" s="1" t="str">
        <f t="shared" si="9"/>
        <v>Horký</v>
      </c>
      <c r="U51" s="1" t="str">
        <f t="shared" si="10"/>
        <v>Horký</v>
      </c>
      <c r="V51" s="131">
        <f t="shared" si="11"/>
        <v>1</v>
      </c>
      <c r="W51" s="131" t="str">
        <f t="shared" si="12"/>
        <v>D</v>
      </c>
    </row>
    <row r="52" spans="2:23" ht="15" customHeight="1" x14ac:dyDescent="0.25">
      <c r="B52" s="1" t="s">
        <v>189</v>
      </c>
      <c r="C52" s="10"/>
      <c r="D52" s="131" t="str">
        <f t="shared" si="4"/>
        <v/>
      </c>
      <c r="H52" s="131">
        <f t="shared" si="5"/>
        <v>0</v>
      </c>
      <c r="O52" s="131" t="str">
        <f t="shared" si="6"/>
        <v>2 OZ, 0 (0+0)</v>
      </c>
      <c r="P52" s="131" t="str">
        <f t="shared" si="7"/>
        <v/>
      </c>
      <c r="R52" s="6"/>
      <c r="S52" s="131" t="str">
        <f t="shared" si="8"/>
        <v/>
      </c>
      <c r="T52" s="1" t="str">
        <f t="shared" si="9"/>
        <v>Pergler I.</v>
      </c>
      <c r="U52" s="1" t="str">
        <f t="shared" si="10"/>
        <v>Pergler</v>
      </c>
      <c r="V52" s="131">
        <f t="shared" si="11"/>
        <v>2</v>
      </c>
      <c r="W52" s="131" t="str">
        <f t="shared" si="12"/>
        <v>I</v>
      </c>
    </row>
    <row r="53" spans="2:23" ht="15" customHeight="1" x14ac:dyDescent="0.25">
      <c r="B53" s="1" t="s">
        <v>192</v>
      </c>
      <c r="C53" s="10"/>
      <c r="D53" s="131" t="str">
        <f t="shared" si="4"/>
        <v/>
      </c>
      <c r="H53" s="131">
        <f t="shared" si="5"/>
        <v>0</v>
      </c>
      <c r="O53" s="131" t="str">
        <f t="shared" si="6"/>
        <v>4 OZ, 0 (0+0)</v>
      </c>
      <c r="P53" s="131" t="str">
        <f t="shared" si="7"/>
        <v/>
      </c>
      <c r="R53" s="6"/>
      <c r="S53" s="131" t="str">
        <f t="shared" si="8"/>
        <v/>
      </c>
      <c r="T53" s="1" t="str">
        <f t="shared" si="9"/>
        <v>Dufek</v>
      </c>
      <c r="U53" s="1" t="str">
        <f t="shared" si="10"/>
        <v>Dufek</v>
      </c>
      <c r="V53" s="131">
        <f t="shared" si="11"/>
        <v>1</v>
      </c>
      <c r="W53" s="131" t="str">
        <f t="shared" si="12"/>
        <v>J</v>
      </c>
    </row>
    <row r="54" spans="2:23" ht="15" customHeight="1" x14ac:dyDescent="0.25">
      <c r="B54" s="1" t="s">
        <v>177</v>
      </c>
      <c r="C54" s="10">
        <v>33927</v>
      </c>
      <c r="D54" s="131">
        <f t="shared" ca="1" si="4"/>
        <v>28</v>
      </c>
      <c r="E54" s="6">
        <v>182</v>
      </c>
      <c r="F54" s="6">
        <v>82</v>
      </c>
      <c r="G54" s="6">
        <v>72</v>
      </c>
      <c r="H54" s="131">
        <f t="shared" si="5"/>
        <v>154</v>
      </c>
      <c r="I54" s="6">
        <v>10</v>
      </c>
      <c r="J54" s="6">
        <v>65</v>
      </c>
      <c r="L54" s="6" t="s">
        <v>42</v>
      </c>
      <c r="M54" s="6">
        <v>195</v>
      </c>
      <c r="N54" s="6">
        <v>86</v>
      </c>
      <c r="O54" s="131" t="str">
        <f t="shared" si="6"/>
        <v>194 OZ, 161 (84+77)</v>
      </c>
      <c r="P54" s="131" t="str">
        <f t="shared" si="7"/>
        <v>195/86</v>
      </c>
      <c r="Q54" s="12" t="s">
        <v>219</v>
      </c>
      <c r="R54" s="6">
        <v>2002</v>
      </c>
      <c r="S54" s="131" t="str">
        <f t="shared" si="8"/>
        <v/>
      </c>
      <c r="T54" s="1" t="str">
        <f t="shared" si="9"/>
        <v>Bauer</v>
      </c>
      <c r="U54" s="1" t="str">
        <f t="shared" si="10"/>
        <v>Bauer</v>
      </c>
      <c r="V54" s="131">
        <f t="shared" si="11"/>
        <v>1</v>
      </c>
      <c r="W54" s="131" t="str">
        <f t="shared" si="12"/>
        <v>J</v>
      </c>
    </row>
    <row r="55" spans="2:23" ht="15" customHeight="1" x14ac:dyDescent="0.25">
      <c r="B55" s="1" t="s">
        <v>176</v>
      </c>
      <c r="C55" s="10">
        <v>33793</v>
      </c>
      <c r="D55" s="131">
        <f t="shared" ca="1" si="4"/>
        <v>28</v>
      </c>
      <c r="E55" s="6">
        <v>184</v>
      </c>
      <c r="F55" s="6">
        <v>116</v>
      </c>
      <c r="G55" s="6">
        <v>82</v>
      </c>
      <c r="H55" s="131">
        <f t="shared" si="5"/>
        <v>198</v>
      </c>
      <c r="I55" s="6">
        <v>11</v>
      </c>
      <c r="J55" s="6">
        <v>87</v>
      </c>
      <c r="L55" s="6" t="s">
        <v>84</v>
      </c>
      <c r="M55" s="6">
        <v>176</v>
      </c>
      <c r="N55" s="6">
        <v>73</v>
      </c>
      <c r="O55" s="131" t="str">
        <f t="shared" si="6"/>
        <v>196 OZ, 207 (119+88)</v>
      </c>
      <c r="P55" s="131" t="str">
        <f t="shared" si="7"/>
        <v>176/73</v>
      </c>
      <c r="Q55" s="12" t="s">
        <v>27</v>
      </c>
      <c r="R55" s="6">
        <v>2004</v>
      </c>
      <c r="S55" s="131" t="str">
        <f t="shared" si="8"/>
        <v/>
      </c>
      <c r="T55" s="1" t="str">
        <f t="shared" si="9"/>
        <v>Koutný J.</v>
      </c>
      <c r="U55" s="1" t="str">
        <f t="shared" si="10"/>
        <v>Koutný</v>
      </c>
      <c r="V55" s="131">
        <f t="shared" si="11"/>
        <v>2</v>
      </c>
      <c r="W55" s="131" t="str">
        <f t="shared" si="12"/>
        <v>J</v>
      </c>
    </row>
    <row r="56" spans="2:23" ht="15" customHeight="1" x14ac:dyDescent="0.25">
      <c r="B56" s="1" t="s">
        <v>191</v>
      </c>
      <c r="C56" s="10">
        <v>36770</v>
      </c>
      <c r="D56" s="131">
        <f t="shared" ca="1" si="4"/>
        <v>20</v>
      </c>
      <c r="E56" s="6">
        <v>6</v>
      </c>
      <c r="F56" s="6">
        <v>0</v>
      </c>
      <c r="G56" s="6">
        <v>0</v>
      </c>
      <c r="H56" s="131">
        <f t="shared" si="5"/>
        <v>0</v>
      </c>
      <c r="I56" s="6">
        <v>3</v>
      </c>
      <c r="J56" s="6">
        <v>88</v>
      </c>
      <c r="L56" s="6" t="s">
        <v>84</v>
      </c>
      <c r="M56" s="6">
        <v>177</v>
      </c>
      <c r="N56" s="6">
        <v>75</v>
      </c>
      <c r="O56" s="131" t="str">
        <f t="shared" si="6"/>
        <v>9 OZ, 0 (0+0)</v>
      </c>
      <c r="P56" s="131" t="str">
        <f t="shared" si="7"/>
        <v>177/75</v>
      </c>
      <c r="Q56" s="12" t="s">
        <v>229</v>
      </c>
      <c r="R56" s="6">
        <v>2009</v>
      </c>
      <c r="S56" s="131" t="str">
        <f t="shared" si="8"/>
        <v/>
      </c>
      <c r="T56" s="1" t="str">
        <f t="shared" si="9"/>
        <v>Lebeda</v>
      </c>
      <c r="U56" s="1" t="str">
        <f t="shared" si="10"/>
        <v>Lebeda</v>
      </c>
      <c r="V56" s="131">
        <f t="shared" si="11"/>
        <v>1</v>
      </c>
      <c r="W56" s="131" t="str">
        <f t="shared" si="12"/>
        <v>J</v>
      </c>
    </row>
    <row r="57" spans="2:23" ht="15" customHeight="1" x14ac:dyDescent="0.25">
      <c r="B57" s="1" t="s">
        <v>193</v>
      </c>
      <c r="C57" s="10">
        <v>37727</v>
      </c>
      <c r="D57" s="131">
        <f t="shared" ca="1" si="4"/>
        <v>17</v>
      </c>
      <c r="E57" s="6">
        <v>0</v>
      </c>
      <c r="F57" s="6">
        <v>0</v>
      </c>
      <c r="G57" s="6">
        <v>0</v>
      </c>
      <c r="H57" s="131">
        <f t="shared" si="5"/>
        <v>0</v>
      </c>
      <c r="I57" s="6">
        <v>1</v>
      </c>
      <c r="J57" s="6">
        <v>30</v>
      </c>
      <c r="L57" s="6" t="s">
        <v>30</v>
      </c>
      <c r="M57" s="6">
        <v>198</v>
      </c>
      <c r="N57" s="6">
        <v>98</v>
      </c>
      <c r="O57" s="131" t="str">
        <f t="shared" si="6"/>
        <v>0 OZ, 0 (0+0)</v>
      </c>
      <c r="P57" s="131" t="str">
        <f t="shared" si="7"/>
        <v>198/98</v>
      </c>
      <c r="Q57" s="12" t="s">
        <v>213</v>
      </c>
      <c r="R57" s="6">
        <v>2009</v>
      </c>
      <c r="S57" s="131" t="str">
        <f t="shared" si="8"/>
        <v>2 OZ, 0 A</v>
      </c>
      <c r="T57" s="1" t="str">
        <f t="shared" si="9"/>
        <v>Hodík</v>
      </c>
      <c r="U57" s="1" t="str">
        <f t="shared" si="10"/>
        <v>Hodík</v>
      </c>
      <c r="V57" s="131">
        <f t="shared" si="11"/>
        <v>1</v>
      </c>
      <c r="W57" s="131" t="str">
        <f t="shared" si="12"/>
        <v>K</v>
      </c>
    </row>
    <row r="58" spans="2:23" ht="15" customHeight="1" x14ac:dyDescent="0.25">
      <c r="B58" s="1" t="s">
        <v>188</v>
      </c>
      <c r="C58" s="10"/>
      <c r="D58" s="131" t="str">
        <f t="shared" si="4"/>
        <v/>
      </c>
      <c r="H58" s="131">
        <f t="shared" si="5"/>
        <v>0</v>
      </c>
      <c r="L58" s="6" t="s">
        <v>30</v>
      </c>
      <c r="O58" s="131" t="str">
        <f t="shared" si="6"/>
        <v>0 OZ, 0 (0+0)</v>
      </c>
      <c r="P58" s="131" t="str">
        <f t="shared" si="7"/>
        <v/>
      </c>
      <c r="R58" s="6"/>
      <c r="S58" s="131" t="str">
        <f t="shared" si="8"/>
        <v>0 OZ, 0 A</v>
      </c>
      <c r="T58" s="1" t="str">
        <f t="shared" si="9"/>
        <v>Pergler K.</v>
      </c>
      <c r="U58" s="1" t="str">
        <f t="shared" si="10"/>
        <v>Pergler</v>
      </c>
      <c r="V58" s="131">
        <f t="shared" si="11"/>
        <v>2</v>
      </c>
      <c r="W58" s="131" t="str">
        <f t="shared" si="12"/>
        <v>K</v>
      </c>
    </row>
    <row r="59" spans="2:23" ht="15" customHeight="1" x14ac:dyDescent="0.25">
      <c r="B59" s="4" t="s">
        <v>170</v>
      </c>
      <c r="C59" s="10">
        <v>34094</v>
      </c>
      <c r="D59" s="131">
        <f t="shared" ca="1" si="4"/>
        <v>27</v>
      </c>
      <c r="E59" s="6">
        <v>204</v>
      </c>
      <c r="F59" s="6">
        <v>235</v>
      </c>
      <c r="G59" s="6">
        <v>164</v>
      </c>
      <c r="H59" s="131">
        <f t="shared" si="5"/>
        <v>399</v>
      </c>
      <c r="I59" s="6">
        <v>11</v>
      </c>
      <c r="J59" s="6">
        <v>21</v>
      </c>
      <c r="L59" s="6" t="s">
        <v>84</v>
      </c>
      <c r="M59" s="6">
        <v>178</v>
      </c>
      <c r="N59" s="6">
        <v>72</v>
      </c>
      <c r="O59" s="131" t="str">
        <f t="shared" si="6"/>
        <v>216 OZ, 426 (253+173)</v>
      </c>
      <c r="P59" s="131" t="str">
        <f t="shared" si="7"/>
        <v>178/72</v>
      </c>
      <c r="Q59" s="12" t="s">
        <v>216</v>
      </c>
      <c r="R59" s="6">
        <v>2000</v>
      </c>
      <c r="S59" s="131" t="str">
        <f t="shared" si="8"/>
        <v/>
      </c>
      <c r="T59" s="1" t="str">
        <f t="shared" si="9"/>
        <v>Vávra M.</v>
      </c>
      <c r="U59" s="1" t="str">
        <f t="shared" si="10"/>
        <v>Vávra</v>
      </c>
      <c r="V59" s="131">
        <f t="shared" si="11"/>
        <v>2</v>
      </c>
      <c r="W59" s="131" t="str">
        <f t="shared" si="12"/>
        <v>M</v>
      </c>
    </row>
    <row r="60" spans="2:23" ht="15" customHeight="1" x14ac:dyDescent="0.25">
      <c r="B60" s="1" t="s">
        <v>184</v>
      </c>
      <c r="C60" s="10">
        <v>31507</v>
      </c>
      <c r="D60" s="131">
        <f t="shared" ca="1" si="4"/>
        <v>34</v>
      </c>
      <c r="E60" s="6">
        <v>253</v>
      </c>
      <c r="F60" s="6">
        <v>177</v>
      </c>
      <c r="G60" s="6">
        <v>132</v>
      </c>
      <c r="H60" s="131">
        <f t="shared" si="5"/>
        <v>309</v>
      </c>
      <c r="I60" s="6">
        <v>15</v>
      </c>
      <c r="J60" s="6">
        <v>32</v>
      </c>
      <c r="K60" s="6" t="s">
        <v>234</v>
      </c>
      <c r="L60" s="6" t="s">
        <v>84</v>
      </c>
      <c r="M60" s="6">
        <v>186</v>
      </c>
      <c r="N60" s="6">
        <v>84</v>
      </c>
      <c r="O60" s="131" t="str">
        <f t="shared" si="6"/>
        <v>263 OZ, 311 (178+133)</v>
      </c>
      <c r="P60" s="131" t="str">
        <f t="shared" si="7"/>
        <v>186/84</v>
      </c>
      <c r="Q60" s="12" t="s">
        <v>227</v>
      </c>
      <c r="R60" s="6">
        <v>2000</v>
      </c>
      <c r="S60" s="131" t="str">
        <f t="shared" si="8"/>
        <v/>
      </c>
      <c r="T60" s="1" t="str">
        <f t="shared" si="9"/>
        <v>Koutný M.</v>
      </c>
      <c r="U60" s="1" t="str">
        <f t="shared" si="10"/>
        <v>Koutný</v>
      </c>
      <c r="V60" s="131">
        <f t="shared" si="11"/>
        <v>2</v>
      </c>
      <c r="W60" s="131" t="str">
        <f t="shared" si="12"/>
        <v>M</v>
      </c>
    </row>
    <row r="61" spans="2:23" ht="15" customHeight="1" x14ac:dyDescent="0.25">
      <c r="B61" s="1" t="s">
        <v>181</v>
      </c>
      <c r="C61" s="10">
        <v>36539</v>
      </c>
      <c r="D61" s="131">
        <f t="shared" ca="1" si="4"/>
        <v>20</v>
      </c>
      <c r="E61" s="6">
        <v>69</v>
      </c>
      <c r="F61" s="6">
        <v>23</v>
      </c>
      <c r="G61" s="6">
        <v>20</v>
      </c>
      <c r="H61" s="131">
        <f t="shared" si="5"/>
        <v>43</v>
      </c>
      <c r="I61" s="6">
        <v>4</v>
      </c>
      <c r="J61" s="6">
        <v>27</v>
      </c>
      <c r="L61" s="6" t="s">
        <v>42</v>
      </c>
      <c r="M61" s="6">
        <v>186</v>
      </c>
      <c r="N61" s="6">
        <v>90</v>
      </c>
      <c r="O61" s="131" t="str">
        <f t="shared" si="6"/>
        <v>81 OZ, 47 (24+23)</v>
      </c>
      <c r="P61" s="131" t="str">
        <f t="shared" si="7"/>
        <v>186/90</v>
      </c>
      <c r="Q61" s="12" t="s">
        <v>222</v>
      </c>
      <c r="R61" s="6">
        <v>2007</v>
      </c>
      <c r="S61" s="131" t="str">
        <f t="shared" si="8"/>
        <v/>
      </c>
      <c r="T61" s="1" t="str">
        <f t="shared" si="9"/>
        <v>Řezáč</v>
      </c>
      <c r="U61" s="1" t="str">
        <f t="shared" si="10"/>
        <v>Řezáč</v>
      </c>
      <c r="V61" s="131">
        <f t="shared" si="11"/>
        <v>1</v>
      </c>
      <c r="W61" s="131" t="str">
        <f t="shared" si="12"/>
        <v>M</v>
      </c>
    </row>
    <row r="62" spans="2:23" ht="15" customHeight="1" x14ac:dyDescent="0.25">
      <c r="B62" s="1" t="s">
        <v>175</v>
      </c>
      <c r="C62" s="10">
        <v>33065</v>
      </c>
      <c r="D62" s="131">
        <f t="shared" ca="1" si="4"/>
        <v>30</v>
      </c>
      <c r="E62" s="6">
        <v>198</v>
      </c>
      <c r="F62" s="6">
        <v>40</v>
      </c>
      <c r="G62" s="6">
        <v>99</v>
      </c>
      <c r="H62" s="131">
        <f t="shared" si="5"/>
        <v>139</v>
      </c>
      <c r="I62" s="6">
        <v>11</v>
      </c>
      <c r="J62" s="6">
        <v>95</v>
      </c>
      <c r="L62" s="6" t="s">
        <v>42</v>
      </c>
      <c r="M62" s="6">
        <v>173</v>
      </c>
      <c r="N62" s="6">
        <v>82</v>
      </c>
      <c r="O62" s="131" t="str">
        <f t="shared" si="6"/>
        <v>210 OZ, 148 (44+104)</v>
      </c>
      <c r="P62" s="131" t="str">
        <f t="shared" si="7"/>
        <v>173/82</v>
      </c>
      <c r="Q62" s="12" t="s">
        <v>221</v>
      </c>
      <c r="R62" s="6">
        <v>1998</v>
      </c>
      <c r="S62" s="131" t="str">
        <f t="shared" si="8"/>
        <v/>
      </c>
      <c r="T62" s="1" t="str">
        <f t="shared" si="9"/>
        <v>Podhráský</v>
      </c>
      <c r="U62" s="1" t="str">
        <f t="shared" si="10"/>
        <v>Podhráský</v>
      </c>
      <c r="V62" s="131">
        <f t="shared" si="11"/>
        <v>1</v>
      </c>
      <c r="W62" s="131" t="str">
        <f t="shared" si="12"/>
        <v>M</v>
      </c>
    </row>
    <row r="63" spans="2:23" ht="15" customHeight="1" x14ac:dyDescent="0.25">
      <c r="B63" s="1" t="s">
        <v>194</v>
      </c>
      <c r="C63" s="10">
        <v>31821</v>
      </c>
      <c r="D63" s="131">
        <f t="shared" ca="1" si="4"/>
        <v>33</v>
      </c>
      <c r="E63" s="6">
        <v>202</v>
      </c>
      <c r="F63" s="6">
        <v>0</v>
      </c>
      <c r="G63" s="6">
        <v>2</v>
      </c>
      <c r="H63" s="131">
        <f t="shared" si="5"/>
        <v>2</v>
      </c>
      <c r="I63" s="6">
        <v>15</v>
      </c>
      <c r="J63" s="6">
        <v>97</v>
      </c>
      <c r="L63" s="6" t="s">
        <v>30</v>
      </c>
      <c r="M63" s="6">
        <v>183</v>
      </c>
      <c r="N63" s="6">
        <v>97</v>
      </c>
      <c r="O63" s="131" t="str">
        <f t="shared" si="6"/>
        <v>202 OZ, 2 (0+2)</v>
      </c>
      <c r="P63" s="131" t="str">
        <f t="shared" si="7"/>
        <v>183/97</v>
      </c>
      <c r="Q63" s="12" t="s">
        <v>221</v>
      </c>
      <c r="R63" s="6">
        <v>1997</v>
      </c>
      <c r="S63" s="131" t="str">
        <f t="shared" si="8"/>
        <v>208 OZ, 2 A</v>
      </c>
      <c r="T63" s="1" t="str">
        <f t="shared" si="9"/>
        <v>Rebro</v>
      </c>
      <c r="U63" s="1" t="str">
        <f t="shared" si="10"/>
        <v>Rebro</v>
      </c>
      <c r="V63" s="131">
        <f t="shared" si="11"/>
        <v>1</v>
      </c>
      <c r="W63" s="131" t="str">
        <f t="shared" si="12"/>
        <v>M</v>
      </c>
    </row>
    <row r="64" spans="2:23" ht="15" customHeight="1" x14ac:dyDescent="0.25">
      <c r="B64" s="1" t="s">
        <v>183</v>
      </c>
      <c r="C64" s="10">
        <v>36548</v>
      </c>
      <c r="D64" s="131">
        <f t="shared" ca="1" si="4"/>
        <v>20</v>
      </c>
      <c r="E64" s="6">
        <v>66</v>
      </c>
      <c r="F64" s="6">
        <v>2</v>
      </c>
      <c r="G64" s="6">
        <v>0</v>
      </c>
      <c r="H64" s="131">
        <f t="shared" si="5"/>
        <v>2</v>
      </c>
      <c r="I64" s="6">
        <v>4</v>
      </c>
      <c r="J64" s="6">
        <v>99</v>
      </c>
      <c r="L64" s="6" t="s">
        <v>84</v>
      </c>
      <c r="M64" s="6">
        <v>182</v>
      </c>
      <c r="N64" s="6">
        <v>75</v>
      </c>
      <c r="O64" s="131" t="str">
        <f t="shared" si="6"/>
        <v>78 OZ, 4 (4+0)</v>
      </c>
      <c r="P64" s="131" t="str">
        <f t="shared" si="7"/>
        <v>182/75</v>
      </c>
      <c r="Q64" s="12" t="s">
        <v>222</v>
      </c>
      <c r="R64" s="6">
        <v>2007</v>
      </c>
      <c r="S64" s="131" t="str">
        <f t="shared" si="8"/>
        <v/>
      </c>
      <c r="T64" s="1" t="str">
        <f t="shared" si="9"/>
        <v>Strnad</v>
      </c>
      <c r="U64" s="1" t="str">
        <f t="shared" si="10"/>
        <v>Strnad</v>
      </c>
      <c r="V64" s="131">
        <f t="shared" si="11"/>
        <v>1</v>
      </c>
      <c r="W64" s="131" t="str">
        <f t="shared" si="12"/>
        <v>M</v>
      </c>
    </row>
    <row r="65" spans="2:23" ht="15" customHeight="1" x14ac:dyDescent="0.25">
      <c r="B65" s="4" t="s">
        <v>172</v>
      </c>
      <c r="C65" s="10">
        <v>32867</v>
      </c>
      <c r="D65" s="131">
        <f t="shared" ca="1" si="4"/>
        <v>31</v>
      </c>
      <c r="E65" s="6">
        <v>208</v>
      </c>
      <c r="F65" s="6">
        <v>125</v>
      </c>
      <c r="G65" s="6">
        <v>127</v>
      </c>
      <c r="H65" s="131">
        <f t="shared" si="5"/>
        <v>252</v>
      </c>
      <c r="I65" s="6">
        <v>12</v>
      </c>
      <c r="J65" s="6">
        <v>9</v>
      </c>
      <c r="L65" s="6" t="s">
        <v>84</v>
      </c>
      <c r="M65" s="6">
        <v>182</v>
      </c>
      <c r="N65" s="6">
        <v>82</v>
      </c>
      <c r="O65" s="131" t="str">
        <f t="shared" si="6"/>
        <v>219 OZ, 267 (133+134)</v>
      </c>
      <c r="P65" s="131" t="str">
        <f t="shared" si="7"/>
        <v>182/82</v>
      </c>
      <c r="Q65" s="12" t="s">
        <v>223</v>
      </c>
      <c r="R65" s="6">
        <v>2004</v>
      </c>
      <c r="S65" s="131" t="str">
        <f t="shared" si="8"/>
        <v/>
      </c>
      <c r="T65" s="1" t="str">
        <f t="shared" si="9"/>
        <v>Mikeš</v>
      </c>
      <c r="U65" s="1" t="str">
        <f t="shared" si="10"/>
        <v>Mikeš</v>
      </c>
      <c r="V65" s="131">
        <f t="shared" si="11"/>
        <v>1</v>
      </c>
      <c r="W65" s="131" t="str">
        <f t="shared" si="12"/>
        <v>O</v>
      </c>
    </row>
    <row r="66" spans="2:23" ht="15" customHeight="1" x14ac:dyDescent="0.25">
      <c r="B66" s="1" t="s">
        <v>186</v>
      </c>
      <c r="C66" s="10">
        <v>35462</v>
      </c>
      <c r="D66" s="131">
        <f t="shared" ca="1" si="4"/>
        <v>23</v>
      </c>
      <c r="E66" s="6">
        <v>92</v>
      </c>
      <c r="F66" s="6">
        <v>29</v>
      </c>
      <c r="G66" s="6">
        <v>17</v>
      </c>
      <c r="H66" s="131">
        <f t="shared" si="5"/>
        <v>46</v>
      </c>
      <c r="I66" s="6">
        <v>7</v>
      </c>
      <c r="J66" s="6">
        <v>10</v>
      </c>
      <c r="L66" s="6" t="s">
        <v>84</v>
      </c>
      <c r="M66" s="6">
        <v>172</v>
      </c>
      <c r="N66" s="6">
        <v>73</v>
      </c>
      <c r="O66" s="131" t="str">
        <f t="shared" si="6"/>
        <v>104 OZ, 47 (29+18)</v>
      </c>
      <c r="P66" s="131" t="str">
        <f t="shared" si="7"/>
        <v>172/73</v>
      </c>
      <c r="Q66" s="12" t="s">
        <v>224</v>
      </c>
      <c r="R66" s="6">
        <v>2006</v>
      </c>
      <c r="S66" s="131" t="str">
        <f t="shared" si="8"/>
        <v/>
      </c>
      <c r="T66" s="1" t="str">
        <f t="shared" si="9"/>
        <v>Plíhal</v>
      </c>
      <c r="U66" s="1" t="str">
        <f t="shared" si="10"/>
        <v>Plíhal</v>
      </c>
      <c r="V66" s="131">
        <f t="shared" si="11"/>
        <v>1</v>
      </c>
      <c r="W66" s="131" t="str">
        <f t="shared" si="12"/>
        <v>O</v>
      </c>
    </row>
    <row r="67" spans="2:23" ht="15" customHeight="1" x14ac:dyDescent="0.25">
      <c r="B67" s="1" t="s">
        <v>178</v>
      </c>
      <c r="C67" s="10">
        <v>35445</v>
      </c>
      <c r="D67" s="131">
        <f t="shared" ca="1" si="4"/>
        <v>23</v>
      </c>
      <c r="E67" s="6">
        <v>80</v>
      </c>
      <c r="F67" s="6">
        <v>26</v>
      </c>
      <c r="G67" s="6">
        <v>21</v>
      </c>
      <c r="H67" s="131">
        <f t="shared" si="5"/>
        <v>47</v>
      </c>
      <c r="I67" s="6">
        <v>6</v>
      </c>
      <c r="J67" s="6">
        <v>14</v>
      </c>
      <c r="L67" s="6" t="s">
        <v>84</v>
      </c>
      <c r="M67" s="6">
        <v>184</v>
      </c>
      <c r="N67" s="6">
        <v>78</v>
      </c>
      <c r="O67" s="131" t="str">
        <f t="shared" si="6"/>
        <v>92 OZ, 53 (30+23)</v>
      </c>
      <c r="P67" s="131" t="str">
        <f t="shared" si="7"/>
        <v>184/78</v>
      </c>
      <c r="Q67" s="12" t="s">
        <v>225</v>
      </c>
      <c r="R67" s="6">
        <v>2009</v>
      </c>
      <c r="S67" s="131" t="str">
        <f t="shared" si="8"/>
        <v/>
      </c>
      <c r="T67" s="1" t="str">
        <f t="shared" si="9"/>
        <v>Vošta</v>
      </c>
      <c r="U67" s="1" t="str">
        <f t="shared" si="10"/>
        <v>Vošta</v>
      </c>
      <c r="V67" s="131">
        <f t="shared" si="11"/>
        <v>1</v>
      </c>
      <c r="W67" s="131" t="str">
        <f t="shared" si="12"/>
        <v>O</v>
      </c>
    </row>
    <row r="68" spans="2:23" ht="15" customHeight="1" x14ac:dyDescent="0.25">
      <c r="B68" s="4" t="s">
        <v>173</v>
      </c>
      <c r="C68" s="10">
        <v>37610</v>
      </c>
      <c r="D68" s="131">
        <f t="shared" ca="1" si="4"/>
        <v>18</v>
      </c>
      <c r="E68" s="6">
        <v>15</v>
      </c>
      <c r="F68" s="6">
        <v>7</v>
      </c>
      <c r="G68" s="6">
        <v>8</v>
      </c>
      <c r="H68" s="131">
        <f t="shared" si="5"/>
        <v>15</v>
      </c>
      <c r="I68" s="6">
        <v>2</v>
      </c>
      <c r="J68" s="6">
        <v>84</v>
      </c>
      <c r="L68" s="6" t="s">
        <v>42</v>
      </c>
      <c r="M68" s="6">
        <v>183</v>
      </c>
      <c r="N68" s="6">
        <v>72</v>
      </c>
      <c r="O68" s="131" t="str">
        <f t="shared" si="6"/>
        <v>26 OZ, 28 (17+11)</v>
      </c>
      <c r="P68" s="131" t="str">
        <f t="shared" si="7"/>
        <v>183/72</v>
      </c>
      <c r="Q68" s="12" t="s">
        <v>225</v>
      </c>
      <c r="R68" s="6">
        <v>2009</v>
      </c>
      <c r="S68" s="131" t="str">
        <f t="shared" si="8"/>
        <v/>
      </c>
      <c r="T68" s="1" t="str">
        <f t="shared" si="9"/>
        <v>Majer</v>
      </c>
      <c r="U68" s="1" t="str">
        <f t="shared" si="10"/>
        <v>Majer</v>
      </c>
      <c r="V68" s="131">
        <f t="shared" si="11"/>
        <v>1</v>
      </c>
      <c r="W68" s="131" t="str">
        <f t="shared" si="12"/>
        <v>P</v>
      </c>
    </row>
    <row r="69" spans="2:23" ht="15" customHeight="1" x14ac:dyDescent="0.25">
      <c r="B69" s="1" t="s">
        <v>190</v>
      </c>
      <c r="C69" s="10"/>
      <c r="D69" s="131" t="str">
        <f t="shared" si="4"/>
        <v/>
      </c>
      <c r="H69" s="131">
        <f t="shared" si="5"/>
        <v>0</v>
      </c>
      <c r="O69" s="131" t="str">
        <f t="shared" si="6"/>
        <v>2 OZ, 0 (0+0)</v>
      </c>
      <c r="P69" s="131" t="str">
        <f t="shared" si="7"/>
        <v/>
      </c>
      <c r="R69" s="6"/>
      <c r="S69" s="131" t="str">
        <f t="shared" si="8"/>
        <v/>
      </c>
      <c r="T69" s="1" t="str">
        <f t="shared" si="9"/>
        <v>Slunečko</v>
      </c>
      <c r="U69" s="1" t="str">
        <f t="shared" si="10"/>
        <v>Slunečko</v>
      </c>
      <c r="V69" s="131">
        <f t="shared" si="11"/>
        <v>1</v>
      </c>
      <c r="W69" s="131" t="str">
        <f t="shared" si="12"/>
        <v>R</v>
      </c>
    </row>
    <row r="70" spans="2:23" ht="15" customHeight="1" x14ac:dyDescent="0.25">
      <c r="B70" s="1" t="s">
        <v>185</v>
      </c>
      <c r="C70" s="10">
        <v>36617</v>
      </c>
      <c r="D70" s="131">
        <f t="shared" ca="1" si="4"/>
        <v>20</v>
      </c>
      <c r="E70" s="6">
        <v>53</v>
      </c>
      <c r="F70" s="6">
        <v>1</v>
      </c>
      <c r="G70" s="6">
        <v>6</v>
      </c>
      <c r="H70" s="131">
        <f t="shared" si="5"/>
        <v>7</v>
      </c>
      <c r="I70" s="6">
        <v>4</v>
      </c>
      <c r="J70" s="6">
        <v>11</v>
      </c>
      <c r="L70" s="6" t="s">
        <v>84</v>
      </c>
      <c r="M70" s="6">
        <v>182</v>
      </c>
      <c r="N70" s="6">
        <v>76</v>
      </c>
      <c r="O70" s="131" t="str">
        <f t="shared" si="6"/>
        <v>59 OZ, 9 (1+8)</v>
      </c>
      <c r="P70" s="131" t="str">
        <f t="shared" si="7"/>
        <v>182/76</v>
      </c>
      <c r="Q70" s="12" t="s">
        <v>216</v>
      </c>
      <c r="R70" s="6">
        <v>2008</v>
      </c>
      <c r="S70" s="131" t="str">
        <f t="shared" si="8"/>
        <v/>
      </c>
      <c r="T70" s="1" t="str">
        <f t="shared" si="9"/>
        <v>Doubek</v>
      </c>
      <c r="U70" s="1" t="str">
        <f t="shared" si="10"/>
        <v>Doubek</v>
      </c>
      <c r="V70" s="131">
        <f t="shared" si="11"/>
        <v>1</v>
      </c>
      <c r="W70" s="131" t="str">
        <f t="shared" si="12"/>
        <v>Š</v>
      </c>
    </row>
    <row r="71" spans="2:23" ht="15" customHeight="1" x14ac:dyDescent="0.25">
      <c r="B71" s="4" t="s">
        <v>171</v>
      </c>
      <c r="C71" s="10">
        <v>33775</v>
      </c>
      <c r="D71" s="131">
        <f t="shared" ca="1" si="4"/>
        <v>28</v>
      </c>
      <c r="E71" s="6">
        <v>214</v>
      </c>
      <c r="F71" s="6">
        <v>295</v>
      </c>
      <c r="G71" s="6">
        <v>183</v>
      </c>
      <c r="H71" s="131">
        <f t="shared" si="5"/>
        <v>478</v>
      </c>
      <c r="I71" s="6">
        <v>12</v>
      </c>
      <c r="J71" s="6">
        <v>25</v>
      </c>
      <c r="L71" s="6" t="s">
        <v>42</v>
      </c>
      <c r="M71" s="6">
        <v>186</v>
      </c>
      <c r="N71" s="6">
        <v>82</v>
      </c>
      <c r="O71" s="131" t="str">
        <f t="shared" si="6"/>
        <v>226 OZ, 502 (309+193)</v>
      </c>
      <c r="P71" s="131" t="str">
        <f t="shared" si="7"/>
        <v>186/82</v>
      </c>
      <c r="Q71" s="12" t="s">
        <v>226</v>
      </c>
      <c r="R71" s="6">
        <v>1999</v>
      </c>
      <c r="S71" s="131" t="str">
        <f t="shared" si="8"/>
        <v/>
      </c>
      <c r="T71" s="1" t="str">
        <f t="shared" si="9"/>
        <v>Ondrušek</v>
      </c>
      <c r="U71" s="1" t="str">
        <f t="shared" si="10"/>
        <v>Ondrušek</v>
      </c>
      <c r="V71" s="131">
        <f t="shared" si="11"/>
        <v>1</v>
      </c>
      <c r="W71" s="131" t="str">
        <f t="shared" si="12"/>
        <v>T</v>
      </c>
    </row>
    <row r="72" spans="2:23" ht="15" customHeight="1" x14ac:dyDescent="0.25">
      <c r="B72" s="1" t="s">
        <v>174</v>
      </c>
      <c r="C72" s="10">
        <v>32329</v>
      </c>
      <c r="D72" s="131">
        <f t="shared" ca="1" si="4"/>
        <v>32</v>
      </c>
      <c r="E72" s="6">
        <v>204</v>
      </c>
      <c r="F72" s="6">
        <v>54</v>
      </c>
      <c r="G72" s="6">
        <v>138</v>
      </c>
      <c r="H72" s="131">
        <f t="shared" si="5"/>
        <v>192</v>
      </c>
      <c r="I72" s="6">
        <v>11</v>
      </c>
      <c r="J72" s="6">
        <v>26</v>
      </c>
      <c r="L72" s="6" t="s">
        <v>42</v>
      </c>
      <c r="M72" s="6">
        <v>180</v>
      </c>
      <c r="N72" s="6">
        <v>74</v>
      </c>
      <c r="O72" s="131" t="str">
        <f t="shared" si="6"/>
        <v>216 OZ, 204 (56+148)</v>
      </c>
      <c r="P72" s="131" t="str">
        <f t="shared" si="7"/>
        <v>180/74</v>
      </c>
      <c r="Q72" s="12" t="s">
        <v>218</v>
      </c>
      <c r="R72" s="6">
        <v>2004</v>
      </c>
      <c r="S72" s="131" t="str">
        <f t="shared" si="8"/>
        <v/>
      </c>
      <c r="T72" s="1" t="str">
        <f t="shared" si="9"/>
        <v>Sýkora</v>
      </c>
      <c r="U72" s="1" t="str">
        <f t="shared" si="10"/>
        <v>Sýkora</v>
      </c>
      <c r="V72" s="131">
        <f t="shared" si="11"/>
        <v>1</v>
      </c>
      <c r="W72" s="131" t="str">
        <f t="shared" si="12"/>
        <v>T</v>
      </c>
    </row>
    <row r="73" spans="2:23" ht="15" customHeight="1" x14ac:dyDescent="0.25">
      <c r="B73" s="1" t="s">
        <v>195</v>
      </c>
      <c r="C73" s="10">
        <v>31955</v>
      </c>
      <c r="D73" s="131">
        <f t="shared" ca="1" si="4"/>
        <v>33</v>
      </c>
      <c r="E73" s="6">
        <v>293</v>
      </c>
      <c r="F73" s="6">
        <v>95</v>
      </c>
      <c r="G73" s="6">
        <v>95</v>
      </c>
      <c r="H73" s="131">
        <f t="shared" si="5"/>
        <v>190</v>
      </c>
      <c r="I73" s="6">
        <v>17</v>
      </c>
      <c r="J73" s="6">
        <v>15</v>
      </c>
      <c r="L73" s="6" t="s">
        <v>84</v>
      </c>
      <c r="M73" s="6">
        <v>178</v>
      </c>
      <c r="N73" s="6">
        <v>80</v>
      </c>
      <c r="O73" s="131" t="str">
        <f t="shared" si="6"/>
        <v>305 OZ, 190 (95+95)</v>
      </c>
      <c r="P73" s="131" t="str">
        <f t="shared" si="7"/>
        <v>178/80</v>
      </c>
      <c r="Q73" s="12" t="s">
        <v>216</v>
      </c>
      <c r="R73" s="6">
        <v>2002</v>
      </c>
      <c r="S73" s="131" t="str">
        <f t="shared" si="8"/>
        <v/>
      </c>
      <c r="T73" s="1" t="str">
        <f t="shared" si="9"/>
        <v>Vávra T.</v>
      </c>
      <c r="U73" s="1" t="str">
        <f t="shared" si="10"/>
        <v>Vávra</v>
      </c>
      <c r="V73" s="131">
        <f t="shared" si="11"/>
        <v>2</v>
      </c>
      <c r="W73" s="131" t="str">
        <f t="shared" si="12"/>
        <v>T</v>
      </c>
    </row>
    <row r="74" spans="2:23" ht="15" customHeight="1" x14ac:dyDescent="0.25">
      <c r="B74" s="1" t="s">
        <v>196</v>
      </c>
      <c r="C74" s="10">
        <v>36800</v>
      </c>
      <c r="D74" s="131">
        <f t="shared" ca="1" si="4"/>
        <v>20</v>
      </c>
      <c r="E74" s="6">
        <v>5</v>
      </c>
      <c r="F74" s="6">
        <v>0</v>
      </c>
      <c r="G74" s="6">
        <v>0</v>
      </c>
      <c r="H74" s="131">
        <f t="shared" si="5"/>
        <v>0</v>
      </c>
      <c r="I74" s="6">
        <v>4</v>
      </c>
      <c r="J74" s="6">
        <v>31</v>
      </c>
      <c r="L74" s="6" t="s">
        <v>30</v>
      </c>
      <c r="M74" s="6">
        <v>175</v>
      </c>
      <c r="N74" s="6">
        <v>76</v>
      </c>
      <c r="O74" s="131" t="str">
        <f t="shared" si="6"/>
        <v>5 OZ, 0 (0+0)</v>
      </c>
      <c r="P74" s="131" t="str">
        <f t="shared" si="7"/>
        <v>175/76</v>
      </c>
      <c r="Q74" s="12" t="s">
        <v>214</v>
      </c>
      <c r="R74" s="6">
        <v>2010</v>
      </c>
      <c r="S74" s="131" t="str">
        <f t="shared" si="8"/>
        <v>9 OZ, 0 A</v>
      </c>
      <c r="T74" s="1" t="str">
        <f t="shared" si="9"/>
        <v>Šimůnek</v>
      </c>
      <c r="U74" s="1" t="str">
        <f t="shared" si="10"/>
        <v>Šimůnek</v>
      </c>
      <c r="V74" s="131">
        <f t="shared" si="11"/>
        <v>1</v>
      </c>
      <c r="W74" s="131" t="str">
        <f t="shared" si="12"/>
        <v>V</v>
      </c>
    </row>
    <row r="75" spans="2:23" ht="15" customHeight="1" x14ac:dyDescent="0.25">
      <c r="C75" s="10"/>
      <c r="D75" s="131" t="str">
        <f t="shared" si="4"/>
        <v/>
      </c>
      <c r="E75" s="131"/>
      <c r="F75" s="131"/>
      <c r="G75" s="131"/>
      <c r="H75" s="131" t="str">
        <f t="shared" si="5"/>
        <v/>
      </c>
      <c r="I75" s="131"/>
      <c r="J75" s="131"/>
      <c r="K75" s="131"/>
      <c r="L75" s="131"/>
      <c r="M75" s="131"/>
      <c r="N75" s="131"/>
      <c r="O75" s="131" t="str">
        <f t="shared" si="6"/>
        <v/>
      </c>
      <c r="P75" s="131" t="str">
        <f t="shared" si="7"/>
        <v/>
      </c>
      <c r="Q75" s="130"/>
      <c r="R75" s="131"/>
      <c r="S75" s="131" t="str">
        <f t="shared" si="8"/>
        <v/>
      </c>
      <c r="T75" s="1" t="str">
        <f t="shared" si="9"/>
        <v/>
      </c>
      <c r="U75" s="1" t="str">
        <f t="shared" si="10"/>
        <v/>
      </c>
      <c r="V75" s="131" t="str">
        <f t="shared" si="11"/>
        <v/>
      </c>
      <c r="W75" s="131" t="str">
        <f t="shared" si="12"/>
        <v/>
      </c>
    </row>
    <row r="76" spans="2:23" ht="15" customHeight="1" x14ac:dyDescent="0.25">
      <c r="C76" s="10"/>
      <c r="D76" s="131" t="str">
        <f t="shared" si="4"/>
        <v/>
      </c>
      <c r="E76" s="131"/>
      <c r="F76" s="131"/>
      <c r="G76" s="131"/>
      <c r="H76" s="131" t="str">
        <f t="shared" si="5"/>
        <v/>
      </c>
      <c r="I76" s="131"/>
      <c r="J76" s="131"/>
      <c r="K76" s="131"/>
      <c r="L76" s="131"/>
      <c r="M76" s="131"/>
      <c r="N76" s="131"/>
      <c r="O76" s="131" t="str">
        <f t="shared" si="6"/>
        <v/>
      </c>
      <c r="P76" s="131" t="str">
        <f t="shared" si="7"/>
        <v/>
      </c>
      <c r="Q76" s="130"/>
      <c r="R76" s="131"/>
      <c r="S76" s="131" t="str">
        <f t="shared" si="8"/>
        <v/>
      </c>
      <c r="T76" s="1" t="str">
        <f t="shared" si="9"/>
        <v/>
      </c>
      <c r="U76" s="1" t="str">
        <f t="shared" si="10"/>
        <v/>
      </c>
      <c r="V76" s="131" t="str">
        <f t="shared" si="11"/>
        <v/>
      </c>
      <c r="W76" s="131" t="str">
        <f t="shared" si="12"/>
        <v/>
      </c>
    </row>
    <row r="77" spans="2:23" ht="15" customHeight="1" x14ac:dyDescent="0.25">
      <c r="C77" s="10"/>
      <c r="D77" s="131" t="str">
        <f t="shared" si="4"/>
        <v/>
      </c>
      <c r="E77" s="131"/>
      <c r="F77" s="131"/>
      <c r="G77" s="131"/>
      <c r="H77" s="131" t="str">
        <f t="shared" si="5"/>
        <v/>
      </c>
      <c r="I77" s="131"/>
      <c r="J77" s="131"/>
      <c r="K77" s="131"/>
      <c r="L77" s="131"/>
      <c r="M77" s="131"/>
      <c r="N77" s="131"/>
      <c r="O77" s="131" t="str">
        <f t="shared" si="6"/>
        <v/>
      </c>
      <c r="P77" s="131" t="str">
        <f t="shared" si="7"/>
        <v/>
      </c>
      <c r="Q77" s="130"/>
      <c r="R77" s="131"/>
      <c r="S77" s="131" t="str">
        <f t="shared" si="8"/>
        <v/>
      </c>
      <c r="T77" s="1" t="str">
        <f t="shared" si="9"/>
        <v/>
      </c>
      <c r="U77" s="1" t="str">
        <f t="shared" si="10"/>
        <v/>
      </c>
      <c r="V77" s="131" t="str">
        <f t="shared" si="11"/>
        <v/>
      </c>
      <c r="W77" s="131" t="str">
        <f t="shared" si="12"/>
        <v/>
      </c>
    </row>
    <row r="78" spans="2:23" ht="15" customHeight="1" x14ac:dyDescent="0.25">
      <c r="C78" s="10"/>
      <c r="D78" s="131" t="str">
        <f t="shared" si="4"/>
        <v/>
      </c>
      <c r="E78" s="131"/>
      <c r="F78" s="131"/>
      <c r="G78" s="131"/>
      <c r="H78" s="131" t="str">
        <f t="shared" si="5"/>
        <v/>
      </c>
      <c r="I78" s="131"/>
      <c r="J78" s="131"/>
      <c r="K78" s="131"/>
      <c r="L78" s="131"/>
      <c r="M78" s="131"/>
      <c r="N78" s="131"/>
      <c r="O78" s="131" t="str">
        <f t="shared" si="6"/>
        <v/>
      </c>
      <c r="P78" s="131" t="str">
        <f t="shared" si="7"/>
        <v/>
      </c>
      <c r="Q78" s="130"/>
      <c r="R78" s="131"/>
      <c r="S78" s="131" t="str">
        <f t="shared" si="8"/>
        <v/>
      </c>
      <c r="T78" s="1" t="str">
        <f t="shared" si="9"/>
        <v/>
      </c>
      <c r="U78" s="1" t="str">
        <f t="shared" si="10"/>
        <v/>
      </c>
      <c r="V78" s="131" t="str">
        <f t="shared" si="11"/>
        <v/>
      </c>
      <c r="W78" s="131" t="str">
        <f t="shared" si="12"/>
        <v/>
      </c>
    </row>
    <row r="79" spans="2:23" ht="15" customHeight="1" x14ac:dyDescent="0.25">
      <c r="C79" s="10"/>
      <c r="D79" s="131" t="str">
        <f t="shared" si="4"/>
        <v/>
      </c>
      <c r="E79" s="131"/>
      <c r="F79" s="131"/>
      <c r="G79" s="131"/>
      <c r="H79" s="131" t="str">
        <f t="shared" si="5"/>
        <v/>
      </c>
      <c r="I79" s="131"/>
      <c r="J79" s="131"/>
      <c r="K79" s="131"/>
      <c r="L79" s="131"/>
      <c r="M79" s="131"/>
      <c r="N79" s="131"/>
      <c r="O79" s="131" t="str">
        <f t="shared" si="6"/>
        <v/>
      </c>
      <c r="P79" s="131" t="str">
        <f t="shared" si="7"/>
        <v/>
      </c>
      <c r="Q79" s="130"/>
      <c r="R79" s="131"/>
      <c r="S79" s="131" t="str">
        <f t="shared" si="8"/>
        <v/>
      </c>
      <c r="T79" s="1" t="str">
        <f t="shared" si="9"/>
        <v/>
      </c>
      <c r="U79" s="1" t="str">
        <f t="shared" si="10"/>
        <v/>
      </c>
      <c r="V79" s="131" t="str">
        <f t="shared" si="11"/>
        <v/>
      </c>
      <c r="W79" s="131" t="str">
        <f t="shared" si="12"/>
        <v/>
      </c>
    </row>
    <row r="80" spans="2:23" ht="15" customHeight="1" x14ac:dyDescent="0.25">
      <c r="C80" s="10"/>
      <c r="D80" s="131" t="str">
        <f t="shared" si="4"/>
        <v/>
      </c>
      <c r="E80" s="131"/>
      <c r="F80" s="131"/>
      <c r="G80" s="131"/>
      <c r="H80" s="131" t="str">
        <f t="shared" si="5"/>
        <v/>
      </c>
      <c r="I80" s="131"/>
      <c r="J80" s="131"/>
      <c r="K80" s="131"/>
      <c r="L80" s="131"/>
      <c r="M80" s="131"/>
      <c r="N80" s="131"/>
      <c r="O80" s="131" t="str">
        <f t="shared" si="6"/>
        <v/>
      </c>
      <c r="P80" s="131" t="str">
        <f t="shared" si="7"/>
        <v/>
      </c>
      <c r="Q80" s="130"/>
      <c r="R80" s="131"/>
      <c r="S80" s="131" t="str">
        <f t="shared" si="8"/>
        <v/>
      </c>
      <c r="T80" s="1" t="str">
        <f t="shared" si="9"/>
        <v/>
      </c>
      <c r="U80" s="1" t="str">
        <f t="shared" si="10"/>
        <v/>
      </c>
      <c r="V80" s="131" t="str">
        <f t="shared" si="11"/>
        <v/>
      </c>
      <c r="W80" s="131" t="str">
        <f t="shared" si="12"/>
        <v/>
      </c>
    </row>
    <row r="81" spans="1:26" ht="15" customHeight="1" x14ac:dyDescent="0.25">
      <c r="C81" s="10"/>
      <c r="D81" s="131" t="str">
        <f t="shared" si="4"/>
        <v/>
      </c>
      <c r="E81" s="131"/>
      <c r="F81" s="131"/>
      <c r="G81" s="131"/>
      <c r="H81" s="131" t="str">
        <f t="shared" si="5"/>
        <v/>
      </c>
      <c r="I81" s="131"/>
      <c r="J81" s="131"/>
      <c r="K81" s="131"/>
      <c r="L81" s="131"/>
      <c r="M81" s="131"/>
      <c r="N81" s="131"/>
      <c r="O81" s="131" t="str">
        <f t="shared" si="6"/>
        <v/>
      </c>
      <c r="P81" s="131" t="str">
        <f t="shared" si="7"/>
        <v/>
      </c>
      <c r="Q81" s="130"/>
      <c r="R81" s="131"/>
      <c r="S81" s="131" t="str">
        <f t="shared" si="8"/>
        <v/>
      </c>
      <c r="T81" s="1" t="str">
        <f t="shared" si="9"/>
        <v/>
      </c>
      <c r="U81" s="1" t="str">
        <f t="shared" si="10"/>
        <v/>
      </c>
      <c r="V81" s="131" t="str">
        <f t="shared" si="11"/>
        <v/>
      </c>
      <c r="W81" s="131" t="str">
        <f t="shared" si="12"/>
        <v/>
      </c>
    </row>
    <row r="82" spans="1:26" ht="15" customHeight="1" x14ac:dyDescent="0.25">
      <c r="C82" s="10"/>
      <c r="D82" s="131" t="str">
        <f t="shared" si="4"/>
        <v/>
      </c>
      <c r="E82" s="131"/>
      <c r="F82" s="131"/>
      <c r="G82" s="131"/>
      <c r="H82" s="131" t="str">
        <f t="shared" si="5"/>
        <v/>
      </c>
      <c r="I82" s="131"/>
      <c r="J82" s="131"/>
      <c r="K82" s="131"/>
      <c r="L82" s="131"/>
      <c r="M82" s="131"/>
      <c r="N82" s="131"/>
      <c r="O82" s="131" t="str">
        <f t="shared" si="6"/>
        <v/>
      </c>
      <c r="P82" s="131" t="str">
        <f t="shared" si="7"/>
        <v/>
      </c>
      <c r="Q82" s="130"/>
      <c r="R82" s="131"/>
      <c r="S82" s="131" t="str">
        <f t="shared" si="8"/>
        <v/>
      </c>
      <c r="T82" s="1" t="str">
        <f t="shared" si="9"/>
        <v/>
      </c>
      <c r="U82" s="1" t="str">
        <f t="shared" si="10"/>
        <v/>
      </c>
      <c r="V82" s="131" t="str">
        <f t="shared" si="11"/>
        <v/>
      </c>
      <c r="W82" s="131" t="str">
        <f t="shared" si="12"/>
        <v/>
      </c>
    </row>
    <row r="84" spans="1:26" s="2" customFormat="1" ht="15" customHeight="1" x14ac:dyDescent="0.25">
      <c r="A84" s="7">
        <f ca="1">TODAY()</f>
        <v>44205</v>
      </c>
      <c r="B84" s="2" t="s">
        <v>65</v>
      </c>
      <c r="C84" s="2" t="s">
        <v>72</v>
      </c>
      <c r="D84" s="2" t="s">
        <v>73</v>
      </c>
      <c r="E84" s="288" t="s">
        <v>104</v>
      </c>
      <c r="F84" s="288"/>
      <c r="G84" s="288" t="s">
        <v>110</v>
      </c>
      <c r="H84" s="288"/>
      <c r="I84" s="288"/>
      <c r="J84" s="288"/>
      <c r="K84" s="288"/>
      <c r="Q84" s="11"/>
      <c r="X84" s="129"/>
      <c r="Y84" s="129"/>
      <c r="Z84" s="129"/>
    </row>
    <row r="85" spans="1:26" ht="30" customHeight="1" x14ac:dyDescent="0.25">
      <c r="B85" s="1" t="s">
        <v>197</v>
      </c>
      <c r="C85" s="10">
        <v>31582</v>
      </c>
      <c r="D85" s="131">
        <f ca="1">IF(B85&lt;&gt;0,ROUNDDOWN(($A$84-C85)/365.25,0),"")</f>
        <v>34</v>
      </c>
      <c r="E85" s="287" t="s">
        <v>198</v>
      </c>
      <c r="F85" s="287"/>
      <c r="G85" s="287" t="s">
        <v>199</v>
      </c>
      <c r="H85" s="287"/>
      <c r="I85" s="287"/>
      <c r="J85" s="287"/>
      <c r="K85" s="287"/>
    </row>
    <row r="86" spans="1:26" ht="30" customHeight="1" x14ac:dyDescent="0.25">
      <c r="B86" s="1" t="s">
        <v>200</v>
      </c>
      <c r="C86" s="10">
        <v>26801</v>
      </c>
      <c r="D86" s="131">
        <f t="shared" ref="D86:D92" ca="1" si="13">IF(B86&lt;&gt;0,ROUNDDOWN(($A$84-C86)/365.25,0),"")</f>
        <v>47</v>
      </c>
      <c r="E86" s="287" t="s">
        <v>201</v>
      </c>
      <c r="F86" s="287"/>
      <c r="G86" s="287" t="s">
        <v>202</v>
      </c>
      <c r="H86" s="287"/>
      <c r="I86" s="287"/>
      <c r="J86" s="287"/>
      <c r="K86" s="287"/>
    </row>
    <row r="87" spans="1:26" ht="30" customHeight="1" x14ac:dyDescent="0.25">
      <c r="B87" s="1" t="s">
        <v>203</v>
      </c>
      <c r="C87" s="10">
        <v>28909</v>
      </c>
      <c r="D87" s="131">
        <f t="shared" ca="1" si="13"/>
        <v>41</v>
      </c>
      <c r="E87" s="287" t="s">
        <v>201</v>
      </c>
      <c r="F87" s="287"/>
      <c r="G87" s="287" t="s">
        <v>206</v>
      </c>
      <c r="H87" s="287"/>
      <c r="I87" s="287"/>
      <c r="J87" s="287"/>
      <c r="K87" s="287"/>
    </row>
    <row r="88" spans="1:26" ht="30" customHeight="1" x14ac:dyDescent="0.25">
      <c r="B88" s="1" t="s">
        <v>207</v>
      </c>
      <c r="C88" s="10">
        <v>31168</v>
      </c>
      <c r="D88" s="131">
        <f t="shared" ca="1" si="13"/>
        <v>35</v>
      </c>
      <c r="E88" s="287" t="s">
        <v>208</v>
      </c>
      <c r="F88" s="287"/>
      <c r="G88" s="287" t="s">
        <v>209</v>
      </c>
      <c r="H88" s="287"/>
      <c r="I88" s="287"/>
      <c r="J88" s="287"/>
      <c r="K88" s="287"/>
    </row>
    <row r="89" spans="1:26" ht="30" customHeight="1" x14ac:dyDescent="0.25">
      <c r="B89" s="1" t="s">
        <v>210</v>
      </c>
      <c r="C89" s="10">
        <v>32514</v>
      </c>
      <c r="D89" s="131">
        <f t="shared" ca="1" si="13"/>
        <v>32</v>
      </c>
      <c r="E89" s="287" t="s">
        <v>211</v>
      </c>
      <c r="F89" s="287"/>
      <c r="G89" s="287" t="s">
        <v>212</v>
      </c>
      <c r="H89" s="287"/>
      <c r="I89" s="287"/>
      <c r="J89" s="287"/>
      <c r="K89" s="287"/>
    </row>
    <row r="90" spans="1:26" ht="30" customHeight="1" x14ac:dyDescent="0.25">
      <c r="D90" s="131" t="str">
        <f t="shared" si="13"/>
        <v/>
      </c>
      <c r="E90" s="287"/>
      <c r="F90" s="287"/>
      <c r="G90" s="287"/>
      <c r="H90" s="287"/>
      <c r="I90" s="287"/>
      <c r="J90" s="287"/>
      <c r="K90" s="287"/>
    </row>
    <row r="91" spans="1:26" ht="30" customHeight="1" x14ac:dyDescent="0.25">
      <c r="D91" s="131" t="str">
        <f t="shared" si="13"/>
        <v/>
      </c>
      <c r="E91" s="287"/>
      <c r="F91" s="287"/>
      <c r="G91" s="287"/>
      <c r="H91" s="287"/>
      <c r="I91" s="287"/>
      <c r="J91" s="287"/>
      <c r="K91" s="287"/>
    </row>
    <row r="92" spans="1:26" ht="30" customHeight="1" x14ac:dyDescent="0.25">
      <c r="D92" s="131" t="str">
        <f t="shared" si="13"/>
        <v/>
      </c>
      <c r="E92" s="287"/>
      <c r="F92" s="287"/>
      <c r="G92" s="287"/>
      <c r="H92" s="287"/>
      <c r="I92" s="287"/>
      <c r="J92" s="287"/>
      <c r="K92" s="287"/>
    </row>
  </sheetData>
  <sortState ref="B67:K71">
    <sortCondition ref="B38:B64"/>
  </sortState>
  <mergeCells count="19">
    <mergeCell ref="G87:K87"/>
    <mergeCell ref="E88:F88"/>
    <mergeCell ref="G88:K88"/>
    <mergeCell ref="E89:F89"/>
    <mergeCell ref="G89:K89"/>
    <mergeCell ref="E92:F92"/>
    <mergeCell ref="G92:K92"/>
    <mergeCell ref="X46:Z46"/>
    <mergeCell ref="E90:F90"/>
    <mergeCell ref="G90:K90"/>
    <mergeCell ref="E91:F91"/>
    <mergeCell ref="G91:K91"/>
    <mergeCell ref="E84:F84"/>
    <mergeCell ref="G84:K84"/>
    <mergeCell ref="E85:F85"/>
    <mergeCell ref="G85:K85"/>
    <mergeCell ref="E86:F86"/>
    <mergeCell ref="G86:K86"/>
    <mergeCell ref="E87:F87"/>
  </mergeCell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B28" sqref="B28"/>
    </sheetView>
  </sheetViews>
  <sheetFormatPr defaultRowHeight="15" x14ac:dyDescent="0.25"/>
  <cols>
    <col min="2" max="2" width="18.28515625" bestFit="1" customWidth="1"/>
  </cols>
  <sheetData>
    <row r="1" spans="1:6" x14ac:dyDescent="0.25">
      <c r="A1" s="288" t="s">
        <v>36</v>
      </c>
      <c r="B1" s="1" t="s">
        <v>293</v>
      </c>
      <c r="C1" s="137">
        <v>27</v>
      </c>
      <c r="D1" s="289" t="str">
        <f t="shared" ref="D1:D30" si="0">IFERROR(RIGHT(B1,LEN(B1)-SEARCH(" ",B1)),"")</f>
        <v>Marek Vávra</v>
      </c>
      <c r="E1" s="289"/>
      <c r="F1" s="6"/>
    </row>
    <row r="2" spans="1:6" x14ac:dyDescent="0.25">
      <c r="A2" s="288"/>
      <c r="B2" s="1" t="s">
        <v>294</v>
      </c>
      <c r="C2" s="137">
        <v>24</v>
      </c>
      <c r="D2" s="289" t="str">
        <f t="shared" si="0"/>
        <v>Tom Ondrušek</v>
      </c>
      <c r="E2" s="289"/>
      <c r="F2" s="6"/>
    </row>
    <row r="3" spans="1:6" x14ac:dyDescent="0.25">
      <c r="A3" s="288"/>
      <c r="B3" s="1" t="s">
        <v>295</v>
      </c>
      <c r="C3" s="137">
        <v>15</v>
      </c>
      <c r="D3" s="289" t="str">
        <f t="shared" si="0"/>
        <v>Ondřej Mikeš</v>
      </c>
      <c r="E3" s="289"/>
      <c r="F3" s="6"/>
    </row>
    <row r="4" spans="1:6" x14ac:dyDescent="0.25">
      <c r="A4" s="288"/>
      <c r="B4" s="1" t="s">
        <v>296</v>
      </c>
      <c r="C4" s="137">
        <v>13</v>
      </c>
      <c r="D4" s="289" t="str">
        <f t="shared" si="0"/>
        <v>Petr Majer</v>
      </c>
      <c r="E4" s="289"/>
      <c r="F4" s="6"/>
    </row>
    <row r="5" spans="1:6" x14ac:dyDescent="0.25">
      <c r="A5" s="288"/>
      <c r="B5" s="1" t="s">
        <v>297</v>
      </c>
      <c r="C5" s="137">
        <v>12</v>
      </c>
      <c r="D5" s="289" t="str">
        <f t="shared" si="0"/>
        <v>Tomáš Sýkora</v>
      </c>
      <c r="E5" s="289"/>
      <c r="F5" s="6"/>
    </row>
    <row r="6" spans="1:6" x14ac:dyDescent="0.25">
      <c r="A6" s="288" t="s">
        <v>35</v>
      </c>
      <c r="B6" s="1" t="s">
        <v>293</v>
      </c>
      <c r="C6" s="137">
        <v>18</v>
      </c>
      <c r="D6" s="289" t="str">
        <f t="shared" si="0"/>
        <v>Marek Vávra</v>
      </c>
      <c r="E6" s="289"/>
      <c r="F6" s="6"/>
    </row>
    <row r="7" spans="1:6" x14ac:dyDescent="0.25">
      <c r="A7" s="288"/>
      <c r="B7" s="1" t="s">
        <v>294</v>
      </c>
      <c r="C7" s="137">
        <v>14</v>
      </c>
      <c r="D7" s="289" t="str">
        <f t="shared" si="0"/>
        <v>Tom Ondrušek</v>
      </c>
      <c r="E7" s="289"/>
      <c r="F7" s="6"/>
    </row>
    <row r="8" spans="1:6" x14ac:dyDescent="0.25">
      <c r="A8" s="288"/>
      <c r="B8" s="1" t="s">
        <v>298</v>
      </c>
      <c r="C8" s="137">
        <v>10</v>
      </c>
      <c r="D8" s="289" t="str">
        <f t="shared" si="0"/>
        <v>Petr Majer</v>
      </c>
      <c r="E8" s="289"/>
      <c r="F8" s="6"/>
    </row>
    <row r="9" spans="1:6" x14ac:dyDescent="0.25">
      <c r="A9" s="288"/>
      <c r="B9" s="1" t="s">
        <v>299</v>
      </c>
      <c r="C9" s="137">
        <v>8</v>
      </c>
      <c r="D9" s="289" t="str">
        <f t="shared" si="0"/>
        <v>Ondřej Mikeš</v>
      </c>
      <c r="E9" s="289"/>
      <c r="F9" s="6"/>
    </row>
    <row r="10" spans="1:6" x14ac:dyDescent="0.25">
      <c r="A10" s="288"/>
      <c r="B10" s="1" t="s">
        <v>300</v>
      </c>
      <c r="C10" s="137">
        <v>4</v>
      </c>
      <c r="D10" s="289" t="str">
        <f t="shared" si="0"/>
        <v>Daniel Eremiáš</v>
      </c>
      <c r="E10" s="289"/>
      <c r="F10" s="6"/>
    </row>
    <row r="11" spans="1:6" x14ac:dyDescent="0.25">
      <c r="A11" s="288" t="s">
        <v>37</v>
      </c>
      <c r="B11" s="1" t="s">
        <v>301</v>
      </c>
      <c r="C11" s="137">
        <v>10</v>
      </c>
      <c r="D11" s="289" t="str">
        <f t="shared" si="0"/>
        <v>Tom Ondrušek</v>
      </c>
      <c r="E11" s="289"/>
      <c r="F11" s="6"/>
    </row>
    <row r="12" spans="1:6" x14ac:dyDescent="0.25">
      <c r="A12" s="288"/>
      <c r="B12" s="1" t="s">
        <v>302</v>
      </c>
      <c r="C12" s="137">
        <v>10</v>
      </c>
      <c r="D12" s="289" t="str">
        <f t="shared" si="0"/>
        <v>Tomáš Sýkora</v>
      </c>
      <c r="E12" s="289"/>
      <c r="F12" s="6"/>
    </row>
    <row r="13" spans="1:6" x14ac:dyDescent="0.25">
      <c r="A13" s="288"/>
      <c r="B13" s="1" t="s">
        <v>303</v>
      </c>
      <c r="C13" s="137">
        <v>9</v>
      </c>
      <c r="D13" s="289" t="str">
        <f t="shared" si="0"/>
        <v>Marek Vávra</v>
      </c>
      <c r="E13" s="289"/>
      <c r="F13" s="6"/>
    </row>
    <row r="14" spans="1:6" x14ac:dyDescent="0.25">
      <c r="A14" s="288"/>
      <c r="B14" s="1" t="s">
        <v>299</v>
      </c>
      <c r="C14" s="137">
        <v>7</v>
      </c>
      <c r="D14" s="289" t="str">
        <f t="shared" si="0"/>
        <v>Ondřej Mikeš</v>
      </c>
      <c r="E14" s="289"/>
      <c r="F14" s="6"/>
    </row>
    <row r="15" spans="1:6" x14ac:dyDescent="0.25">
      <c r="A15" s="288"/>
      <c r="B15" s="1" t="s">
        <v>304</v>
      </c>
      <c r="C15" s="137">
        <v>6</v>
      </c>
      <c r="D15" s="289" t="str">
        <f t="shared" si="0"/>
        <v>Jiří Koutný</v>
      </c>
      <c r="E15" s="289"/>
      <c r="F15" s="6"/>
    </row>
    <row r="16" spans="1:6" x14ac:dyDescent="0.25">
      <c r="A16" s="288" t="s">
        <v>38</v>
      </c>
      <c r="B16" s="1" t="s">
        <v>305</v>
      </c>
      <c r="C16" s="137">
        <v>18</v>
      </c>
      <c r="D16" s="289" t="str">
        <f t="shared" si="0"/>
        <v>Jiří Bauer</v>
      </c>
      <c r="E16" s="289"/>
      <c r="F16" s="6"/>
    </row>
    <row r="17" spans="1:6" x14ac:dyDescent="0.25">
      <c r="A17" s="288"/>
      <c r="B17" s="1" t="s">
        <v>306</v>
      </c>
      <c r="C17" s="137">
        <v>8</v>
      </c>
      <c r="D17" s="289" t="str">
        <f t="shared" si="0"/>
        <v>Tomáš Vávra</v>
      </c>
      <c r="E17" s="289"/>
      <c r="F17" s="6"/>
    </row>
    <row r="18" spans="1:6" x14ac:dyDescent="0.25">
      <c r="A18" s="288"/>
      <c r="B18" s="1" t="s">
        <v>307</v>
      </c>
      <c r="C18" s="137">
        <v>6</v>
      </c>
      <c r="D18" s="289" t="str">
        <f t="shared" si="0"/>
        <v>Michal Strnad</v>
      </c>
      <c r="E18" s="289"/>
      <c r="F18" s="6"/>
    </row>
    <row r="19" spans="1:6" x14ac:dyDescent="0.25">
      <c r="A19" s="288"/>
      <c r="B19" s="1" t="s">
        <v>308</v>
      </c>
      <c r="C19" s="137">
        <v>4</v>
      </c>
      <c r="D19" s="289" t="str">
        <f t="shared" si="0"/>
        <v>David Horký</v>
      </c>
      <c r="E19" s="289"/>
      <c r="F19" s="6"/>
    </row>
    <row r="20" spans="1:6" x14ac:dyDescent="0.25">
      <c r="A20" s="288"/>
      <c r="B20" s="1" t="s">
        <v>309</v>
      </c>
      <c r="C20" s="137">
        <v>4</v>
      </c>
      <c r="D20" s="289" t="str">
        <f t="shared" si="0"/>
        <v>Petr Majer</v>
      </c>
      <c r="E20" s="289"/>
      <c r="F20" s="6"/>
    </row>
    <row r="21" spans="1:6" x14ac:dyDescent="0.25">
      <c r="A21" s="288" t="s">
        <v>273</v>
      </c>
      <c r="B21" s="1" t="s">
        <v>310</v>
      </c>
      <c r="C21" s="137" t="s">
        <v>311</v>
      </c>
      <c r="D21" s="289" t="str">
        <f t="shared" si="0"/>
        <v>Michal Rebro</v>
      </c>
      <c r="E21" s="289"/>
      <c r="F21" s="6">
        <f t="shared" ref="F21:F30" si="1">IF(B21&lt;&gt;0,_xlfn.NUMBERVALUE(C21,","),"")</f>
        <v>4.32</v>
      </c>
    </row>
    <row r="22" spans="1:6" x14ac:dyDescent="0.25">
      <c r="A22" s="288"/>
      <c r="B22" s="1" t="s">
        <v>312</v>
      </c>
      <c r="C22" s="137" t="s">
        <v>313</v>
      </c>
      <c r="D22" s="289" t="str">
        <f t="shared" si="0"/>
        <v>Vojtěch Šimůnek</v>
      </c>
      <c r="E22" s="289"/>
      <c r="F22" s="6">
        <f t="shared" si="1"/>
        <v>6.31</v>
      </c>
    </row>
    <row r="23" spans="1:6" x14ac:dyDescent="0.25">
      <c r="A23" s="288"/>
      <c r="B23" s="1" t="s">
        <v>314</v>
      </c>
      <c r="C23" s="137" t="s">
        <v>285</v>
      </c>
      <c r="D23" s="289" t="str">
        <f t="shared" si="0"/>
        <v>Karel Pergler</v>
      </c>
      <c r="E23" s="289"/>
      <c r="F23" s="6">
        <f t="shared" si="1"/>
        <v>0</v>
      </c>
    </row>
    <row r="24" spans="1:6" x14ac:dyDescent="0.25">
      <c r="A24" s="288"/>
      <c r="B24" s="1" t="s">
        <v>315</v>
      </c>
      <c r="C24" s="137" t="s">
        <v>316</v>
      </c>
      <c r="D24" s="289" t="str">
        <f t="shared" si="0"/>
        <v>Karel Hodík</v>
      </c>
      <c r="E24" s="289"/>
      <c r="F24" s="6">
        <f t="shared" si="1"/>
        <v>5.5</v>
      </c>
    </row>
    <row r="25" spans="1:6" x14ac:dyDescent="0.25">
      <c r="A25" s="288"/>
      <c r="B25" s="1"/>
      <c r="C25" s="6"/>
      <c r="D25" s="289" t="str">
        <f t="shared" si="0"/>
        <v/>
      </c>
      <c r="E25" s="289"/>
      <c r="F25" s="6" t="str">
        <f t="shared" si="1"/>
        <v/>
      </c>
    </row>
    <row r="26" spans="1:6" x14ac:dyDescent="0.25">
      <c r="A26" s="288" t="s">
        <v>253</v>
      </c>
      <c r="B26" s="1" t="s">
        <v>310</v>
      </c>
      <c r="C26" s="137">
        <v>3</v>
      </c>
      <c r="D26" s="289" t="str">
        <f t="shared" si="0"/>
        <v>Michal Rebro</v>
      </c>
      <c r="E26" s="289"/>
      <c r="F26" s="6">
        <f t="shared" si="1"/>
        <v>3</v>
      </c>
    </row>
    <row r="27" spans="1:6" x14ac:dyDescent="0.25">
      <c r="A27" s="288"/>
      <c r="B27" s="1" t="s">
        <v>312</v>
      </c>
      <c r="C27" s="137">
        <v>3</v>
      </c>
      <c r="D27" s="289" t="str">
        <f t="shared" si="0"/>
        <v>Vojtěch Šimůnek</v>
      </c>
      <c r="E27" s="289"/>
      <c r="F27" s="6">
        <f t="shared" si="1"/>
        <v>3</v>
      </c>
    </row>
    <row r="28" spans="1:6" x14ac:dyDescent="0.25">
      <c r="A28" s="288"/>
      <c r="B28" s="1" t="s">
        <v>317</v>
      </c>
      <c r="C28" s="137">
        <v>2</v>
      </c>
      <c r="D28" s="289" t="str">
        <f t="shared" si="0"/>
        <v>Karel Hodík</v>
      </c>
      <c r="E28" s="289"/>
      <c r="F28" s="6">
        <f t="shared" si="1"/>
        <v>2</v>
      </c>
    </row>
    <row r="29" spans="1:6" x14ac:dyDescent="0.25">
      <c r="A29" s="288"/>
      <c r="B29" s="1" t="s">
        <v>318</v>
      </c>
      <c r="C29" s="137">
        <v>0</v>
      </c>
      <c r="D29" s="289" t="str">
        <f t="shared" si="0"/>
        <v>Karel Pergler</v>
      </c>
      <c r="E29" s="289"/>
      <c r="F29" s="6">
        <f t="shared" si="1"/>
        <v>0</v>
      </c>
    </row>
    <row r="30" spans="1:6" x14ac:dyDescent="0.25">
      <c r="A30" s="288"/>
      <c r="B30" s="1"/>
      <c r="C30" s="1"/>
      <c r="D30" s="286" t="str">
        <f t="shared" si="0"/>
        <v/>
      </c>
      <c r="E30" s="286"/>
      <c r="F30" s="6" t="str">
        <f t="shared" si="1"/>
        <v/>
      </c>
    </row>
  </sheetData>
  <mergeCells count="36">
    <mergeCell ref="D15:E15"/>
    <mergeCell ref="D16:E16"/>
    <mergeCell ref="D17:E17"/>
    <mergeCell ref="D30:E30"/>
    <mergeCell ref="D19:E19"/>
    <mergeCell ref="D20:E20"/>
    <mergeCell ref="D21:E21"/>
    <mergeCell ref="D22:E22"/>
    <mergeCell ref="D23:E23"/>
    <mergeCell ref="D24:E24"/>
    <mergeCell ref="D25:E25"/>
    <mergeCell ref="D26:E26"/>
    <mergeCell ref="D27:E27"/>
    <mergeCell ref="D28:E28"/>
    <mergeCell ref="D29:E29"/>
    <mergeCell ref="D10:E10"/>
    <mergeCell ref="D11:E11"/>
    <mergeCell ref="D12:E12"/>
    <mergeCell ref="D13:E13"/>
    <mergeCell ref="D14:E14"/>
    <mergeCell ref="A21:A25"/>
    <mergeCell ref="A26:A30"/>
    <mergeCell ref="D6:E6"/>
    <mergeCell ref="A1:A5"/>
    <mergeCell ref="A6:A10"/>
    <mergeCell ref="A11:A15"/>
    <mergeCell ref="A16:A20"/>
    <mergeCell ref="D1:E1"/>
    <mergeCell ref="D2:E2"/>
    <mergeCell ref="D3:E3"/>
    <mergeCell ref="D4:E4"/>
    <mergeCell ref="D5:E5"/>
    <mergeCell ref="D18:E18"/>
    <mergeCell ref="D7:E7"/>
    <mergeCell ref="D8:E8"/>
    <mergeCell ref="D9:E9"/>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2"/>
  <sheetViews>
    <sheetView topLeftCell="B62" zoomScaleNormal="100" workbookViewId="0">
      <selection activeCell="A39" sqref="A39:O40"/>
    </sheetView>
  </sheetViews>
  <sheetFormatPr defaultRowHeight="15" customHeight="1" x14ac:dyDescent="0.25"/>
  <cols>
    <col min="1" max="1" width="10.140625" style="1" bestFit="1" customWidth="1"/>
    <col min="2" max="2" width="16.7109375" style="1" bestFit="1" customWidth="1"/>
    <col min="3" max="3" width="10.140625" style="1" bestFit="1" customWidth="1"/>
    <col min="4" max="14" width="9.140625" style="114" customWidth="1"/>
    <col min="15" max="15" width="22" style="114" bestFit="1" customWidth="1"/>
    <col min="16" max="16" width="9.140625" style="114" customWidth="1"/>
    <col min="17" max="17" width="23.140625" style="116" customWidth="1"/>
    <col min="18" max="18" width="9.140625" style="1" customWidth="1"/>
    <col min="19" max="19" width="12.5703125" style="114" bestFit="1" customWidth="1"/>
    <col min="20" max="20" width="11.85546875" style="1" bestFit="1" customWidth="1"/>
    <col min="21" max="23" width="9.140625" style="1"/>
    <col min="24" max="26" width="13.7109375" style="131" customWidth="1"/>
    <col min="27" max="16384" width="9.140625" style="1"/>
  </cols>
  <sheetData>
    <row r="1" spans="1:26" s="113" customFormat="1" ht="15" customHeight="1" x14ac:dyDescent="0.25">
      <c r="A1" s="9" t="s">
        <v>64</v>
      </c>
      <c r="B1" s="113" t="s">
        <v>65</v>
      </c>
      <c r="D1" s="113" t="s">
        <v>66</v>
      </c>
      <c r="E1" s="113" t="s">
        <v>67</v>
      </c>
      <c r="F1" s="113" t="s">
        <v>35</v>
      </c>
      <c r="G1" s="113" t="s">
        <v>68</v>
      </c>
      <c r="H1" s="113" t="s">
        <v>69</v>
      </c>
      <c r="I1" s="113" t="s">
        <v>37</v>
      </c>
      <c r="J1" s="113" t="s">
        <v>36</v>
      </c>
      <c r="K1" s="113" t="s">
        <v>38</v>
      </c>
      <c r="L1" s="113" t="s">
        <v>70</v>
      </c>
      <c r="M1" s="113" t="s">
        <v>30</v>
      </c>
      <c r="N1" s="3" t="s">
        <v>71</v>
      </c>
      <c r="O1" s="113" t="s">
        <v>86</v>
      </c>
      <c r="Q1" s="135" t="s">
        <v>49</v>
      </c>
      <c r="X1" s="129"/>
      <c r="Y1" s="129"/>
      <c r="Z1" s="129"/>
    </row>
    <row r="2" spans="1:26" s="4" customFormat="1" ht="15" customHeight="1" x14ac:dyDescent="0.25">
      <c r="A2" s="64">
        <v>1</v>
      </c>
      <c r="B2" s="4" t="s">
        <v>319</v>
      </c>
      <c r="D2" s="5" t="s">
        <v>57</v>
      </c>
      <c r="E2" s="5">
        <v>16</v>
      </c>
      <c r="F2" s="5">
        <v>29</v>
      </c>
      <c r="G2" s="5">
        <v>1</v>
      </c>
      <c r="H2" s="5">
        <v>0</v>
      </c>
      <c r="I2" s="5">
        <v>15</v>
      </c>
      <c r="J2" s="5">
        <v>44</v>
      </c>
      <c r="K2" s="5">
        <v>2</v>
      </c>
      <c r="L2" s="5">
        <v>54</v>
      </c>
      <c r="M2" s="5">
        <v>17</v>
      </c>
      <c r="N2" s="5">
        <v>37</v>
      </c>
      <c r="O2" s="131" t="str">
        <f>IF(B2&lt;&gt;0,CONCATENATE(E2 + IFERROR(VLOOKUP(B2,$B$48:$Z$82,23, FALSE),"error_matches")," OZ , ",J2 + IFERROR(VLOOKUP(B2,$B$48:$Z$82,24, FALSE),"error_goals") + IFERROR(VLOOKUP(B2,$B$48:$Z$82,25, FALSE),"error_assists")," (",F2 + IFERROR(VLOOKUP(B2,$B$48:$Z$82,24, FALSE),"error_goals"),"+",I2 + + IFERROR(VLOOKUP(B2,$B$48:$Z$82,25, FALSE),"error_assists"),"), ",IF(N2&gt;0,"+",""),N2," ±"),"")</f>
        <v>16 OZ , 44 (29+15), +37 ±</v>
      </c>
      <c r="P2" s="5"/>
      <c r="Q2" s="134" t="s">
        <v>385</v>
      </c>
      <c r="S2" s="5"/>
      <c r="X2" s="5"/>
      <c r="Y2" s="5"/>
      <c r="Z2" s="5"/>
    </row>
    <row r="3" spans="1:26" s="4" customFormat="1" ht="15" customHeight="1" x14ac:dyDescent="0.25">
      <c r="A3" s="64">
        <v>2</v>
      </c>
      <c r="B3" s="4" t="s">
        <v>320</v>
      </c>
      <c r="D3" s="5"/>
      <c r="E3" s="5">
        <v>16</v>
      </c>
      <c r="F3" s="5">
        <v>23</v>
      </c>
      <c r="G3" s="5">
        <v>4</v>
      </c>
      <c r="H3" s="5">
        <v>0</v>
      </c>
      <c r="I3" s="5">
        <v>12</v>
      </c>
      <c r="J3" s="5">
        <v>35</v>
      </c>
      <c r="K3" s="5">
        <v>0</v>
      </c>
      <c r="L3" s="5">
        <v>50</v>
      </c>
      <c r="M3" s="5">
        <v>19</v>
      </c>
      <c r="N3" s="5">
        <v>31</v>
      </c>
      <c r="O3" s="131" t="str">
        <f t="shared" ref="O3:O35" si="0">IF(B3&lt;&gt;0,CONCATENATE(E3 + IFERROR(VLOOKUP(B3,$B$48:$Z$82,23, FALSE),"error_matches")," OZ , ",J3 + IFERROR(VLOOKUP(B3,$B$48:$Z$82,24, FALSE),"error_goals") + IFERROR(VLOOKUP(B3,$B$48:$Z$82,25, FALSE),"error_assists")," (",F3 + IFERROR(VLOOKUP(B3,$B$48:$Z$82,24, FALSE),"error_goals"),"+",I3 + + IFERROR(VLOOKUP(B3,$B$48:$Z$82,25, FALSE),"error_assists"),"), ",IF(N3&gt;0,"+",""),N3," ±"),"")</f>
        <v>16 OZ , 35 (23+12), +31 ±</v>
      </c>
      <c r="P3" s="5"/>
      <c r="Q3" s="134"/>
      <c r="S3" s="5"/>
      <c r="X3" s="5"/>
      <c r="Y3" s="5"/>
      <c r="Z3" s="5"/>
    </row>
    <row r="4" spans="1:26" s="4" customFormat="1" ht="15" customHeight="1" x14ac:dyDescent="0.25">
      <c r="A4" s="64">
        <v>3</v>
      </c>
      <c r="B4" s="4" t="s">
        <v>321</v>
      </c>
      <c r="D4" s="5"/>
      <c r="E4" s="5">
        <v>16</v>
      </c>
      <c r="F4" s="5">
        <v>9</v>
      </c>
      <c r="G4" s="5">
        <v>1</v>
      </c>
      <c r="H4" s="5">
        <v>0</v>
      </c>
      <c r="I4" s="5">
        <v>26</v>
      </c>
      <c r="J4" s="5">
        <v>35</v>
      </c>
      <c r="K4" s="5">
        <v>2</v>
      </c>
      <c r="L4" s="5">
        <v>55</v>
      </c>
      <c r="M4" s="5">
        <v>18</v>
      </c>
      <c r="N4" s="5">
        <v>37</v>
      </c>
      <c r="O4" s="131" t="str">
        <f t="shared" si="0"/>
        <v>16 OZ , 35 (9+26), +37 ±</v>
      </c>
      <c r="P4" s="5"/>
      <c r="Q4" s="134"/>
      <c r="S4" s="5"/>
      <c r="X4" s="5"/>
      <c r="Y4" s="5"/>
      <c r="Z4" s="5"/>
    </row>
    <row r="5" spans="1:26" s="4" customFormat="1" x14ac:dyDescent="0.25">
      <c r="A5" s="64">
        <v>4</v>
      </c>
      <c r="B5" s="4" t="s">
        <v>322</v>
      </c>
      <c r="D5" s="5" t="s">
        <v>57</v>
      </c>
      <c r="E5" s="5">
        <v>14</v>
      </c>
      <c r="F5" s="5">
        <v>15</v>
      </c>
      <c r="G5" s="5">
        <v>0</v>
      </c>
      <c r="H5" s="5">
        <v>0</v>
      </c>
      <c r="I5" s="5">
        <v>10</v>
      </c>
      <c r="J5" s="5">
        <v>25</v>
      </c>
      <c r="K5" s="5">
        <v>2</v>
      </c>
      <c r="L5" s="5">
        <v>30</v>
      </c>
      <c r="M5" s="5">
        <v>14</v>
      </c>
      <c r="N5" s="5">
        <v>16</v>
      </c>
      <c r="O5" s="131" t="str">
        <f t="shared" si="0"/>
        <v>14 OZ , 25 (15+10), +16 ±</v>
      </c>
      <c r="P5" s="5"/>
      <c r="Q5" s="134"/>
      <c r="S5" s="5"/>
      <c r="X5" s="5"/>
      <c r="Y5" s="5"/>
      <c r="Z5" s="5"/>
    </row>
    <row r="6" spans="1:26" x14ac:dyDescent="0.25">
      <c r="A6" s="65">
        <v>5</v>
      </c>
      <c r="B6" s="1" t="s">
        <v>323</v>
      </c>
      <c r="D6" s="137" t="s">
        <v>57</v>
      </c>
      <c r="E6" s="137">
        <v>16</v>
      </c>
      <c r="F6" s="137">
        <v>10</v>
      </c>
      <c r="G6" s="137">
        <v>0</v>
      </c>
      <c r="H6" s="137">
        <v>0</v>
      </c>
      <c r="I6" s="137">
        <v>15</v>
      </c>
      <c r="J6" s="137">
        <v>25</v>
      </c>
      <c r="K6" s="137">
        <v>0</v>
      </c>
      <c r="L6" s="137">
        <v>39</v>
      </c>
      <c r="M6" s="137">
        <v>18</v>
      </c>
      <c r="N6" s="137">
        <v>21</v>
      </c>
      <c r="O6" s="131" t="str">
        <f t="shared" si="0"/>
        <v>16 OZ , 25 (10+15), +21 ±</v>
      </c>
    </row>
    <row r="7" spans="1:26" x14ac:dyDescent="0.25">
      <c r="A7" s="65">
        <v>6</v>
      </c>
      <c r="B7" s="1" t="s">
        <v>324</v>
      </c>
      <c r="D7" s="137" t="s">
        <v>57</v>
      </c>
      <c r="E7" s="137">
        <v>15</v>
      </c>
      <c r="F7" s="137">
        <v>12</v>
      </c>
      <c r="G7" s="137">
        <v>4</v>
      </c>
      <c r="H7" s="137">
        <v>0</v>
      </c>
      <c r="I7" s="137">
        <v>4</v>
      </c>
      <c r="J7" s="137">
        <v>16</v>
      </c>
      <c r="K7" s="137">
        <v>4</v>
      </c>
      <c r="L7" s="137">
        <v>46</v>
      </c>
      <c r="M7" s="137">
        <v>20</v>
      </c>
      <c r="N7" s="137">
        <v>26</v>
      </c>
      <c r="O7" s="131" t="str">
        <f t="shared" si="0"/>
        <v>15 OZ , 16 (12+4), +26 ±</v>
      </c>
    </row>
    <row r="8" spans="1:26" x14ac:dyDescent="0.25">
      <c r="A8" s="65">
        <v>7</v>
      </c>
      <c r="B8" s="1" t="s">
        <v>325</v>
      </c>
      <c r="D8" s="137" t="s">
        <v>57</v>
      </c>
      <c r="E8" s="137">
        <v>14</v>
      </c>
      <c r="F8" s="137">
        <v>12</v>
      </c>
      <c r="G8" s="137">
        <v>0</v>
      </c>
      <c r="H8" s="137">
        <v>0</v>
      </c>
      <c r="I8" s="137">
        <v>3</v>
      </c>
      <c r="J8" s="137">
        <v>15</v>
      </c>
      <c r="K8" s="137">
        <v>4</v>
      </c>
      <c r="L8" s="137">
        <v>18</v>
      </c>
      <c r="M8" s="137">
        <v>12</v>
      </c>
      <c r="N8" s="137">
        <v>6</v>
      </c>
      <c r="O8" s="131" t="str">
        <f t="shared" si="0"/>
        <v>14 OZ , 15 (12+3), +6 ±</v>
      </c>
    </row>
    <row r="9" spans="1:26" x14ac:dyDescent="0.25">
      <c r="A9" s="65">
        <v>8</v>
      </c>
      <c r="B9" s="1" t="s">
        <v>326</v>
      </c>
      <c r="D9" s="137" t="s">
        <v>57</v>
      </c>
      <c r="E9" s="137">
        <v>15</v>
      </c>
      <c r="F9" s="137">
        <v>6</v>
      </c>
      <c r="G9" s="137">
        <v>0</v>
      </c>
      <c r="H9" s="137">
        <v>0</v>
      </c>
      <c r="I9" s="137">
        <v>8</v>
      </c>
      <c r="J9" s="137">
        <v>14</v>
      </c>
      <c r="K9" s="137">
        <v>0</v>
      </c>
      <c r="L9" s="137">
        <v>51</v>
      </c>
      <c r="M9" s="137">
        <v>13</v>
      </c>
      <c r="N9" s="137">
        <v>38</v>
      </c>
      <c r="O9" s="131" t="str">
        <f t="shared" si="0"/>
        <v>15 OZ , 14 (6+8), +38 ±</v>
      </c>
    </row>
    <row r="10" spans="1:26" x14ac:dyDescent="0.25">
      <c r="A10" s="65">
        <v>9</v>
      </c>
      <c r="B10" s="1" t="s">
        <v>327</v>
      </c>
      <c r="D10" s="137"/>
      <c r="E10" s="137">
        <v>16</v>
      </c>
      <c r="F10" s="137">
        <v>5</v>
      </c>
      <c r="G10" s="137">
        <v>0</v>
      </c>
      <c r="H10" s="137">
        <v>0</v>
      </c>
      <c r="I10" s="137">
        <v>8</v>
      </c>
      <c r="J10" s="137">
        <v>13</v>
      </c>
      <c r="K10" s="137">
        <v>0</v>
      </c>
      <c r="L10" s="137">
        <v>37</v>
      </c>
      <c r="M10" s="137">
        <v>20</v>
      </c>
      <c r="N10" s="137">
        <v>17</v>
      </c>
      <c r="O10" s="131" t="str">
        <f t="shared" si="0"/>
        <v>16 OZ , 13 (5+8), +17 ±</v>
      </c>
    </row>
    <row r="11" spans="1:26" x14ac:dyDescent="0.25">
      <c r="A11" s="65">
        <v>10</v>
      </c>
      <c r="B11" s="1" t="s">
        <v>328</v>
      </c>
      <c r="D11" s="137" t="s">
        <v>52</v>
      </c>
      <c r="E11" s="137">
        <v>13</v>
      </c>
      <c r="F11" s="137">
        <v>4</v>
      </c>
      <c r="G11" s="137">
        <v>0</v>
      </c>
      <c r="H11" s="137">
        <v>0</v>
      </c>
      <c r="I11" s="137">
        <v>7</v>
      </c>
      <c r="J11" s="137">
        <v>11</v>
      </c>
      <c r="K11" s="137">
        <v>2</v>
      </c>
      <c r="L11" s="137">
        <v>25</v>
      </c>
      <c r="M11" s="137">
        <v>9</v>
      </c>
      <c r="N11" s="137">
        <v>16</v>
      </c>
      <c r="O11" s="131" t="str">
        <f t="shared" si="0"/>
        <v>13 OZ , 11 (4+7), +16 ±</v>
      </c>
    </row>
    <row r="12" spans="1:26" x14ac:dyDescent="0.25">
      <c r="A12" s="65">
        <v>11</v>
      </c>
      <c r="B12" s="1" t="s">
        <v>329</v>
      </c>
      <c r="D12" s="137" t="s">
        <v>52</v>
      </c>
      <c r="E12" s="137">
        <v>13</v>
      </c>
      <c r="F12" s="137">
        <v>4</v>
      </c>
      <c r="G12" s="137">
        <v>0</v>
      </c>
      <c r="H12" s="137">
        <v>0</v>
      </c>
      <c r="I12" s="137">
        <v>4</v>
      </c>
      <c r="J12" s="137">
        <v>8</v>
      </c>
      <c r="K12" s="137">
        <v>4</v>
      </c>
      <c r="L12" s="137">
        <v>19</v>
      </c>
      <c r="M12" s="137">
        <v>16</v>
      </c>
      <c r="N12" s="137">
        <v>3</v>
      </c>
      <c r="O12" s="131" t="str">
        <f t="shared" si="0"/>
        <v>13 OZ , 8 (4+4), +3 ±</v>
      </c>
    </row>
    <row r="13" spans="1:26" x14ac:dyDescent="0.25">
      <c r="A13" s="65">
        <v>12</v>
      </c>
      <c r="B13" s="1" t="s">
        <v>330</v>
      </c>
      <c r="D13" s="137" t="s">
        <v>57</v>
      </c>
      <c r="E13" s="137">
        <v>14</v>
      </c>
      <c r="F13" s="137">
        <v>3</v>
      </c>
      <c r="G13" s="137">
        <v>0</v>
      </c>
      <c r="H13" s="137">
        <v>0</v>
      </c>
      <c r="I13" s="137">
        <v>5</v>
      </c>
      <c r="J13" s="137">
        <v>8</v>
      </c>
      <c r="K13" s="137">
        <v>6</v>
      </c>
      <c r="L13" s="137">
        <v>19</v>
      </c>
      <c r="M13" s="137">
        <v>12</v>
      </c>
      <c r="N13" s="137">
        <v>7</v>
      </c>
      <c r="O13" s="131" t="str">
        <f t="shared" si="0"/>
        <v>14 OZ , 8 (3+5), +7 ±</v>
      </c>
    </row>
    <row r="14" spans="1:26" x14ac:dyDescent="0.25">
      <c r="A14" s="65">
        <v>13</v>
      </c>
      <c r="B14" s="1" t="s">
        <v>331</v>
      </c>
      <c r="D14" s="137" t="s">
        <v>57</v>
      </c>
      <c r="E14" s="137">
        <v>9</v>
      </c>
      <c r="F14" s="137">
        <v>4</v>
      </c>
      <c r="G14" s="137">
        <v>0</v>
      </c>
      <c r="H14" s="137">
        <v>0</v>
      </c>
      <c r="I14" s="137">
        <v>3</v>
      </c>
      <c r="J14" s="137">
        <v>7</v>
      </c>
      <c r="K14" s="137">
        <v>0</v>
      </c>
      <c r="L14" s="137">
        <v>12</v>
      </c>
      <c r="M14" s="137">
        <v>8</v>
      </c>
      <c r="N14" s="137">
        <v>4</v>
      </c>
      <c r="O14" s="131" t="str">
        <f t="shared" si="0"/>
        <v>9 OZ , 7 (4+3), +4 ±</v>
      </c>
    </row>
    <row r="15" spans="1:26" x14ac:dyDescent="0.25">
      <c r="A15" s="65">
        <v>14</v>
      </c>
      <c r="B15" s="1" t="s">
        <v>332</v>
      </c>
      <c r="D15" s="137" t="s">
        <v>52</v>
      </c>
      <c r="E15" s="137">
        <v>15</v>
      </c>
      <c r="F15" s="137">
        <v>0</v>
      </c>
      <c r="G15" s="137">
        <v>0</v>
      </c>
      <c r="H15" s="137">
        <v>0</v>
      </c>
      <c r="I15" s="137">
        <v>7</v>
      </c>
      <c r="J15" s="137">
        <v>7</v>
      </c>
      <c r="K15" s="137">
        <v>4</v>
      </c>
      <c r="L15" s="137">
        <v>49</v>
      </c>
      <c r="M15" s="137">
        <v>11</v>
      </c>
      <c r="N15" s="137">
        <v>38</v>
      </c>
      <c r="O15" s="131" t="str">
        <f t="shared" si="0"/>
        <v>15 OZ , 7 (0+7), +38 ±</v>
      </c>
    </row>
    <row r="16" spans="1:26" x14ac:dyDescent="0.25">
      <c r="A16" s="65">
        <v>15</v>
      </c>
      <c r="B16" s="1" t="s">
        <v>333</v>
      </c>
      <c r="D16" s="137"/>
      <c r="E16" s="137">
        <v>7</v>
      </c>
      <c r="F16" s="137">
        <v>2</v>
      </c>
      <c r="G16" s="137">
        <v>0</v>
      </c>
      <c r="H16" s="137">
        <v>0</v>
      </c>
      <c r="I16" s="137">
        <v>1</v>
      </c>
      <c r="J16" s="137">
        <v>3</v>
      </c>
      <c r="K16" s="137">
        <v>4</v>
      </c>
      <c r="L16" s="137">
        <v>10</v>
      </c>
      <c r="M16" s="137">
        <v>5</v>
      </c>
      <c r="N16" s="137">
        <v>5</v>
      </c>
      <c r="O16" s="131" t="str">
        <f t="shared" si="0"/>
        <v>7 OZ , 3 (2+1), +5 ±</v>
      </c>
    </row>
    <row r="17" spans="1:19" x14ac:dyDescent="0.25">
      <c r="A17" s="65">
        <v>16</v>
      </c>
      <c r="B17" s="1" t="s">
        <v>334</v>
      </c>
      <c r="D17" s="137"/>
      <c r="E17" s="137">
        <v>6</v>
      </c>
      <c r="F17" s="137">
        <v>1</v>
      </c>
      <c r="G17" s="137">
        <v>0</v>
      </c>
      <c r="H17" s="137">
        <v>0</v>
      </c>
      <c r="I17" s="137">
        <v>2</v>
      </c>
      <c r="J17" s="137">
        <v>3</v>
      </c>
      <c r="K17" s="137">
        <v>0</v>
      </c>
      <c r="L17" s="137">
        <v>6</v>
      </c>
      <c r="M17" s="137">
        <v>5</v>
      </c>
      <c r="N17" s="137">
        <v>1</v>
      </c>
      <c r="O17" s="131" t="str">
        <f t="shared" si="0"/>
        <v>6 OZ , 3 (1+2), +1 ±</v>
      </c>
    </row>
    <row r="18" spans="1:19" x14ac:dyDescent="0.25">
      <c r="A18" s="65">
        <v>17</v>
      </c>
      <c r="B18" s="1" t="s">
        <v>335</v>
      </c>
      <c r="D18" s="137" t="s">
        <v>57</v>
      </c>
      <c r="E18" s="137">
        <v>10</v>
      </c>
      <c r="F18" s="137">
        <v>1</v>
      </c>
      <c r="G18" s="137">
        <v>0</v>
      </c>
      <c r="H18" s="137">
        <v>0</v>
      </c>
      <c r="I18" s="137">
        <v>2</v>
      </c>
      <c r="J18" s="137">
        <v>3</v>
      </c>
      <c r="K18" s="137">
        <v>2</v>
      </c>
      <c r="L18" s="137">
        <v>18</v>
      </c>
      <c r="M18" s="137">
        <v>10</v>
      </c>
      <c r="N18" s="137">
        <v>8</v>
      </c>
      <c r="O18" s="131" t="str">
        <f t="shared" si="0"/>
        <v>10 OZ , 3 (1+2), +8 ±</v>
      </c>
    </row>
    <row r="19" spans="1:19" x14ac:dyDescent="0.25">
      <c r="A19" s="65">
        <v>18</v>
      </c>
      <c r="B19" s="1" t="s">
        <v>336</v>
      </c>
      <c r="D19" s="137"/>
      <c r="E19" s="137">
        <v>16</v>
      </c>
      <c r="F19" s="137">
        <v>1</v>
      </c>
      <c r="G19" s="137">
        <v>0</v>
      </c>
      <c r="H19" s="137">
        <v>0</v>
      </c>
      <c r="I19" s="137">
        <v>2</v>
      </c>
      <c r="J19" s="137">
        <v>3</v>
      </c>
      <c r="K19" s="137">
        <v>2</v>
      </c>
      <c r="L19" s="137">
        <v>23</v>
      </c>
      <c r="M19" s="137">
        <v>21</v>
      </c>
      <c r="N19" s="137">
        <v>2</v>
      </c>
      <c r="O19" s="131" t="str">
        <f t="shared" si="0"/>
        <v>16 OZ , 3 (1+2), +2 ±</v>
      </c>
    </row>
    <row r="20" spans="1:19" x14ac:dyDescent="0.25">
      <c r="A20" s="65">
        <v>19</v>
      </c>
      <c r="B20" s="1" t="s">
        <v>337</v>
      </c>
      <c r="D20" s="137" t="s">
        <v>52</v>
      </c>
      <c r="E20" s="137">
        <v>12</v>
      </c>
      <c r="F20" s="137">
        <v>1</v>
      </c>
      <c r="G20" s="137">
        <v>0</v>
      </c>
      <c r="H20" s="137">
        <v>0</v>
      </c>
      <c r="I20" s="137">
        <v>1</v>
      </c>
      <c r="J20" s="137">
        <v>2</v>
      </c>
      <c r="K20" s="137">
        <v>2</v>
      </c>
      <c r="L20" s="137">
        <v>5</v>
      </c>
      <c r="M20" s="137">
        <v>4</v>
      </c>
      <c r="N20" s="137">
        <v>1</v>
      </c>
      <c r="O20" s="131" t="str">
        <f t="shared" si="0"/>
        <v>12 OZ , 2 (1+1), +1 ±</v>
      </c>
    </row>
    <row r="21" spans="1:19" x14ac:dyDescent="0.25">
      <c r="A21" s="65">
        <v>20</v>
      </c>
      <c r="B21" s="1" t="s">
        <v>338</v>
      </c>
      <c r="D21" s="137" t="s">
        <v>35</v>
      </c>
      <c r="E21" s="137">
        <v>0</v>
      </c>
      <c r="F21" s="137">
        <v>0</v>
      </c>
      <c r="G21" s="137">
        <v>0</v>
      </c>
      <c r="H21" s="137">
        <v>0</v>
      </c>
      <c r="I21" s="137">
        <v>2</v>
      </c>
      <c r="J21" s="137">
        <v>2</v>
      </c>
      <c r="K21" s="137">
        <v>0</v>
      </c>
      <c r="L21" s="137">
        <v>0</v>
      </c>
      <c r="M21" s="137">
        <v>0</v>
      </c>
      <c r="N21" s="137">
        <v>0</v>
      </c>
      <c r="O21" s="131" t="str">
        <f t="shared" si="0"/>
        <v>0 OZ , 2 (0+2), 0 ±</v>
      </c>
    </row>
    <row r="22" spans="1:19" x14ac:dyDescent="0.25">
      <c r="A22" s="65">
        <v>21</v>
      </c>
      <c r="B22" s="1" t="s">
        <v>339</v>
      </c>
      <c r="D22" s="137"/>
      <c r="E22" s="137">
        <v>1</v>
      </c>
      <c r="F22" s="137">
        <v>0</v>
      </c>
      <c r="G22" s="137">
        <v>0</v>
      </c>
      <c r="H22" s="137">
        <v>0</v>
      </c>
      <c r="I22" s="137">
        <v>0</v>
      </c>
      <c r="J22" s="137">
        <v>0</v>
      </c>
      <c r="K22" s="137">
        <v>0</v>
      </c>
      <c r="L22" s="137">
        <v>0</v>
      </c>
      <c r="M22" s="137">
        <v>0</v>
      </c>
      <c r="N22" s="137">
        <v>0</v>
      </c>
      <c r="O22" s="131" t="str">
        <f t="shared" si="0"/>
        <v>1 OZ , 0 (0+0), 0 ±</v>
      </c>
    </row>
    <row r="23" spans="1:19" x14ac:dyDescent="0.25">
      <c r="A23" s="65">
        <v>22</v>
      </c>
      <c r="B23" s="1" t="s">
        <v>340</v>
      </c>
      <c r="D23" s="137" t="s">
        <v>52</v>
      </c>
      <c r="E23" s="137">
        <v>2</v>
      </c>
      <c r="F23" s="137">
        <v>0</v>
      </c>
      <c r="G23" s="137">
        <v>0</v>
      </c>
      <c r="H23" s="137">
        <v>0</v>
      </c>
      <c r="I23" s="137">
        <v>0</v>
      </c>
      <c r="J23" s="137">
        <v>0</v>
      </c>
      <c r="K23" s="137">
        <v>0</v>
      </c>
      <c r="L23" s="137">
        <v>0</v>
      </c>
      <c r="M23" s="137">
        <v>0</v>
      </c>
      <c r="N23" s="137">
        <v>0</v>
      </c>
      <c r="O23" s="131" t="str">
        <f t="shared" si="0"/>
        <v>2 OZ , 0 (0+0), 0 ±</v>
      </c>
    </row>
    <row r="24" spans="1:19" x14ac:dyDescent="0.25">
      <c r="A24" s="65">
        <v>23</v>
      </c>
      <c r="B24" s="1" t="s">
        <v>341</v>
      </c>
      <c r="D24" s="137" t="s">
        <v>57</v>
      </c>
      <c r="E24" s="137">
        <v>2</v>
      </c>
      <c r="F24" s="137">
        <v>0</v>
      </c>
      <c r="G24" s="137">
        <v>0</v>
      </c>
      <c r="H24" s="137">
        <v>0</v>
      </c>
      <c r="I24" s="137">
        <v>0</v>
      </c>
      <c r="J24" s="137">
        <v>0</v>
      </c>
      <c r="K24" s="137">
        <v>0</v>
      </c>
      <c r="L24" s="137">
        <v>0</v>
      </c>
      <c r="M24" s="137">
        <v>1</v>
      </c>
      <c r="N24" s="137">
        <v>-1</v>
      </c>
      <c r="O24" s="131" t="str">
        <f t="shared" si="0"/>
        <v>2 OZ , 0 (0+0), -1 ±</v>
      </c>
    </row>
    <row r="25" spans="1:19" x14ac:dyDescent="0.25">
      <c r="A25" s="65">
        <v>24</v>
      </c>
      <c r="B25" s="1" t="s">
        <v>342</v>
      </c>
      <c r="D25" s="137"/>
      <c r="E25" s="137">
        <v>0</v>
      </c>
      <c r="F25" s="137">
        <v>0</v>
      </c>
      <c r="G25" s="137">
        <v>0</v>
      </c>
      <c r="H25" s="137">
        <v>0</v>
      </c>
      <c r="I25" s="137">
        <v>0</v>
      </c>
      <c r="J25" s="137">
        <v>0</v>
      </c>
      <c r="K25" s="137">
        <v>0</v>
      </c>
      <c r="L25" s="137">
        <v>0</v>
      </c>
      <c r="M25" s="137">
        <v>0</v>
      </c>
      <c r="N25" s="137">
        <v>0</v>
      </c>
      <c r="O25" s="131" t="str">
        <f t="shared" si="0"/>
        <v>0 OZ , 0 (0+0), 0 ±</v>
      </c>
    </row>
    <row r="26" spans="1:19" x14ac:dyDescent="0.25">
      <c r="A26" s="65"/>
      <c r="O26" s="131" t="str">
        <f t="shared" si="0"/>
        <v/>
      </c>
    </row>
    <row r="27" spans="1:19" x14ac:dyDescent="0.25">
      <c r="A27" s="65"/>
      <c r="O27" s="131" t="str">
        <f t="shared" si="0"/>
        <v/>
      </c>
    </row>
    <row r="28" spans="1:19" x14ac:dyDescent="0.25">
      <c r="A28" s="65"/>
      <c r="O28" s="131" t="str">
        <f t="shared" si="0"/>
        <v/>
      </c>
    </row>
    <row r="29" spans="1:19" x14ac:dyDescent="0.25">
      <c r="A29" s="65"/>
      <c r="D29" s="131"/>
      <c r="E29" s="131"/>
      <c r="F29" s="131"/>
      <c r="G29" s="131"/>
      <c r="H29" s="131"/>
      <c r="I29" s="131"/>
      <c r="J29" s="131"/>
      <c r="K29" s="131"/>
      <c r="L29" s="131"/>
      <c r="M29" s="131"/>
      <c r="N29" s="131"/>
      <c r="O29" s="131" t="str">
        <f t="shared" si="0"/>
        <v/>
      </c>
      <c r="P29" s="131"/>
      <c r="Q29" s="130"/>
      <c r="S29" s="131"/>
    </row>
    <row r="30" spans="1:19" x14ac:dyDescent="0.25">
      <c r="A30" s="65"/>
      <c r="D30" s="131"/>
      <c r="E30" s="131"/>
      <c r="F30" s="131"/>
      <c r="G30" s="131"/>
      <c r="H30" s="131"/>
      <c r="I30" s="131"/>
      <c r="J30" s="131"/>
      <c r="K30" s="131"/>
      <c r="L30" s="131"/>
      <c r="M30" s="131"/>
      <c r="N30" s="131"/>
      <c r="O30" s="131" t="str">
        <f t="shared" si="0"/>
        <v/>
      </c>
      <c r="P30" s="131"/>
      <c r="Q30" s="130"/>
      <c r="S30" s="131"/>
    </row>
    <row r="31" spans="1:19" x14ac:dyDescent="0.25">
      <c r="A31" s="65"/>
      <c r="D31" s="131"/>
      <c r="E31" s="131"/>
      <c r="F31" s="131"/>
      <c r="G31" s="131"/>
      <c r="H31" s="131"/>
      <c r="I31" s="131"/>
      <c r="J31" s="131"/>
      <c r="K31" s="131"/>
      <c r="L31" s="131"/>
      <c r="M31" s="131"/>
      <c r="N31" s="131"/>
      <c r="O31" s="131" t="str">
        <f t="shared" si="0"/>
        <v/>
      </c>
      <c r="P31" s="131"/>
      <c r="Q31" s="130"/>
      <c r="S31" s="131"/>
    </row>
    <row r="32" spans="1:19" x14ac:dyDescent="0.25">
      <c r="A32" s="65"/>
      <c r="D32" s="131"/>
      <c r="E32" s="131"/>
      <c r="F32" s="131"/>
      <c r="G32" s="131"/>
      <c r="H32" s="131"/>
      <c r="I32" s="131"/>
      <c r="J32" s="131"/>
      <c r="K32" s="131"/>
      <c r="L32" s="131"/>
      <c r="M32" s="131"/>
      <c r="N32" s="131"/>
      <c r="O32" s="131" t="str">
        <f t="shared" si="0"/>
        <v/>
      </c>
      <c r="P32" s="131"/>
      <c r="Q32" s="130"/>
      <c r="S32" s="131"/>
    </row>
    <row r="33" spans="1:26" x14ac:dyDescent="0.25">
      <c r="A33" s="65"/>
      <c r="D33" s="131"/>
      <c r="E33" s="131"/>
      <c r="F33" s="131"/>
      <c r="G33" s="131"/>
      <c r="H33" s="131"/>
      <c r="I33" s="131"/>
      <c r="J33" s="131"/>
      <c r="K33" s="131"/>
      <c r="L33" s="131"/>
      <c r="M33" s="131"/>
      <c r="N33" s="131"/>
      <c r="O33" s="131" t="str">
        <f t="shared" si="0"/>
        <v/>
      </c>
      <c r="P33" s="131"/>
      <c r="Q33" s="130"/>
      <c r="S33" s="131"/>
    </row>
    <row r="34" spans="1:26" x14ac:dyDescent="0.25">
      <c r="A34" s="65"/>
      <c r="D34" s="131"/>
      <c r="E34" s="131"/>
      <c r="F34" s="131"/>
      <c r="G34" s="131"/>
      <c r="H34" s="131"/>
      <c r="I34" s="131"/>
      <c r="J34" s="131"/>
      <c r="K34" s="131"/>
      <c r="L34" s="131"/>
      <c r="M34" s="131"/>
      <c r="N34" s="131"/>
      <c r="O34" s="131" t="str">
        <f t="shared" si="0"/>
        <v/>
      </c>
      <c r="P34" s="131"/>
      <c r="Q34" s="130"/>
      <c r="S34" s="131"/>
    </row>
    <row r="35" spans="1:26" x14ac:dyDescent="0.25">
      <c r="A35" s="65"/>
      <c r="D35" s="131"/>
      <c r="E35" s="131"/>
      <c r="F35" s="131"/>
      <c r="G35" s="131"/>
      <c r="H35" s="131"/>
      <c r="I35" s="131"/>
      <c r="J35" s="131"/>
      <c r="K35" s="131"/>
      <c r="L35" s="131"/>
      <c r="M35" s="131"/>
      <c r="N35" s="131"/>
      <c r="O35" s="131" t="str">
        <f t="shared" si="0"/>
        <v/>
      </c>
      <c r="P35" s="131"/>
      <c r="Q35" s="130"/>
      <c r="S35" s="131"/>
    </row>
    <row r="36" spans="1:26" x14ac:dyDescent="0.25">
      <c r="A36" s="65"/>
      <c r="D36" s="131"/>
      <c r="E36" s="131"/>
      <c r="F36" s="131"/>
      <c r="G36" s="131"/>
      <c r="H36" s="131"/>
      <c r="I36" s="131"/>
      <c r="J36" s="131"/>
      <c r="K36" s="131"/>
      <c r="L36" s="131"/>
      <c r="M36" s="131"/>
      <c r="N36" s="131"/>
      <c r="O36" s="131" t="str">
        <f>IF(B36&lt;&gt;0,CONCATENATE(E36 + IFERROR(VLOOKUP(B36,$B$48:$Z$82,23, FALSE),"error_matches")," OZ , ",J36 + IFERROR(VLOOKUP(B36,$B$48:$Z$82,24, FALSE),"error_goals") + IFERROR(VLOOKUP(B36,$B$48:$Z$82,25, FALSE),"error_assists")," (",F36 + IFERROR(VLOOKUP(B36,$B$48:$Z$82,24, FALSE),"error_goals"),"+",I36 + + IFERROR(VLOOKUP(B36,$B$48:$Z$82,25, FALSE),"error_assists"),"), ",IF(N36&gt;0,"+",""),N36," ±"),"")</f>
        <v/>
      </c>
      <c r="P36" s="131"/>
      <c r="Q36" s="130"/>
      <c r="S36" s="131"/>
    </row>
    <row r="38" spans="1:26" s="113" customFormat="1" ht="15" customHeight="1" x14ac:dyDescent="0.25">
      <c r="A38" s="9" t="s">
        <v>64</v>
      </c>
      <c r="B38" s="113" t="s">
        <v>65</v>
      </c>
      <c r="D38" s="113" t="s">
        <v>89</v>
      </c>
      <c r="E38" s="113" t="s">
        <v>90</v>
      </c>
      <c r="F38" s="113" t="s">
        <v>91</v>
      </c>
      <c r="G38" s="113" t="s">
        <v>41</v>
      </c>
      <c r="H38" s="113" t="s">
        <v>92</v>
      </c>
      <c r="I38" s="113" t="s">
        <v>93</v>
      </c>
      <c r="J38" s="113" t="s">
        <v>94</v>
      </c>
      <c r="K38" s="113" t="s">
        <v>85</v>
      </c>
      <c r="L38" s="113" t="s">
        <v>42</v>
      </c>
      <c r="M38" s="113" t="s">
        <v>95</v>
      </c>
      <c r="N38" s="3" t="s">
        <v>37</v>
      </c>
      <c r="O38" s="113" t="s">
        <v>38</v>
      </c>
      <c r="P38" s="113" t="s">
        <v>100</v>
      </c>
      <c r="Q38" s="113" t="s">
        <v>101</v>
      </c>
      <c r="R38" s="113" t="s">
        <v>102</v>
      </c>
      <c r="X38" s="129"/>
      <c r="Y38" s="129"/>
      <c r="Z38" s="129"/>
    </row>
    <row r="39" spans="1:26" x14ac:dyDescent="0.25">
      <c r="A39" s="65">
        <v>1</v>
      </c>
      <c r="B39" s="1" t="s">
        <v>338</v>
      </c>
      <c r="D39" s="137">
        <v>16</v>
      </c>
      <c r="E39" s="137">
        <v>13</v>
      </c>
      <c r="F39" s="13">
        <v>776.7</v>
      </c>
      <c r="G39" s="137">
        <v>12</v>
      </c>
      <c r="H39" s="137">
        <v>51</v>
      </c>
      <c r="I39" s="137">
        <v>0</v>
      </c>
      <c r="J39" s="137">
        <v>289</v>
      </c>
      <c r="K39" s="137">
        <v>0</v>
      </c>
      <c r="L39" s="137">
        <v>1</v>
      </c>
      <c r="M39" s="137">
        <v>238</v>
      </c>
      <c r="N39" s="137">
        <v>2</v>
      </c>
      <c r="O39" s="137">
        <v>0</v>
      </c>
      <c r="P39" s="13">
        <f>IF(B39&lt;&gt;0,IFERROR(H39/(F39/60),0),"")</f>
        <v>3.9397450753186556</v>
      </c>
      <c r="Q39" s="13">
        <f>IF(B39&lt;&gt;0,IFERROR((M39/J39)*100,0),"")</f>
        <v>82.35294117647058</v>
      </c>
      <c r="R39" s="131" t="str">
        <f>IF(B39&lt;&gt;0,CONCATENATE(G39, " V, ",L39," P"),"")</f>
        <v>12 V, 1 P</v>
      </c>
    </row>
    <row r="40" spans="1:26" x14ac:dyDescent="0.25">
      <c r="A40" s="65">
        <v>2</v>
      </c>
      <c r="B40" s="1" t="s">
        <v>342</v>
      </c>
      <c r="D40" s="137">
        <v>16</v>
      </c>
      <c r="E40" s="137">
        <v>3</v>
      </c>
      <c r="F40" s="13">
        <v>180</v>
      </c>
      <c r="G40" s="137">
        <v>2</v>
      </c>
      <c r="H40" s="137">
        <v>16</v>
      </c>
      <c r="I40" s="137">
        <v>0</v>
      </c>
      <c r="J40" s="137">
        <v>54</v>
      </c>
      <c r="K40" s="137">
        <v>0</v>
      </c>
      <c r="L40" s="137">
        <v>1</v>
      </c>
      <c r="M40" s="137">
        <v>38</v>
      </c>
      <c r="N40" s="137">
        <v>0</v>
      </c>
      <c r="O40" s="137">
        <v>0</v>
      </c>
      <c r="P40" s="13">
        <f t="shared" ref="P40:P45" si="1">IF(B40&lt;&gt;0,IFERROR(H40/(F40/60),0),"")</f>
        <v>5.333333333333333</v>
      </c>
      <c r="Q40" s="13">
        <f t="shared" ref="Q40:Q45" si="2">IF(B40&lt;&gt;0,IFERROR((M40/J40)*100,0),"")</f>
        <v>70.370370370370367</v>
      </c>
      <c r="R40" s="131" t="str">
        <f t="shared" ref="R40:R45" si="3">IF(B40&lt;&gt;0,CONCATENATE(G40, " V, ",L40," P"),"")</f>
        <v>2 V, 1 P</v>
      </c>
    </row>
    <row r="41" spans="1:26" x14ac:dyDescent="0.25">
      <c r="A41" s="65"/>
      <c r="D41" s="131"/>
      <c r="E41" s="131"/>
      <c r="F41" s="13"/>
      <c r="G41" s="131"/>
      <c r="H41" s="131"/>
      <c r="I41" s="131"/>
      <c r="J41" s="131"/>
      <c r="K41" s="131"/>
      <c r="L41" s="131"/>
      <c r="M41" s="131"/>
      <c r="N41" s="131"/>
      <c r="O41" s="131"/>
      <c r="P41" s="13" t="str">
        <f t="shared" si="1"/>
        <v/>
      </c>
      <c r="Q41" s="13" t="str">
        <f t="shared" si="2"/>
        <v/>
      </c>
      <c r="R41" s="131" t="str">
        <f t="shared" si="3"/>
        <v/>
      </c>
      <c r="S41" s="131"/>
    </row>
    <row r="42" spans="1:26" x14ac:dyDescent="0.25">
      <c r="A42" s="65"/>
      <c r="D42" s="131"/>
      <c r="E42" s="131"/>
      <c r="F42" s="13"/>
      <c r="G42" s="131"/>
      <c r="H42" s="131"/>
      <c r="I42" s="131"/>
      <c r="J42" s="131"/>
      <c r="K42" s="131"/>
      <c r="L42" s="131"/>
      <c r="M42" s="131"/>
      <c r="N42" s="131"/>
      <c r="O42" s="131"/>
      <c r="P42" s="13" t="str">
        <f t="shared" si="1"/>
        <v/>
      </c>
      <c r="Q42" s="13" t="str">
        <f t="shared" si="2"/>
        <v/>
      </c>
      <c r="R42" s="131" t="str">
        <f t="shared" si="3"/>
        <v/>
      </c>
      <c r="S42" s="131"/>
    </row>
    <row r="43" spans="1:26" x14ac:dyDescent="0.25">
      <c r="A43" s="65"/>
      <c r="D43" s="131"/>
      <c r="E43" s="131"/>
      <c r="F43" s="13"/>
      <c r="G43" s="131"/>
      <c r="H43" s="131"/>
      <c r="I43" s="131"/>
      <c r="J43" s="131"/>
      <c r="K43" s="131"/>
      <c r="L43" s="131"/>
      <c r="M43" s="131"/>
      <c r="N43" s="131"/>
      <c r="O43" s="131"/>
      <c r="P43" s="13" t="str">
        <f t="shared" si="1"/>
        <v/>
      </c>
      <c r="Q43" s="13" t="str">
        <f t="shared" si="2"/>
        <v/>
      </c>
      <c r="R43" s="131" t="str">
        <f t="shared" si="3"/>
        <v/>
      </c>
      <c r="S43" s="131"/>
    </row>
    <row r="44" spans="1:26" x14ac:dyDescent="0.25">
      <c r="A44" s="65"/>
      <c r="D44" s="131"/>
      <c r="E44" s="131"/>
      <c r="F44" s="13"/>
      <c r="G44" s="131"/>
      <c r="H44" s="131"/>
      <c r="I44" s="131"/>
      <c r="J44" s="131"/>
      <c r="K44" s="131"/>
      <c r="L44" s="131"/>
      <c r="M44" s="131"/>
      <c r="N44" s="131"/>
      <c r="O44" s="131"/>
      <c r="P44" s="13" t="str">
        <f t="shared" si="1"/>
        <v/>
      </c>
      <c r="Q44" s="13" t="str">
        <f t="shared" si="2"/>
        <v/>
      </c>
      <c r="R44" s="131" t="str">
        <f t="shared" si="3"/>
        <v/>
      </c>
      <c r="S44" s="131"/>
    </row>
    <row r="45" spans="1:26" ht="15" customHeight="1" x14ac:dyDescent="0.25">
      <c r="P45" s="13" t="str">
        <f t="shared" si="1"/>
        <v/>
      </c>
      <c r="Q45" s="13" t="str">
        <f t="shared" si="2"/>
        <v/>
      </c>
      <c r="R45" s="131" t="str">
        <f t="shared" si="3"/>
        <v/>
      </c>
    </row>
    <row r="46" spans="1:26" ht="15" customHeight="1" x14ac:dyDescent="0.25">
      <c r="X46" s="286" t="s">
        <v>384</v>
      </c>
      <c r="Y46" s="286"/>
      <c r="Z46" s="286"/>
    </row>
    <row r="47" spans="1:26" s="113" customFormat="1" ht="15" customHeight="1" x14ac:dyDescent="0.25">
      <c r="A47" s="7">
        <f ca="1">TODAY()</f>
        <v>44205</v>
      </c>
      <c r="B47" s="113" t="s">
        <v>65</v>
      </c>
      <c r="C47" s="113" t="s">
        <v>72</v>
      </c>
      <c r="D47" s="113" t="s">
        <v>73</v>
      </c>
      <c r="E47" s="113" t="s">
        <v>76</v>
      </c>
      <c r="F47" s="113" t="s">
        <v>77</v>
      </c>
      <c r="G47" s="113" t="s">
        <v>78</v>
      </c>
      <c r="H47" s="113" t="s">
        <v>79</v>
      </c>
      <c r="I47" s="113" t="s">
        <v>47</v>
      </c>
      <c r="J47" s="113" t="s">
        <v>64</v>
      </c>
      <c r="K47" s="113" t="s">
        <v>169</v>
      </c>
      <c r="L47" s="113" t="s">
        <v>83</v>
      </c>
      <c r="M47" s="113" t="s">
        <v>74</v>
      </c>
      <c r="N47" s="113" t="s">
        <v>75</v>
      </c>
      <c r="O47" s="113" t="s">
        <v>87</v>
      </c>
      <c r="P47" s="113" t="s">
        <v>88</v>
      </c>
      <c r="Q47" s="113" t="s">
        <v>80</v>
      </c>
      <c r="R47" s="113" t="s">
        <v>81</v>
      </c>
      <c r="S47" s="113" t="s">
        <v>103</v>
      </c>
      <c r="T47" s="129" t="s">
        <v>168</v>
      </c>
      <c r="U47" s="129" t="s">
        <v>374</v>
      </c>
      <c r="V47" s="129" t="s">
        <v>375</v>
      </c>
      <c r="W47" s="129" t="s">
        <v>376</v>
      </c>
      <c r="X47" s="129" t="s">
        <v>383</v>
      </c>
      <c r="Y47" s="129" t="s">
        <v>381</v>
      </c>
      <c r="Z47" s="129" t="s">
        <v>382</v>
      </c>
    </row>
    <row r="48" spans="1:26" ht="15" customHeight="1" x14ac:dyDescent="0.25">
      <c r="B48" s="4" t="s">
        <v>319</v>
      </c>
      <c r="C48" s="10">
        <v>35243</v>
      </c>
      <c r="D48" s="131">
        <f ca="1">IF(C48 &lt;&gt; 0,ROUNDDOWN(($A$47-C48)/365.25,0),"")</f>
        <v>24</v>
      </c>
      <c r="H48" s="131">
        <f>IF(B48&lt;&gt;0,F48+G48,"")</f>
        <v>0</v>
      </c>
      <c r="J48" s="114">
        <v>72</v>
      </c>
      <c r="L48" s="114" t="s">
        <v>84</v>
      </c>
      <c r="M48" s="114">
        <v>183</v>
      </c>
      <c r="N48" s="114">
        <v>75</v>
      </c>
      <c r="O48" s="131" t="str">
        <f>IF(B48&lt;&gt;0,CONCATENATE(E48+IFERROR(VLOOKUP(B48,$B$2:$N$28,4,FALSE),X47), " OZ, ", H48+IFERROR(VLOOKUP(B48,$B$2:$N$28,9,FALSE),Y47+Z47), " (", F48+IFERROR(VLOOKUP(B48,$B$2:$N$28,5,FALSE),Y47), "+",G48+IFERROR(VLOOKUP(B48,$B$2:$N$28,8,FALSE), Z47), ")"), "")</f>
        <v>16 OZ, 44 (29+15)</v>
      </c>
      <c r="P48" s="131" t="str">
        <f>IF(M48&lt;&gt;0,CONCATENATE(M48,"/",N48),"")</f>
        <v>183/75</v>
      </c>
      <c r="R48" s="114"/>
      <c r="S48" s="131" t="str">
        <f>IFERROR(CONCATENATE(E48+VLOOKUP(B48,$B$39:$R$42,4,FALSE), " OZ, ",G48+VLOOKUP(B48,$B$39:$R$42,13,FALSE), " A"),"")</f>
        <v/>
      </c>
      <c r="T48" s="1" t="str">
        <f>IF(B48&lt;&gt;0,IF(V48=1,U48,CONCATENATE(U48," ",W48,".")),"")</f>
        <v>Delong</v>
      </c>
      <c r="U48" s="1" t="str">
        <f>IFERROR(RIGHT(B48,LEN(B48)-SEARCH(" ", B48,1)),"")</f>
        <v>Delong</v>
      </c>
      <c r="V48" s="131">
        <f>IF(B48&lt;&gt;0,COUNTIF($U$48:$U$82,U48),"")</f>
        <v>1</v>
      </c>
      <c r="W48" s="131" t="str">
        <f>IFERROR(LEFT(LEFT(B48,SEARCH(" ",B48,1)),1),"")</f>
        <v>A</v>
      </c>
    </row>
    <row r="49" spans="2:23" ht="15" customHeight="1" x14ac:dyDescent="0.25">
      <c r="B49" s="1" t="s">
        <v>331</v>
      </c>
      <c r="C49" s="10">
        <v>37349</v>
      </c>
      <c r="D49" s="131">
        <f t="shared" ref="D49:D82" ca="1" si="4">IF(C49 &lt;&gt; 0,ROUNDDOWN(($A$47-C49)/365.25,0),"")</f>
        <v>18</v>
      </c>
      <c r="H49" s="131">
        <f t="shared" ref="H49:H82" si="5">IF(B49&lt;&gt;0,F49+G49,"")</f>
        <v>0</v>
      </c>
      <c r="J49" s="114">
        <v>10</v>
      </c>
      <c r="L49" s="114" t="s">
        <v>84</v>
      </c>
      <c r="M49" s="114">
        <v>178</v>
      </c>
      <c r="N49" s="114">
        <v>70</v>
      </c>
      <c r="O49" s="131" t="str">
        <f t="shared" ref="O49:O82" si="6">IF(B49&lt;&gt;0,CONCATENATE(E49+IFERROR(VLOOKUP(B49,$B$2:$N$28,4,FALSE),X49), " OZ, ", H49+IFERROR(VLOOKUP(B49,$B$2:$N$28,9,FALSE),Y49+Z49), " (", F49+IFERROR(VLOOKUP(B49,$B$2:$N$28,5,FALSE),Y49), "+",G49+IFERROR(VLOOKUP(B49,$B$2:$N$28,8,FALSE), Z49), ")"), "")</f>
        <v>9 OZ, 7 (4+3)</v>
      </c>
      <c r="P49" s="131" t="str">
        <f t="shared" ref="P49:P82" si="7">IF(M49&lt;&gt;0,CONCATENATE(M49,"/",N49),"")</f>
        <v>178/70</v>
      </c>
      <c r="R49" s="114"/>
      <c r="S49" s="131" t="str">
        <f t="shared" ref="S49:S82" si="8">IFERROR(CONCATENATE(E49+VLOOKUP(B49,$B$39:$R$42,4,FALSE), " OZ, ",G49+VLOOKUP(B49,$B$39:$R$42,13,FALSE), " A"),"")</f>
        <v/>
      </c>
      <c r="T49" s="1" t="str">
        <f t="shared" ref="T49:T82" si="9">IF(B49&lt;&gt;0,IF(V49=1,U49,CONCATENATE(U49," ",W49,".")),"")</f>
        <v>Choma</v>
      </c>
      <c r="U49" s="1" t="str">
        <f t="shared" ref="U49:U82" si="10">IFERROR(RIGHT(B49,LEN(B49)-SEARCH(" ", B49,1)),"")</f>
        <v>Choma</v>
      </c>
      <c r="V49" s="131">
        <f t="shared" ref="V49:V82" si="11">IF(B49&lt;&gt;0,COUNTIF($U$48:$U$82,U49),"")</f>
        <v>1</v>
      </c>
      <c r="W49" s="131" t="str">
        <f t="shared" ref="W49:W82" si="12">IFERROR(LEFT(LEFT(B49,SEARCH(" ",B49,1)),1),"")</f>
        <v>A</v>
      </c>
    </row>
    <row r="50" spans="2:23" ht="15" customHeight="1" x14ac:dyDescent="0.25">
      <c r="B50" s="1" t="s">
        <v>333</v>
      </c>
      <c r="C50" s="10">
        <v>37536</v>
      </c>
      <c r="D50" s="131">
        <f t="shared" ca="1" si="4"/>
        <v>18</v>
      </c>
      <c r="H50" s="131">
        <f t="shared" si="5"/>
        <v>0</v>
      </c>
      <c r="J50" s="114">
        <v>6</v>
      </c>
      <c r="L50" s="114" t="s">
        <v>84</v>
      </c>
      <c r="M50" s="114">
        <v>193</v>
      </c>
      <c r="N50" s="114">
        <v>89</v>
      </c>
      <c r="O50" s="131" t="str">
        <f t="shared" si="6"/>
        <v>7 OZ, 3 (2+1)</v>
      </c>
      <c r="P50" s="131" t="str">
        <f t="shared" si="7"/>
        <v>193/89</v>
      </c>
      <c r="R50" s="114"/>
      <c r="S50" s="131" t="str">
        <f t="shared" si="8"/>
        <v/>
      </c>
      <c r="T50" s="1" t="str">
        <f t="shared" si="9"/>
        <v>Janis Anis</v>
      </c>
      <c r="U50" s="1" t="str">
        <f t="shared" si="10"/>
        <v>Janis Anis</v>
      </c>
      <c r="V50" s="131">
        <f t="shared" si="11"/>
        <v>1</v>
      </c>
      <c r="W50" s="131" t="str">
        <f t="shared" si="12"/>
        <v>D</v>
      </c>
    </row>
    <row r="51" spans="2:23" ht="15" customHeight="1" x14ac:dyDescent="0.25">
      <c r="B51" s="1" t="s">
        <v>342</v>
      </c>
      <c r="C51" s="10">
        <v>36522</v>
      </c>
      <c r="D51" s="131">
        <f t="shared" ca="1" si="4"/>
        <v>21</v>
      </c>
      <c r="H51" s="131">
        <f t="shared" si="5"/>
        <v>0</v>
      </c>
      <c r="J51" s="114">
        <v>24</v>
      </c>
      <c r="L51" s="114" t="s">
        <v>30</v>
      </c>
      <c r="M51" s="114">
        <v>186</v>
      </c>
      <c r="N51" s="114">
        <v>89</v>
      </c>
      <c r="O51" s="131" t="str">
        <f t="shared" si="6"/>
        <v>0 OZ, 0 (0+0)</v>
      </c>
      <c r="P51" s="131" t="str">
        <f t="shared" si="7"/>
        <v>186/89</v>
      </c>
      <c r="R51" s="114"/>
      <c r="S51" s="131" t="str">
        <f t="shared" si="8"/>
        <v>3 OZ, 0 A</v>
      </c>
      <c r="T51" s="1" t="str">
        <f t="shared" si="9"/>
        <v>Jasiok</v>
      </c>
      <c r="U51" s="1" t="str">
        <f t="shared" si="10"/>
        <v>Jasiok</v>
      </c>
      <c r="V51" s="131">
        <f t="shared" si="11"/>
        <v>1</v>
      </c>
      <c r="W51" s="131" t="str">
        <f t="shared" si="12"/>
        <v>D</v>
      </c>
    </row>
    <row r="52" spans="2:23" ht="15" customHeight="1" x14ac:dyDescent="0.25">
      <c r="B52" s="1" t="s">
        <v>334</v>
      </c>
      <c r="C52" s="10">
        <v>35650</v>
      </c>
      <c r="D52" s="131">
        <f t="shared" ca="1" si="4"/>
        <v>23</v>
      </c>
      <c r="H52" s="131">
        <f t="shared" si="5"/>
        <v>0</v>
      </c>
      <c r="J52" s="114">
        <v>8</v>
      </c>
      <c r="L52" s="114" t="s">
        <v>84</v>
      </c>
      <c r="M52" s="114">
        <v>179</v>
      </c>
      <c r="N52" s="114">
        <v>76</v>
      </c>
      <c r="O52" s="131" t="str">
        <f t="shared" si="6"/>
        <v>6 OZ, 3 (1+2)</v>
      </c>
      <c r="P52" s="131" t="str">
        <f t="shared" si="7"/>
        <v>179/76</v>
      </c>
      <c r="R52" s="114"/>
      <c r="S52" s="131" t="str">
        <f t="shared" si="8"/>
        <v/>
      </c>
      <c r="T52" s="1" t="str">
        <f t="shared" si="9"/>
        <v>Čonka-Skyba</v>
      </c>
      <c r="U52" s="1" t="str">
        <f t="shared" si="10"/>
        <v>Čonka-Skyba</v>
      </c>
      <c r="V52" s="131">
        <f t="shared" si="11"/>
        <v>1</v>
      </c>
      <c r="W52" s="131" t="str">
        <f t="shared" si="12"/>
        <v>F</v>
      </c>
    </row>
    <row r="53" spans="2:23" ht="15" customHeight="1" x14ac:dyDescent="0.25">
      <c r="B53" s="1" t="s">
        <v>328</v>
      </c>
      <c r="C53" s="10">
        <v>33707</v>
      </c>
      <c r="D53" s="131">
        <f t="shared" ca="1" si="4"/>
        <v>28</v>
      </c>
      <c r="H53" s="131">
        <f t="shared" si="5"/>
        <v>0</v>
      </c>
      <c r="J53" s="114">
        <v>55</v>
      </c>
      <c r="L53" s="114" t="s">
        <v>42</v>
      </c>
      <c r="M53" s="114">
        <v>182</v>
      </c>
      <c r="N53" s="114">
        <v>70</v>
      </c>
      <c r="O53" s="131" t="str">
        <f t="shared" si="6"/>
        <v>13 OZ, 11 (4+7)</v>
      </c>
      <c r="P53" s="131" t="str">
        <f t="shared" si="7"/>
        <v>182/70</v>
      </c>
      <c r="R53" s="114"/>
      <c r="S53" s="131" t="str">
        <f t="shared" si="8"/>
        <v/>
      </c>
      <c r="T53" s="1" t="str">
        <f t="shared" si="9"/>
        <v>Hubálek</v>
      </c>
      <c r="U53" s="1" t="str">
        <f t="shared" si="10"/>
        <v>Hubálek</v>
      </c>
      <c r="V53" s="131">
        <f t="shared" si="11"/>
        <v>1</v>
      </c>
      <c r="W53" s="131" t="str">
        <f t="shared" si="12"/>
        <v>J</v>
      </c>
    </row>
    <row r="54" spans="2:23" ht="15" customHeight="1" x14ac:dyDescent="0.25">
      <c r="B54" s="1" t="s">
        <v>340</v>
      </c>
      <c r="C54" s="10">
        <v>33095</v>
      </c>
      <c r="D54" s="131">
        <f t="shared" ca="1" si="4"/>
        <v>30</v>
      </c>
      <c r="H54" s="131">
        <f t="shared" si="5"/>
        <v>0</v>
      </c>
      <c r="J54" s="114">
        <v>71</v>
      </c>
      <c r="L54" s="114" t="s">
        <v>42</v>
      </c>
      <c r="M54" s="114">
        <v>190</v>
      </c>
      <c r="N54" s="114">
        <v>82</v>
      </c>
      <c r="O54" s="131" t="str">
        <f t="shared" si="6"/>
        <v>2 OZ, 0 (0+0)</v>
      </c>
      <c r="P54" s="131" t="str">
        <f t="shared" si="7"/>
        <v>190/82</v>
      </c>
      <c r="R54" s="114"/>
      <c r="S54" s="131" t="str">
        <f t="shared" si="8"/>
        <v/>
      </c>
      <c r="T54" s="1" t="str">
        <f t="shared" si="9"/>
        <v>Jastřembský</v>
      </c>
      <c r="U54" s="1" t="str">
        <f t="shared" si="10"/>
        <v>Jastřembský</v>
      </c>
      <c r="V54" s="131">
        <f t="shared" si="11"/>
        <v>1</v>
      </c>
      <c r="W54" s="131" t="str">
        <f t="shared" si="12"/>
        <v>J</v>
      </c>
    </row>
    <row r="55" spans="2:23" ht="15" customHeight="1" x14ac:dyDescent="0.25">
      <c r="B55" s="1" t="s">
        <v>324</v>
      </c>
      <c r="C55" s="10">
        <v>33939</v>
      </c>
      <c r="D55" s="131">
        <f t="shared" ca="1" si="4"/>
        <v>28</v>
      </c>
      <c r="H55" s="131">
        <f t="shared" si="5"/>
        <v>0</v>
      </c>
      <c r="J55" s="114">
        <v>17</v>
      </c>
      <c r="L55" s="114" t="s">
        <v>84</v>
      </c>
      <c r="M55" s="114">
        <v>182</v>
      </c>
      <c r="N55" s="114">
        <v>78</v>
      </c>
      <c r="O55" s="131" t="str">
        <f t="shared" si="6"/>
        <v>15 OZ, 16 (12+4)</v>
      </c>
      <c r="P55" s="131" t="str">
        <f t="shared" si="7"/>
        <v>182/78</v>
      </c>
      <c r="R55" s="114"/>
      <c r="S55" s="131" t="str">
        <f t="shared" si="8"/>
        <v/>
      </c>
      <c r="T55" s="1" t="str">
        <f t="shared" si="9"/>
        <v>Šebesta</v>
      </c>
      <c r="U55" s="1" t="str">
        <f t="shared" si="10"/>
        <v>Šebesta</v>
      </c>
      <c r="V55" s="131">
        <f t="shared" si="11"/>
        <v>1</v>
      </c>
      <c r="W55" s="131" t="str">
        <f t="shared" si="12"/>
        <v>J</v>
      </c>
    </row>
    <row r="56" spans="2:23" ht="15" customHeight="1" x14ac:dyDescent="0.25">
      <c r="B56" s="1" t="s">
        <v>341</v>
      </c>
      <c r="C56" s="10"/>
      <c r="D56" s="131" t="str">
        <f t="shared" si="4"/>
        <v/>
      </c>
      <c r="H56" s="131">
        <f t="shared" si="5"/>
        <v>0</v>
      </c>
      <c r="O56" s="131" t="str">
        <f t="shared" si="6"/>
        <v>2 OZ, 0 (0+0)</v>
      </c>
      <c r="P56" s="131" t="str">
        <f t="shared" si="7"/>
        <v/>
      </c>
      <c r="R56" s="114"/>
      <c r="S56" s="131" t="str">
        <f t="shared" si="8"/>
        <v/>
      </c>
      <c r="T56" s="1" t="str">
        <f t="shared" si="9"/>
        <v>Vojáček</v>
      </c>
      <c r="U56" s="1" t="str">
        <f t="shared" si="10"/>
        <v>Vojáček</v>
      </c>
      <c r="V56" s="131">
        <f t="shared" si="11"/>
        <v>1</v>
      </c>
      <c r="W56" s="131" t="str">
        <f t="shared" si="12"/>
        <v>J</v>
      </c>
    </row>
    <row r="57" spans="2:23" ht="15" customHeight="1" x14ac:dyDescent="0.25">
      <c r="B57" s="1" t="s">
        <v>326</v>
      </c>
      <c r="C57" s="10">
        <v>36269</v>
      </c>
      <c r="D57" s="131">
        <f t="shared" ca="1" si="4"/>
        <v>21</v>
      </c>
      <c r="H57" s="131">
        <f t="shared" si="5"/>
        <v>0</v>
      </c>
      <c r="J57" s="114">
        <v>88</v>
      </c>
      <c r="L57" s="114" t="s">
        <v>84</v>
      </c>
      <c r="M57" s="114">
        <v>179</v>
      </c>
      <c r="N57" s="114">
        <v>76</v>
      </c>
      <c r="O57" s="131" t="str">
        <f t="shared" si="6"/>
        <v>15 OZ, 14 (6+8)</v>
      </c>
      <c r="P57" s="131" t="str">
        <f t="shared" si="7"/>
        <v>179/76</v>
      </c>
      <c r="R57" s="114"/>
      <c r="S57" s="131" t="str">
        <f t="shared" si="8"/>
        <v/>
      </c>
      <c r="T57" s="1" t="str">
        <f t="shared" si="9"/>
        <v>Besta</v>
      </c>
      <c r="U57" s="1" t="str">
        <f t="shared" si="10"/>
        <v>Besta</v>
      </c>
      <c r="V57" s="131">
        <f t="shared" si="11"/>
        <v>1</v>
      </c>
      <c r="W57" s="131" t="str">
        <f t="shared" si="12"/>
        <v>J</v>
      </c>
    </row>
    <row r="58" spans="2:23" ht="15" customHeight="1" x14ac:dyDescent="0.25">
      <c r="B58" s="4" t="s">
        <v>322</v>
      </c>
      <c r="C58" s="10">
        <v>33884</v>
      </c>
      <c r="D58" s="131">
        <f t="shared" ca="1" si="4"/>
        <v>28</v>
      </c>
      <c r="H58" s="131">
        <f t="shared" si="5"/>
        <v>0</v>
      </c>
      <c r="J58" s="114">
        <v>44</v>
      </c>
      <c r="L58" s="114" t="s">
        <v>84</v>
      </c>
      <c r="M58" s="114">
        <v>182</v>
      </c>
      <c r="N58" s="114">
        <v>81</v>
      </c>
      <c r="O58" s="131" t="str">
        <f t="shared" si="6"/>
        <v>14 OZ, 25 (15+10)</v>
      </c>
      <c r="P58" s="131" t="str">
        <f t="shared" si="7"/>
        <v>182/81</v>
      </c>
      <c r="R58" s="114"/>
      <c r="S58" s="131" t="str">
        <f t="shared" si="8"/>
        <v/>
      </c>
      <c r="T58" s="1" t="str">
        <f t="shared" si="9"/>
        <v>Hájek</v>
      </c>
      <c r="U58" s="1" t="str">
        <f t="shared" si="10"/>
        <v>Hájek</v>
      </c>
      <c r="V58" s="131">
        <f t="shared" si="11"/>
        <v>1</v>
      </c>
      <c r="W58" s="131" t="str">
        <f t="shared" si="12"/>
        <v>L</v>
      </c>
    </row>
    <row r="59" spans="2:23" ht="15" customHeight="1" x14ac:dyDescent="0.25">
      <c r="B59" s="1" t="s">
        <v>338</v>
      </c>
      <c r="C59" s="10">
        <v>33114</v>
      </c>
      <c r="D59" s="131">
        <f t="shared" ca="1" si="4"/>
        <v>30</v>
      </c>
      <c r="H59" s="131">
        <f t="shared" si="5"/>
        <v>0</v>
      </c>
      <c r="J59" s="114">
        <v>29</v>
      </c>
      <c r="L59" s="114" t="s">
        <v>30</v>
      </c>
      <c r="M59" s="114">
        <v>186</v>
      </c>
      <c r="N59" s="114">
        <v>95</v>
      </c>
      <c r="O59" s="131" t="str">
        <f t="shared" si="6"/>
        <v>0 OZ, 2 (0+2)</v>
      </c>
      <c r="P59" s="131" t="str">
        <f t="shared" si="7"/>
        <v>186/95</v>
      </c>
      <c r="R59" s="114"/>
      <c r="S59" s="131" t="str">
        <f t="shared" si="8"/>
        <v>13 OZ, 2 A</v>
      </c>
      <c r="T59" s="1" t="str">
        <f t="shared" si="9"/>
        <v>Souček</v>
      </c>
      <c r="U59" s="1" t="str">
        <f t="shared" si="10"/>
        <v>Souček</v>
      </c>
      <c r="V59" s="131">
        <f t="shared" si="11"/>
        <v>1</v>
      </c>
      <c r="W59" s="131" t="str">
        <f t="shared" si="12"/>
        <v>L</v>
      </c>
    </row>
    <row r="60" spans="2:23" ht="15" customHeight="1" x14ac:dyDescent="0.25">
      <c r="B60" s="1" t="s">
        <v>325</v>
      </c>
      <c r="C60" s="10">
        <v>35036</v>
      </c>
      <c r="D60" s="131">
        <f t="shared" ca="1" si="4"/>
        <v>25</v>
      </c>
      <c r="H60" s="131">
        <f t="shared" si="5"/>
        <v>0</v>
      </c>
      <c r="J60" s="114">
        <v>53</v>
      </c>
      <c r="L60" s="114" t="s">
        <v>84</v>
      </c>
      <c r="M60" s="114">
        <v>183</v>
      </c>
      <c r="N60" s="114">
        <v>72</v>
      </c>
      <c r="O60" s="131" t="str">
        <f t="shared" si="6"/>
        <v>14 OZ, 15 (12+3)</v>
      </c>
      <c r="P60" s="131" t="str">
        <f t="shared" si="7"/>
        <v>183/72</v>
      </c>
      <c r="R60" s="114"/>
      <c r="S60" s="131" t="str">
        <f t="shared" si="8"/>
        <v/>
      </c>
      <c r="T60" s="1" t="str">
        <f t="shared" si="9"/>
        <v>Bräuer</v>
      </c>
      <c r="U60" s="1" t="str">
        <f t="shared" si="10"/>
        <v>Bräuer</v>
      </c>
      <c r="V60" s="131">
        <f t="shared" si="11"/>
        <v>1</v>
      </c>
      <c r="W60" s="131" t="str">
        <f t="shared" si="12"/>
        <v>M</v>
      </c>
    </row>
    <row r="61" spans="2:23" ht="15" customHeight="1" x14ac:dyDescent="0.25">
      <c r="B61" s="1" t="s">
        <v>323</v>
      </c>
      <c r="C61" s="10">
        <v>34289</v>
      </c>
      <c r="D61" s="131">
        <f t="shared" ca="1" si="4"/>
        <v>27</v>
      </c>
      <c r="H61" s="131">
        <f t="shared" si="5"/>
        <v>0</v>
      </c>
      <c r="J61" s="114">
        <v>86</v>
      </c>
      <c r="L61" s="114" t="s">
        <v>84</v>
      </c>
      <c r="M61" s="114">
        <v>168</v>
      </c>
      <c r="N61" s="114">
        <v>69</v>
      </c>
      <c r="O61" s="131" t="str">
        <f t="shared" si="6"/>
        <v>16 OZ, 25 (10+15)</v>
      </c>
      <c r="P61" s="131" t="str">
        <f t="shared" si="7"/>
        <v>168/69</v>
      </c>
      <c r="R61" s="114"/>
      <c r="S61" s="131" t="str">
        <f t="shared" si="8"/>
        <v/>
      </c>
      <c r="T61" s="1" t="str">
        <f t="shared" si="9"/>
        <v>Matejčík</v>
      </c>
      <c r="U61" s="1" t="str">
        <f t="shared" si="10"/>
        <v>Matejčík</v>
      </c>
      <c r="V61" s="131">
        <f t="shared" si="11"/>
        <v>1</v>
      </c>
      <c r="W61" s="131" t="str">
        <f t="shared" si="12"/>
        <v>M</v>
      </c>
    </row>
    <row r="62" spans="2:23" ht="15" customHeight="1" x14ac:dyDescent="0.25">
      <c r="B62" s="1" t="s">
        <v>335</v>
      </c>
      <c r="C62" s="10">
        <v>33254</v>
      </c>
      <c r="D62" s="131">
        <f t="shared" ca="1" si="4"/>
        <v>29</v>
      </c>
      <c r="H62" s="131">
        <f t="shared" si="5"/>
        <v>0</v>
      </c>
      <c r="J62" s="114">
        <v>43</v>
      </c>
      <c r="L62" s="114" t="s">
        <v>84</v>
      </c>
      <c r="M62" s="114">
        <v>179</v>
      </c>
      <c r="N62" s="114">
        <v>76</v>
      </c>
      <c r="O62" s="131" t="str">
        <f t="shared" si="6"/>
        <v>10 OZ, 3 (1+2)</v>
      </c>
      <c r="P62" s="131" t="str">
        <f t="shared" si="7"/>
        <v>179/76</v>
      </c>
      <c r="R62" s="114"/>
      <c r="S62" s="131" t="str">
        <f t="shared" si="8"/>
        <v/>
      </c>
      <c r="T62" s="1" t="str">
        <f t="shared" si="9"/>
        <v>Švajný</v>
      </c>
      <c r="U62" s="1" t="str">
        <f t="shared" si="10"/>
        <v>Švajný</v>
      </c>
      <c r="V62" s="131">
        <f t="shared" si="11"/>
        <v>1</v>
      </c>
      <c r="W62" s="131" t="str">
        <f t="shared" si="12"/>
        <v>M</v>
      </c>
    </row>
    <row r="63" spans="2:23" ht="15" customHeight="1" x14ac:dyDescent="0.25">
      <c r="B63" s="1" t="s">
        <v>332</v>
      </c>
      <c r="C63" s="10">
        <v>33949</v>
      </c>
      <c r="D63" s="131">
        <f t="shared" ca="1" si="4"/>
        <v>28</v>
      </c>
      <c r="H63" s="131">
        <f t="shared" si="5"/>
        <v>0</v>
      </c>
      <c r="J63" s="114">
        <v>23</v>
      </c>
      <c r="L63" s="114" t="s">
        <v>84</v>
      </c>
      <c r="M63" s="114">
        <v>179</v>
      </c>
      <c r="N63" s="114">
        <v>69</v>
      </c>
      <c r="O63" s="131" t="str">
        <f t="shared" si="6"/>
        <v>15 OZ, 7 (0+7)</v>
      </c>
      <c r="P63" s="131" t="str">
        <f t="shared" si="7"/>
        <v>179/69</v>
      </c>
      <c r="R63" s="114"/>
      <c r="S63" s="131" t="str">
        <f t="shared" si="8"/>
        <v/>
      </c>
      <c r="T63" s="1" t="str">
        <f t="shared" si="9"/>
        <v>Nehera</v>
      </c>
      <c r="U63" s="1" t="str">
        <f t="shared" si="10"/>
        <v>Nehera</v>
      </c>
      <c r="V63" s="131">
        <f t="shared" si="11"/>
        <v>1</v>
      </c>
      <c r="W63" s="131" t="str">
        <f t="shared" si="12"/>
        <v>M</v>
      </c>
    </row>
    <row r="64" spans="2:23" ht="15" customHeight="1" x14ac:dyDescent="0.25">
      <c r="B64" s="4" t="s">
        <v>321</v>
      </c>
      <c r="C64" s="10">
        <v>36599</v>
      </c>
      <c r="D64" s="131">
        <f t="shared" ca="1" si="4"/>
        <v>20</v>
      </c>
      <c r="H64" s="131">
        <f t="shared" si="5"/>
        <v>0</v>
      </c>
      <c r="J64" s="114">
        <v>25</v>
      </c>
      <c r="L64" s="114" t="s">
        <v>84</v>
      </c>
      <c r="M64" s="114">
        <v>186</v>
      </c>
      <c r="N64" s="114">
        <v>81</v>
      </c>
      <c r="O64" s="131" t="str">
        <f t="shared" si="6"/>
        <v>16 OZ, 35 (9+26)</v>
      </c>
      <c r="P64" s="131" t="str">
        <f t="shared" si="7"/>
        <v>186/81</v>
      </c>
      <c r="R64" s="114"/>
      <c r="S64" s="131" t="str">
        <f t="shared" si="8"/>
        <v/>
      </c>
      <c r="T64" s="1" t="str">
        <f t="shared" si="9"/>
        <v>Šindler</v>
      </c>
      <c r="U64" s="1" t="str">
        <f t="shared" si="10"/>
        <v>Šindler</v>
      </c>
      <c r="V64" s="131">
        <f t="shared" si="11"/>
        <v>1</v>
      </c>
      <c r="W64" s="131" t="str">
        <f t="shared" si="12"/>
        <v>M</v>
      </c>
    </row>
    <row r="65" spans="2:23" ht="15" customHeight="1" x14ac:dyDescent="0.25">
      <c r="B65" s="1" t="s">
        <v>327</v>
      </c>
      <c r="C65" s="10">
        <v>37063</v>
      </c>
      <c r="D65" s="131">
        <f t="shared" ca="1" si="4"/>
        <v>19</v>
      </c>
      <c r="H65" s="131">
        <f t="shared" si="5"/>
        <v>0</v>
      </c>
      <c r="J65" s="114">
        <v>18</v>
      </c>
      <c r="L65" s="114" t="s">
        <v>84</v>
      </c>
      <c r="M65" s="114">
        <v>186</v>
      </c>
      <c r="N65" s="114">
        <v>70</v>
      </c>
      <c r="O65" s="131" t="str">
        <f t="shared" si="6"/>
        <v>16 OZ, 13 (5+8)</v>
      </c>
      <c r="P65" s="131" t="str">
        <f t="shared" si="7"/>
        <v>186/70</v>
      </c>
      <c r="R65" s="114"/>
      <c r="S65" s="131" t="str">
        <f t="shared" si="8"/>
        <v/>
      </c>
      <c r="T65" s="1" t="str">
        <f t="shared" si="9"/>
        <v>Sidunov</v>
      </c>
      <c r="U65" s="1" t="str">
        <f t="shared" si="10"/>
        <v>Sidunov</v>
      </c>
      <c r="V65" s="131">
        <f t="shared" si="11"/>
        <v>1</v>
      </c>
      <c r="W65" s="131" t="str">
        <f t="shared" si="12"/>
        <v>O</v>
      </c>
    </row>
    <row r="66" spans="2:23" ht="15" customHeight="1" x14ac:dyDescent="0.25">
      <c r="B66" s="1" t="s">
        <v>339</v>
      </c>
      <c r="C66" s="10"/>
      <c r="D66" s="131" t="str">
        <f t="shared" si="4"/>
        <v/>
      </c>
      <c r="H66" s="131">
        <f t="shared" si="5"/>
        <v>0</v>
      </c>
      <c r="O66" s="131" t="str">
        <f t="shared" si="6"/>
        <v>1 OZ, 0 (0+0)</v>
      </c>
      <c r="P66" s="131" t="str">
        <f t="shared" si="7"/>
        <v/>
      </c>
      <c r="R66" s="114"/>
      <c r="S66" s="131" t="str">
        <f t="shared" si="8"/>
        <v/>
      </c>
      <c r="T66" s="1" t="str">
        <f t="shared" si="9"/>
        <v>Svoboda</v>
      </c>
      <c r="U66" s="1" t="str">
        <f t="shared" si="10"/>
        <v>Svoboda</v>
      </c>
      <c r="V66" s="131">
        <f t="shared" si="11"/>
        <v>1</v>
      </c>
      <c r="W66" s="131" t="str">
        <f t="shared" si="12"/>
        <v>O</v>
      </c>
    </row>
    <row r="67" spans="2:23" ht="15" customHeight="1" x14ac:dyDescent="0.25">
      <c r="B67" s="4" t="s">
        <v>320</v>
      </c>
      <c r="C67" s="10">
        <v>36934</v>
      </c>
      <c r="D67" s="131">
        <f t="shared" ca="1" si="4"/>
        <v>19</v>
      </c>
      <c r="H67" s="131">
        <f t="shared" si="5"/>
        <v>0</v>
      </c>
      <c r="J67" s="114">
        <v>13</v>
      </c>
      <c r="L67" s="114" t="s">
        <v>42</v>
      </c>
      <c r="M67" s="114">
        <v>171</v>
      </c>
      <c r="N67" s="114">
        <v>70</v>
      </c>
      <c r="O67" s="131" t="str">
        <f t="shared" si="6"/>
        <v>16 OZ, 35 (23+12)</v>
      </c>
      <c r="P67" s="131" t="str">
        <f t="shared" si="7"/>
        <v>171/70</v>
      </c>
      <c r="R67" s="114"/>
      <c r="S67" s="131" t="str">
        <f t="shared" si="8"/>
        <v/>
      </c>
      <c r="T67" s="1" t="str">
        <f t="shared" si="9"/>
        <v>Gattnar</v>
      </c>
      <c r="U67" s="1" t="str">
        <f t="shared" si="10"/>
        <v>Gattnar</v>
      </c>
      <c r="V67" s="131">
        <f t="shared" si="11"/>
        <v>1</v>
      </c>
      <c r="W67" s="131" t="str">
        <f t="shared" si="12"/>
        <v>R</v>
      </c>
    </row>
    <row r="68" spans="2:23" ht="15" customHeight="1" x14ac:dyDescent="0.25">
      <c r="B68" s="1" t="s">
        <v>336</v>
      </c>
      <c r="C68" s="10">
        <v>36640</v>
      </c>
      <c r="D68" s="131">
        <f t="shared" ca="1" si="4"/>
        <v>20</v>
      </c>
      <c r="H68" s="131">
        <f t="shared" si="5"/>
        <v>0</v>
      </c>
      <c r="J68" s="114">
        <v>47</v>
      </c>
      <c r="L68" s="114" t="s">
        <v>84</v>
      </c>
      <c r="M68" s="114">
        <v>189</v>
      </c>
      <c r="N68" s="114">
        <v>80</v>
      </c>
      <c r="O68" s="131" t="str">
        <f t="shared" si="6"/>
        <v>16 OZ, 3 (1+2)</v>
      </c>
      <c r="P68" s="131" t="str">
        <f t="shared" si="7"/>
        <v>189/80</v>
      </c>
      <c r="R68" s="114"/>
      <c r="S68" s="131" t="str">
        <f t="shared" si="8"/>
        <v/>
      </c>
      <c r="T68" s="1" t="str">
        <f t="shared" si="9"/>
        <v>Hatala</v>
      </c>
      <c r="U68" s="1" t="str">
        <f t="shared" si="10"/>
        <v>Hatala</v>
      </c>
      <c r="V68" s="131">
        <f t="shared" si="11"/>
        <v>1</v>
      </c>
      <c r="W68" s="131" t="str">
        <f t="shared" si="12"/>
        <v>Š</v>
      </c>
    </row>
    <row r="69" spans="2:23" ht="15" customHeight="1" x14ac:dyDescent="0.25">
      <c r="B69" s="1" t="s">
        <v>329</v>
      </c>
      <c r="C69" s="10">
        <v>36436</v>
      </c>
      <c r="D69" s="131">
        <f t="shared" ca="1" si="4"/>
        <v>21</v>
      </c>
      <c r="H69" s="131">
        <f t="shared" si="5"/>
        <v>0</v>
      </c>
      <c r="J69" s="114">
        <v>7</v>
      </c>
      <c r="L69" s="114" t="s">
        <v>42</v>
      </c>
      <c r="M69" s="114">
        <v>175</v>
      </c>
      <c r="N69" s="114">
        <v>65</v>
      </c>
      <c r="O69" s="131" t="str">
        <f t="shared" si="6"/>
        <v>13 OZ, 8 (4+4)</v>
      </c>
      <c r="P69" s="131" t="str">
        <f t="shared" si="7"/>
        <v>175/65</v>
      </c>
      <c r="R69" s="114"/>
      <c r="S69" s="131" t="str">
        <f t="shared" si="8"/>
        <v/>
      </c>
      <c r="T69" s="1" t="str">
        <f t="shared" si="9"/>
        <v>Kuczera</v>
      </c>
      <c r="U69" s="1" t="str">
        <f t="shared" si="10"/>
        <v>Kuczera</v>
      </c>
      <c r="V69" s="131">
        <f t="shared" si="11"/>
        <v>1</v>
      </c>
      <c r="W69" s="131" t="str">
        <f t="shared" si="12"/>
        <v>Š</v>
      </c>
    </row>
    <row r="70" spans="2:23" ht="15" customHeight="1" x14ac:dyDescent="0.25">
      <c r="B70" s="1" t="s">
        <v>337</v>
      </c>
      <c r="C70" s="10">
        <v>37275</v>
      </c>
      <c r="D70" s="131">
        <f t="shared" ca="1" si="4"/>
        <v>18</v>
      </c>
      <c r="H70" s="131">
        <f t="shared" si="5"/>
        <v>0</v>
      </c>
      <c r="J70" s="114">
        <v>92</v>
      </c>
      <c r="L70" s="114" t="s">
        <v>42</v>
      </c>
      <c r="M70" s="114">
        <v>184</v>
      </c>
      <c r="N70" s="114">
        <v>69</v>
      </c>
      <c r="O70" s="131" t="str">
        <f t="shared" si="6"/>
        <v>12 OZ, 2 (1+1)</v>
      </c>
      <c r="P70" s="131" t="str">
        <f t="shared" si="7"/>
        <v>184/69</v>
      </c>
      <c r="R70" s="114"/>
      <c r="S70" s="131" t="str">
        <f t="shared" si="8"/>
        <v/>
      </c>
      <c r="T70" s="1" t="str">
        <f t="shared" si="9"/>
        <v>Kaleta</v>
      </c>
      <c r="U70" s="1" t="str">
        <f t="shared" si="10"/>
        <v>Kaleta</v>
      </c>
      <c r="V70" s="131">
        <f t="shared" si="11"/>
        <v>1</v>
      </c>
      <c r="W70" s="131" t="str">
        <f t="shared" si="12"/>
        <v>Š</v>
      </c>
    </row>
    <row r="71" spans="2:23" ht="15" customHeight="1" x14ac:dyDescent="0.25">
      <c r="B71" s="1" t="s">
        <v>330</v>
      </c>
      <c r="C71" s="10">
        <v>31633</v>
      </c>
      <c r="D71" s="131">
        <f t="shared" ca="1" si="4"/>
        <v>34</v>
      </c>
      <c r="H71" s="131">
        <f t="shared" si="5"/>
        <v>0</v>
      </c>
      <c r="J71" s="114">
        <v>11</v>
      </c>
      <c r="K71" s="114" t="s">
        <v>234</v>
      </c>
      <c r="L71" s="114" t="s">
        <v>84</v>
      </c>
      <c r="M71" s="114">
        <v>186</v>
      </c>
      <c r="N71" s="114">
        <v>80</v>
      </c>
      <c r="O71" s="131" t="str">
        <f t="shared" si="6"/>
        <v>14 OZ, 8 (3+5)</v>
      </c>
      <c r="P71" s="131" t="str">
        <f t="shared" si="7"/>
        <v>186/80</v>
      </c>
      <c r="R71" s="114"/>
      <c r="S71" s="131" t="str">
        <f t="shared" si="8"/>
        <v/>
      </c>
      <c r="T71" s="1" t="str">
        <f t="shared" si="9"/>
        <v>Sladký</v>
      </c>
      <c r="U71" s="1" t="str">
        <f t="shared" si="10"/>
        <v>Sladký</v>
      </c>
      <c r="V71" s="131">
        <f t="shared" si="11"/>
        <v>1</v>
      </c>
      <c r="W71" s="131" t="str">
        <f t="shared" si="12"/>
        <v>T</v>
      </c>
    </row>
    <row r="72" spans="2:23" ht="15" customHeight="1" x14ac:dyDescent="0.25">
      <c r="C72" s="10"/>
      <c r="D72" s="131" t="str">
        <f t="shared" si="4"/>
        <v/>
      </c>
      <c r="H72" s="131" t="str">
        <f t="shared" si="5"/>
        <v/>
      </c>
      <c r="O72" s="131" t="str">
        <f t="shared" si="6"/>
        <v/>
      </c>
      <c r="P72" s="131" t="str">
        <f t="shared" si="7"/>
        <v/>
      </c>
      <c r="R72" s="114"/>
      <c r="S72" s="131" t="str">
        <f t="shared" si="8"/>
        <v/>
      </c>
      <c r="T72" s="1" t="str">
        <f t="shared" si="9"/>
        <v/>
      </c>
      <c r="U72" s="1" t="str">
        <f t="shared" si="10"/>
        <v/>
      </c>
      <c r="V72" s="131" t="str">
        <f t="shared" si="11"/>
        <v/>
      </c>
      <c r="W72" s="131" t="str">
        <f t="shared" si="12"/>
        <v/>
      </c>
    </row>
    <row r="73" spans="2:23" ht="15" customHeight="1" x14ac:dyDescent="0.25">
      <c r="C73" s="10"/>
      <c r="D73" s="131" t="str">
        <f t="shared" si="4"/>
        <v/>
      </c>
      <c r="H73" s="131" t="str">
        <f t="shared" si="5"/>
        <v/>
      </c>
      <c r="O73" s="131" t="str">
        <f t="shared" si="6"/>
        <v/>
      </c>
      <c r="P73" s="131" t="str">
        <f t="shared" si="7"/>
        <v/>
      </c>
      <c r="R73" s="114"/>
      <c r="S73" s="131" t="str">
        <f t="shared" si="8"/>
        <v/>
      </c>
      <c r="T73" s="1" t="str">
        <f t="shared" si="9"/>
        <v/>
      </c>
      <c r="U73" s="1" t="str">
        <f t="shared" si="10"/>
        <v/>
      </c>
      <c r="V73" s="131" t="str">
        <f t="shared" si="11"/>
        <v/>
      </c>
      <c r="W73" s="131" t="str">
        <f t="shared" si="12"/>
        <v/>
      </c>
    </row>
    <row r="74" spans="2:23" ht="15" customHeight="1" x14ac:dyDescent="0.25">
      <c r="C74" s="10"/>
      <c r="D74" s="131" t="str">
        <f t="shared" si="4"/>
        <v/>
      </c>
      <c r="H74" s="131" t="str">
        <f t="shared" si="5"/>
        <v/>
      </c>
      <c r="O74" s="131" t="str">
        <f t="shared" si="6"/>
        <v/>
      </c>
      <c r="P74" s="131" t="str">
        <f t="shared" si="7"/>
        <v/>
      </c>
      <c r="R74" s="114"/>
      <c r="S74" s="131" t="str">
        <f t="shared" si="8"/>
        <v/>
      </c>
      <c r="T74" s="1" t="str">
        <f t="shared" si="9"/>
        <v/>
      </c>
      <c r="U74" s="1" t="str">
        <f t="shared" si="10"/>
        <v/>
      </c>
      <c r="V74" s="131" t="str">
        <f t="shared" si="11"/>
        <v/>
      </c>
      <c r="W74" s="131" t="str">
        <f t="shared" si="12"/>
        <v/>
      </c>
    </row>
    <row r="75" spans="2:23" ht="15" customHeight="1" x14ac:dyDescent="0.25">
      <c r="C75" s="10"/>
      <c r="D75" s="131" t="str">
        <f t="shared" si="4"/>
        <v/>
      </c>
      <c r="E75" s="131"/>
      <c r="F75" s="131"/>
      <c r="G75" s="131"/>
      <c r="H75" s="131" t="str">
        <f t="shared" si="5"/>
        <v/>
      </c>
      <c r="I75" s="131"/>
      <c r="J75" s="131"/>
      <c r="K75" s="131"/>
      <c r="L75" s="131"/>
      <c r="M75" s="131"/>
      <c r="N75" s="131"/>
      <c r="O75" s="131" t="str">
        <f t="shared" si="6"/>
        <v/>
      </c>
      <c r="P75" s="131" t="str">
        <f t="shared" si="7"/>
        <v/>
      </c>
      <c r="Q75" s="130"/>
      <c r="R75" s="131"/>
      <c r="S75" s="131" t="str">
        <f t="shared" si="8"/>
        <v/>
      </c>
      <c r="T75" s="1" t="str">
        <f t="shared" si="9"/>
        <v/>
      </c>
      <c r="U75" s="1" t="str">
        <f t="shared" si="10"/>
        <v/>
      </c>
      <c r="V75" s="131" t="str">
        <f t="shared" si="11"/>
        <v/>
      </c>
      <c r="W75" s="131" t="str">
        <f t="shared" si="12"/>
        <v/>
      </c>
    </row>
    <row r="76" spans="2:23" ht="15" customHeight="1" x14ac:dyDescent="0.25">
      <c r="C76" s="10"/>
      <c r="D76" s="131" t="str">
        <f t="shared" si="4"/>
        <v/>
      </c>
      <c r="E76" s="131"/>
      <c r="F76" s="131"/>
      <c r="G76" s="131"/>
      <c r="H76" s="131" t="str">
        <f t="shared" si="5"/>
        <v/>
      </c>
      <c r="I76" s="131"/>
      <c r="J76" s="131"/>
      <c r="K76" s="131"/>
      <c r="L76" s="131"/>
      <c r="M76" s="131"/>
      <c r="N76" s="131"/>
      <c r="O76" s="131" t="str">
        <f t="shared" si="6"/>
        <v/>
      </c>
      <c r="P76" s="131" t="str">
        <f t="shared" si="7"/>
        <v/>
      </c>
      <c r="Q76" s="130"/>
      <c r="R76" s="131"/>
      <c r="S76" s="131" t="str">
        <f t="shared" si="8"/>
        <v/>
      </c>
      <c r="T76" s="1" t="str">
        <f t="shared" si="9"/>
        <v/>
      </c>
      <c r="U76" s="1" t="str">
        <f t="shared" si="10"/>
        <v/>
      </c>
      <c r="V76" s="131" t="str">
        <f t="shared" si="11"/>
        <v/>
      </c>
      <c r="W76" s="131" t="str">
        <f t="shared" si="12"/>
        <v/>
      </c>
    </row>
    <row r="77" spans="2:23" ht="15" customHeight="1" x14ac:dyDescent="0.25">
      <c r="C77" s="10"/>
      <c r="D77" s="131" t="str">
        <f t="shared" si="4"/>
        <v/>
      </c>
      <c r="E77" s="131"/>
      <c r="F77" s="131"/>
      <c r="G77" s="131"/>
      <c r="H77" s="131" t="str">
        <f t="shared" si="5"/>
        <v/>
      </c>
      <c r="I77" s="131"/>
      <c r="J77" s="131"/>
      <c r="K77" s="131"/>
      <c r="L77" s="131"/>
      <c r="M77" s="131"/>
      <c r="N77" s="131"/>
      <c r="O77" s="131" t="str">
        <f t="shared" si="6"/>
        <v/>
      </c>
      <c r="P77" s="131" t="str">
        <f t="shared" si="7"/>
        <v/>
      </c>
      <c r="Q77" s="130"/>
      <c r="R77" s="131"/>
      <c r="S77" s="131" t="str">
        <f t="shared" si="8"/>
        <v/>
      </c>
      <c r="T77" s="1" t="str">
        <f t="shared" si="9"/>
        <v/>
      </c>
      <c r="U77" s="1" t="str">
        <f t="shared" si="10"/>
        <v/>
      </c>
      <c r="V77" s="131" t="str">
        <f t="shared" si="11"/>
        <v/>
      </c>
      <c r="W77" s="131" t="str">
        <f t="shared" si="12"/>
        <v/>
      </c>
    </row>
    <row r="78" spans="2:23" ht="15" customHeight="1" x14ac:dyDescent="0.25">
      <c r="C78" s="10"/>
      <c r="D78" s="131" t="str">
        <f t="shared" si="4"/>
        <v/>
      </c>
      <c r="E78" s="131"/>
      <c r="F78" s="131"/>
      <c r="G78" s="131"/>
      <c r="H78" s="131" t="str">
        <f t="shared" si="5"/>
        <v/>
      </c>
      <c r="I78" s="131"/>
      <c r="J78" s="131"/>
      <c r="K78" s="131"/>
      <c r="L78" s="131"/>
      <c r="M78" s="131"/>
      <c r="N78" s="131"/>
      <c r="O78" s="131" t="str">
        <f t="shared" si="6"/>
        <v/>
      </c>
      <c r="P78" s="131" t="str">
        <f t="shared" si="7"/>
        <v/>
      </c>
      <c r="Q78" s="130"/>
      <c r="R78" s="131"/>
      <c r="S78" s="131" t="str">
        <f t="shared" si="8"/>
        <v/>
      </c>
      <c r="T78" s="1" t="str">
        <f t="shared" si="9"/>
        <v/>
      </c>
      <c r="U78" s="1" t="str">
        <f t="shared" si="10"/>
        <v/>
      </c>
      <c r="V78" s="131" t="str">
        <f t="shared" si="11"/>
        <v/>
      </c>
      <c r="W78" s="131" t="str">
        <f t="shared" si="12"/>
        <v/>
      </c>
    </row>
    <row r="79" spans="2:23" ht="15" customHeight="1" x14ac:dyDescent="0.25">
      <c r="C79" s="10"/>
      <c r="D79" s="131" t="str">
        <f t="shared" si="4"/>
        <v/>
      </c>
      <c r="E79" s="131"/>
      <c r="F79" s="131"/>
      <c r="G79" s="131"/>
      <c r="H79" s="131" t="str">
        <f t="shared" si="5"/>
        <v/>
      </c>
      <c r="I79" s="131"/>
      <c r="J79" s="131"/>
      <c r="K79" s="131"/>
      <c r="L79" s="131"/>
      <c r="M79" s="131"/>
      <c r="N79" s="131"/>
      <c r="O79" s="131" t="str">
        <f t="shared" si="6"/>
        <v/>
      </c>
      <c r="P79" s="131" t="str">
        <f t="shared" si="7"/>
        <v/>
      </c>
      <c r="Q79" s="130"/>
      <c r="R79" s="131"/>
      <c r="S79" s="131" t="str">
        <f t="shared" si="8"/>
        <v/>
      </c>
      <c r="T79" s="1" t="str">
        <f t="shared" si="9"/>
        <v/>
      </c>
      <c r="U79" s="1" t="str">
        <f t="shared" si="10"/>
        <v/>
      </c>
      <c r="V79" s="131" t="str">
        <f t="shared" si="11"/>
        <v/>
      </c>
      <c r="W79" s="131" t="str">
        <f t="shared" si="12"/>
        <v/>
      </c>
    </row>
    <row r="80" spans="2:23" ht="15" customHeight="1" x14ac:dyDescent="0.25">
      <c r="C80" s="10"/>
      <c r="D80" s="131" t="str">
        <f t="shared" si="4"/>
        <v/>
      </c>
      <c r="E80" s="131"/>
      <c r="F80" s="131"/>
      <c r="G80" s="131"/>
      <c r="H80" s="131" t="str">
        <f t="shared" si="5"/>
        <v/>
      </c>
      <c r="I80" s="131"/>
      <c r="J80" s="131"/>
      <c r="K80" s="131"/>
      <c r="L80" s="131"/>
      <c r="M80" s="131"/>
      <c r="N80" s="131"/>
      <c r="O80" s="131" t="str">
        <f t="shared" si="6"/>
        <v/>
      </c>
      <c r="P80" s="131" t="str">
        <f t="shared" si="7"/>
        <v/>
      </c>
      <c r="Q80" s="130"/>
      <c r="R80" s="131"/>
      <c r="S80" s="131" t="str">
        <f t="shared" si="8"/>
        <v/>
      </c>
      <c r="T80" s="1" t="str">
        <f t="shared" si="9"/>
        <v/>
      </c>
      <c r="U80" s="1" t="str">
        <f t="shared" si="10"/>
        <v/>
      </c>
      <c r="V80" s="131" t="str">
        <f t="shared" si="11"/>
        <v/>
      </c>
      <c r="W80" s="131" t="str">
        <f t="shared" si="12"/>
        <v/>
      </c>
    </row>
    <row r="81" spans="1:26" ht="15" customHeight="1" x14ac:dyDescent="0.25">
      <c r="C81" s="10"/>
      <c r="D81" s="131" t="str">
        <f t="shared" si="4"/>
        <v/>
      </c>
      <c r="E81" s="131"/>
      <c r="F81" s="131"/>
      <c r="G81" s="131"/>
      <c r="H81" s="131" t="str">
        <f t="shared" si="5"/>
        <v/>
      </c>
      <c r="I81" s="131"/>
      <c r="J81" s="131"/>
      <c r="K81" s="131"/>
      <c r="L81" s="131"/>
      <c r="M81" s="131"/>
      <c r="N81" s="131"/>
      <c r="O81" s="131" t="str">
        <f t="shared" si="6"/>
        <v/>
      </c>
      <c r="P81" s="131" t="str">
        <f t="shared" si="7"/>
        <v/>
      </c>
      <c r="Q81" s="130"/>
      <c r="R81" s="131"/>
      <c r="S81" s="131" t="str">
        <f t="shared" si="8"/>
        <v/>
      </c>
      <c r="T81" s="1" t="str">
        <f t="shared" si="9"/>
        <v/>
      </c>
      <c r="U81" s="1" t="str">
        <f t="shared" si="10"/>
        <v/>
      </c>
      <c r="V81" s="131" t="str">
        <f t="shared" si="11"/>
        <v/>
      </c>
      <c r="W81" s="131" t="str">
        <f t="shared" si="12"/>
        <v/>
      </c>
    </row>
    <row r="82" spans="1:26" ht="15" customHeight="1" x14ac:dyDescent="0.25">
      <c r="C82" s="10"/>
      <c r="D82" s="131" t="str">
        <f t="shared" si="4"/>
        <v/>
      </c>
      <c r="E82" s="131"/>
      <c r="F82" s="131"/>
      <c r="G82" s="131"/>
      <c r="H82" s="131" t="str">
        <f t="shared" si="5"/>
        <v/>
      </c>
      <c r="I82" s="131"/>
      <c r="J82" s="131"/>
      <c r="K82" s="131"/>
      <c r="L82" s="131"/>
      <c r="M82" s="131"/>
      <c r="N82" s="131"/>
      <c r="O82" s="131" t="str">
        <f t="shared" si="6"/>
        <v/>
      </c>
      <c r="P82" s="131" t="str">
        <f t="shared" si="7"/>
        <v/>
      </c>
      <c r="Q82" s="130"/>
      <c r="R82" s="131"/>
      <c r="S82" s="131" t="str">
        <f t="shared" si="8"/>
        <v/>
      </c>
      <c r="T82" s="1" t="str">
        <f t="shared" si="9"/>
        <v/>
      </c>
      <c r="U82" s="1" t="str">
        <f t="shared" si="10"/>
        <v/>
      </c>
      <c r="V82" s="131" t="str">
        <f t="shared" si="11"/>
        <v/>
      </c>
      <c r="W82" s="131" t="str">
        <f t="shared" si="12"/>
        <v/>
      </c>
    </row>
    <row r="84" spans="1:26" s="113" customFormat="1" ht="15" customHeight="1" x14ac:dyDescent="0.25">
      <c r="A84" s="7">
        <f ca="1">TODAY()</f>
        <v>44205</v>
      </c>
      <c r="B84" s="113" t="s">
        <v>65</v>
      </c>
      <c r="C84" s="113" t="s">
        <v>72</v>
      </c>
      <c r="D84" s="113" t="s">
        <v>73</v>
      </c>
      <c r="E84" s="288" t="s">
        <v>104</v>
      </c>
      <c r="F84" s="288"/>
      <c r="G84" s="288" t="s">
        <v>110</v>
      </c>
      <c r="H84" s="288"/>
      <c r="I84" s="288"/>
      <c r="J84" s="288"/>
      <c r="K84" s="288"/>
      <c r="Q84" s="11"/>
      <c r="X84" s="129"/>
      <c r="Y84" s="129"/>
      <c r="Z84" s="129"/>
    </row>
    <row r="85" spans="1:26" ht="30" customHeight="1" x14ac:dyDescent="0.25">
      <c r="B85" s="1" t="s">
        <v>365</v>
      </c>
      <c r="C85" s="10">
        <v>31830</v>
      </c>
      <c r="D85" s="131">
        <f ca="1">IF(B85&lt;&gt;0,ROUNDDOWN(($A$84-C85)/365.25,0),"")</f>
        <v>33</v>
      </c>
      <c r="E85" s="287" t="s">
        <v>198</v>
      </c>
      <c r="F85" s="287"/>
      <c r="G85" s="287" t="s">
        <v>366</v>
      </c>
      <c r="H85" s="287"/>
      <c r="I85" s="287"/>
      <c r="J85" s="287"/>
      <c r="K85" s="287"/>
    </row>
    <row r="86" spans="1:26" ht="30" customHeight="1" x14ac:dyDescent="0.25">
      <c r="B86" s="1" t="s">
        <v>367</v>
      </c>
      <c r="C86" s="10">
        <v>33988</v>
      </c>
      <c r="D86" s="131">
        <f t="shared" ref="D86:D92" ca="1" si="13">IF(B86&lt;&gt;0,ROUNDDOWN(($A$84-C86)/365.25,0),"")</f>
        <v>27</v>
      </c>
      <c r="E86" s="287" t="s">
        <v>201</v>
      </c>
      <c r="F86" s="287"/>
      <c r="G86" s="287"/>
      <c r="H86" s="287"/>
      <c r="I86" s="287"/>
      <c r="J86" s="287"/>
      <c r="K86" s="287"/>
    </row>
    <row r="87" spans="1:26" ht="30" customHeight="1" x14ac:dyDescent="0.25">
      <c r="B87" s="1" t="s">
        <v>368</v>
      </c>
      <c r="C87" s="10">
        <v>35289</v>
      </c>
      <c r="D87" s="131">
        <f t="shared" ca="1" si="13"/>
        <v>24</v>
      </c>
      <c r="E87" s="287" t="s">
        <v>369</v>
      </c>
      <c r="F87" s="287"/>
      <c r="G87" s="287"/>
      <c r="H87" s="287"/>
      <c r="I87" s="287"/>
      <c r="J87" s="287"/>
      <c r="K87" s="287"/>
    </row>
    <row r="88" spans="1:26" ht="30" customHeight="1" x14ac:dyDescent="0.25">
      <c r="B88" s="1" t="s">
        <v>370</v>
      </c>
      <c r="C88" s="10">
        <v>24331</v>
      </c>
      <c r="D88" s="131">
        <f t="shared" ca="1" si="13"/>
        <v>54</v>
      </c>
      <c r="E88" s="287" t="s">
        <v>369</v>
      </c>
      <c r="F88" s="287"/>
      <c r="G88" s="287"/>
      <c r="H88" s="287"/>
      <c r="I88" s="287"/>
      <c r="J88" s="287"/>
      <c r="K88" s="287"/>
    </row>
    <row r="89" spans="1:26" ht="30" customHeight="1" x14ac:dyDescent="0.25">
      <c r="B89" s="1" t="s">
        <v>371</v>
      </c>
      <c r="C89" s="10">
        <v>31439</v>
      </c>
      <c r="D89" s="131">
        <f t="shared" ca="1" si="13"/>
        <v>34</v>
      </c>
      <c r="E89" s="287" t="s">
        <v>111</v>
      </c>
      <c r="F89" s="287"/>
      <c r="G89" s="287"/>
      <c r="H89" s="287"/>
      <c r="I89" s="287"/>
      <c r="J89" s="287"/>
      <c r="K89" s="287"/>
    </row>
    <row r="90" spans="1:26" ht="30" customHeight="1" x14ac:dyDescent="0.25">
      <c r="D90" s="131" t="str">
        <f t="shared" si="13"/>
        <v/>
      </c>
      <c r="E90" s="287"/>
      <c r="F90" s="287"/>
      <c r="G90" s="287"/>
      <c r="H90" s="287"/>
      <c r="I90" s="287"/>
      <c r="J90" s="287"/>
      <c r="K90" s="287"/>
    </row>
    <row r="91" spans="1:26" ht="30" customHeight="1" x14ac:dyDescent="0.25">
      <c r="D91" s="131" t="str">
        <f t="shared" si="13"/>
        <v/>
      </c>
      <c r="E91" s="287"/>
      <c r="F91" s="287"/>
      <c r="G91" s="287"/>
      <c r="H91" s="287"/>
      <c r="I91" s="287"/>
      <c r="J91" s="287"/>
      <c r="K91" s="287"/>
    </row>
    <row r="92" spans="1:26" ht="30" customHeight="1" x14ac:dyDescent="0.25">
      <c r="D92" s="131" t="str">
        <f t="shared" si="13"/>
        <v/>
      </c>
      <c r="E92" s="287"/>
      <c r="F92" s="287"/>
      <c r="G92" s="287"/>
      <c r="H92" s="287"/>
      <c r="I92" s="287"/>
      <c r="J92" s="287"/>
      <c r="K92" s="287"/>
    </row>
  </sheetData>
  <sortState ref="B38:T64">
    <sortCondition ref="B38:B64"/>
  </sortState>
  <mergeCells count="19">
    <mergeCell ref="E84:F84"/>
    <mergeCell ref="G84:K84"/>
    <mergeCell ref="E85:F85"/>
    <mergeCell ref="G85:K85"/>
    <mergeCell ref="E86:F86"/>
    <mergeCell ref="G86:K86"/>
    <mergeCell ref="G92:K92"/>
    <mergeCell ref="X46:Z46"/>
    <mergeCell ref="E90:F90"/>
    <mergeCell ref="G90:K90"/>
    <mergeCell ref="E91:F91"/>
    <mergeCell ref="G91:K91"/>
    <mergeCell ref="E92:F92"/>
    <mergeCell ref="E87:F87"/>
    <mergeCell ref="G87:K87"/>
    <mergeCell ref="E88:F88"/>
    <mergeCell ref="G88:K88"/>
    <mergeCell ref="E89:F89"/>
    <mergeCell ref="G89:K89"/>
  </mergeCell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B22" sqref="B22"/>
    </sheetView>
  </sheetViews>
  <sheetFormatPr defaultRowHeight="15" x14ac:dyDescent="0.25"/>
  <cols>
    <col min="2" max="2" width="18.85546875" bestFit="1" customWidth="1"/>
  </cols>
  <sheetData>
    <row r="1" spans="1:6" x14ac:dyDescent="0.25">
      <c r="A1" s="288" t="s">
        <v>36</v>
      </c>
      <c r="B1" s="1" t="s">
        <v>343</v>
      </c>
      <c r="C1" s="137">
        <v>44</v>
      </c>
      <c r="D1" s="289" t="str">
        <f t="shared" ref="D1:D30" si="0">IFERROR(RIGHT(B1,LEN(B1)-SEARCH(" ",B1)),"")</f>
        <v>Adam Delong</v>
      </c>
      <c r="E1" s="289"/>
      <c r="F1" s="114"/>
    </row>
    <row r="2" spans="1:6" x14ac:dyDescent="0.25">
      <c r="A2" s="288"/>
      <c r="B2" s="1" t="s">
        <v>344</v>
      </c>
      <c r="C2" s="137">
        <v>35</v>
      </c>
      <c r="D2" s="289" t="str">
        <f t="shared" si="0"/>
        <v>Rostislav Gattnar</v>
      </c>
      <c r="E2" s="289"/>
      <c r="F2" s="114"/>
    </row>
    <row r="3" spans="1:6" x14ac:dyDescent="0.25">
      <c r="A3" s="288"/>
      <c r="B3" s="1" t="s">
        <v>345</v>
      </c>
      <c r="C3" s="137">
        <v>35</v>
      </c>
      <c r="D3" s="289" t="str">
        <f t="shared" si="0"/>
        <v>Matyáš Šindler</v>
      </c>
      <c r="E3" s="289"/>
      <c r="F3" s="114"/>
    </row>
    <row r="4" spans="1:6" x14ac:dyDescent="0.25">
      <c r="A4" s="288"/>
      <c r="B4" s="1" t="s">
        <v>346</v>
      </c>
      <c r="C4" s="137">
        <v>25</v>
      </c>
      <c r="D4" s="289" t="str">
        <f t="shared" si="0"/>
        <v>Lukáš Hájek</v>
      </c>
      <c r="E4" s="289"/>
      <c r="F4" s="114"/>
    </row>
    <row r="5" spans="1:6" x14ac:dyDescent="0.25">
      <c r="A5" s="288"/>
      <c r="B5" s="1" t="s">
        <v>347</v>
      </c>
      <c r="C5" s="137">
        <v>25</v>
      </c>
      <c r="D5" s="289" t="str">
        <f t="shared" si="0"/>
        <v>Marek Matejčík</v>
      </c>
      <c r="E5" s="289"/>
      <c r="F5" s="114"/>
    </row>
    <row r="6" spans="1:6" x14ac:dyDescent="0.25">
      <c r="A6" s="288" t="s">
        <v>35</v>
      </c>
      <c r="B6" s="1" t="s">
        <v>343</v>
      </c>
      <c r="C6" s="137">
        <v>29</v>
      </c>
      <c r="D6" s="289" t="str">
        <f t="shared" si="0"/>
        <v>Adam Delong</v>
      </c>
      <c r="E6" s="289"/>
      <c r="F6" s="114"/>
    </row>
    <row r="7" spans="1:6" x14ac:dyDescent="0.25">
      <c r="A7" s="288"/>
      <c r="B7" s="1" t="s">
        <v>344</v>
      </c>
      <c r="C7" s="137">
        <v>23</v>
      </c>
      <c r="D7" s="289" t="str">
        <f t="shared" si="0"/>
        <v>Rostislav Gattnar</v>
      </c>
      <c r="E7" s="289"/>
      <c r="F7" s="114"/>
    </row>
    <row r="8" spans="1:6" x14ac:dyDescent="0.25">
      <c r="A8" s="288"/>
      <c r="B8" s="1" t="s">
        <v>348</v>
      </c>
      <c r="C8" s="137">
        <v>15</v>
      </c>
      <c r="D8" s="289" t="str">
        <f t="shared" si="0"/>
        <v>Lukáš Hájek</v>
      </c>
      <c r="E8" s="289"/>
      <c r="F8" s="114"/>
    </row>
    <row r="9" spans="1:6" x14ac:dyDescent="0.25">
      <c r="A9" s="288"/>
      <c r="B9" s="1" t="s">
        <v>349</v>
      </c>
      <c r="C9" s="137">
        <v>12</v>
      </c>
      <c r="D9" s="289" t="str">
        <f t="shared" si="0"/>
        <v>Jan Šebesta</v>
      </c>
      <c r="E9" s="289"/>
      <c r="F9" s="114"/>
    </row>
    <row r="10" spans="1:6" x14ac:dyDescent="0.25">
      <c r="A10" s="288"/>
      <c r="B10" s="1" t="s">
        <v>350</v>
      </c>
      <c r="C10" s="137">
        <v>12</v>
      </c>
      <c r="D10" s="289" t="str">
        <f t="shared" si="0"/>
        <v>Marek Bräuer</v>
      </c>
      <c r="E10" s="289"/>
      <c r="F10" s="114"/>
    </row>
    <row r="11" spans="1:6" x14ac:dyDescent="0.25">
      <c r="A11" s="288" t="s">
        <v>37</v>
      </c>
      <c r="B11" s="1" t="s">
        <v>351</v>
      </c>
      <c r="C11" s="137">
        <v>26</v>
      </c>
      <c r="D11" s="289" t="str">
        <f t="shared" si="0"/>
        <v>Matyáš Šindler</v>
      </c>
      <c r="E11" s="289"/>
      <c r="F11" s="114"/>
    </row>
    <row r="12" spans="1:6" x14ac:dyDescent="0.25">
      <c r="A12" s="288"/>
      <c r="B12" s="1" t="s">
        <v>352</v>
      </c>
      <c r="C12" s="137">
        <v>15</v>
      </c>
      <c r="D12" s="289" t="str">
        <f t="shared" si="0"/>
        <v>Adam Delong</v>
      </c>
      <c r="E12" s="289"/>
      <c r="F12" s="114"/>
    </row>
    <row r="13" spans="1:6" x14ac:dyDescent="0.25">
      <c r="A13" s="288"/>
      <c r="B13" s="1" t="s">
        <v>353</v>
      </c>
      <c r="C13" s="137">
        <v>15</v>
      </c>
      <c r="D13" s="289" t="str">
        <f t="shared" si="0"/>
        <v>Marek Matejčík</v>
      </c>
      <c r="E13" s="289"/>
      <c r="F13" s="114"/>
    </row>
    <row r="14" spans="1:6" x14ac:dyDescent="0.25">
      <c r="A14" s="288"/>
      <c r="B14" s="1" t="s">
        <v>354</v>
      </c>
      <c r="C14" s="137">
        <v>12</v>
      </c>
      <c r="D14" s="289" t="str">
        <f t="shared" si="0"/>
        <v>Rostislav Gattnar</v>
      </c>
      <c r="E14" s="289"/>
      <c r="F14" s="114"/>
    </row>
    <row r="15" spans="1:6" x14ac:dyDescent="0.25">
      <c r="A15" s="288"/>
      <c r="B15" s="1" t="s">
        <v>355</v>
      </c>
      <c r="C15" s="137">
        <v>10</v>
      </c>
      <c r="D15" s="289" t="str">
        <f t="shared" si="0"/>
        <v>Lukáš Hájek</v>
      </c>
      <c r="E15" s="289"/>
      <c r="F15" s="114"/>
    </row>
    <row r="16" spans="1:6" x14ac:dyDescent="0.25">
      <c r="A16" s="288" t="s">
        <v>38</v>
      </c>
      <c r="B16" s="1" t="s">
        <v>356</v>
      </c>
      <c r="C16" s="137">
        <v>6</v>
      </c>
      <c r="D16" s="289" t="str">
        <f t="shared" si="0"/>
        <v>Tomáš Sladký</v>
      </c>
      <c r="E16" s="289"/>
      <c r="F16" s="114"/>
    </row>
    <row r="17" spans="1:6" x14ac:dyDescent="0.25">
      <c r="A17" s="288"/>
      <c r="B17" s="1" t="s">
        <v>357</v>
      </c>
      <c r="C17" s="137">
        <v>4</v>
      </c>
      <c r="D17" s="289" t="str">
        <f t="shared" si="0"/>
        <v>Daniels Janis Anis</v>
      </c>
      <c r="E17" s="289"/>
      <c r="F17" s="114"/>
    </row>
    <row r="18" spans="1:6" x14ac:dyDescent="0.25">
      <c r="A18" s="288"/>
      <c r="B18" s="1" t="s">
        <v>358</v>
      </c>
      <c r="C18" s="137">
        <v>4</v>
      </c>
      <c r="D18" s="289" t="str">
        <f t="shared" si="0"/>
        <v>Jan Šebesta</v>
      </c>
      <c r="E18" s="289"/>
      <c r="F18" s="114"/>
    </row>
    <row r="19" spans="1:6" x14ac:dyDescent="0.25">
      <c r="A19" s="288"/>
      <c r="B19" s="1" t="s">
        <v>359</v>
      </c>
      <c r="C19" s="137">
        <v>4</v>
      </c>
      <c r="D19" s="289" t="str">
        <f t="shared" si="0"/>
        <v>Marek Bräuer</v>
      </c>
      <c r="E19" s="289"/>
      <c r="F19" s="114"/>
    </row>
    <row r="20" spans="1:6" x14ac:dyDescent="0.25">
      <c r="A20" s="288"/>
      <c r="B20" s="1" t="s">
        <v>360</v>
      </c>
      <c r="C20" s="137">
        <v>4</v>
      </c>
      <c r="D20" s="289" t="str">
        <f t="shared" si="0"/>
        <v>Martin Nehera</v>
      </c>
      <c r="E20" s="289"/>
      <c r="F20" s="114"/>
    </row>
    <row r="21" spans="1:6" x14ac:dyDescent="0.25">
      <c r="A21" s="288" t="s">
        <v>273</v>
      </c>
      <c r="B21" s="1" t="s">
        <v>361</v>
      </c>
      <c r="C21" s="137" t="s">
        <v>362</v>
      </c>
      <c r="D21" s="289" t="str">
        <f t="shared" si="0"/>
        <v>Lukáš Souček</v>
      </c>
      <c r="E21" s="289"/>
      <c r="F21" s="114">
        <f t="shared" ref="F21:F30" si="1">IF(B21&lt;&gt;0,_xlfn.NUMBERVALUE(C21,","),"")</f>
        <v>3.94</v>
      </c>
    </row>
    <row r="22" spans="1:6" x14ac:dyDescent="0.25">
      <c r="A22" s="288"/>
      <c r="B22" s="1" t="s">
        <v>363</v>
      </c>
      <c r="C22" s="137" t="s">
        <v>364</v>
      </c>
      <c r="D22" s="289" t="str">
        <f t="shared" si="0"/>
        <v>Denis Jasiok</v>
      </c>
      <c r="E22" s="289"/>
      <c r="F22" s="114">
        <f t="shared" si="1"/>
        <v>5.33</v>
      </c>
    </row>
    <row r="23" spans="1:6" x14ac:dyDescent="0.25">
      <c r="A23" s="288"/>
      <c r="B23" s="1"/>
      <c r="C23" s="123"/>
      <c r="D23" s="289" t="str">
        <f t="shared" si="0"/>
        <v/>
      </c>
      <c r="E23" s="289"/>
      <c r="F23" s="114" t="str">
        <f t="shared" si="1"/>
        <v/>
      </c>
    </row>
    <row r="24" spans="1:6" x14ac:dyDescent="0.25">
      <c r="A24" s="288"/>
      <c r="B24" s="1"/>
      <c r="C24" s="123"/>
      <c r="D24" s="289" t="str">
        <f t="shared" si="0"/>
        <v/>
      </c>
      <c r="E24" s="289"/>
      <c r="F24" s="114" t="str">
        <f t="shared" si="1"/>
        <v/>
      </c>
    </row>
    <row r="25" spans="1:6" x14ac:dyDescent="0.25">
      <c r="A25" s="288"/>
      <c r="B25" s="1"/>
      <c r="C25" s="114"/>
      <c r="D25" s="289" t="str">
        <f t="shared" si="0"/>
        <v/>
      </c>
      <c r="E25" s="289"/>
      <c r="F25" s="114" t="str">
        <f t="shared" si="1"/>
        <v/>
      </c>
    </row>
    <row r="26" spans="1:6" x14ac:dyDescent="0.25">
      <c r="A26" s="288" t="s">
        <v>253</v>
      </c>
      <c r="B26" s="1" t="s">
        <v>361</v>
      </c>
      <c r="C26" s="137">
        <v>12</v>
      </c>
      <c r="D26" s="289" t="str">
        <f t="shared" si="0"/>
        <v>Lukáš Souček</v>
      </c>
      <c r="E26" s="289"/>
      <c r="F26" s="114">
        <f t="shared" si="1"/>
        <v>12</v>
      </c>
    </row>
    <row r="27" spans="1:6" x14ac:dyDescent="0.25">
      <c r="A27" s="288"/>
      <c r="B27" s="1" t="s">
        <v>363</v>
      </c>
      <c r="C27" s="137">
        <v>2</v>
      </c>
      <c r="D27" s="289" t="str">
        <f t="shared" si="0"/>
        <v>Denis Jasiok</v>
      </c>
      <c r="E27" s="289"/>
      <c r="F27" s="114">
        <f t="shared" si="1"/>
        <v>2</v>
      </c>
    </row>
    <row r="28" spans="1:6" x14ac:dyDescent="0.25">
      <c r="A28" s="288"/>
      <c r="B28" s="1"/>
      <c r="C28" s="123"/>
      <c r="D28" s="289" t="str">
        <f t="shared" si="0"/>
        <v/>
      </c>
      <c r="E28" s="289"/>
      <c r="F28" s="114" t="str">
        <f t="shared" si="1"/>
        <v/>
      </c>
    </row>
    <row r="29" spans="1:6" x14ac:dyDescent="0.25">
      <c r="A29" s="288"/>
      <c r="B29" s="1"/>
      <c r="C29" s="123"/>
      <c r="D29" s="289" t="str">
        <f t="shared" si="0"/>
        <v/>
      </c>
      <c r="E29" s="289"/>
      <c r="F29" s="114" t="str">
        <f t="shared" si="1"/>
        <v/>
      </c>
    </row>
    <row r="30" spans="1:6" x14ac:dyDescent="0.25">
      <c r="A30" s="288"/>
      <c r="B30" s="1"/>
      <c r="C30" s="1"/>
      <c r="D30" s="286" t="str">
        <f t="shared" si="0"/>
        <v/>
      </c>
      <c r="E30" s="286"/>
      <c r="F30" s="114" t="str">
        <f t="shared" si="1"/>
        <v/>
      </c>
    </row>
  </sheetData>
  <mergeCells count="36">
    <mergeCell ref="A1:A5"/>
    <mergeCell ref="D1:E1"/>
    <mergeCell ref="D2:E2"/>
    <mergeCell ref="D3:E3"/>
    <mergeCell ref="D4:E4"/>
    <mergeCell ref="D5:E5"/>
    <mergeCell ref="A6:A10"/>
    <mergeCell ref="D6:E6"/>
    <mergeCell ref="D7:E7"/>
    <mergeCell ref="D8:E8"/>
    <mergeCell ref="D9:E9"/>
    <mergeCell ref="D10:E10"/>
    <mergeCell ref="A11:A15"/>
    <mergeCell ref="D11:E11"/>
    <mergeCell ref="D12:E12"/>
    <mergeCell ref="D13:E13"/>
    <mergeCell ref="D14:E14"/>
    <mergeCell ref="D15:E15"/>
    <mergeCell ref="A16:A20"/>
    <mergeCell ref="D16:E16"/>
    <mergeCell ref="D17:E17"/>
    <mergeCell ref="D18:E18"/>
    <mergeCell ref="D19:E19"/>
    <mergeCell ref="D20:E20"/>
    <mergeCell ref="A21:A25"/>
    <mergeCell ref="D21:E21"/>
    <mergeCell ref="D22:E22"/>
    <mergeCell ref="D23:E23"/>
    <mergeCell ref="D24:E24"/>
    <mergeCell ref="D25:E25"/>
    <mergeCell ref="A26:A30"/>
    <mergeCell ref="D26:E26"/>
    <mergeCell ref="D27:E27"/>
    <mergeCell ref="D28:E28"/>
    <mergeCell ref="D29:E29"/>
    <mergeCell ref="D30:E30"/>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2"/>
  <sheetViews>
    <sheetView zoomScaleNormal="100" workbookViewId="0">
      <selection activeCell="H82" sqref="H82"/>
    </sheetView>
  </sheetViews>
  <sheetFormatPr defaultRowHeight="15" customHeight="1" x14ac:dyDescent="0.25"/>
  <cols>
    <col min="1" max="1" width="10.140625" style="1" bestFit="1" customWidth="1"/>
    <col min="2" max="2" width="19.140625" style="1" bestFit="1" customWidth="1"/>
    <col min="3" max="3" width="10.140625" style="1" bestFit="1" customWidth="1"/>
    <col min="4" max="14" width="9.140625" style="131" customWidth="1"/>
    <col min="15" max="15" width="22" style="131" bestFit="1" customWidth="1"/>
    <col min="16" max="16" width="9.140625" style="131" customWidth="1"/>
    <col min="17" max="17" width="23.140625" style="130" customWidth="1"/>
    <col min="18" max="18" width="9.140625" style="1" customWidth="1"/>
    <col min="19" max="19" width="12.5703125" style="131" bestFit="1" customWidth="1"/>
    <col min="20" max="20" width="11.85546875" style="1" bestFit="1" customWidth="1"/>
    <col min="21" max="23" width="9.140625" style="1"/>
    <col min="24" max="26" width="13.7109375" style="131" customWidth="1"/>
    <col min="27" max="16384" width="9.140625" style="1"/>
  </cols>
  <sheetData>
    <row r="1" spans="1:26" s="129" customFormat="1" ht="15" customHeight="1" x14ac:dyDescent="0.25">
      <c r="A1" s="9" t="s">
        <v>64</v>
      </c>
      <c r="B1" s="129" t="s">
        <v>65</v>
      </c>
      <c r="D1" s="129" t="s">
        <v>66</v>
      </c>
      <c r="E1" s="129" t="s">
        <v>67</v>
      </c>
      <c r="F1" s="129" t="s">
        <v>35</v>
      </c>
      <c r="G1" s="129" t="s">
        <v>68</v>
      </c>
      <c r="H1" s="129" t="s">
        <v>69</v>
      </c>
      <c r="I1" s="129" t="s">
        <v>37</v>
      </c>
      <c r="J1" s="129" t="s">
        <v>36</v>
      </c>
      <c r="K1" s="129" t="s">
        <v>38</v>
      </c>
      <c r="L1" s="129" t="s">
        <v>70</v>
      </c>
      <c r="M1" s="129" t="s">
        <v>30</v>
      </c>
      <c r="N1" s="3" t="s">
        <v>71</v>
      </c>
      <c r="O1" s="129" t="s">
        <v>86</v>
      </c>
      <c r="Q1" s="135" t="s">
        <v>49</v>
      </c>
    </row>
    <row r="2" spans="1:26" s="4" customFormat="1" x14ac:dyDescent="0.25">
      <c r="A2" s="64">
        <v>1</v>
      </c>
      <c r="B2" s="4" t="s">
        <v>386</v>
      </c>
      <c r="D2" s="5" t="s">
        <v>57</v>
      </c>
      <c r="E2" s="5">
        <v>11</v>
      </c>
      <c r="F2" s="5">
        <v>11</v>
      </c>
      <c r="G2" s="5">
        <v>3</v>
      </c>
      <c r="H2" s="5">
        <v>1</v>
      </c>
      <c r="I2" s="5">
        <v>18</v>
      </c>
      <c r="J2" s="5">
        <v>29</v>
      </c>
      <c r="K2" s="5">
        <v>2</v>
      </c>
      <c r="L2" s="5">
        <v>33</v>
      </c>
      <c r="M2" s="5">
        <v>14</v>
      </c>
      <c r="N2" s="5">
        <v>19</v>
      </c>
      <c r="O2" s="131" t="str">
        <f>IF(B2&lt;&gt;0,CONCATENATE(E2 + IFERROR(VLOOKUP(B2,$B$48:$Z$82,23, FALSE),"error_matches")," OZ , ",J2 + IFERROR(VLOOKUP(B2,$B$48:$Z$82,24, FALSE),"error_goals") + IFERROR(VLOOKUP(B2,$B$48:$Z$82,25, FALSE),"error_assists")," (",F2 + IFERROR(VLOOKUP(B2,$B$48:$Z$82,24, FALSE),"error_goals"),"+",I2 + + IFERROR(VLOOKUP(B2,$B$48:$Z$82,25, FALSE),"error_assists"),"), ",IF(N2&gt;0,"+",""),N2," ±"),"")</f>
        <v>11 OZ , 29 (11+18), +19 ±</v>
      </c>
      <c r="P2" s="5"/>
      <c r="Q2" s="134"/>
      <c r="S2" s="5"/>
      <c r="X2" s="5"/>
      <c r="Y2" s="5"/>
      <c r="Z2" s="5"/>
    </row>
    <row r="3" spans="1:26" s="4" customFormat="1" x14ac:dyDescent="0.25">
      <c r="A3" s="64">
        <v>2</v>
      </c>
      <c r="B3" s="4" t="s">
        <v>387</v>
      </c>
      <c r="D3" s="5" t="s">
        <v>57</v>
      </c>
      <c r="E3" s="5">
        <v>11</v>
      </c>
      <c r="F3" s="5">
        <v>15</v>
      </c>
      <c r="G3" s="5">
        <v>3</v>
      </c>
      <c r="H3" s="5">
        <v>0</v>
      </c>
      <c r="I3" s="5">
        <v>10</v>
      </c>
      <c r="J3" s="5">
        <v>25</v>
      </c>
      <c r="K3" s="5">
        <v>16</v>
      </c>
      <c r="L3" s="5">
        <v>34</v>
      </c>
      <c r="M3" s="5">
        <v>15</v>
      </c>
      <c r="N3" s="5">
        <v>19</v>
      </c>
      <c r="O3" s="131" t="str">
        <f t="shared" ref="O3:O35" si="0">IF(B3&lt;&gt;0,CONCATENATE(E3 + IFERROR(VLOOKUP(B3,$B$48:$Z$82,23, FALSE),"error_matches")," OZ , ",J3 + IFERROR(VLOOKUP(B3,$B$48:$Z$82,24, FALSE),"error_goals") + IFERROR(VLOOKUP(B3,$B$48:$Z$82,25, FALSE),"error_assists")," (",F3 + IFERROR(VLOOKUP(B3,$B$48:$Z$82,24, FALSE),"error_goals"),"+",I3 + + IFERROR(VLOOKUP(B3,$B$48:$Z$82,25, FALSE),"error_assists"),"), ",IF(N3&gt;0,"+",""),N3," ±"),"")</f>
        <v>11 OZ , 25 (15+10), +19 ±</v>
      </c>
      <c r="P3" s="5"/>
      <c r="Q3" s="134"/>
      <c r="S3" s="5"/>
      <c r="X3" s="5"/>
      <c r="Y3" s="5"/>
      <c r="Z3" s="5"/>
    </row>
    <row r="4" spans="1:26" s="4" customFormat="1" x14ac:dyDescent="0.25">
      <c r="A4" s="64">
        <v>3</v>
      </c>
      <c r="B4" s="4" t="s">
        <v>388</v>
      </c>
      <c r="D4" s="5" t="s">
        <v>57</v>
      </c>
      <c r="E4" s="5">
        <v>11</v>
      </c>
      <c r="F4" s="5">
        <v>16</v>
      </c>
      <c r="G4" s="5">
        <v>0</v>
      </c>
      <c r="H4" s="5">
        <v>0</v>
      </c>
      <c r="I4" s="5">
        <v>3</v>
      </c>
      <c r="J4" s="5">
        <v>19</v>
      </c>
      <c r="K4" s="5">
        <v>0</v>
      </c>
      <c r="L4" s="5">
        <v>32</v>
      </c>
      <c r="M4" s="5">
        <v>13</v>
      </c>
      <c r="N4" s="5">
        <v>19</v>
      </c>
      <c r="O4" s="131" t="str">
        <f t="shared" si="0"/>
        <v>11 OZ , 19 (16+3), +19 ±</v>
      </c>
      <c r="P4" s="5"/>
      <c r="Q4" s="134"/>
      <c r="S4" s="5"/>
      <c r="X4" s="5"/>
      <c r="Y4" s="5"/>
      <c r="Z4" s="5"/>
    </row>
    <row r="5" spans="1:26" s="4" customFormat="1" x14ac:dyDescent="0.25">
      <c r="A5" s="64">
        <v>4</v>
      </c>
      <c r="B5" s="4" t="s">
        <v>389</v>
      </c>
      <c r="D5" s="5"/>
      <c r="E5" s="5">
        <v>11</v>
      </c>
      <c r="F5" s="5">
        <v>5</v>
      </c>
      <c r="G5" s="5">
        <v>0</v>
      </c>
      <c r="H5" s="5">
        <v>0</v>
      </c>
      <c r="I5" s="5">
        <v>7</v>
      </c>
      <c r="J5" s="5">
        <v>12</v>
      </c>
      <c r="K5" s="5">
        <v>4</v>
      </c>
      <c r="L5" s="5">
        <v>25</v>
      </c>
      <c r="M5" s="5">
        <v>12</v>
      </c>
      <c r="N5" s="5">
        <v>13</v>
      </c>
      <c r="O5" s="131" t="str">
        <f t="shared" si="0"/>
        <v>11 OZ , 12 (5+7), +13 ±</v>
      </c>
      <c r="P5" s="5"/>
      <c r="Q5" s="134"/>
      <c r="S5" s="5"/>
      <c r="X5" s="5"/>
      <c r="Y5" s="5"/>
      <c r="Z5" s="5"/>
    </row>
    <row r="6" spans="1:26" x14ac:dyDescent="0.25">
      <c r="A6" s="65">
        <v>5</v>
      </c>
      <c r="B6" s="1" t="s">
        <v>390</v>
      </c>
      <c r="D6" s="137"/>
      <c r="E6" s="137">
        <v>11</v>
      </c>
      <c r="F6" s="137">
        <v>10</v>
      </c>
      <c r="G6" s="137">
        <v>0</v>
      </c>
      <c r="H6" s="137">
        <v>0</v>
      </c>
      <c r="I6" s="137">
        <v>1</v>
      </c>
      <c r="J6" s="137">
        <v>11</v>
      </c>
      <c r="K6" s="137">
        <v>12</v>
      </c>
      <c r="L6" s="137">
        <v>21</v>
      </c>
      <c r="M6" s="137">
        <v>11</v>
      </c>
      <c r="N6" s="137">
        <v>10</v>
      </c>
      <c r="O6" s="131" t="str">
        <f t="shared" si="0"/>
        <v>11 OZ , 11 (10+1), +10 ±</v>
      </c>
    </row>
    <row r="7" spans="1:26" x14ac:dyDescent="0.25">
      <c r="A7" s="65">
        <v>6</v>
      </c>
      <c r="B7" s="1" t="s">
        <v>391</v>
      </c>
      <c r="D7" s="137" t="s">
        <v>57</v>
      </c>
      <c r="E7" s="137">
        <v>11</v>
      </c>
      <c r="F7" s="137">
        <v>4</v>
      </c>
      <c r="G7" s="137">
        <v>0</v>
      </c>
      <c r="H7" s="137">
        <v>0</v>
      </c>
      <c r="I7" s="137">
        <v>7</v>
      </c>
      <c r="J7" s="137">
        <v>11</v>
      </c>
      <c r="K7" s="137">
        <v>0</v>
      </c>
      <c r="L7" s="137">
        <v>15</v>
      </c>
      <c r="M7" s="137">
        <v>6</v>
      </c>
      <c r="N7" s="137">
        <v>9</v>
      </c>
      <c r="O7" s="131" t="str">
        <f t="shared" si="0"/>
        <v>11 OZ , 11 (4+7), +9 ±</v>
      </c>
    </row>
    <row r="8" spans="1:26" x14ac:dyDescent="0.25">
      <c r="A8" s="65">
        <v>7</v>
      </c>
      <c r="B8" s="1" t="s">
        <v>392</v>
      </c>
      <c r="D8" s="137" t="s">
        <v>52</v>
      </c>
      <c r="E8" s="137">
        <v>11</v>
      </c>
      <c r="F8" s="137">
        <v>4</v>
      </c>
      <c r="G8" s="137">
        <v>1</v>
      </c>
      <c r="H8" s="137">
        <v>0</v>
      </c>
      <c r="I8" s="137">
        <v>7</v>
      </c>
      <c r="J8" s="137">
        <v>11</v>
      </c>
      <c r="K8" s="137">
        <v>4</v>
      </c>
      <c r="L8" s="137">
        <v>35</v>
      </c>
      <c r="M8" s="137">
        <v>13</v>
      </c>
      <c r="N8" s="137">
        <v>22</v>
      </c>
      <c r="O8" s="131" t="str">
        <f t="shared" si="0"/>
        <v>11 OZ , 11 (4+7), +22 ±</v>
      </c>
    </row>
    <row r="9" spans="1:26" x14ac:dyDescent="0.25">
      <c r="A9" s="65">
        <v>8</v>
      </c>
      <c r="B9" s="1" t="s">
        <v>393</v>
      </c>
      <c r="D9" s="137"/>
      <c r="E9" s="137">
        <v>11</v>
      </c>
      <c r="F9" s="137">
        <v>7</v>
      </c>
      <c r="G9" s="137">
        <v>0</v>
      </c>
      <c r="H9" s="137">
        <v>0</v>
      </c>
      <c r="I9" s="137">
        <v>3</v>
      </c>
      <c r="J9" s="137">
        <v>10</v>
      </c>
      <c r="K9" s="137">
        <v>0</v>
      </c>
      <c r="L9" s="137">
        <v>19</v>
      </c>
      <c r="M9" s="137">
        <v>10</v>
      </c>
      <c r="N9" s="137">
        <v>9</v>
      </c>
      <c r="O9" s="131" t="str">
        <f t="shared" si="0"/>
        <v>11 OZ , 10 (7+3), +9 ±</v>
      </c>
    </row>
    <row r="10" spans="1:26" x14ac:dyDescent="0.25">
      <c r="A10" s="65">
        <v>9</v>
      </c>
      <c r="B10" s="1" t="s">
        <v>394</v>
      </c>
      <c r="D10" s="137" t="s">
        <v>57</v>
      </c>
      <c r="E10" s="137">
        <v>10</v>
      </c>
      <c r="F10" s="137">
        <v>5</v>
      </c>
      <c r="G10" s="137">
        <v>0</v>
      </c>
      <c r="H10" s="137">
        <v>0</v>
      </c>
      <c r="I10" s="137">
        <v>4</v>
      </c>
      <c r="J10" s="137">
        <v>9</v>
      </c>
      <c r="K10" s="137">
        <v>0</v>
      </c>
      <c r="L10" s="137">
        <v>17</v>
      </c>
      <c r="M10" s="137">
        <v>7</v>
      </c>
      <c r="N10" s="137">
        <v>10</v>
      </c>
      <c r="O10" s="131" t="str">
        <f t="shared" si="0"/>
        <v>10 OZ , 9 (5+4), +10 ±</v>
      </c>
    </row>
    <row r="11" spans="1:26" x14ac:dyDescent="0.25">
      <c r="A11" s="65">
        <v>10</v>
      </c>
      <c r="B11" s="1" t="s">
        <v>395</v>
      </c>
      <c r="D11" s="137"/>
      <c r="E11" s="137">
        <v>11</v>
      </c>
      <c r="F11" s="137">
        <v>3</v>
      </c>
      <c r="G11" s="137">
        <v>0</v>
      </c>
      <c r="H11" s="137">
        <v>0</v>
      </c>
      <c r="I11" s="137">
        <v>6</v>
      </c>
      <c r="J11" s="137">
        <v>9</v>
      </c>
      <c r="K11" s="137">
        <v>6</v>
      </c>
      <c r="L11" s="137">
        <v>20</v>
      </c>
      <c r="M11" s="137">
        <v>10</v>
      </c>
      <c r="N11" s="137">
        <v>10</v>
      </c>
      <c r="O11" s="131" t="str">
        <f t="shared" si="0"/>
        <v>11 OZ , 9 (3+6), +10 ±</v>
      </c>
    </row>
    <row r="12" spans="1:26" x14ac:dyDescent="0.25">
      <c r="A12" s="65">
        <v>11</v>
      </c>
      <c r="B12" s="1" t="s">
        <v>396</v>
      </c>
      <c r="D12" s="137"/>
      <c r="E12" s="137">
        <v>8</v>
      </c>
      <c r="F12" s="137">
        <v>5</v>
      </c>
      <c r="G12" s="137">
        <v>0</v>
      </c>
      <c r="H12" s="137">
        <v>0</v>
      </c>
      <c r="I12" s="137">
        <v>3</v>
      </c>
      <c r="J12" s="137">
        <v>8</v>
      </c>
      <c r="K12" s="137">
        <v>2</v>
      </c>
      <c r="L12" s="137">
        <v>9</v>
      </c>
      <c r="M12" s="137">
        <v>3</v>
      </c>
      <c r="N12" s="137">
        <v>6</v>
      </c>
      <c r="O12" s="131" t="str">
        <f t="shared" si="0"/>
        <v>8 OZ , 8 (5+3), +6 ±</v>
      </c>
    </row>
    <row r="13" spans="1:26" x14ac:dyDescent="0.25">
      <c r="A13" s="65">
        <v>12</v>
      </c>
      <c r="B13" s="1" t="s">
        <v>397</v>
      </c>
      <c r="D13" s="137" t="s">
        <v>57</v>
      </c>
      <c r="E13" s="137">
        <v>7</v>
      </c>
      <c r="F13" s="137">
        <v>1</v>
      </c>
      <c r="G13" s="137">
        <v>0</v>
      </c>
      <c r="H13" s="137">
        <v>0</v>
      </c>
      <c r="I13" s="137">
        <v>7</v>
      </c>
      <c r="J13" s="137">
        <v>8</v>
      </c>
      <c r="K13" s="137">
        <v>0</v>
      </c>
      <c r="L13" s="137">
        <v>10</v>
      </c>
      <c r="M13" s="137">
        <v>5</v>
      </c>
      <c r="N13" s="137">
        <v>5</v>
      </c>
      <c r="O13" s="131" t="str">
        <f t="shared" si="0"/>
        <v>7 OZ , 8 (1+7), +5 ±</v>
      </c>
    </row>
    <row r="14" spans="1:26" x14ac:dyDescent="0.25">
      <c r="A14" s="65">
        <v>13</v>
      </c>
      <c r="B14" s="1" t="s">
        <v>398</v>
      </c>
      <c r="D14" s="137"/>
      <c r="E14" s="137">
        <v>10</v>
      </c>
      <c r="F14" s="137">
        <v>4</v>
      </c>
      <c r="G14" s="137">
        <v>0</v>
      </c>
      <c r="H14" s="137">
        <v>0</v>
      </c>
      <c r="I14" s="137">
        <v>2</v>
      </c>
      <c r="J14" s="137">
        <v>6</v>
      </c>
      <c r="K14" s="137">
        <v>2</v>
      </c>
      <c r="L14" s="137">
        <v>16</v>
      </c>
      <c r="M14" s="137">
        <v>7</v>
      </c>
      <c r="N14" s="137">
        <v>9</v>
      </c>
      <c r="O14" s="131" t="str">
        <f t="shared" si="0"/>
        <v>10 OZ , 6 (4+2), +9 ±</v>
      </c>
    </row>
    <row r="15" spans="1:26" x14ac:dyDescent="0.25">
      <c r="A15" s="65">
        <v>14</v>
      </c>
      <c r="B15" s="1" t="s">
        <v>399</v>
      </c>
      <c r="D15" s="137"/>
      <c r="E15" s="137">
        <v>11</v>
      </c>
      <c r="F15" s="137">
        <v>3</v>
      </c>
      <c r="G15" s="137">
        <v>0</v>
      </c>
      <c r="H15" s="137">
        <v>0</v>
      </c>
      <c r="I15" s="137">
        <v>3</v>
      </c>
      <c r="J15" s="137">
        <v>6</v>
      </c>
      <c r="K15" s="137">
        <v>2</v>
      </c>
      <c r="L15" s="137">
        <v>28</v>
      </c>
      <c r="M15" s="137">
        <v>12</v>
      </c>
      <c r="N15" s="137">
        <v>16</v>
      </c>
      <c r="O15" s="131" t="str">
        <f t="shared" si="0"/>
        <v>11 OZ , 6 (3+3), +16 ±</v>
      </c>
    </row>
    <row r="16" spans="1:26" x14ac:dyDescent="0.25">
      <c r="A16" s="65">
        <v>15</v>
      </c>
      <c r="B16" s="1" t="s">
        <v>400</v>
      </c>
      <c r="D16" s="137" t="s">
        <v>52</v>
      </c>
      <c r="E16" s="137">
        <v>6</v>
      </c>
      <c r="F16" s="137">
        <v>2</v>
      </c>
      <c r="G16" s="137">
        <v>0</v>
      </c>
      <c r="H16" s="137">
        <v>0</v>
      </c>
      <c r="I16" s="137">
        <v>1</v>
      </c>
      <c r="J16" s="137">
        <v>3</v>
      </c>
      <c r="K16" s="137">
        <v>2</v>
      </c>
      <c r="L16" s="137">
        <v>10</v>
      </c>
      <c r="M16" s="137">
        <v>6</v>
      </c>
      <c r="N16" s="137">
        <v>4</v>
      </c>
      <c r="O16" s="131" t="str">
        <f t="shared" si="0"/>
        <v>6 OZ , 3 (2+1), +4 ±</v>
      </c>
    </row>
    <row r="17" spans="1:15" x14ac:dyDescent="0.25">
      <c r="A17" s="65">
        <v>16</v>
      </c>
      <c r="B17" s="1" t="s">
        <v>401</v>
      </c>
      <c r="D17" s="137" t="s">
        <v>57</v>
      </c>
      <c r="E17" s="137">
        <v>10</v>
      </c>
      <c r="F17" s="137">
        <v>1</v>
      </c>
      <c r="G17" s="137">
        <v>0</v>
      </c>
      <c r="H17" s="137">
        <v>0</v>
      </c>
      <c r="I17" s="137">
        <v>2</v>
      </c>
      <c r="J17" s="137">
        <v>3</v>
      </c>
      <c r="K17" s="137">
        <v>4</v>
      </c>
      <c r="L17" s="137">
        <v>10</v>
      </c>
      <c r="M17" s="137">
        <v>6</v>
      </c>
      <c r="N17" s="137">
        <v>4</v>
      </c>
      <c r="O17" s="131" t="str">
        <f t="shared" si="0"/>
        <v>10 OZ , 3 (1+2), +4 ±</v>
      </c>
    </row>
    <row r="18" spans="1:15" x14ac:dyDescent="0.25">
      <c r="A18" s="65">
        <v>17</v>
      </c>
      <c r="B18" s="1" t="s">
        <v>402</v>
      </c>
      <c r="D18" s="137" t="s">
        <v>52</v>
      </c>
      <c r="E18" s="137">
        <v>11</v>
      </c>
      <c r="F18" s="137">
        <v>1</v>
      </c>
      <c r="G18" s="137">
        <v>0</v>
      </c>
      <c r="H18" s="137">
        <v>0</v>
      </c>
      <c r="I18" s="137">
        <v>2</v>
      </c>
      <c r="J18" s="137">
        <v>3</v>
      </c>
      <c r="K18" s="137">
        <v>0</v>
      </c>
      <c r="L18" s="137">
        <v>17</v>
      </c>
      <c r="M18" s="137">
        <v>13</v>
      </c>
      <c r="N18" s="137">
        <v>4</v>
      </c>
      <c r="O18" s="131" t="str">
        <f t="shared" si="0"/>
        <v>11 OZ , 3 (1+2), +4 ±</v>
      </c>
    </row>
    <row r="19" spans="1:15" x14ac:dyDescent="0.25">
      <c r="A19" s="65">
        <v>18</v>
      </c>
      <c r="B19" s="1" t="s">
        <v>403</v>
      </c>
      <c r="D19" s="137" t="s">
        <v>57</v>
      </c>
      <c r="E19" s="137">
        <v>11</v>
      </c>
      <c r="F19" s="137">
        <v>0</v>
      </c>
      <c r="G19" s="137">
        <v>0</v>
      </c>
      <c r="H19" s="137">
        <v>0</v>
      </c>
      <c r="I19" s="137">
        <v>3</v>
      </c>
      <c r="J19" s="137">
        <v>3</v>
      </c>
      <c r="K19" s="137">
        <v>2</v>
      </c>
      <c r="L19" s="137">
        <v>28</v>
      </c>
      <c r="M19" s="137">
        <v>16</v>
      </c>
      <c r="N19" s="137">
        <v>12</v>
      </c>
      <c r="O19" s="131" t="str">
        <f t="shared" si="0"/>
        <v>11 OZ , 3 (0+3), +12 ±</v>
      </c>
    </row>
    <row r="20" spans="1:15" x14ac:dyDescent="0.25">
      <c r="A20" s="65">
        <v>19</v>
      </c>
      <c r="B20" s="1" t="s">
        <v>404</v>
      </c>
      <c r="D20" s="137"/>
      <c r="E20" s="137">
        <v>3</v>
      </c>
      <c r="F20" s="137">
        <v>1</v>
      </c>
      <c r="G20" s="137">
        <v>0</v>
      </c>
      <c r="H20" s="137">
        <v>0</v>
      </c>
      <c r="I20" s="137">
        <v>0</v>
      </c>
      <c r="J20" s="137">
        <v>1</v>
      </c>
      <c r="K20" s="137">
        <v>0</v>
      </c>
      <c r="L20" s="137">
        <v>3</v>
      </c>
      <c r="M20" s="137">
        <v>1</v>
      </c>
      <c r="N20" s="137">
        <v>2</v>
      </c>
      <c r="O20" s="131" t="str">
        <f t="shared" si="0"/>
        <v>3 OZ , 1 (1+0), +2 ±</v>
      </c>
    </row>
    <row r="21" spans="1:15" x14ac:dyDescent="0.25">
      <c r="A21" s="65">
        <v>20</v>
      </c>
      <c r="B21" s="1" t="s">
        <v>405</v>
      </c>
      <c r="D21" s="137" t="s">
        <v>52</v>
      </c>
      <c r="E21" s="137">
        <v>1</v>
      </c>
      <c r="F21" s="137">
        <v>0</v>
      </c>
      <c r="G21" s="137">
        <v>0</v>
      </c>
      <c r="H21" s="137">
        <v>0</v>
      </c>
      <c r="I21" s="137">
        <v>0</v>
      </c>
      <c r="J21" s="137">
        <v>0</v>
      </c>
      <c r="K21" s="137">
        <v>0</v>
      </c>
      <c r="L21" s="137">
        <v>0</v>
      </c>
      <c r="M21" s="137">
        <v>0</v>
      </c>
      <c r="N21" s="137">
        <v>0</v>
      </c>
      <c r="O21" s="131" t="str">
        <f t="shared" si="0"/>
        <v>1 OZ , 0 (0+0), 0 ±</v>
      </c>
    </row>
    <row r="22" spans="1:15" x14ac:dyDescent="0.25">
      <c r="A22" s="65">
        <v>21</v>
      </c>
      <c r="B22" s="1" t="s">
        <v>406</v>
      </c>
      <c r="D22" s="137" t="s">
        <v>57</v>
      </c>
      <c r="E22" s="137">
        <v>1</v>
      </c>
      <c r="F22" s="137">
        <v>0</v>
      </c>
      <c r="G22" s="137">
        <v>0</v>
      </c>
      <c r="H22" s="137">
        <v>0</v>
      </c>
      <c r="I22" s="137">
        <v>0</v>
      </c>
      <c r="J22" s="137">
        <v>0</v>
      </c>
      <c r="K22" s="137">
        <v>0</v>
      </c>
      <c r="L22" s="137">
        <v>0</v>
      </c>
      <c r="M22" s="137">
        <v>0</v>
      </c>
      <c r="N22" s="137">
        <v>0</v>
      </c>
      <c r="O22" s="131" t="str">
        <f t="shared" si="0"/>
        <v>1 OZ , 0 (0+0), 0 ±</v>
      </c>
    </row>
    <row r="23" spans="1:15" x14ac:dyDescent="0.25">
      <c r="A23" s="65">
        <v>22</v>
      </c>
      <c r="B23" s="1" t="s">
        <v>407</v>
      </c>
      <c r="D23" s="137" t="s">
        <v>57</v>
      </c>
      <c r="E23" s="137">
        <v>1</v>
      </c>
      <c r="F23" s="137">
        <v>0</v>
      </c>
      <c r="G23" s="137">
        <v>0</v>
      </c>
      <c r="H23" s="137">
        <v>0</v>
      </c>
      <c r="I23" s="137">
        <v>0</v>
      </c>
      <c r="J23" s="137">
        <v>0</v>
      </c>
      <c r="K23" s="137">
        <v>0</v>
      </c>
      <c r="L23" s="137">
        <v>0</v>
      </c>
      <c r="M23" s="137">
        <v>0</v>
      </c>
      <c r="N23" s="137">
        <v>0</v>
      </c>
      <c r="O23" s="131" t="str">
        <f t="shared" si="0"/>
        <v>1 OZ , 0 (0+0), 0 ±</v>
      </c>
    </row>
    <row r="24" spans="1:15" x14ac:dyDescent="0.25">
      <c r="A24" s="65">
        <v>23</v>
      </c>
      <c r="B24" s="1" t="s">
        <v>408</v>
      </c>
      <c r="D24" s="137"/>
      <c r="E24" s="137">
        <v>1</v>
      </c>
      <c r="F24" s="137">
        <v>0</v>
      </c>
      <c r="G24" s="137">
        <v>0</v>
      </c>
      <c r="H24" s="137">
        <v>0</v>
      </c>
      <c r="I24" s="137">
        <v>0</v>
      </c>
      <c r="J24" s="137">
        <v>0</v>
      </c>
      <c r="K24" s="137">
        <v>0</v>
      </c>
      <c r="L24" s="137">
        <v>0</v>
      </c>
      <c r="M24" s="137">
        <v>0</v>
      </c>
      <c r="N24" s="137">
        <v>0</v>
      </c>
      <c r="O24" s="131" t="str">
        <f t="shared" si="0"/>
        <v>1 OZ , 0 (0+0), 0 ±</v>
      </c>
    </row>
    <row r="25" spans="1:15" x14ac:dyDescent="0.25">
      <c r="A25" s="65">
        <v>24</v>
      </c>
      <c r="B25" s="1" t="s">
        <v>409</v>
      </c>
      <c r="D25" s="137" t="s">
        <v>35</v>
      </c>
      <c r="E25" s="137">
        <v>0</v>
      </c>
      <c r="F25" s="137">
        <v>0</v>
      </c>
      <c r="G25" s="137">
        <v>0</v>
      </c>
      <c r="H25" s="137">
        <v>0</v>
      </c>
      <c r="I25" s="137">
        <v>0</v>
      </c>
      <c r="J25" s="137">
        <v>0</v>
      </c>
      <c r="K25" s="137">
        <v>0</v>
      </c>
      <c r="L25" s="137">
        <v>0</v>
      </c>
      <c r="M25" s="137">
        <v>0</v>
      </c>
      <c r="N25" s="137">
        <v>0</v>
      </c>
      <c r="O25" s="131" t="str">
        <f t="shared" si="0"/>
        <v>0 OZ , 0 (0+0), 0 ±</v>
      </c>
    </row>
    <row r="26" spans="1:15" x14ac:dyDescent="0.25">
      <c r="A26" s="65">
        <v>25</v>
      </c>
      <c r="B26" s="1" t="s">
        <v>410</v>
      </c>
      <c r="D26" s="137"/>
      <c r="E26" s="137">
        <v>6</v>
      </c>
      <c r="F26" s="137">
        <v>0</v>
      </c>
      <c r="G26" s="137">
        <v>0</v>
      </c>
      <c r="H26" s="137">
        <v>0</v>
      </c>
      <c r="I26" s="137">
        <v>0</v>
      </c>
      <c r="J26" s="137">
        <v>0</v>
      </c>
      <c r="K26" s="137">
        <v>0</v>
      </c>
      <c r="L26" s="137">
        <v>0</v>
      </c>
      <c r="M26" s="137">
        <v>0</v>
      </c>
      <c r="N26" s="137">
        <v>0</v>
      </c>
      <c r="O26" s="131" t="str">
        <f t="shared" si="0"/>
        <v>6 OZ , 0 (0+0), 0 ±</v>
      </c>
    </row>
    <row r="27" spans="1:15" x14ac:dyDescent="0.25">
      <c r="A27" s="65">
        <v>26</v>
      </c>
      <c r="B27" s="1" t="s">
        <v>411</v>
      </c>
      <c r="D27" s="137" t="s">
        <v>35</v>
      </c>
      <c r="E27" s="137">
        <v>0</v>
      </c>
      <c r="F27" s="137">
        <v>0</v>
      </c>
      <c r="G27" s="137">
        <v>0</v>
      </c>
      <c r="H27" s="137">
        <v>0</v>
      </c>
      <c r="I27" s="137">
        <v>0</v>
      </c>
      <c r="J27" s="137">
        <v>0</v>
      </c>
      <c r="K27" s="137">
        <v>0</v>
      </c>
      <c r="L27" s="137">
        <v>0</v>
      </c>
      <c r="M27" s="137">
        <v>0</v>
      </c>
      <c r="N27" s="137">
        <v>0</v>
      </c>
      <c r="O27" s="131" t="str">
        <f t="shared" si="0"/>
        <v>0 OZ , 0 (0+0), 0 ±</v>
      </c>
    </row>
    <row r="28" spans="1:15" x14ac:dyDescent="0.25">
      <c r="A28" s="65">
        <v>27</v>
      </c>
      <c r="B28" s="1" t="s">
        <v>412</v>
      </c>
      <c r="D28" s="137" t="s">
        <v>35</v>
      </c>
      <c r="E28" s="137">
        <v>0</v>
      </c>
      <c r="F28" s="137">
        <v>0</v>
      </c>
      <c r="G28" s="137">
        <v>0</v>
      </c>
      <c r="H28" s="137">
        <v>0</v>
      </c>
      <c r="I28" s="137">
        <v>0</v>
      </c>
      <c r="J28" s="137">
        <v>0</v>
      </c>
      <c r="K28" s="137">
        <v>0</v>
      </c>
      <c r="L28" s="137">
        <v>0</v>
      </c>
      <c r="M28" s="137">
        <v>0</v>
      </c>
      <c r="N28" s="137">
        <v>0</v>
      </c>
      <c r="O28" s="131" t="str">
        <f t="shared" si="0"/>
        <v>0 OZ , 0 (0+0), 0 ±</v>
      </c>
    </row>
    <row r="29" spans="1:15" x14ac:dyDescent="0.25">
      <c r="A29" s="65"/>
      <c r="O29" s="131" t="str">
        <f t="shared" si="0"/>
        <v/>
      </c>
    </row>
    <row r="30" spans="1:15" x14ac:dyDescent="0.25">
      <c r="A30" s="65"/>
      <c r="O30" s="131" t="str">
        <f t="shared" si="0"/>
        <v/>
      </c>
    </row>
    <row r="31" spans="1:15" x14ac:dyDescent="0.25">
      <c r="A31" s="65"/>
      <c r="O31" s="131" t="str">
        <f t="shared" si="0"/>
        <v/>
      </c>
    </row>
    <row r="32" spans="1:15" x14ac:dyDescent="0.25">
      <c r="A32" s="65"/>
      <c r="O32" s="131" t="str">
        <f t="shared" si="0"/>
        <v/>
      </c>
    </row>
    <row r="33" spans="1:26" x14ac:dyDescent="0.25">
      <c r="A33" s="65"/>
      <c r="O33" s="131" t="str">
        <f t="shared" si="0"/>
        <v/>
      </c>
    </row>
    <row r="34" spans="1:26" x14ac:dyDescent="0.25">
      <c r="A34" s="65"/>
      <c r="O34" s="131" t="str">
        <f t="shared" si="0"/>
        <v/>
      </c>
    </row>
    <row r="35" spans="1:26" x14ac:dyDescent="0.25">
      <c r="A35" s="65"/>
      <c r="O35" s="131" t="str">
        <f t="shared" si="0"/>
        <v/>
      </c>
    </row>
    <row r="36" spans="1:26" x14ac:dyDescent="0.25">
      <c r="A36" s="65"/>
      <c r="O36" s="131" t="str">
        <f>IF(B36&lt;&gt;0,CONCATENATE(E36 + IFERROR(VLOOKUP(B36,$B$48:$Z$82,23, FALSE),"error_matches")," OZ , ",J36 + IFERROR(VLOOKUP(B36,$B$48:$Z$82,24, FALSE),"error_goals") + IFERROR(VLOOKUP(B36,$B$48:$Z$82,25, FALSE),"error_assists")," (",F36 + IFERROR(VLOOKUP(B36,$B$48:$Z$82,24, FALSE),"error_goals"),"+",I36 + + IFERROR(VLOOKUP(B36,$B$48:$Z$82,25, FALSE),"error_assists"),"), ",IF(N36&gt;0,"+",""),N36," ±"),"")</f>
        <v/>
      </c>
    </row>
    <row r="38" spans="1:26" s="129" customFormat="1" ht="15" customHeight="1" x14ac:dyDescent="0.25">
      <c r="A38" s="9" t="s">
        <v>64</v>
      </c>
      <c r="B38" s="129" t="s">
        <v>65</v>
      </c>
      <c r="D38" s="129" t="s">
        <v>89</v>
      </c>
      <c r="E38" s="129" t="s">
        <v>90</v>
      </c>
      <c r="F38" s="129" t="s">
        <v>91</v>
      </c>
      <c r="G38" s="129" t="s">
        <v>41</v>
      </c>
      <c r="H38" s="129" t="s">
        <v>92</v>
      </c>
      <c r="I38" s="129" t="s">
        <v>93</v>
      </c>
      <c r="J38" s="129" t="s">
        <v>94</v>
      </c>
      <c r="K38" s="129" t="s">
        <v>85</v>
      </c>
      <c r="L38" s="129" t="s">
        <v>42</v>
      </c>
      <c r="M38" s="129" t="s">
        <v>95</v>
      </c>
      <c r="N38" s="3" t="s">
        <v>37</v>
      </c>
      <c r="O38" s="129" t="s">
        <v>38</v>
      </c>
      <c r="P38" s="129" t="s">
        <v>100</v>
      </c>
      <c r="Q38" s="129" t="s">
        <v>101</v>
      </c>
      <c r="R38" s="129" t="s">
        <v>102</v>
      </c>
    </row>
    <row r="39" spans="1:26" x14ac:dyDescent="0.25">
      <c r="A39" s="65">
        <v>1</v>
      </c>
      <c r="B39" s="1" t="s">
        <v>412</v>
      </c>
      <c r="D39" s="137">
        <v>11</v>
      </c>
      <c r="E39" s="137">
        <v>8</v>
      </c>
      <c r="F39" s="13">
        <v>461.35</v>
      </c>
      <c r="G39" s="137">
        <v>7</v>
      </c>
      <c r="H39" s="137">
        <v>27</v>
      </c>
      <c r="I39" s="137">
        <v>0</v>
      </c>
      <c r="J39" s="137">
        <v>136</v>
      </c>
      <c r="K39" s="137">
        <v>0</v>
      </c>
      <c r="L39" s="137">
        <v>1</v>
      </c>
      <c r="M39" s="137">
        <v>109</v>
      </c>
      <c r="N39" s="137">
        <v>0</v>
      </c>
      <c r="O39" s="137">
        <v>0</v>
      </c>
      <c r="P39" s="13">
        <f>IF(B39&lt;&gt;0,IFERROR(H39/(F39/60),0),"")</f>
        <v>3.5114338354828218</v>
      </c>
      <c r="Q39" s="13">
        <f>IF(B39&lt;&gt;0,IFERROR((M39/J39)*100,0),"")</f>
        <v>80.14705882352942</v>
      </c>
      <c r="R39" s="131" t="str">
        <f>IF(B39&lt;&gt;0,CONCATENATE(G39, " V, ",L39," P"),"")</f>
        <v>7 V, 1 P</v>
      </c>
    </row>
    <row r="40" spans="1:26" x14ac:dyDescent="0.25">
      <c r="A40" s="65">
        <v>2</v>
      </c>
      <c r="B40" s="1" t="s">
        <v>411</v>
      </c>
      <c r="D40" s="137">
        <v>8</v>
      </c>
      <c r="E40" s="137">
        <v>3</v>
      </c>
      <c r="F40" s="13">
        <v>177.18</v>
      </c>
      <c r="G40" s="137">
        <v>3</v>
      </c>
      <c r="H40" s="137">
        <v>14</v>
      </c>
      <c r="I40" s="137">
        <v>0</v>
      </c>
      <c r="J40" s="137">
        <v>62</v>
      </c>
      <c r="K40" s="137">
        <v>0</v>
      </c>
      <c r="L40" s="137">
        <v>0</v>
      </c>
      <c r="M40" s="137">
        <v>48</v>
      </c>
      <c r="N40" s="137">
        <v>0</v>
      </c>
      <c r="O40" s="137">
        <v>0</v>
      </c>
      <c r="P40" s="13">
        <f t="shared" ref="P40:P45" si="1">IF(B40&lt;&gt;0,IFERROR(H40/(F40/60),0),"")</f>
        <v>4.740941415509651</v>
      </c>
      <c r="Q40" s="13">
        <f t="shared" ref="Q40:Q45" si="2">IF(B40&lt;&gt;0,IFERROR((M40/J40)*100,0),"")</f>
        <v>77.41935483870968</v>
      </c>
      <c r="R40" s="131" t="str">
        <f t="shared" ref="R40:R45" si="3">IF(B40&lt;&gt;0,CONCATENATE(G40, " V, ",L40," P"),"")</f>
        <v>3 V, 0 P</v>
      </c>
    </row>
    <row r="41" spans="1:26" x14ac:dyDescent="0.25">
      <c r="A41" s="65">
        <v>3</v>
      </c>
      <c r="B41" s="1" t="s">
        <v>409</v>
      </c>
      <c r="D41" s="137">
        <v>3</v>
      </c>
      <c r="E41" s="137">
        <v>1</v>
      </c>
      <c r="F41" s="13">
        <v>20</v>
      </c>
      <c r="G41" s="137">
        <v>1</v>
      </c>
      <c r="H41" s="137">
        <v>5</v>
      </c>
      <c r="I41" s="137">
        <v>0</v>
      </c>
      <c r="J41" s="137">
        <v>14</v>
      </c>
      <c r="K41" s="137">
        <v>0</v>
      </c>
      <c r="L41" s="137">
        <v>0</v>
      </c>
      <c r="M41" s="137">
        <v>9</v>
      </c>
      <c r="N41" s="137">
        <v>0</v>
      </c>
      <c r="O41" s="137">
        <v>0</v>
      </c>
      <c r="P41" s="13">
        <f t="shared" si="1"/>
        <v>15</v>
      </c>
      <c r="Q41" s="13">
        <f t="shared" si="2"/>
        <v>64.285714285714292</v>
      </c>
      <c r="R41" s="131" t="str">
        <f t="shared" si="3"/>
        <v>1 V, 0 P</v>
      </c>
    </row>
    <row r="42" spans="1:26" x14ac:dyDescent="0.25">
      <c r="A42" s="65"/>
      <c r="F42" s="13"/>
      <c r="P42" s="13" t="str">
        <f t="shared" si="1"/>
        <v/>
      </c>
      <c r="Q42" s="13" t="str">
        <f t="shared" si="2"/>
        <v/>
      </c>
      <c r="R42" s="131" t="str">
        <f t="shared" si="3"/>
        <v/>
      </c>
    </row>
    <row r="43" spans="1:26" x14ac:dyDescent="0.25">
      <c r="A43" s="65"/>
      <c r="F43" s="13"/>
      <c r="P43" s="13" t="str">
        <f t="shared" si="1"/>
        <v/>
      </c>
      <c r="Q43" s="13" t="str">
        <f t="shared" si="2"/>
        <v/>
      </c>
      <c r="R43" s="131" t="str">
        <f t="shared" si="3"/>
        <v/>
      </c>
    </row>
    <row r="44" spans="1:26" x14ac:dyDescent="0.25">
      <c r="A44" s="65"/>
      <c r="F44" s="13"/>
      <c r="P44" s="13" t="str">
        <f t="shared" si="1"/>
        <v/>
      </c>
      <c r="Q44" s="13" t="str">
        <f t="shared" si="2"/>
        <v/>
      </c>
      <c r="R44" s="131" t="str">
        <f t="shared" si="3"/>
        <v/>
      </c>
    </row>
    <row r="45" spans="1:26" ht="15" customHeight="1" x14ac:dyDescent="0.25">
      <c r="P45" s="13" t="str">
        <f t="shared" si="1"/>
        <v/>
      </c>
      <c r="Q45" s="13" t="str">
        <f t="shared" si="2"/>
        <v/>
      </c>
      <c r="R45" s="131" t="str">
        <f t="shared" si="3"/>
        <v/>
      </c>
    </row>
    <row r="46" spans="1:26" ht="15" customHeight="1" x14ac:dyDescent="0.25">
      <c r="X46" s="286" t="s">
        <v>384</v>
      </c>
      <c r="Y46" s="286"/>
      <c r="Z46" s="286"/>
    </row>
    <row r="47" spans="1:26" s="129" customFormat="1" ht="15" customHeight="1" x14ac:dyDescent="0.25">
      <c r="A47" s="7">
        <f ca="1">TODAY()</f>
        <v>44205</v>
      </c>
      <c r="B47" s="129" t="s">
        <v>65</v>
      </c>
      <c r="C47" s="129" t="s">
        <v>72</v>
      </c>
      <c r="D47" s="129" t="s">
        <v>73</v>
      </c>
      <c r="E47" s="129" t="s">
        <v>76</v>
      </c>
      <c r="F47" s="129" t="s">
        <v>77</v>
      </c>
      <c r="G47" s="129" t="s">
        <v>78</v>
      </c>
      <c r="H47" s="129" t="s">
        <v>79</v>
      </c>
      <c r="I47" s="129" t="s">
        <v>47</v>
      </c>
      <c r="J47" s="129" t="s">
        <v>64</v>
      </c>
      <c r="K47" s="129" t="s">
        <v>169</v>
      </c>
      <c r="L47" s="129" t="s">
        <v>83</v>
      </c>
      <c r="M47" s="129" t="s">
        <v>74</v>
      </c>
      <c r="N47" s="129" t="s">
        <v>75</v>
      </c>
      <c r="O47" s="129" t="s">
        <v>87</v>
      </c>
      <c r="P47" s="129" t="s">
        <v>88</v>
      </c>
      <c r="Q47" s="129" t="s">
        <v>80</v>
      </c>
      <c r="R47" s="129" t="s">
        <v>81</v>
      </c>
      <c r="S47" s="129" t="s">
        <v>103</v>
      </c>
      <c r="T47" s="129" t="s">
        <v>168</v>
      </c>
      <c r="U47" s="129" t="s">
        <v>374</v>
      </c>
      <c r="V47" s="129" t="s">
        <v>375</v>
      </c>
      <c r="W47" s="129" t="s">
        <v>376</v>
      </c>
      <c r="X47" s="129" t="s">
        <v>383</v>
      </c>
      <c r="Y47" s="129" t="s">
        <v>381</v>
      </c>
      <c r="Z47" s="129" t="s">
        <v>382</v>
      </c>
    </row>
    <row r="48" spans="1:26" ht="15" customHeight="1" x14ac:dyDescent="0.25">
      <c r="B48" s="1" t="s">
        <v>401</v>
      </c>
      <c r="C48" s="10">
        <v>35213</v>
      </c>
      <c r="D48" s="131">
        <f t="shared" ref="D48:D74" ca="1" si="4">IF(C48 &lt;&gt; 0,ROUNDDOWN(($A$47-C48)/365.25,0),"")</f>
        <v>24</v>
      </c>
      <c r="H48" s="131">
        <f t="shared" ref="H48:H74" si="5">IF(B48&lt;&gt;0,F48+G48,"")</f>
        <v>0</v>
      </c>
      <c r="J48" s="131">
        <v>28</v>
      </c>
      <c r="L48" s="131" t="s">
        <v>42</v>
      </c>
      <c r="M48" s="131">
        <v>183</v>
      </c>
      <c r="N48" s="131">
        <v>85</v>
      </c>
      <c r="O48" s="131" t="str">
        <f t="shared" ref="O48:O74" si="6">IF(B48&lt;&gt;0,CONCATENATE(E48+IFERROR(VLOOKUP(B48,$B$2:$N$28,4,FALSE),X48), " OZ, ", H48+IFERROR(VLOOKUP(B48,$B$2:$N$28,9,FALSE),Y48+Z48), " (", F48+IFERROR(VLOOKUP(B48,$B$2:$N$28,5,FALSE),Y48), "+",G48+IFERROR(VLOOKUP(B48,$B$2:$N$28,8,FALSE), Z48), ")"), "")</f>
        <v>10 OZ, 3 (1+2)</v>
      </c>
      <c r="P48" s="131" t="str">
        <f t="shared" ref="P48:P74" si="7">IF(M48&lt;&gt;0,CONCATENATE(M48,"/",N48),"")</f>
        <v>183/85</v>
      </c>
      <c r="R48" s="131"/>
      <c r="S48" s="131" t="str">
        <f t="shared" ref="S48:S74" si="8">IFERROR(CONCATENATE(E48+VLOOKUP(B48,$B$39:$R$42,4,FALSE), " OZ, ",G48+VLOOKUP(B48,$B$39:$R$42,13,FALSE), " A"),"")</f>
        <v/>
      </c>
      <c r="T48" s="1" t="str">
        <f t="shared" ref="T48:T74" si="9">IF(B48&lt;&gt;0,IF(V48=1,U48,CONCATENATE(U48," ",W48,".")),"")</f>
        <v>Höffer</v>
      </c>
      <c r="U48" s="1" t="str">
        <f t="shared" ref="U48:U74" si="10">IFERROR(RIGHT(B48,LEN(B48)-SEARCH(" ", B48,1)),"")</f>
        <v>Höffer</v>
      </c>
      <c r="V48" s="131">
        <f t="shared" ref="V48:V74" si="11">IF(B48&lt;&gt;0,COUNTIF($U$48:$U$82,U48),"")</f>
        <v>1</v>
      </c>
      <c r="W48" s="131" t="str">
        <f t="shared" ref="W48:W74" si="12">IFERROR(LEFT(LEFT(B48,SEARCH(" ",B48,1)),1),"")</f>
        <v>A</v>
      </c>
    </row>
    <row r="49" spans="2:23" ht="15" customHeight="1" x14ac:dyDescent="0.25">
      <c r="B49" s="1" t="s">
        <v>405</v>
      </c>
      <c r="C49" s="10">
        <v>37081</v>
      </c>
      <c r="D49" s="131">
        <f t="shared" ca="1" si="4"/>
        <v>19</v>
      </c>
      <c r="H49" s="131">
        <f t="shared" si="5"/>
        <v>0</v>
      </c>
      <c r="J49" s="131">
        <v>21</v>
      </c>
      <c r="L49" s="131" t="s">
        <v>84</v>
      </c>
      <c r="M49" s="131">
        <v>178</v>
      </c>
      <c r="N49" s="131">
        <v>64</v>
      </c>
      <c r="O49" s="131" t="str">
        <f t="shared" si="6"/>
        <v>1 OZ, 0 (0+0)</v>
      </c>
      <c r="P49" s="131" t="str">
        <f t="shared" si="7"/>
        <v>178/64</v>
      </c>
      <c r="R49" s="131"/>
      <c r="S49" s="131" t="str">
        <f t="shared" si="8"/>
        <v/>
      </c>
      <c r="T49" s="1" t="str">
        <f t="shared" si="9"/>
        <v>Goll</v>
      </c>
      <c r="U49" s="1" t="str">
        <f t="shared" si="10"/>
        <v>Goll</v>
      </c>
      <c r="V49" s="131">
        <f t="shared" si="11"/>
        <v>1</v>
      </c>
      <c r="W49" s="131" t="str">
        <f t="shared" si="12"/>
        <v>D</v>
      </c>
    </row>
    <row r="50" spans="2:23" ht="15" customHeight="1" x14ac:dyDescent="0.25">
      <c r="B50" s="4" t="s">
        <v>389</v>
      </c>
      <c r="C50" s="10">
        <v>32590</v>
      </c>
      <c r="D50" s="131">
        <f t="shared" ca="1" si="4"/>
        <v>31</v>
      </c>
      <c r="H50" s="131">
        <f t="shared" si="5"/>
        <v>0</v>
      </c>
      <c r="J50" s="131">
        <v>3</v>
      </c>
      <c r="L50" s="131" t="s">
        <v>42</v>
      </c>
      <c r="M50" s="131">
        <v>185</v>
      </c>
      <c r="N50" s="131">
        <v>86</v>
      </c>
      <c r="O50" s="131" t="str">
        <f t="shared" si="6"/>
        <v>11 OZ, 12 (5+7)</v>
      </c>
      <c r="P50" s="131" t="str">
        <f t="shared" si="7"/>
        <v>185/86</v>
      </c>
      <c r="R50" s="131"/>
      <c r="S50" s="131" t="str">
        <f t="shared" si="8"/>
        <v/>
      </c>
      <c r="T50" s="1" t="str">
        <f t="shared" si="9"/>
        <v>Šebek</v>
      </c>
      <c r="U50" s="1" t="str">
        <f t="shared" si="10"/>
        <v>Šebek</v>
      </c>
      <c r="V50" s="131">
        <f t="shared" si="11"/>
        <v>1</v>
      </c>
      <c r="W50" s="131" t="str">
        <f t="shared" si="12"/>
        <v>D</v>
      </c>
    </row>
    <row r="51" spans="2:23" ht="15" customHeight="1" x14ac:dyDescent="0.25">
      <c r="B51" s="1" t="s">
        <v>407</v>
      </c>
      <c r="C51" s="10">
        <v>37152</v>
      </c>
      <c r="D51" s="131">
        <f t="shared" ca="1" si="4"/>
        <v>19</v>
      </c>
      <c r="H51" s="131">
        <f t="shared" si="5"/>
        <v>0</v>
      </c>
      <c r="J51" s="131">
        <v>95</v>
      </c>
      <c r="L51" s="131" t="s">
        <v>84</v>
      </c>
      <c r="M51" s="131">
        <v>174</v>
      </c>
      <c r="N51" s="131">
        <v>64</v>
      </c>
      <c r="O51" s="131" t="str">
        <f t="shared" si="6"/>
        <v>1 OZ, 0 (0+0)</v>
      </c>
      <c r="P51" s="131" t="str">
        <f t="shared" si="7"/>
        <v>174/64</v>
      </c>
      <c r="R51" s="131"/>
      <c r="S51" s="131" t="str">
        <f t="shared" si="8"/>
        <v/>
      </c>
      <c r="T51" s="1" t="str">
        <f t="shared" si="9"/>
        <v>Kučera</v>
      </c>
      <c r="U51" s="1" t="str">
        <f t="shared" si="10"/>
        <v>Kučera</v>
      </c>
      <c r="V51" s="131">
        <f t="shared" si="11"/>
        <v>1</v>
      </c>
      <c r="W51" s="131" t="str">
        <f t="shared" si="12"/>
        <v>F</v>
      </c>
    </row>
    <row r="52" spans="2:23" ht="15" customHeight="1" x14ac:dyDescent="0.25">
      <c r="B52" s="1" t="s">
        <v>402</v>
      </c>
      <c r="C52" s="10">
        <v>36377</v>
      </c>
      <c r="D52" s="131">
        <f t="shared" ca="1" si="4"/>
        <v>21</v>
      </c>
      <c r="H52" s="131">
        <f t="shared" si="5"/>
        <v>0</v>
      </c>
      <c r="J52" s="131">
        <v>58</v>
      </c>
      <c r="L52" s="131" t="s">
        <v>84</v>
      </c>
      <c r="M52" s="131">
        <v>186</v>
      </c>
      <c r="N52" s="131">
        <v>78</v>
      </c>
      <c r="O52" s="131" t="str">
        <f t="shared" si="6"/>
        <v>11 OZ, 3 (1+2)</v>
      </c>
      <c r="P52" s="131" t="str">
        <f t="shared" si="7"/>
        <v>186/78</v>
      </c>
      <c r="R52" s="131"/>
      <c r="S52" s="131" t="str">
        <f t="shared" si="8"/>
        <v/>
      </c>
      <c r="T52" s="1" t="str">
        <f t="shared" si="9"/>
        <v>Zakonov</v>
      </c>
      <c r="U52" s="1" t="str">
        <f t="shared" si="10"/>
        <v>Zakonov</v>
      </c>
      <c r="V52" s="131">
        <f t="shared" si="11"/>
        <v>1</v>
      </c>
      <c r="W52" s="131" t="str">
        <f t="shared" si="12"/>
        <v>F</v>
      </c>
    </row>
    <row r="53" spans="2:23" ht="15" customHeight="1" x14ac:dyDescent="0.25">
      <c r="B53" s="4" t="s">
        <v>388</v>
      </c>
      <c r="C53" s="10">
        <v>35871</v>
      </c>
      <c r="D53" s="131">
        <f t="shared" ca="1" si="4"/>
        <v>22</v>
      </c>
      <c r="H53" s="131">
        <f t="shared" si="5"/>
        <v>0</v>
      </c>
      <c r="J53" s="131">
        <v>17</v>
      </c>
      <c r="L53" s="131" t="s">
        <v>84</v>
      </c>
      <c r="M53" s="131">
        <v>181</v>
      </c>
      <c r="N53" s="131">
        <v>62</v>
      </c>
      <c r="O53" s="131" t="str">
        <f t="shared" si="6"/>
        <v>11 OZ, 19 (16+3)</v>
      </c>
      <c r="P53" s="131" t="str">
        <f t="shared" si="7"/>
        <v>181/62</v>
      </c>
      <c r="R53" s="131"/>
      <c r="S53" s="131" t="str">
        <f t="shared" si="8"/>
        <v/>
      </c>
      <c r="T53" s="1" t="str">
        <f t="shared" si="9"/>
        <v>Bína</v>
      </c>
      <c r="U53" s="1" t="str">
        <f t="shared" si="10"/>
        <v>Bína</v>
      </c>
      <c r="V53" s="131">
        <f t="shared" si="11"/>
        <v>1</v>
      </c>
      <c r="W53" s="131" t="str">
        <f t="shared" si="12"/>
        <v>J</v>
      </c>
    </row>
    <row r="54" spans="2:23" ht="15" customHeight="1" x14ac:dyDescent="0.25">
      <c r="B54" s="1" t="s">
        <v>403</v>
      </c>
      <c r="C54" s="10">
        <v>34602</v>
      </c>
      <c r="D54" s="131">
        <f t="shared" ca="1" si="4"/>
        <v>26</v>
      </c>
      <c r="H54" s="131">
        <f t="shared" si="5"/>
        <v>0</v>
      </c>
      <c r="J54" s="131">
        <v>25</v>
      </c>
      <c r="L54" s="131" t="s">
        <v>42</v>
      </c>
      <c r="M54" s="131">
        <v>185</v>
      </c>
      <c r="N54" s="131">
        <v>84</v>
      </c>
      <c r="O54" s="131" t="str">
        <f t="shared" si="6"/>
        <v>11 OZ, 3 (0+3)</v>
      </c>
      <c r="P54" s="131" t="str">
        <f t="shared" si="7"/>
        <v>185/84</v>
      </c>
      <c r="R54" s="131"/>
      <c r="S54" s="131" t="str">
        <f t="shared" si="8"/>
        <v/>
      </c>
      <c r="T54" s="1" t="str">
        <f t="shared" si="9"/>
        <v>Gruber</v>
      </c>
      <c r="U54" s="1" t="str">
        <f t="shared" si="10"/>
        <v>Gruber</v>
      </c>
      <c r="V54" s="131">
        <f t="shared" si="11"/>
        <v>1</v>
      </c>
      <c r="W54" s="131" t="str">
        <f t="shared" si="12"/>
        <v>J</v>
      </c>
    </row>
    <row r="55" spans="2:23" ht="15" customHeight="1" x14ac:dyDescent="0.25">
      <c r="B55" s="1" t="s">
        <v>410</v>
      </c>
      <c r="C55" s="10">
        <v>37001</v>
      </c>
      <c r="D55" s="131">
        <f t="shared" ca="1" si="4"/>
        <v>19</v>
      </c>
      <c r="H55" s="131">
        <f t="shared" si="5"/>
        <v>0</v>
      </c>
      <c r="J55" s="131">
        <v>48</v>
      </c>
      <c r="L55" s="131" t="s">
        <v>42</v>
      </c>
      <c r="M55" s="131">
        <v>179</v>
      </c>
      <c r="N55" s="131">
        <v>66</v>
      </c>
      <c r="O55" s="131" t="str">
        <f t="shared" si="6"/>
        <v>6 OZ, 0 (0+0)</v>
      </c>
      <c r="P55" s="131" t="str">
        <f t="shared" si="7"/>
        <v>179/66</v>
      </c>
      <c r="R55" s="131"/>
      <c r="S55" s="131" t="str">
        <f t="shared" si="8"/>
        <v/>
      </c>
      <c r="T55" s="1" t="str">
        <f t="shared" si="9"/>
        <v>Pařízek</v>
      </c>
      <c r="U55" s="1" t="str">
        <f t="shared" si="10"/>
        <v>Pařízek</v>
      </c>
      <c r="V55" s="131">
        <f t="shared" si="11"/>
        <v>1</v>
      </c>
      <c r="W55" s="131" t="str">
        <f t="shared" si="12"/>
        <v>J</v>
      </c>
    </row>
    <row r="56" spans="2:23" ht="15" customHeight="1" x14ac:dyDescent="0.25">
      <c r="B56" s="1" t="s">
        <v>404</v>
      </c>
      <c r="C56" s="10">
        <v>32496</v>
      </c>
      <c r="D56" s="131">
        <f t="shared" ca="1" si="4"/>
        <v>32</v>
      </c>
      <c r="H56" s="131">
        <f t="shared" si="5"/>
        <v>0</v>
      </c>
      <c r="J56" s="131">
        <v>6</v>
      </c>
      <c r="L56" s="131" t="s">
        <v>42</v>
      </c>
      <c r="M56" s="131">
        <v>177</v>
      </c>
      <c r="N56" s="131">
        <v>73</v>
      </c>
      <c r="O56" s="131" t="str">
        <f t="shared" si="6"/>
        <v>3 OZ, 1 (1+0)</v>
      </c>
      <c r="P56" s="131" t="str">
        <f t="shared" si="7"/>
        <v>177/73</v>
      </c>
      <c r="R56" s="131"/>
      <c r="S56" s="131" t="str">
        <f t="shared" si="8"/>
        <v/>
      </c>
      <c r="T56" s="1" t="str">
        <f t="shared" si="9"/>
        <v>Daniš</v>
      </c>
      <c r="U56" s="1" t="str">
        <f t="shared" si="10"/>
        <v>Daniš</v>
      </c>
      <c r="V56" s="131">
        <f t="shared" si="11"/>
        <v>1</v>
      </c>
      <c r="W56" s="131" t="str">
        <f t="shared" si="12"/>
        <v>J</v>
      </c>
    </row>
    <row r="57" spans="2:23" ht="15" customHeight="1" x14ac:dyDescent="0.25">
      <c r="B57" s="4" t="s">
        <v>387</v>
      </c>
      <c r="C57" s="10">
        <v>33919</v>
      </c>
      <c r="D57" s="131">
        <f t="shared" ca="1" si="4"/>
        <v>28</v>
      </c>
      <c r="H57" s="131">
        <f t="shared" si="5"/>
        <v>0</v>
      </c>
      <c r="J57" s="131">
        <v>88</v>
      </c>
      <c r="K57" s="131" t="s">
        <v>234</v>
      </c>
      <c r="L57" s="131" t="s">
        <v>42</v>
      </c>
      <c r="M57" s="131">
        <v>181</v>
      </c>
      <c r="N57" s="131">
        <v>76</v>
      </c>
      <c r="O57" s="131" t="str">
        <f t="shared" si="6"/>
        <v>11 OZ, 25 (15+10)</v>
      </c>
      <c r="P57" s="131" t="str">
        <f t="shared" si="7"/>
        <v>181/76</v>
      </c>
      <c r="R57" s="131"/>
      <c r="S57" s="131" t="str">
        <f t="shared" si="8"/>
        <v/>
      </c>
      <c r="T57" s="1" t="str">
        <f t="shared" si="9"/>
        <v>Natov</v>
      </c>
      <c r="U57" s="1" t="str">
        <f t="shared" si="10"/>
        <v>Natov</v>
      </c>
      <c r="V57" s="131">
        <f t="shared" si="11"/>
        <v>1</v>
      </c>
      <c r="W57" s="131" t="str">
        <f t="shared" si="12"/>
        <v>J</v>
      </c>
    </row>
    <row r="58" spans="2:23" ht="15" customHeight="1" x14ac:dyDescent="0.25">
      <c r="B58" s="1" t="s">
        <v>395</v>
      </c>
      <c r="C58" s="10">
        <v>34411</v>
      </c>
      <c r="D58" s="131">
        <f t="shared" ca="1" si="4"/>
        <v>26</v>
      </c>
      <c r="H58" s="131">
        <f t="shared" si="5"/>
        <v>0</v>
      </c>
      <c r="J58" s="131">
        <v>18</v>
      </c>
      <c r="L58" s="131" t="s">
        <v>84</v>
      </c>
      <c r="M58" s="131">
        <v>182</v>
      </c>
      <c r="N58" s="131">
        <v>71</v>
      </c>
      <c r="O58" s="131" t="str">
        <f t="shared" si="6"/>
        <v>11 OZ, 9 (3+6)</v>
      </c>
      <c r="P58" s="131" t="str">
        <f t="shared" si="7"/>
        <v>182/71</v>
      </c>
      <c r="R58" s="131"/>
      <c r="S58" s="131" t="str">
        <f t="shared" si="8"/>
        <v/>
      </c>
      <c r="T58" s="1" t="str">
        <f t="shared" si="9"/>
        <v>Řehoř</v>
      </c>
      <c r="U58" s="1" t="str">
        <f t="shared" si="10"/>
        <v>Řehoř</v>
      </c>
      <c r="V58" s="131">
        <f t="shared" si="11"/>
        <v>1</v>
      </c>
      <c r="W58" s="131" t="str">
        <f t="shared" si="12"/>
        <v>J</v>
      </c>
    </row>
    <row r="59" spans="2:23" ht="15" customHeight="1" x14ac:dyDescent="0.25">
      <c r="B59" s="1" t="s">
        <v>398</v>
      </c>
      <c r="C59" s="10"/>
      <c r="D59" s="131" t="str">
        <f t="shared" si="4"/>
        <v/>
      </c>
      <c r="H59" s="131">
        <f t="shared" si="5"/>
        <v>0</v>
      </c>
      <c r="O59" s="131" t="str">
        <f t="shared" si="6"/>
        <v>10 OZ, 6 (4+2)</v>
      </c>
      <c r="P59" s="131" t="str">
        <f t="shared" si="7"/>
        <v/>
      </c>
      <c r="R59" s="131"/>
      <c r="S59" s="131" t="str">
        <f t="shared" si="8"/>
        <v/>
      </c>
      <c r="T59" s="1" t="str">
        <f t="shared" si="9"/>
        <v>Zoufalý</v>
      </c>
      <c r="U59" s="1" t="str">
        <f t="shared" si="10"/>
        <v>Zoufalý</v>
      </c>
      <c r="V59" s="131">
        <f t="shared" si="11"/>
        <v>1</v>
      </c>
      <c r="W59" s="131" t="str">
        <f t="shared" si="12"/>
        <v>J</v>
      </c>
    </row>
    <row r="60" spans="2:23" ht="15" customHeight="1" x14ac:dyDescent="0.25">
      <c r="B60" s="4" t="s">
        <v>386</v>
      </c>
      <c r="C60" s="10">
        <v>32786</v>
      </c>
      <c r="D60" s="131">
        <f t="shared" ca="1" si="4"/>
        <v>31</v>
      </c>
      <c r="H60" s="131">
        <f t="shared" si="5"/>
        <v>0</v>
      </c>
      <c r="J60" s="131">
        <v>40</v>
      </c>
      <c r="L60" s="131" t="s">
        <v>84</v>
      </c>
      <c r="M60" s="131">
        <v>180</v>
      </c>
      <c r="N60" s="131">
        <v>77</v>
      </c>
      <c r="O60" s="132" t="str">
        <f t="shared" si="6"/>
        <v>11 OZ, 29 (11+18)</v>
      </c>
      <c r="P60" s="131" t="str">
        <f t="shared" si="7"/>
        <v>180/77</v>
      </c>
      <c r="R60" s="131"/>
      <c r="S60" s="131" t="str">
        <f t="shared" si="8"/>
        <v/>
      </c>
      <c r="T60" s="1" t="str">
        <f t="shared" si="9"/>
        <v>Curney</v>
      </c>
      <c r="U60" s="1" t="str">
        <f t="shared" si="10"/>
        <v>Curney</v>
      </c>
      <c r="V60" s="131">
        <f t="shared" si="11"/>
        <v>1</v>
      </c>
      <c r="W60" s="131" t="str">
        <f t="shared" si="12"/>
        <v>J</v>
      </c>
    </row>
    <row r="61" spans="2:23" ht="15" customHeight="1" x14ac:dyDescent="0.25">
      <c r="B61" s="1" t="s">
        <v>412</v>
      </c>
      <c r="C61" s="10">
        <v>33335</v>
      </c>
      <c r="D61" s="131">
        <f t="shared" ca="1" si="4"/>
        <v>29</v>
      </c>
      <c r="H61" s="131">
        <f t="shared" si="5"/>
        <v>0</v>
      </c>
      <c r="J61" s="131">
        <v>74</v>
      </c>
      <c r="L61" s="131" t="s">
        <v>30</v>
      </c>
      <c r="M61" s="131">
        <v>192</v>
      </c>
      <c r="N61" s="131">
        <v>98</v>
      </c>
      <c r="O61" s="131" t="str">
        <f t="shared" si="6"/>
        <v>0 OZ, 0 (0+0)</v>
      </c>
      <c r="P61" s="131" t="str">
        <f t="shared" si="7"/>
        <v>192/98</v>
      </c>
      <c r="R61" s="131"/>
      <c r="S61" s="131" t="str">
        <f t="shared" si="8"/>
        <v>8 OZ, 0 A</v>
      </c>
      <c r="T61" s="1" t="str">
        <f t="shared" si="9"/>
        <v>Bauer</v>
      </c>
      <c r="U61" s="1" t="str">
        <f t="shared" si="10"/>
        <v>Bauer</v>
      </c>
      <c r="V61" s="131">
        <f t="shared" si="11"/>
        <v>1</v>
      </c>
      <c r="W61" s="131" t="str">
        <f t="shared" si="12"/>
        <v>L</v>
      </c>
    </row>
    <row r="62" spans="2:23" ht="15" customHeight="1" x14ac:dyDescent="0.25">
      <c r="B62" s="1" t="s">
        <v>396</v>
      </c>
      <c r="C62" s="10"/>
      <c r="D62" s="131" t="str">
        <f t="shared" si="4"/>
        <v/>
      </c>
      <c r="H62" s="131">
        <f t="shared" si="5"/>
        <v>0</v>
      </c>
      <c r="O62" s="131" t="str">
        <f t="shared" si="6"/>
        <v>8 OZ, 8 (5+3)</v>
      </c>
      <c r="P62" s="131" t="str">
        <f t="shared" si="7"/>
        <v/>
      </c>
      <c r="R62" s="131"/>
      <c r="S62" s="131" t="str">
        <f t="shared" si="8"/>
        <v/>
      </c>
      <c r="T62" s="1" t="str">
        <f t="shared" si="9"/>
        <v>Korych</v>
      </c>
      <c r="U62" s="1" t="str">
        <f t="shared" si="10"/>
        <v>Korych</v>
      </c>
      <c r="V62" s="131">
        <f t="shared" si="11"/>
        <v>1</v>
      </c>
      <c r="W62" s="131" t="str">
        <f t="shared" si="12"/>
        <v>M</v>
      </c>
    </row>
    <row r="63" spans="2:23" ht="15" customHeight="1" x14ac:dyDescent="0.25">
      <c r="B63" s="1" t="s">
        <v>390</v>
      </c>
      <c r="C63" s="10">
        <v>33157</v>
      </c>
      <c r="D63" s="131">
        <f t="shared" ca="1" si="4"/>
        <v>30</v>
      </c>
      <c r="H63" s="131">
        <f t="shared" si="5"/>
        <v>0</v>
      </c>
      <c r="J63" s="131">
        <v>20</v>
      </c>
      <c r="L63" s="131" t="s">
        <v>84</v>
      </c>
      <c r="M63" s="131">
        <v>183</v>
      </c>
      <c r="N63" s="131">
        <v>76</v>
      </c>
      <c r="O63" s="131" t="str">
        <f t="shared" si="6"/>
        <v>11 OZ, 11 (10+1)</v>
      </c>
      <c r="P63" s="131" t="str">
        <f t="shared" si="7"/>
        <v>183/76</v>
      </c>
      <c r="R63" s="131"/>
      <c r="S63" s="131" t="str">
        <f t="shared" si="8"/>
        <v/>
      </c>
      <c r="T63" s="1" t="str">
        <f t="shared" si="9"/>
        <v>Tokoš</v>
      </c>
      <c r="U63" s="1" t="str">
        <f t="shared" si="10"/>
        <v>Tokoš</v>
      </c>
      <c r="V63" s="131">
        <f t="shared" si="11"/>
        <v>1</v>
      </c>
      <c r="W63" s="131" t="str">
        <f t="shared" si="12"/>
        <v>M</v>
      </c>
    </row>
    <row r="64" spans="2:23" ht="15" customHeight="1" x14ac:dyDescent="0.25">
      <c r="B64" s="1" t="s">
        <v>393</v>
      </c>
      <c r="C64" s="10">
        <v>35184</v>
      </c>
      <c r="D64" s="131">
        <f t="shared" ca="1" si="4"/>
        <v>24</v>
      </c>
      <c r="H64" s="131">
        <f t="shared" si="5"/>
        <v>0</v>
      </c>
      <c r="J64" s="131">
        <v>10</v>
      </c>
      <c r="L64" s="131" t="s">
        <v>84</v>
      </c>
      <c r="M64" s="131">
        <v>185</v>
      </c>
      <c r="N64" s="131">
        <v>85</v>
      </c>
      <c r="O64" s="131" t="str">
        <f t="shared" si="6"/>
        <v>11 OZ, 10 (7+3)</v>
      </c>
      <c r="P64" s="131" t="str">
        <f t="shared" si="7"/>
        <v>185/85</v>
      </c>
      <c r="R64" s="131"/>
      <c r="S64" s="131" t="str">
        <f t="shared" si="8"/>
        <v/>
      </c>
      <c r="T64" s="1" t="str">
        <f t="shared" si="9"/>
        <v>Komárek</v>
      </c>
      <c r="U64" s="1" t="str">
        <f t="shared" si="10"/>
        <v>Komárek</v>
      </c>
      <c r="V64" s="131">
        <f t="shared" si="11"/>
        <v>1</v>
      </c>
      <c r="W64" s="131" t="str">
        <f t="shared" si="12"/>
        <v>M</v>
      </c>
    </row>
    <row r="65" spans="2:23" ht="15" customHeight="1" x14ac:dyDescent="0.25">
      <c r="B65" s="1" t="s">
        <v>400</v>
      </c>
      <c r="C65" s="10">
        <v>33976</v>
      </c>
      <c r="D65" s="131">
        <f t="shared" ca="1" si="4"/>
        <v>28</v>
      </c>
      <c r="H65" s="131">
        <f t="shared" si="5"/>
        <v>0</v>
      </c>
      <c r="J65" s="131">
        <v>4</v>
      </c>
      <c r="L65" s="131" t="s">
        <v>84</v>
      </c>
      <c r="M65" s="131">
        <v>192</v>
      </c>
      <c r="N65" s="131">
        <v>90</v>
      </c>
      <c r="O65" s="131" t="str">
        <f t="shared" si="6"/>
        <v>6 OZ, 3 (2+1)</v>
      </c>
      <c r="P65" s="131" t="str">
        <f t="shared" si="7"/>
        <v>192/90</v>
      </c>
      <c r="R65" s="131"/>
      <c r="S65" s="131" t="str">
        <f t="shared" si="8"/>
        <v/>
      </c>
      <c r="T65" s="1" t="str">
        <f t="shared" si="9"/>
        <v>Tichý</v>
      </c>
      <c r="U65" s="1" t="str">
        <f t="shared" si="10"/>
        <v>Tichý</v>
      </c>
      <c r="V65" s="131">
        <f t="shared" si="11"/>
        <v>1</v>
      </c>
      <c r="W65" s="131" t="str">
        <f t="shared" si="12"/>
        <v>M</v>
      </c>
    </row>
    <row r="66" spans="2:23" ht="15" customHeight="1" x14ac:dyDescent="0.25">
      <c r="B66" s="1" t="s">
        <v>397</v>
      </c>
      <c r="C66" s="10">
        <v>32329</v>
      </c>
      <c r="D66" s="131">
        <f t="shared" ca="1" si="4"/>
        <v>32</v>
      </c>
      <c r="H66" s="131">
        <f t="shared" si="5"/>
        <v>0</v>
      </c>
      <c r="J66" s="131">
        <v>7</v>
      </c>
      <c r="L66" s="131" t="s">
        <v>84</v>
      </c>
      <c r="M66" s="131">
        <v>181</v>
      </c>
      <c r="N66" s="131">
        <v>85</v>
      </c>
      <c r="O66" s="131" t="str">
        <f t="shared" si="6"/>
        <v>7 OZ, 8 (1+7)</v>
      </c>
      <c r="P66" s="131" t="str">
        <f t="shared" si="7"/>
        <v>181/85</v>
      </c>
      <c r="R66" s="131"/>
      <c r="S66" s="131" t="str">
        <f t="shared" si="8"/>
        <v/>
      </c>
      <c r="T66" s="1" t="str">
        <f t="shared" si="9"/>
        <v>Tomašík</v>
      </c>
      <c r="U66" s="1" t="str">
        <f t="shared" si="10"/>
        <v>Tomašík</v>
      </c>
      <c r="V66" s="131">
        <f t="shared" si="11"/>
        <v>1</v>
      </c>
      <c r="W66" s="131" t="str">
        <f t="shared" si="12"/>
        <v>M</v>
      </c>
    </row>
    <row r="67" spans="2:23" ht="15" customHeight="1" x14ac:dyDescent="0.25">
      <c r="B67" s="1" t="s">
        <v>409</v>
      </c>
      <c r="C67" s="10">
        <v>37659</v>
      </c>
      <c r="D67" s="131">
        <f t="shared" ca="1" si="4"/>
        <v>17</v>
      </c>
      <c r="H67" s="131">
        <f t="shared" si="5"/>
        <v>0</v>
      </c>
      <c r="J67" s="131">
        <v>31</v>
      </c>
      <c r="L67" s="131" t="s">
        <v>30</v>
      </c>
      <c r="O67" s="131" t="str">
        <f t="shared" si="6"/>
        <v>0 OZ, 0 (0+0)</v>
      </c>
      <c r="P67" s="131" t="str">
        <f t="shared" si="7"/>
        <v/>
      </c>
      <c r="R67" s="131"/>
      <c r="S67" s="131" t="str">
        <f t="shared" si="8"/>
        <v>1 OZ, 0 A</v>
      </c>
      <c r="T67" s="1" t="str">
        <f t="shared" si="9"/>
        <v>Tomšík</v>
      </c>
      <c r="U67" s="1" t="str">
        <f t="shared" si="10"/>
        <v>Tomšík</v>
      </c>
      <c r="V67" s="131">
        <f t="shared" si="11"/>
        <v>1</v>
      </c>
      <c r="W67" s="131" t="str">
        <f t="shared" si="12"/>
        <v>O</v>
      </c>
    </row>
    <row r="68" spans="2:23" ht="15" customHeight="1" x14ac:dyDescent="0.25">
      <c r="B68" s="1" t="s">
        <v>399</v>
      </c>
      <c r="C68" s="10">
        <v>33193</v>
      </c>
      <c r="D68" s="131">
        <f t="shared" ca="1" si="4"/>
        <v>30</v>
      </c>
      <c r="H68" s="131">
        <f t="shared" si="5"/>
        <v>0</v>
      </c>
      <c r="J68" s="131">
        <v>12</v>
      </c>
      <c r="L68" s="131" t="s">
        <v>42</v>
      </c>
      <c r="M68" s="131">
        <v>170</v>
      </c>
      <c r="N68" s="131">
        <v>69</v>
      </c>
      <c r="O68" s="131" t="str">
        <f t="shared" si="6"/>
        <v>11 OZ, 6 (3+3)</v>
      </c>
      <c r="P68" s="131" t="str">
        <f t="shared" si="7"/>
        <v>170/69</v>
      </c>
      <c r="R68" s="131"/>
      <c r="S68" s="131" t="str">
        <f t="shared" si="8"/>
        <v/>
      </c>
      <c r="T68" s="1" t="str">
        <f t="shared" si="9"/>
        <v>Suchánek</v>
      </c>
      <c r="U68" s="1" t="str">
        <f t="shared" si="10"/>
        <v>Suchánek</v>
      </c>
      <c r="V68" s="131">
        <f t="shared" si="11"/>
        <v>1</v>
      </c>
      <c r="W68" s="131" t="str">
        <f t="shared" si="12"/>
        <v>P</v>
      </c>
    </row>
    <row r="69" spans="2:23" ht="15" customHeight="1" x14ac:dyDescent="0.25">
      <c r="B69" s="1" t="s">
        <v>392</v>
      </c>
      <c r="C69" s="10">
        <v>32710</v>
      </c>
      <c r="D69" s="131">
        <f t="shared" ca="1" si="4"/>
        <v>31</v>
      </c>
      <c r="H69" s="131">
        <f t="shared" si="5"/>
        <v>0</v>
      </c>
      <c r="J69" s="131">
        <v>70</v>
      </c>
      <c r="L69" s="131" t="s">
        <v>84</v>
      </c>
      <c r="M69" s="131">
        <v>186</v>
      </c>
      <c r="N69" s="131">
        <v>88</v>
      </c>
      <c r="O69" s="131" t="str">
        <f t="shared" si="6"/>
        <v>11 OZ, 11 (4+7)</v>
      </c>
      <c r="P69" s="131" t="str">
        <f t="shared" si="7"/>
        <v>186/88</v>
      </c>
      <c r="R69" s="131"/>
      <c r="S69" s="131" t="str">
        <f t="shared" si="8"/>
        <v/>
      </c>
      <c r="T69" s="1" t="str">
        <f t="shared" si="9"/>
        <v>Krzyžanek</v>
      </c>
      <c r="U69" s="1" t="str">
        <f t="shared" si="10"/>
        <v>Krzyžanek</v>
      </c>
      <c r="V69" s="131">
        <f t="shared" si="11"/>
        <v>1</v>
      </c>
      <c r="W69" s="131" t="str">
        <f t="shared" si="12"/>
        <v>P</v>
      </c>
    </row>
    <row r="70" spans="2:23" ht="15" customHeight="1" x14ac:dyDescent="0.25">
      <c r="B70" s="1" t="s">
        <v>411</v>
      </c>
      <c r="C70" s="10">
        <v>36001</v>
      </c>
      <c r="D70" s="131">
        <f t="shared" ca="1" si="4"/>
        <v>22</v>
      </c>
      <c r="H70" s="131">
        <f t="shared" si="5"/>
        <v>0</v>
      </c>
      <c r="J70" s="131">
        <v>80</v>
      </c>
      <c r="L70" s="131" t="s">
        <v>30</v>
      </c>
      <c r="M70" s="131">
        <v>175</v>
      </c>
      <c r="N70" s="131">
        <v>69</v>
      </c>
      <c r="O70" s="131" t="str">
        <f t="shared" si="6"/>
        <v>0 OZ, 0 (0+0)</v>
      </c>
      <c r="P70" s="131" t="str">
        <f t="shared" si="7"/>
        <v>175/69</v>
      </c>
      <c r="R70" s="131"/>
      <c r="S70" s="131" t="str">
        <f t="shared" si="8"/>
        <v>3 OZ, 0 A</v>
      </c>
      <c r="T70" s="1" t="str">
        <f t="shared" si="9"/>
        <v>Musil</v>
      </c>
      <c r="U70" s="1" t="str">
        <f t="shared" si="10"/>
        <v>Musil</v>
      </c>
      <c r="V70" s="131">
        <f t="shared" si="11"/>
        <v>1</v>
      </c>
      <c r="W70" s="131" t="str">
        <f t="shared" si="12"/>
        <v>P</v>
      </c>
    </row>
    <row r="71" spans="2:23" ht="15" customHeight="1" x14ac:dyDescent="0.25">
      <c r="B71" s="1" t="s">
        <v>406</v>
      </c>
      <c r="C71" s="10">
        <v>37297</v>
      </c>
      <c r="D71" s="131">
        <f t="shared" ca="1" si="4"/>
        <v>18</v>
      </c>
      <c r="H71" s="131">
        <f t="shared" si="5"/>
        <v>0</v>
      </c>
      <c r="J71" s="131">
        <v>37</v>
      </c>
      <c r="L71" s="131" t="s">
        <v>42</v>
      </c>
      <c r="M71" s="131">
        <v>182</v>
      </c>
      <c r="N71" s="131">
        <v>75</v>
      </c>
      <c r="O71" s="131" t="str">
        <f t="shared" si="6"/>
        <v>1 OZ, 0 (0+0)</v>
      </c>
      <c r="P71" s="131" t="str">
        <f t="shared" si="7"/>
        <v>182/75</v>
      </c>
      <c r="R71" s="131"/>
      <c r="S71" s="131" t="str">
        <f t="shared" si="8"/>
        <v/>
      </c>
      <c r="T71" s="1" t="str">
        <f t="shared" si="9"/>
        <v>Švejda</v>
      </c>
      <c r="U71" s="1" t="str">
        <f t="shared" si="10"/>
        <v>Švejda</v>
      </c>
      <c r="V71" s="131">
        <f t="shared" si="11"/>
        <v>1</v>
      </c>
      <c r="W71" s="131" t="str">
        <f t="shared" si="12"/>
        <v>Š</v>
      </c>
    </row>
    <row r="72" spans="2:23" ht="15" customHeight="1" x14ac:dyDescent="0.25">
      <c r="B72" s="1" t="s">
        <v>394</v>
      </c>
      <c r="C72" s="10">
        <v>34634</v>
      </c>
      <c r="D72" s="131">
        <f t="shared" ca="1" si="4"/>
        <v>26</v>
      </c>
      <c r="H72" s="131">
        <f t="shared" si="5"/>
        <v>0</v>
      </c>
      <c r="J72" s="131">
        <v>16</v>
      </c>
      <c r="L72" s="131" t="s">
        <v>42</v>
      </c>
      <c r="M72" s="131">
        <v>177</v>
      </c>
      <c r="N72" s="131">
        <v>82</v>
      </c>
      <c r="O72" s="131" t="str">
        <f t="shared" si="6"/>
        <v>10 OZ, 9 (5+4)</v>
      </c>
      <c r="P72" s="131" t="str">
        <f t="shared" si="7"/>
        <v>177/82</v>
      </c>
      <c r="R72" s="131"/>
      <c r="S72" s="131" t="str">
        <f t="shared" si="8"/>
        <v/>
      </c>
      <c r="T72" s="1" t="str">
        <f t="shared" si="9"/>
        <v>Chroust T.</v>
      </c>
      <c r="U72" s="1" t="str">
        <f t="shared" si="10"/>
        <v>Chroust</v>
      </c>
      <c r="V72" s="131">
        <f t="shared" si="11"/>
        <v>2</v>
      </c>
      <c r="W72" s="131" t="str">
        <f t="shared" si="12"/>
        <v>T</v>
      </c>
    </row>
    <row r="73" spans="2:23" ht="15" customHeight="1" x14ac:dyDescent="0.25">
      <c r="B73" s="1" t="s">
        <v>391</v>
      </c>
      <c r="C73" s="10">
        <v>33799</v>
      </c>
      <c r="D73" s="131">
        <f t="shared" ca="1" si="4"/>
        <v>28</v>
      </c>
      <c r="H73" s="131">
        <f t="shared" si="5"/>
        <v>0</v>
      </c>
      <c r="J73" s="131">
        <v>14</v>
      </c>
      <c r="L73" s="131" t="s">
        <v>84</v>
      </c>
      <c r="M73" s="131">
        <v>183</v>
      </c>
      <c r="N73" s="131">
        <v>73</v>
      </c>
      <c r="O73" s="131" t="str">
        <f t="shared" si="6"/>
        <v>11 OZ, 11 (4+7)</v>
      </c>
      <c r="P73" s="131" t="str">
        <f t="shared" si="7"/>
        <v>183/73</v>
      </c>
      <c r="R73" s="131"/>
      <c r="S73" s="131" t="str">
        <f t="shared" si="8"/>
        <v/>
      </c>
      <c r="T73" s="1" t="str">
        <f t="shared" si="9"/>
        <v>Chroust T.</v>
      </c>
      <c r="U73" s="1" t="str">
        <f t="shared" si="10"/>
        <v>Chroust</v>
      </c>
      <c r="V73" s="131">
        <f t="shared" si="11"/>
        <v>2</v>
      </c>
      <c r="W73" s="131" t="str">
        <f t="shared" si="12"/>
        <v>T</v>
      </c>
    </row>
    <row r="74" spans="2:23" ht="15" customHeight="1" x14ac:dyDescent="0.25">
      <c r="B74" s="1" t="s">
        <v>408</v>
      </c>
      <c r="C74" s="10"/>
      <c r="D74" s="131" t="str">
        <f t="shared" si="4"/>
        <v/>
      </c>
      <c r="H74" s="131">
        <f t="shared" si="5"/>
        <v>0</v>
      </c>
      <c r="O74" s="131" t="str">
        <f t="shared" si="6"/>
        <v>1 OZ, 0 (0+0)</v>
      </c>
      <c r="P74" s="131" t="str">
        <f t="shared" si="7"/>
        <v/>
      </c>
      <c r="R74" s="131"/>
      <c r="S74" s="131" t="str">
        <f t="shared" si="8"/>
        <v/>
      </c>
      <c r="T74" s="1" t="str">
        <f t="shared" si="9"/>
        <v>Vyhnánek</v>
      </c>
      <c r="U74" s="1" t="str">
        <f t="shared" si="10"/>
        <v>Vyhnánek</v>
      </c>
      <c r="V74" s="131">
        <f t="shared" si="11"/>
        <v>1</v>
      </c>
      <c r="W74" s="131" t="str">
        <f t="shared" si="12"/>
        <v>Z</v>
      </c>
    </row>
    <row r="75" spans="2:23" ht="15" customHeight="1" x14ac:dyDescent="0.25">
      <c r="C75" s="10"/>
      <c r="D75" s="131" t="str">
        <f t="shared" ref="D75:D82" si="13">IF(C75 &lt;&gt; 0,ROUNDDOWN(($A$47-C75)/365.25,0),"")</f>
        <v/>
      </c>
      <c r="H75" s="131" t="str">
        <f t="shared" ref="H75:H82" si="14">IF(B75&lt;&gt;0,F75+G75,"")</f>
        <v/>
      </c>
      <c r="O75" s="131" t="str">
        <f t="shared" ref="O75:O82" si="15">IF(B75&lt;&gt;0,CONCATENATE(E75+IFERROR(VLOOKUP(B75,$B$2:$N$28,4,FALSE),X75), " OZ, ", H75+IFERROR(VLOOKUP(B75,$B$2:$N$28,9,FALSE),Y75+Z75), " (", F75+IFERROR(VLOOKUP(B75,$B$2:$N$28,5,FALSE),Y75), "+",G75+IFERROR(VLOOKUP(B75,$B$2:$N$28,8,FALSE), Z75), ")"), "")</f>
        <v/>
      </c>
      <c r="P75" s="131" t="str">
        <f t="shared" ref="P75:P82" si="16">IF(M75&lt;&gt;0,CONCATENATE(M75,"/",N75),"")</f>
        <v/>
      </c>
      <c r="R75" s="131"/>
      <c r="S75" s="131" t="str">
        <f t="shared" ref="S75:S82" si="17">IFERROR(CONCATENATE(E75+VLOOKUP(B75,$B$39:$R$42,4,FALSE), " OZ, ",G75+VLOOKUP(B75,$B$39:$R$42,13,FALSE), " A"),"")</f>
        <v/>
      </c>
      <c r="T75" s="1" t="str">
        <f t="shared" ref="T75:T82" si="18">IF(B75&lt;&gt;0,IF(V75=1,U75,CONCATENATE(U75," ",W75,".")),"")</f>
        <v/>
      </c>
      <c r="U75" s="1" t="str">
        <f t="shared" ref="U75:U82" si="19">IFERROR(RIGHT(B75,LEN(B75)-SEARCH(" ", B75,1)),"")</f>
        <v/>
      </c>
      <c r="V75" s="131" t="str">
        <f t="shared" ref="V75:V82" si="20">IF(B75&lt;&gt;0,COUNTIF($U$48:$U$82,U75),"")</f>
        <v/>
      </c>
      <c r="W75" s="131" t="str">
        <f t="shared" ref="W75:W82" si="21">IFERROR(LEFT(LEFT(B75,SEARCH(" ",B75,1)),1),"")</f>
        <v/>
      </c>
    </row>
    <row r="76" spans="2:23" ht="15" customHeight="1" x14ac:dyDescent="0.25">
      <c r="C76" s="10"/>
      <c r="D76" s="131" t="str">
        <f t="shared" si="13"/>
        <v/>
      </c>
      <c r="H76" s="131" t="str">
        <f t="shared" si="14"/>
        <v/>
      </c>
      <c r="O76" s="131" t="str">
        <f t="shared" si="15"/>
        <v/>
      </c>
      <c r="P76" s="131" t="str">
        <f t="shared" si="16"/>
        <v/>
      </c>
      <c r="R76" s="131"/>
      <c r="S76" s="131" t="str">
        <f t="shared" si="17"/>
        <v/>
      </c>
      <c r="T76" s="1" t="str">
        <f t="shared" si="18"/>
        <v/>
      </c>
      <c r="U76" s="1" t="str">
        <f t="shared" si="19"/>
        <v/>
      </c>
      <c r="V76" s="131" t="str">
        <f t="shared" si="20"/>
        <v/>
      </c>
      <c r="W76" s="131" t="str">
        <f t="shared" si="21"/>
        <v/>
      </c>
    </row>
    <row r="77" spans="2:23" ht="15" customHeight="1" x14ac:dyDescent="0.25">
      <c r="C77" s="10"/>
      <c r="D77" s="131" t="str">
        <f t="shared" si="13"/>
        <v/>
      </c>
      <c r="H77" s="131" t="str">
        <f t="shared" si="14"/>
        <v/>
      </c>
      <c r="O77" s="131" t="str">
        <f t="shared" si="15"/>
        <v/>
      </c>
      <c r="P77" s="131" t="str">
        <f t="shared" si="16"/>
        <v/>
      </c>
      <c r="R77" s="131"/>
      <c r="S77" s="131" t="str">
        <f t="shared" si="17"/>
        <v/>
      </c>
      <c r="T77" s="1" t="str">
        <f t="shared" si="18"/>
        <v/>
      </c>
      <c r="U77" s="1" t="str">
        <f t="shared" si="19"/>
        <v/>
      </c>
      <c r="V77" s="131" t="str">
        <f t="shared" si="20"/>
        <v/>
      </c>
      <c r="W77" s="131" t="str">
        <f t="shared" si="21"/>
        <v/>
      </c>
    </row>
    <row r="78" spans="2:23" ht="15" customHeight="1" x14ac:dyDescent="0.25">
      <c r="C78" s="10"/>
      <c r="D78" s="131" t="str">
        <f t="shared" si="13"/>
        <v/>
      </c>
      <c r="H78" s="131" t="str">
        <f t="shared" si="14"/>
        <v/>
      </c>
      <c r="O78" s="131" t="str">
        <f t="shared" si="15"/>
        <v/>
      </c>
      <c r="P78" s="131" t="str">
        <f t="shared" si="16"/>
        <v/>
      </c>
      <c r="R78" s="131"/>
      <c r="S78" s="131" t="str">
        <f t="shared" si="17"/>
        <v/>
      </c>
      <c r="T78" s="1" t="str">
        <f t="shared" si="18"/>
        <v/>
      </c>
      <c r="U78" s="1" t="str">
        <f t="shared" si="19"/>
        <v/>
      </c>
      <c r="V78" s="131" t="str">
        <f t="shared" si="20"/>
        <v/>
      </c>
      <c r="W78" s="131" t="str">
        <f t="shared" si="21"/>
        <v/>
      </c>
    </row>
    <row r="79" spans="2:23" ht="15" customHeight="1" x14ac:dyDescent="0.25">
      <c r="C79" s="10"/>
      <c r="D79" s="131" t="str">
        <f t="shared" si="13"/>
        <v/>
      </c>
      <c r="H79" s="131" t="str">
        <f t="shared" si="14"/>
        <v/>
      </c>
      <c r="O79" s="131" t="str">
        <f t="shared" si="15"/>
        <v/>
      </c>
      <c r="P79" s="131" t="str">
        <f t="shared" si="16"/>
        <v/>
      </c>
      <c r="R79" s="131"/>
      <c r="S79" s="131" t="str">
        <f t="shared" si="17"/>
        <v/>
      </c>
      <c r="T79" s="1" t="str">
        <f t="shared" si="18"/>
        <v/>
      </c>
      <c r="U79" s="1" t="str">
        <f t="shared" si="19"/>
        <v/>
      </c>
      <c r="V79" s="131" t="str">
        <f t="shared" si="20"/>
        <v/>
      </c>
      <c r="W79" s="131" t="str">
        <f t="shared" si="21"/>
        <v/>
      </c>
    </row>
    <row r="80" spans="2:23" ht="15" customHeight="1" x14ac:dyDescent="0.25">
      <c r="C80" s="10"/>
      <c r="D80" s="131" t="str">
        <f t="shared" si="13"/>
        <v/>
      </c>
      <c r="H80" s="131" t="str">
        <f t="shared" si="14"/>
        <v/>
      </c>
      <c r="O80" s="131" t="str">
        <f t="shared" si="15"/>
        <v/>
      </c>
      <c r="P80" s="131" t="str">
        <f t="shared" si="16"/>
        <v/>
      </c>
      <c r="R80" s="131"/>
      <c r="S80" s="131" t="str">
        <f t="shared" si="17"/>
        <v/>
      </c>
      <c r="T80" s="1" t="str">
        <f t="shared" si="18"/>
        <v/>
      </c>
      <c r="U80" s="1" t="str">
        <f t="shared" si="19"/>
        <v/>
      </c>
      <c r="V80" s="131" t="str">
        <f t="shared" si="20"/>
        <v/>
      </c>
      <c r="W80" s="131" t="str">
        <f t="shared" si="21"/>
        <v/>
      </c>
    </row>
    <row r="81" spans="1:23" ht="15" customHeight="1" x14ac:dyDescent="0.25">
      <c r="C81" s="10"/>
      <c r="D81" s="131" t="str">
        <f t="shared" si="13"/>
        <v/>
      </c>
      <c r="H81" s="131" t="str">
        <f t="shared" si="14"/>
        <v/>
      </c>
      <c r="O81" s="131" t="str">
        <f t="shared" si="15"/>
        <v/>
      </c>
      <c r="P81" s="131" t="str">
        <f t="shared" si="16"/>
        <v/>
      </c>
      <c r="R81" s="131"/>
      <c r="S81" s="131" t="str">
        <f t="shared" si="17"/>
        <v/>
      </c>
      <c r="T81" s="1" t="str">
        <f t="shared" si="18"/>
        <v/>
      </c>
      <c r="U81" s="1" t="str">
        <f t="shared" si="19"/>
        <v/>
      </c>
      <c r="V81" s="131" t="str">
        <f t="shared" si="20"/>
        <v/>
      </c>
      <c r="W81" s="131" t="str">
        <f t="shared" si="21"/>
        <v/>
      </c>
    </row>
    <row r="82" spans="1:23" ht="15" customHeight="1" x14ac:dyDescent="0.25">
      <c r="C82" s="10"/>
      <c r="D82" s="131" t="str">
        <f t="shared" si="13"/>
        <v/>
      </c>
      <c r="H82" s="131" t="str">
        <f t="shared" si="14"/>
        <v/>
      </c>
      <c r="O82" s="131" t="str">
        <f t="shared" si="15"/>
        <v/>
      </c>
      <c r="P82" s="131" t="str">
        <f t="shared" si="16"/>
        <v/>
      </c>
      <c r="R82" s="131"/>
      <c r="S82" s="131" t="str">
        <f t="shared" si="17"/>
        <v/>
      </c>
      <c r="T82" s="1" t="str">
        <f t="shared" si="18"/>
        <v/>
      </c>
      <c r="U82" s="1" t="str">
        <f t="shared" si="19"/>
        <v/>
      </c>
      <c r="V82" s="131" t="str">
        <f t="shared" si="20"/>
        <v/>
      </c>
      <c r="W82" s="131" t="str">
        <f t="shared" si="21"/>
        <v/>
      </c>
    </row>
    <row r="84" spans="1:23" s="129" customFormat="1" ht="15" customHeight="1" x14ac:dyDescent="0.25">
      <c r="A84" s="7">
        <f ca="1">TODAY()</f>
        <v>44205</v>
      </c>
      <c r="B84" s="129" t="s">
        <v>65</v>
      </c>
      <c r="C84" s="129" t="s">
        <v>72</v>
      </c>
      <c r="D84" s="129" t="s">
        <v>73</v>
      </c>
      <c r="E84" s="288" t="s">
        <v>104</v>
      </c>
      <c r="F84" s="288"/>
      <c r="G84" s="288" t="s">
        <v>110</v>
      </c>
      <c r="H84" s="288"/>
      <c r="I84" s="288"/>
      <c r="J84" s="288"/>
      <c r="K84" s="288"/>
      <c r="Q84" s="11"/>
    </row>
    <row r="85" spans="1:23" ht="30" customHeight="1" x14ac:dyDescent="0.25">
      <c r="B85" s="1" t="s">
        <v>436</v>
      </c>
      <c r="C85" s="10">
        <v>30091</v>
      </c>
      <c r="D85" s="132">
        <f ca="1">IF(B85&lt;&gt;0,ROUNDDOWN(($A$84-C85)/365.25,0),"")</f>
        <v>38</v>
      </c>
      <c r="E85" s="287" t="s">
        <v>198</v>
      </c>
      <c r="F85" s="287"/>
      <c r="G85" s="287" t="s">
        <v>437</v>
      </c>
      <c r="H85" s="287"/>
      <c r="I85" s="287"/>
      <c r="J85" s="287"/>
      <c r="K85" s="287"/>
    </row>
    <row r="86" spans="1:23" ht="30" customHeight="1" x14ac:dyDescent="0.25">
      <c r="B86" s="1" t="s">
        <v>438</v>
      </c>
      <c r="C86" s="10">
        <v>33197</v>
      </c>
      <c r="D86" s="132">
        <f t="shared" ref="D86:D92" ca="1" si="22">IF(B86&lt;&gt;0,ROUNDDOWN(($A$84-C86)/365.25,0),"")</f>
        <v>30</v>
      </c>
      <c r="E86" s="287" t="s">
        <v>111</v>
      </c>
      <c r="F86" s="287"/>
      <c r="G86" s="287" t="s">
        <v>439</v>
      </c>
      <c r="H86" s="287"/>
      <c r="I86" s="287"/>
      <c r="J86" s="287"/>
      <c r="K86" s="287"/>
    </row>
    <row r="87" spans="1:23" ht="30" customHeight="1" x14ac:dyDescent="0.25">
      <c r="B87" s="1" t="s">
        <v>440</v>
      </c>
      <c r="C87" s="10">
        <v>30597</v>
      </c>
      <c r="D87" s="132">
        <f t="shared" ca="1" si="22"/>
        <v>37</v>
      </c>
      <c r="E87" s="287" t="s">
        <v>201</v>
      </c>
      <c r="F87" s="287"/>
      <c r="G87" s="287" t="s">
        <v>441</v>
      </c>
      <c r="H87" s="287"/>
      <c r="I87" s="287"/>
      <c r="J87" s="287"/>
      <c r="K87" s="287"/>
    </row>
    <row r="88" spans="1:23" ht="30" customHeight="1" x14ac:dyDescent="0.25">
      <c r="B88" s="1" t="s">
        <v>442</v>
      </c>
      <c r="C88" s="10">
        <v>34618</v>
      </c>
      <c r="D88" s="132">
        <f t="shared" ca="1" si="22"/>
        <v>26</v>
      </c>
      <c r="E88" s="287" t="s">
        <v>443</v>
      </c>
      <c r="F88" s="287"/>
      <c r="G88" s="287" t="s">
        <v>444</v>
      </c>
      <c r="H88" s="287"/>
      <c r="I88" s="287"/>
      <c r="J88" s="287"/>
      <c r="K88" s="287"/>
    </row>
    <row r="89" spans="1:23" ht="30" customHeight="1" x14ac:dyDescent="0.25">
      <c r="B89" s="1" t="s">
        <v>445</v>
      </c>
      <c r="C89" s="10">
        <v>33694</v>
      </c>
      <c r="D89" s="132">
        <f t="shared" ca="1" si="22"/>
        <v>28</v>
      </c>
      <c r="E89" s="287" t="s">
        <v>446</v>
      </c>
      <c r="F89" s="287"/>
      <c r="G89" s="287"/>
      <c r="H89" s="287"/>
      <c r="I89" s="287"/>
      <c r="J89" s="287"/>
      <c r="K89" s="287"/>
    </row>
    <row r="90" spans="1:23" ht="30" customHeight="1" x14ac:dyDescent="0.25">
      <c r="D90" s="132" t="str">
        <f t="shared" si="22"/>
        <v/>
      </c>
      <c r="E90" s="287"/>
      <c r="F90" s="287"/>
      <c r="G90" s="287"/>
      <c r="H90" s="287"/>
      <c r="I90" s="287"/>
      <c r="J90" s="287"/>
      <c r="K90" s="287"/>
    </row>
    <row r="91" spans="1:23" ht="30" customHeight="1" x14ac:dyDescent="0.25">
      <c r="D91" s="132" t="str">
        <f t="shared" si="22"/>
        <v/>
      </c>
      <c r="E91" s="287"/>
      <c r="F91" s="287"/>
      <c r="G91" s="287"/>
      <c r="H91" s="287"/>
      <c r="I91" s="287"/>
      <c r="J91" s="287"/>
      <c r="K91" s="287"/>
    </row>
    <row r="92" spans="1:23" ht="30" customHeight="1" x14ac:dyDescent="0.25">
      <c r="D92" s="132" t="str">
        <f t="shared" si="22"/>
        <v/>
      </c>
      <c r="E92" s="287"/>
      <c r="F92" s="287"/>
      <c r="G92" s="287"/>
      <c r="H92" s="287"/>
      <c r="I92" s="287"/>
      <c r="J92" s="287"/>
      <c r="K92" s="287"/>
    </row>
  </sheetData>
  <sortState ref="B48:Z74">
    <sortCondition ref="B48:B74"/>
  </sortState>
  <mergeCells count="19">
    <mergeCell ref="E90:F90"/>
    <mergeCell ref="G90:K90"/>
    <mergeCell ref="E91:F91"/>
    <mergeCell ref="G91:K91"/>
    <mergeCell ref="E92:F92"/>
    <mergeCell ref="G92:K92"/>
    <mergeCell ref="E87:F87"/>
    <mergeCell ref="G87:K87"/>
    <mergeCell ref="E88:F88"/>
    <mergeCell ref="G88:K88"/>
    <mergeCell ref="E89:F89"/>
    <mergeCell ref="G89:K89"/>
    <mergeCell ref="E86:F86"/>
    <mergeCell ref="G86:K86"/>
    <mergeCell ref="X46:Z46"/>
    <mergeCell ref="E84:F84"/>
    <mergeCell ref="G84:K84"/>
    <mergeCell ref="E85:F85"/>
    <mergeCell ref="G85:K85"/>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listy</vt:lpstr>
      </vt:variant>
      <vt:variant>
        <vt:i4>10</vt:i4>
      </vt:variant>
      <vt:variant>
        <vt:lpstr>Pojmenované oblasti</vt:lpstr>
      </vt:variant>
      <vt:variant>
        <vt:i4>34</vt:i4>
      </vt:variant>
    </vt:vector>
  </HeadingPairs>
  <TitlesOfParts>
    <vt:vector size="44" baseType="lpstr">
      <vt:lpstr>Přípravy</vt:lpstr>
      <vt:lpstr>Tabulka</vt:lpstr>
      <vt:lpstr>SKV</vt:lpstr>
      <vt:lpstr>SKV_nej</vt:lpstr>
      <vt:lpstr>CHO</vt:lpstr>
      <vt:lpstr>CHO_nej</vt:lpstr>
      <vt:lpstr>VIT</vt:lpstr>
      <vt:lpstr>VIT_nej</vt:lpstr>
      <vt:lpstr>MB</vt:lpstr>
      <vt:lpstr>MB_nej</vt:lpstr>
      <vt:lpstr>MB_nej!boleslav_asistence</vt:lpstr>
      <vt:lpstr>MB_nej!boleslav_body_1</vt:lpstr>
      <vt:lpstr>MB!boleslav_goalies</vt:lpstr>
      <vt:lpstr>MB_nej!boleslav_goly</vt:lpstr>
      <vt:lpstr>MB!boleslav_players</vt:lpstr>
      <vt:lpstr>MB_nej!boleslav_prumer</vt:lpstr>
      <vt:lpstr>MB_nej!boleslav_tm</vt:lpstr>
      <vt:lpstr>MB_nej!boleslav_vyhry</vt:lpstr>
      <vt:lpstr>CHO_players</vt:lpstr>
      <vt:lpstr>CHO!chodov</vt:lpstr>
      <vt:lpstr>CHO_nej!chodov_asistence</vt:lpstr>
      <vt:lpstr>CHO_nej!chodov_body</vt:lpstr>
      <vt:lpstr>CHO!chodov_goalies</vt:lpstr>
      <vt:lpstr>CHO_nej!chodov_goly</vt:lpstr>
      <vt:lpstr>CHO_nej!chodov_prumer</vt:lpstr>
      <vt:lpstr>CHO_nej!chodov_tm</vt:lpstr>
      <vt:lpstr>CHO_nej!chodov_vyhry</vt:lpstr>
      <vt:lpstr>SKV!skv_1</vt:lpstr>
      <vt:lpstr>SKV_nej!skv_asistence</vt:lpstr>
      <vt:lpstr>SKV_nej!skv_body_1</vt:lpstr>
      <vt:lpstr>SKV!skv_goalies</vt:lpstr>
      <vt:lpstr>SKV_nej!skv_goly</vt:lpstr>
      <vt:lpstr>SKV_nej!skv_prumer</vt:lpstr>
      <vt:lpstr>SKV_nej!skv_tm</vt:lpstr>
      <vt:lpstr>SKV_nej!skv_vyhry</vt:lpstr>
      <vt:lpstr>Tabulka!tabulka</vt:lpstr>
      <vt:lpstr>VIT_nej!vitkovice_asistence</vt:lpstr>
      <vt:lpstr>VIT_nej!vitkovice_body</vt:lpstr>
      <vt:lpstr>VIT!vitkovice_goalies</vt:lpstr>
      <vt:lpstr>VIT_nej!vitkovice_goly</vt:lpstr>
      <vt:lpstr>VIT!vitkovice_players</vt:lpstr>
      <vt:lpstr>VIT_nej!vitkovice_prumer</vt:lpstr>
      <vt:lpstr>VIT_nej!vitkovice_tm</vt:lpstr>
      <vt:lpstr>VIT_nej!vitkovice_vyhry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Klíma</dc:creator>
  <cp:lastModifiedBy>Richard Klíma</cp:lastModifiedBy>
  <cp:lastPrinted>2021-01-09T13:13:48Z</cp:lastPrinted>
  <dcterms:created xsi:type="dcterms:W3CDTF">2021-01-02T13:16:40Z</dcterms:created>
  <dcterms:modified xsi:type="dcterms:W3CDTF">2021-01-09T15:02:46Z</dcterms:modified>
</cp:coreProperties>
</file>