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rinterSettings/printerSettings1.bin" ContentType="application/vnd.openxmlformats-officedocument.spreadsheetml.printerSettings"/>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drawings/drawing4.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chart4.xml" ContentType="application/vnd.openxmlformats-officedocument.drawingml.chart+xml"/>
  <Override PartName="/xl/tables/table5.xml" ContentType="application/vnd.openxmlformats-officedocument.spreadsheetml.table+xml"/>
  <Override PartName="/xl/tables/table6.xml" ContentType="application/vnd.openxmlformats-officedocument.spreadsheetml.table+xml"/>
  <Override PartName="/xl/drawings/drawing5.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drawings/drawing6.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5.xml" ContentType="application/vnd.openxmlformats-officedocument.drawingml.chart+xml"/>
  <Override PartName="/xl/charts/chart6.xml" ContentType="application/vnd.openxmlformats-officedocument.drawingml.chart+xml"/>
  <Override PartName="/xl/drawings/drawing7.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12" windowWidth="27312" windowHeight="11760" firstSheet="5" activeTab="7"/>
  </bookViews>
  <sheets>
    <sheet name="Background" sheetId="2" r:id="rId1"/>
    <sheet name="Data Table" sheetId="1" r:id="rId2"/>
    <sheet name="Sheet3" sheetId="3" state="hidden" r:id="rId3"/>
    <sheet name="1 Detail Data" sheetId="4" state="hidden" r:id="rId4"/>
    <sheet name="1 EnPI Actual Results" sheetId="5" r:id="rId5"/>
    <sheet name="2 kwh(MMBTU)" sheetId="6" r:id="rId6"/>
    <sheet name="stateData" sheetId="10" state="veryHidden" r:id="rId7"/>
    <sheet name="2 Model Data" sheetId="7" r:id="rId8"/>
    <sheet name="2 EnPI Results" sheetId="8" r:id="rId9"/>
    <sheet name="2 SEnPIResults" sheetId="9" r:id="rId10"/>
  </sheets>
  <definedNames>
    <definedName name="test">'2 kwh(MMBTU)'!$A$4:$G$4</definedName>
  </definedNames>
  <calcPr calcId="145621"/>
</workbook>
</file>

<file path=xl/calcChain.xml><?xml version="1.0" encoding="utf-8"?>
<calcChain xmlns="http://schemas.openxmlformats.org/spreadsheetml/2006/main">
  <c r="B13" i="9" l="1"/>
  <c r="B12" i="9"/>
  <c r="C12" i="9"/>
  <c r="D12" i="9"/>
  <c r="E12" i="9"/>
  <c r="B9" i="9"/>
  <c r="C9" i="9"/>
  <c r="D9" i="9"/>
  <c r="E9" i="9"/>
  <c r="B6" i="9"/>
  <c r="C6" i="9"/>
  <c r="C13" i="9" s="1"/>
  <c r="D6" i="9"/>
  <c r="E6" i="9"/>
  <c r="E13" i="9" s="1"/>
  <c r="B5" i="9"/>
  <c r="C5" i="9"/>
  <c r="D5" i="9"/>
  <c r="E5" i="9"/>
  <c r="B13" i="8"/>
  <c r="B12" i="8"/>
  <c r="C12" i="8"/>
  <c r="D12" i="8"/>
  <c r="E12" i="8"/>
  <c r="B9" i="8"/>
  <c r="C9" i="8"/>
  <c r="D9" i="8"/>
  <c r="E9" i="8"/>
  <c r="B6" i="8"/>
  <c r="C6" i="8"/>
  <c r="C13" i="8" s="1"/>
  <c r="D6" i="8"/>
  <c r="D13" i="8" s="1"/>
  <c r="E6" i="8"/>
  <c r="E13" i="8" s="1"/>
  <c r="B5" i="8"/>
  <c r="C5" i="8"/>
  <c r="D5" i="8"/>
  <c r="E5" i="8"/>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P13" i="7"/>
  <c r="P14" i="7"/>
  <c r="P15" i="7"/>
  <c r="P16" i="7"/>
  <c r="P17" i="7"/>
  <c r="P18" i="7"/>
  <c r="P19" i="7"/>
  <c r="P20" i="7"/>
  <c r="P21" i="7"/>
  <c r="P22" i="7"/>
  <c r="P23" i="7"/>
  <c r="P24" i="7"/>
  <c r="M13" i="7"/>
  <c r="N13" i="7" s="1"/>
  <c r="M14" i="7"/>
  <c r="N14" i="7" s="1"/>
  <c r="M15" i="7"/>
  <c r="N15" i="7" s="1"/>
  <c r="M16" i="7"/>
  <c r="N16" i="7" s="1"/>
  <c r="M17" i="7"/>
  <c r="N17" i="7" s="1"/>
  <c r="M18" i="7"/>
  <c r="N18" i="7" s="1"/>
  <c r="M19" i="7"/>
  <c r="N19" i="7" s="1"/>
  <c r="M20" i="7"/>
  <c r="N20" i="7" s="1"/>
  <c r="M21" i="7"/>
  <c r="N21" i="7" s="1"/>
  <c r="M22" i="7"/>
  <c r="N22" i="7" s="1"/>
  <c r="M23" i="7"/>
  <c r="N23" i="7" s="1"/>
  <c r="M24" i="7"/>
  <c r="N24" i="7" s="1"/>
  <c r="M25" i="7"/>
  <c r="N25" i="7" s="1"/>
  <c r="M26" i="7"/>
  <c r="N26" i="7" s="1"/>
  <c r="M27" i="7"/>
  <c r="N27" i="7" s="1"/>
  <c r="M28" i="7"/>
  <c r="N28" i="7" s="1"/>
  <c r="M29" i="7"/>
  <c r="N29" i="7" s="1"/>
  <c r="M30" i="7"/>
  <c r="N30" i="7" s="1"/>
  <c r="M31" i="7"/>
  <c r="N31" i="7" s="1"/>
  <c r="M32" i="7"/>
  <c r="N32" i="7" s="1"/>
  <c r="M33" i="7"/>
  <c r="N33" i="7" s="1"/>
  <c r="M34" i="7"/>
  <c r="N34" i="7" s="1"/>
  <c r="M35" i="7"/>
  <c r="N35" i="7" s="1"/>
  <c r="M36" i="7"/>
  <c r="N36" i="7" s="1"/>
  <c r="M37" i="7"/>
  <c r="N37" i="7" s="1"/>
  <c r="M38" i="7"/>
  <c r="N38" i="7" s="1"/>
  <c r="M39" i="7"/>
  <c r="N39" i="7" s="1"/>
  <c r="M40" i="7"/>
  <c r="N40" i="7" s="1"/>
  <c r="M41" i="7"/>
  <c r="N41" i="7" s="1"/>
  <c r="M42" i="7"/>
  <c r="N42" i="7" s="1"/>
  <c r="M43" i="7"/>
  <c r="N43" i="7" s="1"/>
  <c r="M44" i="7"/>
  <c r="N44" i="7" s="1"/>
  <c r="M45" i="7"/>
  <c r="N45" i="7" s="1"/>
  <c r="M46" i="7"/>
  <c r="N46" i="7" s="1"/>
  <c r="M47" i="7"/>
  <c r="N47" i="7" s="1"/>
  <c r="M48" i="7"/>
  <c r="N48" i="7" s="1"/>
  <c r="M49" i="7"/>
  <c r="N49" i="7" s="1"/>
  <c r="M50" i="7"/>
  <c r="N50" i="7" s="1"/>
  <c r="M51" i="7"/>
  <c r="N51" i="7" s="1"/>
  <c r="M52" i="7"/>
  <c r="N52" i="7" s="1"/>
  <c r="M53" i="7"/>
  <c r="N53" i="7" s="1"/>
  <c r="M54" i="7"/>
  <c r="N54" i="7" s="1"/>
  <c r="M55" i="7"/>
  <c r="N55" i="7" s="1"/>
  <c r="M56" i="7"/>
  <c r="N56" i="7" s="1"/>
  <c r="M57" i="7"/>
  <c r="N57" i="7" s="1"/>
  <c r="M58" i="7"/>
  <c r="N58" i="7" s="1"/>
  <c r="M59" i="7"/>
  <c r="N59" i="7" s="1"/>
  <c r="M60" i="7"/>
  <c r="N60" i="7" s="1"/>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B16" i="5"/>
  <c r="B9" i="5"/>
  <c r="C9" i="5"/>
  <c r="D9" i="5"/>
  <c r="E9" i="5"/>
  <c r="B8" i="5"/>
  <c r="B15" i="5" s="1"/>
  <c r="B7" i="5"/>
  <c r="B6" i="5"/>
  <c r="C6" i="5"/>
  <c r="C10" i="5" s="1"/>
  <c r="D6" i="5"/>
  <c r="D10" i="5" s="1"/>
  <c r="E6" i="5"/>
  <c r="B5" i="5"/>
  <c r="C5" i="5"/>
  <c r="D5" i="5"/>
  <c r="E5" i="5"/>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M13" i="4"/>
  <c r="Q13" i="4" s="1"/>
  <c r="M14" i="4"/>
  <c r="M15" i="4"/>
  <c r="Q15" i="4" s="1"/>
  <c r="M16" i="4"/>
  <c r="Q16" i="4" s="1"/>
  <c r="M17" i="4"/>
  <c r="Q17" i="4" s="1"/>
  <c r="M18" i="4"/>
  <c r="Q18" i="4" s="1"/>
  <c r="M19" i="4"/>
  <c r="Q19" i="4" s="1"/>
  <c r="M20" i="4"/>
  <c r="Q20" i="4" s="1"/>
  <c r="M21" i="4"/>
  <c r="Q21" i="4" s="1"/>
  <c r="M22" i="4"/>
  <c r="Q22" i="4" s="1"/>
  <c r="M23" i="4"/>
  <c r="Q23" i="4" s="1"/>
  <c r="M24" i="4"/>
  <c r="Q24" i="4" s="1"/>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G13" i="4"/>
  <c r="N13" i="4" s="1"/>
  <c r="R13" i="4" s="1"/>
  <c r="G14" i="4"/>
  <c r="N14" i="4" s="1"/>
  <c r="R14" i="4" s="1"/>
  <c r="G15" i="4"/>
  <c r="N15" i="4" s="1"/>
  <c r="R15" i="4" s="1"/>
  <c r="G16" i="4"/>
  <c r="N16" i="4" s="1"/>
  <c r="R16" i="4" s="1"/>
  <c r="G17" i="4"/>
  <c r="N17" i="4" s="1"/>
  <c r="R17" i="4" s="1"/>
  <c r="G18" i="4"/>
  <c r="N18" i="4" s="1"/>
  <c r="R18" i="4" s="1"/>
  <c r="G19" i="4"/>
  <c r="N19" i="4" s="1"/>
  <c r="R19" i="4" s="1"/>
  <c r="G20" i="4"/>
  <c r="N20" i="4" s="1"/>
  <c r="R20" i="4" s="1"/>
  <c r="G21" i="4"/>
  <c r="N21" i="4" s="1"/>
  <c r="R21" i="4" s="1"/>
  <c r="G22" i="4"/>
  <c r="N22" i="4" s="1"/>
  <c r="R22" i="4" s="1"/>
  <c r="G23" i="4"/>
  <c r="N23" i="4" s="1"/>
  <c r="R23" i="4" s="1"/>
  <c r="G24" i="4"/>
  <c r="N24" i="4" s="1"/>
  <c r="R24" i="4" s="1"/>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F2" i="1"/>
  <c r="F3" i="1"/>
  <c r="F4" i="1"/>
  <c r="F5" i="1"/>
  <c r="F6" i="1"/>
  <c r="F7" i="1"/>
  <c r="F8" i="1"/>
  <c r="F9" i="1"/>
  <c r="F10" i="1"/>
  <c r="F11" i="1"/>
  <c r="F12" i="1"/>
  <c r="F13"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14" i="9"/>
  <c r="C15" i="9" s="1"/>
  <c r="E14" i="9"/>
  <c r="D14" i="8"/>
  <c r="C14" i="8"/>
  <c r="E14" i="8"/>
  <c r="E15" i="8" s="1"/>
  <c r="O13" i="7"/>
  <c r="O14" i="7"/>
  <c r="O15" i="7"/>
  <c r="O16" i="7"/>
  <c r="O17" i="7"/>
  <c r="O18" i="7"/>
  <c r="O19" i="7"/>
  <c r="O20" i="7"/>
  <c r="O21" i="7" s="1"/>
  <c r="O22" i="7" s="1"/>
  <c r="O23" i="7" s="1"/>
  <c r="O24" i="7" s="1"/>
  <c r="O25" i="7" s="1"/>
  <c r="L13" i="4"/>
  <c r="L14" i="4"/>
  <c r="L15" i="4"/>
  <c r="L16" i="4"/>
  <c r="L17" i="4"/>
  <c r="L18" i="4"/>
  <c r="L19" i="4"/>
  <c r="L20" i="4"/>
  <c r="L21" i="4" s="1"/>
  <c r="L22" i="4" s="1"/>
  <c r="L23" i="4" s="1"/>
  <c r="L24" i="4" s="1"/>
  <c r="K13" i="4"/>
  <c r="K37" i="4"/>
  <c r="K38" i="4"/>
  <c r="K25" i="4"/>
  <c r="K14" i="4"/>
  <c r="K15" i="4"/>
  <c r="K39" i="4"/>
  <c r="K16" i="4"/>
  <c r="K17" i="4"/>
  <c r="K18" i="4"/>
  <c r="K19" i="4"/>
  <c r="K26" i="4"/>
  <c r="K20" i="4"/>
  <c r="K21" i="4" s="1"/>
  <c r="K22" i="4" s="1"/>
  <c r="K23" i="4" s="1"/>
  <c r="K24" i="4" s="1"/>
  <c r="K40" i="4"/>
  <c r="K49" i="4"/>
  <c r="K50" i="4"/>
  <c r="K27" i="4"/>
  <c r="K41" i="4"/>
  <c r="K51" i="4"/>
  <c r="K28" i="4"/>
  <c r="K42" i="4"/>
  <c r="K52" i="4"/>
  <c r="K29" i="4"/>
  <c r="K43" i="4"/>
  <c r="K53" i="4"/>
  <c r="K30" i="4"/>
  <c r="K44" i="4"/>
  <c r="K54" i="4"/>
  <c r="K31" i="4"/>
  <c r="K45" i="4"/>
  <c r="K55" i="4"/>
  <c r="K32" i="4"/>
  <c r="K46" i="4"/>
  <c r="K56" i="4"/>
  <c r="K33" i="4"/>
  <c r="K47" i="4"/>
  <c r="K57" i="4"/>
  <c r="K34" i="4"/>
  <c r="K48" i="4"/>
  <c r="K58" i="4"/>
  <c r="K35" i="4"/>
  <c r="K59" i="4"/>
  <c r="K36" i="4"/>
  <c r="K60" i="4"/>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D15" i="8"/>
  <c r="C15" i="8"/>
  <c r="D16" i="9" l="1"/>
  <c r="C16" i="9"/>
  <c r="B10" i="9"/>
  <c r="B21" i="9" s="1"/>
  <c r="E16" i="9"/>
  <c r="C10" i="9"/>
  <c r="C21" i="9" s="1"/>
  <c r="D13" i="9"/>
  <c r="E10" i="9"/>
  <c r="E21" i="9" s="1"/>
  <c r="D10" i="9"/>
  <c r="D21" i="9" s="1"/>
  <c r="D16" i="8"/>
  <c r="C16" i="8"/>
  <c r="E16" i="8"/>
  <c r="E10" i="8"/>
  <c r="E21" i="8" s="1"/>
  <c r="B10" i="8"/>
  <c r="B21" i="8" s="1"/>
  <c r="D10" i="8"/>
  <c r="D21" i="8" s="1"/>
  <c r="C10" i="8"/>
  <c r="C21" i="8" s="1"/>
  <c r="Q49" i="7"/>
  <c r="S49" i="7" s="1"/>
  <c r="Q33" i="7"/>
  <c r="S33" i="7" s="1"/>
  <c r="Q17" i="7"/>
  <c r="S17" i="7" s="1"/>
  <c r="Q56" i="7"/>
  <c r="S56" i="7" s="1"/>
  <c r="Q50" i="7"/>
  <c r="S50" i="7" s="1"/>
  <c r="Q32" i="7"/>
  <c r="S32" i="7" s="1"/>
  <c r="Q26" i="7"/>
  <c r="S26" i="7" s="1"/>
  <c r="Q48" i="7"/>
  <c r="S48" i="7" s="1"/>
  <c r="Q25" i="7"/>
  <c r="S25" i="7" s="1"/>
  <c r="Q42" i="7"/>
  <c r="S42" i="7" s="1"/>
  <c r="Q24" i="7"/>
  <c r="S24" i="7" s="1"/>
  <c r="Q41" i="7"/>
  <c r="S41" i="7" s="1"/>
  <c r="Q18" i="7"/>
  <c r="S18" i="7" s="1"/>
  <c r="Q58" i="7"/>
  <c r="S58" i="7" s="1"/>
  <c r="Q40" i="7"/>
  <c r="S40" i="7" s="1"/>
  <c r="Q57" i="7"/>
  <c r="S57" i="7" s="1"/>
  <c r="Q34" i="7"/>
  <c r="S34" i="7" s="1"/>
  <c r="Q16" i="7"/>
  <c r="S16" i="7" s="1"/>
  <c r="Q60" i="7"/>
  <c r="S60" i="7" s="1"/>
  <c r="Q52" i="7"/>
  <c r="S52" i="7" s="1"/>
  <c r="Q44" i="7"/>
  <c r="S44" i="7" s="1"/>
  <c r="Q36" i="7"/>
  <c r="S36" i="7" s="1"/>
  <c r="Q28" i="7"/>
  <c r="S28" i="7" s="1"/>
  <c r="Q20" i="7"/>
  <c r="S20" i="7" s="1"/>
  <c r="Q59" i="7"/>
  <c r="S59" i="7" s="1"/>
  <c r="Q51" i="7"/>
  <c r="S51" i="7" s="1"/>
  <c r="Q43" i="7"/>
  <c r="S43" i="7" s="1"/>
  <c r="Q35" i="7"/>
  <c r="S35" i="7" s="1"/>
  <c r="Q27" i="7"/>
  <c r="S27" i="7" s="1"/>
  <c r="Q19" i="7"/>
  <c r="S19" i="7" s="1"/>
  <c r="Q55" i="7"/>
  <c r="S55" i="7" s="1"/>
  <c r="Q47" i="7"/>
  <c r="S47" i="7" s="1"/>
  <c r="Q39" i="7"/>
  <c r="S39" i="7" s="1"/>
  <c r="Q31" i="7"/>
  <c r="S31" i="7" s="1"/>
  <c r="Q23" i="7"/>
  <c r="S23" i="7" s="1"/>
  <c r="Q15" i="7"/>
  <c r="S15" i="7" s="1"/>
  <c r="Q54" i="7"/>
  <c r="S54" i="7" s="1"/>
  <c r="Q46" i="7"/>
  <c r="S46" i="7" s="1"/>
  <c r="Q38" i="7"/>
  <c r="S38" i="7" s="1"/>
  <c r="Q30" i="7"/>
  <c r="S30" i="7" s="1"/>
  <c r="Q22" i="7"/>
  <c r="S22" i="7" s="1"/>
  <c r="Q14" i="7"/>
  <c r="S14" i="7" s="1"/>
  <c r="Q53" i="7"/>
  <c r="S53" i="7" s="1"/>
  <c r="Q45" i="7"/>
  <c r="S45" i="7" s="1"/>
  <c r="Q37" i="7"/>
  <c r="S37" i="7" s="1"/>
  <c r="Q29" i="7"/>
  <c r="S29" i="7" s="1"/>
  <c r="Q21" i="7"/>
  <c r="S21" i="7" s="1"/>
  <c r="Q13" i="7"/>
  <c r="S13" i="7" s="1"/>
  <c r="P60" i="7"/>
  <c r="P59" i="7"/>
  <c r="P58" i="7"/>
  <c r="P57" i="7"/>
  <c r="P56" i="7"/>
  <c r="P55" i="7"/>
  <c r="P54" i="7"/>
  <c r="P53" i="7"/>
  <c r="P52" i="7"/>
  <c r="P51" i="7"/>
  <c r="P50" i="7"/>
  <c r="P49" i="7"/>
  <c r="P48" i="7"/>
  <c r="P47" i="7"/>
  <c r="P46" i="7"/>
  <c r="P45" i="7"/>
  <c r="P44" i="7"/>
  <c r="P43" i="7"/>
  <c r="P42" i="7"/>
  <c r="P41" i="7"/>
  <c r="P40" i="7"/>
  <c r="P39" i="7"/>
  <c r="P38" i="7"/>
  <c r="P37" i="7"/>
  <c r="P36" i="7"/>
  <c r="P35" i="7"/>
  <c r="P34" i="7"/>
  <c r="P33" i="7"/>
  <c r="P32" i="7"/>
  <c r="P31" i="7"/>
  <c r="P30" i="7"/>
  <c r="P29" i="7"/>
  <c r="P28" i="7"/>
  <c r="P27" i="7"/>
  <c r="P26" i="7"/>
  <c r="P25" i="7"/>
  <c r="C13" i="5"/>
  <c r="D13" i="5"/>
  <c r="E13" i="5"/>
  <c r="E10" i="5"/>
  <c r="B10" i="5"/>
  <c r="Q14" i="4"/>
  <c r="N60" i="4"/>
  <c r="R60" i="4" s="1"/>
  <c r="N36" i="4"/>
  <c r="R36" i="4" s="1"/>
  <c r="N59" i="4"/>
  <c r="R59" i="4" s="1"/>
  <c r="N35" i="4"/>
  <c r="R35" i="4" s="1"/>
  <c r="N58" i="4"/>
  <c r="R58" i="4" s="1"/>
  <c r="N48" i="4"/>
  <c r="R48" i="4" s="1"/>
  <c r="N34" i="4"/>
  <c r="R34" i="4" s="1"/>
  <c r="N57" i="4"/>
  <c r="R57" i="4" s="1"/>
  <c r="N47" i="4"/>
  <c r="R47" i="4" s="1"/>
  <c r="N33" i="4"/>
  <c r="R33" i="4" s="1"/>
  <c r="N56" i="4"/>
  <c r="R56" i="4" s="1"/>
  <c r="N46" i="4"/>
  <c r="R46" i="4" s="1"/>
  <c r="N32" i="4"/>
  <c r="R32" i="4" s="1"/>
  <c r="N55" i="4"/>
  <c r="R55" i="4" s="1"/>
  <c r="N45" i="4"/>
  <c r="R45" i="4" s="1"/>
  <c r="N31" i="4"/>
  <c r="R31" i="4" s="1"/>
  <c r="N54" i="4"/>
  <c r="R54" i="4" s="1"/>
  <c r="N44" i="4"/>
  <c r="R44" i="4" s="1"/>
  <c r="N30" i="4"/>
  <c r="R30" i="4" s="1"/>
  <c r="N53" i="4"/>
  <c r="R53" i="4" s="1"/>
  <c r="N43" i="4"/>
  <c r="R43" i="4" s="1"/>
  <c r="N29" i="4"/>
  <c r="R29" i="4" s="1"/>
  <c r="N52" i="4"/>
  <c r="R52" i="4" s="1"/>
  <c r="N42" i="4"/>
  <c r="R42" i="4" s="1"/>
  <c r="N28" i="4"/>
  <c r="R28" i="4" s="1"/>
  <c r="N51" i="4"/>
  <c r="R51" i="4" s="1"/>
  <c r="N41" i="4"/>
  <c r="R41" i="4" s="1"/>
  <c r="N27" i="4"/>
  <c r="R27" i="4" s="1"/>
  <c r="N50" i="4"/>
  <c r="R50" i="4" s="1"/>
  <c r="N49" i="4"/>
  <c r="R49" i="4" s="1"/>
  <c r="N40" i="4"/>
  <c r="R40" i="4" s="1"/>
  <c r="N26" i="4"/>
  <c r="R26" i="4" s="1"/>
  <c r="N39" i="4"/>
  <c r="R39" i="4" s="1"/>
  <c r="N25" i="4"/>
  <c r="R25" i="4" s="1"/>
  <c r="N38" i="4"/>
  <c r="R38" i="4" s="1"/>
  <c r="N37" i="4"/>
  <c r="R37" i="4" s="1"/>
  <c r="M60" i="4"/>
  <c r="Q60" i="4" s="1"/>
  <c r="M36" i="4"/>
  <c r="Q36" i="4" s="1"/>
  <c r="M59" i="4"/>
  <c r="Q59" i="4" s="1"/>
  <c r="M35" i="4"/>
  <c r="Q35" i="4" s="1"/>
  <c r="M58" i="4"/>
  <c r="Q58" i="4" s="1"/>
  <c r="M48" i="4"/>
  <c r="Q48" i="4" s="1"/>
  <c r="M34" i="4"/>
  <c r="Q34" i="4" s="1"/>
  <c r="M57" i="4"/>
  <c r="Q57" i="4" s="1"/>
  <c r="M47" i="4"/>
  <c r="Q47" i="4" s="1"/>
  <c r="M33" i="4"/>
  <c r="Q33" i="4" s="1"/>
  <c r="M56" i="4"/>
  <c r="Q56" i="4" s="1"/>
  <c r="M46" i="4"/>
  <c r="Q46" i="4" s="1"/>
  <c r="M32" i="4"/>
  <c r="Q32" i="4" s="1"/>
  <c r="M55" i="4"/>
  <c r="Q55" i="4" s="1"/>
  <c r="M45" i="4"/>
  <c r="Q45" i="4" s="1"/>
  <c r="M31" i="4"/>
  <c r="Q31" i="4" s="1"/>
  <c r="M54" i="4"/>
  <c r="Q54" i="4" s="1"/>
  <c r="M44" i="4"/>
  <c r="Q44" i="4" s="1"/>
  <c r="M30" i="4"/>
  <c r="Q30" i="4" s="1"/>
  <c r="M53" i="4"/>
  <c r="Q53" i="4" s="1"/>
  <c r="M43" i="4"/>
  <c r="Q43" i="4" s="1"/>
  <c r="M29" i="4"/>
  <c r="Q29" i="4" s="1"/>
  <c r="M52" i="4"/>
  <c r="Q52" i="4" s="1"/>
  <c r="M42" i="4"/>
  <c r="Q42" i="4" s="1"/>
  <c r="M28" i="4"/>
  <c r="Q28" i="4" s="1"/>
  <c r="M51" i="4"/>
  <c r="Q51" i="4" s="1"/>
  <c r="M41" i="4"/>
  <c r="Q41" i="4" s="1"/>
  <c r="M27" i="4"/>
  <c r="Q27" i="4" s="1"/>
  <c r="M50" i="4"/>
  <c r="Q50" i="4" s="1"/>
  <c r="M49" i="4"/>
  <c r="M40" i="4"/>
  <c r="Q40" i="4" s="1"/>
  <c r="M26" i="4"/>
  <c r="Q26" i="4" s="1"/>
  <c r="M39" i="4"/>
  <c r="Q39" i="4" s="1"/>
  <c r="M25" i="4"/>
  <c r="M38" i="4"/>
  <c r="Q38" i="4" s="1"/>
  <c r="M37" i="4"/>
  <c r="D19" i="9"/>
  <c r="C19" i="9"/>
  <c r="E19" i="9"/>
  <c r="C17" i="9"/>
  <c r="D17" i="9" s="1"/>
  <c r="D18" i="9"/>
  <c r="C18" i="9"/>
  <c r="E18" i="9"/>
  <c r="E17" i="9"/>
  <c r="D14" i="9"/>
  <c r="D19" i="8"/>
  <c r="C19" i="8"/>
  <c r="E19" i="8"/>
  <c r="D18" i="8"/>
  <c r="C18" i="8"/>
  <c r="E18" i="8"/>
  <c r="C17" i="8"/>
  <c r="D17" i="8" s="1"/>
  <c r="E17" i="8" s="1"/>
  <c r="C14" i="5"/>
  <c r="D14" i="5"/>
  <c r="E14" i="5"/>
  <c r="E15" i="9"/>
  <c r="D15" i="9"/>
  <c r="C11" i="9" l="1"/>
  <c r="C20" i="9" s="1"/>
  <c r="E11" i="9"/>
  <c r="E20" i="9" s="1"/>
  <c r="B11" i="9"/>
  <c r="B20" i="9" s="1"/>
  <c r="D11" i="9"/>
  <c r="D20" i="9" s="1"/>
  <c r="C11" i="8"/>
  <c r="C20" i="8" s="1"/>
  <c r="E11" i="8"/>
  <c r="E20" i="8" s="1"/>
  <c r="B11" i="8"/>
  <c r="B20" i="8" s="1"/>
  <c r="D11" i="8"/>
  <c r="D20" i="8" s="1"/>
  <c r="E11" i="5"/>
  <c r="C11" i="5"/>
  <c r="D11" i="5"/>
  <c r="Q25" i="4"/>
  <c r="C8" i="5" s="1"/>
  <c r="C15" i="5" s="1"/>
  <c r="C7" i="5"/>
  <c r="C16" i="5" s="1"/>
  <c r="Q49" i="4"/>
  <c r="E8" i="5" s="1"/>
  <c r="E15" i="5" s="1"/>
  <c r="E7" i="5"/>
  <c r="E16" i="5" s="1"/>
  <c r="Q37" i="4"/>
  <c r="D8" i="5" s="1"/>
  <c r="D15" i="5" s="1"/>
  <c r="D7" i="5"/>
  <c r="D16" i="5" s="1"/>
  <c r="C12" i="5"/>
  <c r="E12" i="5"/>
  <c r="D12" i="5"/>
</calcChain>
</file>

<file path=xl/sharedStrings.xml><?xml version="1.0" encoding="utf-8"?>
<sst xmlns="http://schemas.openxmlformats.org/spreadsheetml/2006/main" count="532" uniqueCount="101">
  <si>
    <t>kwh</t>
  </si>
  <si>
    <t>Avg Monthly Mean Temp</t>
  </si>
  <si>
    <t>Heating Degree Days, Base 65 deg F</t>
  </si>
  <si>
    <t>Date</t>
  </si>
  <si>
    <t>Column1</t>
  </si>
  <si>
    <t>kwh(MMBTU)</t>
  </si>
  <si>
    <t>Period</t>
  </si>
  <si>
    <t>FY5</t>
  </si>
  <si>
    <t>FY6</t>
  </si>
  <si>
    <t>FY7</t>
  </si>
  <si>
    <t>FY4</t>
  </si>
  <si>
    <t>TOTAL  (MMBtu)</t>
  </si>
  <si>
    <t>Total Production</t>
  </si>
  <si>
    <t>Baseline Year</t>
  </si>
  <si>
    <t>Model Year</t>
  </si>
  <si>
    <t>Period Count</t>
  </si>
  <si>
    <t>Baseline Count</t>
  </si>
  <si>
    <t>Energy Savings: kwh(MMBTU)</t>
  </si>
  <si>
    <t>Energy Savings: TOTAL  (MMBtu)</t>
  </si>
  <si>
    <t>Unit Cost in $/MMBtu for column: kwh(MMBTU)</t>
  </si>
  <si>
    <t>Unit Cost in $/MMBtu for column: TOTAL  (MMBtu)</t>
  </si>
  <si>
    <t>Cost Savings ($): kwh(MMBTU)</t>
  </si>
  <si>
    <t>Cost Savings ($): TOTAL  (MMBtu)</t>
  </si>
  <si>
    <t>General Energy Performance Results</t>
  </si>
  <si>
    <t xml:space="preserve"> </t>
  </si>
  <si>
    <t>kwh(MMBTU) Annual Savings</t>
  </si>
  <si>
    <t>kwh(MMBTU) Estimated Cost Savings ($)</t>
  </si>
  <si>
    <t>Total Production Output</t>
  </si>
  <si>
    <t>Production Energy Intensity (MMBtu/unit production)</t>
  </si>
  <si>
    <t>Total Improvement in Energy Intensity (%)</t>
  </si>
  <si>
    <t>Annual Improvement in Energy Intensity (%)</t>
  </si>
  <si>
    <t>Total Savings Since Baseline Year (MMBtu/Year)</t>
  </si>
  <si>
    <t>New Energy Savings for Current Year (MMBtu/year)</t>
  </si>
  <si>
    <t>Estimated Annual Cost Savings</t>
  </si>
  <si>
    <t>Avoided CO2 Emissions (Metric Ton/year)</t>
  </si>
  <si>
    <t>The best model for the data provided is #1</t>
  </si>
  <si>
    <t>2 kwh(MMBTU) Models</t>
  </si>
  <si>
    <t>The table below shows all possible models for 2 kwh(MMBTU) consumption. The model highlighted in green in the table below is the model with the highest Adjusted R2 value. If "true" is shown in column B, the model is designated as valid. A model is considered valid if the model p-value is less than 0.10. The model highlighted in green is used to calculate the adjusted data on the EnPI Results, SEnPI Results, and Adjusted Data tabs. If the model is switched, the corresponding data will be updated with the model selected. The models can be switched using the "Change Models" icon in the top navigation.</t>
  </si>
  <si>
    <t>Model Number</t>
  </si>
  <si>
    <t>Model is Appropriate for SEP</t>
  </si>
  <si>
    <t>Variables</t>
  </si>
  <si>
    <t>Coefficients</t>
  </si>
  <si>
    <t>Variable Std. Error</t>
  </si>
  <si>
    <t>Variable p-Values</t>
  </si>
  <si>
    <t>R2</t>
  </si>
  <si>
    <t>Adjusted R2</t>
  </si>
  <si>
    <t>Model p-Value</t>
  </si>
  <si>
    <t>RMSError</t>
  </si>
  <si>
    <t>Residual</t>
  </si>
  <si>
    <t>AIC</t>
  </si>
  <si>
    <t>Formula</t>
  </si>
  <si>
    <t>(0.754431583882666 * [Heating Degree Days, Base 65 deg F]) + 595.299683774121</t>
  </si>
  <si>
    <t>The plots below show the actual energy consumption versus the independent variables for the model year.</t>
  </si>
  <si>
    <t>The line labeled "Actuals"  in the plot below has not been adjusted. This is the original data entered by the user. The line labeled "Model" is the predicted energy consumption using the model selected above.</t>
  </si>
  <si>
    <t>Last Year</t>
  </si>
  <si>
    <t>Adjustment Method</t>
  </si>
  <si>
    <t>Modeled kwh(MMBTU)</t>
  </si>
  <si>
    <t>Total Modeled Energy Consumption (MMBtu)</t>
  </si>
  <si>
    <t>CUSUMHidden</t>
  </si>
  <si>
    <t>SEP CUSUM</t>
  </si>
  <si>
    <t>Negative Values</t>
  </si>
  <si>
    <t>One or more of the calculated modeled energy consumption values is negative. The negative modeled energy value(s) is shown in yellow. Consider setting the negative modeled energy value as zero.</t>
  </si>
  <si>
    <t>Validation Check</t>
  </si>
  <si>
    <t>A model must satisfy validity requirements in order to be used for SEP or Better Plants reporting. In addition to the model having acceptable R-squared and p-values, the average of the variables entered into the model must fall within one of the following ranges: _x000D_
_x000D_
 1. The range of observed data that went into the model OR _x000D_
 2. Three standard deviations from the mean of the data that went into the model _x000D_
_x000D_
 The following table shows these ranges for the data set provided.</t>
  </si>
  <si>
    <t>Range 1</t>
  </si>
  <si>
    <t>Range 2</t>
  </si>
  <si>
    <t>Minimum of Model Variable</t>
  </si>
  <si>
    <t>Maximum of Model Variable</t>
  </si>
  <si>
    <t>Model Avg -3 Std Dev</t>
  </si>
  <si>
    <t>Model Avg +3 Std Dev</t>
  </si>
  <si>
    <t>Column2</t>
  </si>
  <si>
    <t>The table below shows the unadjusted and adjusted energy consumption and intensity data. The models used to adjust the data for each energy source are shown below the plots and on the individual sheets for each energy source. Note that the tool selects the model that is appropriate for the SEP Program and has the highest adjusted R-squared value.</t>
  </si>
  <si>
    <t>Actual kwh(MMBTU)</t>
  </si>
  <si>
    <t>Forecast</t>
  </si>
  <si>
    <t>SEnPI Cumulative</t>
  </si>
  <si>
    <t>Total Energy Savings since Baseline Year (MMBtu/Year)</t>
  </si>
  <si>
    <t>Cumulative Savings (MMBtu)</t>
  </si>
  <si>
    <t>Adjustment for Baseline Primary Energy Use (MMBtu/year)</t>
  </si>
  <si>
    <t>Warnings</t>
  </si>
  <si>
    <t>Energy Use</t>
  </si>
  <si>
    <t>2 kwh(MMBTU)</t>
  </si>
  <si>
    <t>Superior Energy Performance Results</t>
  </si>
  <si>
    <t>Cumulative Improvement (%)</t>
  </si>
  <si>
    <t>Annual Improvement (%)</t>
  </si>
  <si>
    <t>Annual Savings (MMBtu/year)</t>
  </si>
  <si>
    <t>e69d856d-5a70-4c66-b887-9d85a370ca9a</t>
  </si>
  <si>
    <t>1 Detail Data</t>
  </si>
  <si>
    <t>0b200520-1dab-452d-aa40-f2b74469fcc0</t>
  </si>
  <si>
    <t>1 EnPI Actual Results</t>
  </si>
  <si>
    <t>regressionIteration</t>
  </si>
  <si>
    <t>plantName</t>
  </si>
  <si>
    <t>Data Table</t>
  </si>
  <si>
    <t>Column3</t>
  </si>
  <si>
    <t>Column4</t>
  </si>
  <si>
    <t>570acbf2-ad05-4f55-a3dd-27b6ca00866d</t>
  </si>
  <si>
    <t>be6eeefd-2812-43c8-bf13-cc06323c1e0c</t>
  </si>
  <si>
    <t>2 Model Data</t>
  </si>
  <si>
    <t>e001857e-38b3-4886-8570-667f48222d42</t>
  </si>
  <si>
    <t>2 EnPI Results</t>
  </si>
  <si>
    <t>181843b4-ef9c-4fca-a158-d2294a3bce36</t>
  </si>
  <si>
    <t>2 SEnPIResults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</si>
</sst>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1" formatCode="_(* #,##0_);_(* \(#,##0\);_(* &quot;-&quot;_);_(@_)"/>
    <numFmt numFmtId="43" formatCode="_(* #,##0.00_);_(* \(#,##0.00\);_(* &quot;-&quot;??_);_(@_)"/>
    <numFmt numFmtId="164" formatCode="####"/>
    <numFmt numFmtId="165" formatCode="##,##0"/>
    <numFmt numFmtId="166" formatCode="###,##0"/>
    <numFmt numFmtId="167" formatCode="_(&quot;$&quot;* #,##0.00_);_(&quot;$&quot;* \(#,##0.00\);_(&quot;$&quot;* \ \-??_);_(@_)"/>
    <numFmt numFmtId="168" formatCode="###,##0.000"/>
    <numFmt numFmtId="169" formatCode="_(&quot;$&quot;* #,##0_);_(&quot;$&quot;* \(#,##0\);_(&quot;$&quot;* \ \-??_);_(@_)"/>
    <numFmt numFmtId="170" formatCode="0.0000"/>
    <numFmt numFmtId="171" formatCode="_(&quot;$&quot;* #,##0_);_(&quot;$&quot;* \(#,##0\);_(&quot;$&quot;* &quot;-&quot;??_);@_)"/>
  </numFmts>
  <fonts count="12" x14ac:knownFonts="1">
    <font>
      <sz val="11"/>
      <color theme="1"/>
      <name val="Calibri"/>
      <family val="2"/>
      <scheme val="minor"/>
    </font>
    <font>
      <b/>
      <sz val="11"/>
      <color theme="1"/>
      <name val="Calibri"/>
      <family val="2"/>
      <scheme val="minor"/>
    </font>
    <font>
      <sz val="11"/>
      <color theme="1"/>
      <name val="Calibri"/>
      <family val="2"/>
      <scheme val="minor"/>
    </font>
    <font>
      <sz val="11"/>
      <color rgb="FFFFFFFF"/>
      <name val="Calibri"/>
      <family val="2"/>
      <scheme val="minor"/>
    </font>
    <font>
      <b/>
      <sz val="11"/>
      <color rgb="FFFFFFFF"/>
      <name val="Calibri"/>
      <family val="2"/>
      <scheme val="minor"/>
    </font>
    <font>
      <b/>
      <sz val="15"/>
      <color rgb="FF008000"/>
      <name val="Calibri"/>
      <family val="2"/>
      <scheme val="minor"/>
    </font>
    <font>
      <u/>
      <sz val="11"/>
      <color theme="10"/>
      <name val="Calibri"/>
      <family val="2"/>
      <scheme val="minor"/>
    </font>
    <font>
      <b/>
      <u/>
      <sz val="11"/>
      <color rgb="FF00AA00"/>
      <name val="Calibri"/>
      <family val="2"/>
      <scheme val="minor"/>
    </font>
    <font>
      <b/>
      <sz val="11"/>
      <color rgb="FF00AA00"/>
      <name val="Calibri"/>
      <family val="2"/>
      <scheme val="minor"/>
    </font>
    <font>
      <sz val="11"/>
      <color rgb="FF0000AA"/>
      <name val="Calibri"/>
      <family val="2"/>
      <scheme val="minor"/>
    </font>
    <font>
      <b/>
      <sz val="14"/>
      <color theme="1"/>
      <name val="Calibri"/>
      <family val="2"/>
      <scheme val="minor"/>
    </font>
    <font>
      <sz val="11"/>
      <color rgb="FF00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rgb="FF000000"/>
        <bgColor indexed="64"/>
      </patternFill>
    </fill>
    <fill>
      <patternFill patternType="solid">
        <fgColor rgb="FFD8E4BC"/>
        <bgColor indexed="64"/>
      </patternFill>
    </fill>
    <fill>
      <patternFill patternType="solid">
        <fgColor rgb="FF4F6228"/>
        <bgColor indexed="64"/>
      </patternFill>
    </fill>
    <fill>
      <patternFill patternType="solid">
        <fgColor rgb="FFFFFFFF"/>
        <bgColor indexed="64"/>
      </patternFill>
    </fill>
    <fill>
      <patternFill patternType="solid">
        <fgColor rgb="FFC6EFCD"/>
        <bgColor indexed="64"/>
      </patternFill>
    </fill>
    <fill>
      <patternFill patternType="solid">
        <fgColor rgb="FFBCE4D8"/>
        <bgColor indexed="64"/>
      </patternFill>
    </fill>
    <fill>
      <patternFill patternType="solid">
        <fgColor rgb="FFD3D3D3"/>
        <bgColor indexed="64"/>
      </patternFill>
    </fill>
    <fill>
      <patternFill patternType="solid">
        <fgColor rgb="FF008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5">
    <xf numFmtId="0" fontId="0" fillId="0" borderId="0"/>
    <xf numFmtId="43" fontId="2" fillId="0" borderId="0" applyFont="0" applyFill="0" applyBorder="0" applyAlignment="0" applyProtection="0"/>
    <xf numFmtId="41" fontId="2" fillId="0" borderId="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cellStyleXfs>
  <cellXfs count="68">
    <xf numFmtId="0" fontId="0" fillId="0" borderId="0" xfId="0"/>
    <xf numFmtId="14" fontId="0" fillId="0" borderId="0" xfId="0" applyNumberFormat="1"/>
    <xf numFmtId="1" fontId="0" fillId="0" borderId="0" xfId="0" applyNumberFormat="1"/>
    <xf numFmtId="0" fontId="1" fillId="2" borderId="0" xfId="0" applyFont="1" applyFill="1" applyAlignment="1">
      <alignment horizontal="center" wrapText="1"/>
    </xf>
    <xf numFmtId="0" fontId="1" fillId="2" borderId="2" xfId="0" applyFont="1" applyFill="1" applyBorder="1" applyAlignment="1">
      <alignment horizontal="center" vertical="center" wrapText="1"/>
    </xf>
    <xf numFmtId="1" fontId="1" fillId="2" borderId="2" xfId="0" applyNumberFormat="1" applyFont="1" applyFill="1" applyBorder="1" applyAlignment="1">
      <alignment horizontal="center" vertical="center" wrapText="1"/>
    </xf>
    <xf numFmtId="0" fontId="0" fillId="0" borderId="1" xfId="0" applyBorder="1"/>
    <xf numFmtId="14" fontId="1" fillId="2" borderId="2" xfId="0" applyNumberFormat="1" applyFont="1" applyFill="1" applyBorder="1" applyAlignment="1">
      <alignment horizontal="center" vertical="center" wrapText="1"/>
    </xf>
    <xf numFmtId="14" fontId="0" fillId="0" borderId="1" xfId="0" applyNumberFormat="1" applyBorder="1"/>
    <xf numFmtId="14" fontId="0" fillId="0" borderId="3" xfId="0" applyNumberFormat="1" applyBorder="1"/>
    <xf numFmtId="0" fontId="0" fillId="0" borderId="3" xfId="0" applyBorder="1"/>
    <xf numFmtId="43" fontId="0" fillId="0" borderId="1" xfId="1" applyFont="1" applyBorder="1"/>
    <xf numFmtId="43" fontId="0" fillId="0" borderId="3" xfId="1" applyFont="1" applyBorder="1"/>
    <xf numFmtId="164" fontId="0" fillId="0" borderId="4" xfId="0" applyNumberFormat="1" applyBorder="1"/>
    <xf numFmtId="164" fontId="0" fillId="0" borderId="1" xfId="0" applyNumberFormat="1" applyBorder="1"/>
    <xf numFmtId="165" fontId="0" fillId="0" borderId="0" xfId="0" applyNumberFormat="1"/>
    <xf numFmtId="164" fontId="0" fillId="0" borderId="0" xfId="0" applyNumberFormat="1"/>
    <xf numFmtId="0" fontId="0" fillId="0" borderId="0" xfId="0" applyAlignment="1">
      <alignment horizontal="center" wrapText="1"/>
    </xf>
    <xf numFmtId="0" fontId="4" fillId="3" borderId="0" xfId="0" applyFont="1" applyFill="1" applyAlignment="1">
      <alignment horizontal="center" wrapText="1"/>
    </xf>
    <xf numFmtId="0" fontId="5" fillId="0" borderId="0" xfId="0" applyFont="1"/>
    <xf numFmtId="0" fontId="0" fillId="0" borderId="0" xfId="0"/>
    <xf numFmtId="0" fontId="0" fillId="0" borderId="0" xfId="0" applyAlignment="1">
      <alignment wrapText="1"/>
    </xf>
    <xf numFmtId="166" fontId="4" fillId="5" borderId="0" xfId="1" applyNumberFormat="1" applyFont="1" applyFill="1"/>
    <xf numFmtId="166" fontId="0" fillId="4" borderId="0" xfId="1" applyNumberFormat="1" applyFont="1" applyFill="1"/>
    <xf numFmtId="0" fontId="4" fillId="5" borderId="0" xfId="1" applyNumberFormat="1" applyFont="1" applyFill="1"/>
    <xf numFmtId="167" fontId="0" fillId="4" borderId="0" xfId="1" applyNumberFormat="1" applyFont="1" applyFill="1"/>
    <xf numFmtId="168" fontId="4" fillId="5" borderId="0" xfId="2" applyNumberFormat="1" applyFont="1" applyFill="1"/>
    <xf numFmtId="168" fontId="0" fillId="4" borderId="0" xfId="2" applyNumberFormat="1" applyFont="1" applyFill="1"/>
    <xf numFmtId="10" fontId="4" fillId="5" borderId="0" xfId="3" applyNumberFormat="1" applyFont="1" applyFill="1"/>
    <xf numFmtId="10" fontId="0" fillId="4" borderId="0" xfId="3" applyNumberFormat="1" applyFont="1" applyFill="1"/>
    <xf numFmtId="166" fontId="0" fillId="6" borderId="0" xfId="1" applyNumberFormat="1" applyFont="1" applyFill="1"/>
    <xf numFmtId="169" fontId="0" fillId="4" borderId="0" xfId="1" applyNumberFormat="1" applyFont="1" applyFill="1"/>
    <xf numFmtId="0" fontId="1" fillId="0" borderId="0" xfId="0" applyFont="1" applyAlignment="1">
      <alignment wrapText="1"/>
    </xf>
    <xf numFmtId="0" fontId="7" fillId="7" borderId="5" xfId="4" applyFont="1" applyFill="1" applyBorder="1"/>
    <xf numFmtId="0" fontId="8" fillId="7" borderId="6" xfId="0" applyFont="1" applyFill="1" applyBorder="1"/>
    <xf numFmtId="0" fontId="8" fillId="7" borderId="7" xfId="0" applyFont="1" applyFill="1" applyBorder="1"/>
    <xf numFmtId="0" fontId="8" fillId="7" borderId="8" xfId="0" applyFont="1" applyFill="1" applyBorder="1"/>
    <xf numFmtId="0" fontId="8" fillId="7" borderId="0" xfId="0" applyFont="1" applyFill="1" applyBorder="1"/>
    <xf numFmtId="0" fontId="8" fillId="7" borderId="9" xfId="0" applyFont="1" applyFill="1" applyBorder="1"/>
    <xf numFmtId="170" fontId="0" fillId="0" borderId="0" xfId="0" applyNumberFormat="1"/>
    <xf numFmtId="170" fontId="8" fillId="7" borderId="6" xfId="0" applyNumberFormat="1" applyFont="1" applyFill="1" applyBorder="1"/>
    <xf numFmtId="170" fontId="8" fillId="7" borderId="0" xfId="0" applyNumberFormat="1" applyFont="1" applyFill="1" applyBorder="1"/>
    <xf numFmtId="0" fontId="1" fillId="0" borderId="0" xfId="0" applyFont="1" applyAlignment="1">
      <alignment wrapText="1"/>
    </xf>
    <xf numFmtId="170" fontId="1" fillId="0" borderId="0" xfId="0" applyNumberFormat="1" applyFont="1" applyAlignment="1">
      <alignment wrapText="1"/>
    </xf>
    <xf numFmtId="170" fontId="1" fillId="0" borderId="0" xfId="0" applyNumberFormat="1" applyFont="1" applyAlignment="1">
      <alignment wrapText="1"/>
    </xf>
    <xf numFmtId="165" fontId="0" fillId="0" borderId="0" xfId="0" applyNumberFormat="1" applyBorder="1"/>
    <xf numFmtId="165" fontId="9" fillId="8" borderId="0" xfId="0" applyNumberFormat="1" applyFont="1" applyFill="1"/>
    <xf numFmtId="164" fontId="9" fillId="8" borderId="0" xfId="0" applyNumberFormat="1" applyFont="1" applyFill="1"/>
    <xf numFmtId="165" fontId="9" fillId="8" borderId="0" xfId="0" applyNumberFormat="1" applyFont="1" applyFill="1" applyBorder="1"/>
    <xf numFmtId="14" fontId="9" fillId="8" borderId="0" xfId="0" applyNumberFormat="1" applyFont="1" applyFill="1"/>
    <xf numFmtId="0" fontId="4" fillId="3" borderId="0" xfId="0" applyFont="1" applyFill="1" applyBorder="1" applyAlignment="1">
      <alignment horizontal="center" wrapText="1"/>
    </xf>
    <xf numFmtId="0" fontId="10" fillId="0" borderId="0" xfId="0" applyFont="1"/>
    <xf numFmtId="0" fontId="0" fillId="0" borderId="0" xfId="0" applyAlignment="1">
      <alignment vertical="top" wrapText="1"/>
    </xf>
    <xf numFmtId="0" fontId="3" fillId="0" borderId="0" xfId="0" applyFont="1"/>
    <xf numFmtId="0" fontId="3" fillId="3" borderId="0" xfId="0" applyFont="1" applyFill="1"/>
    <xf numFmtId="0" fontId="11" fillId="3" borderId="0" xfId="0" applyFont="1" applyFill="1"/>
    <xf numFmtId="0" fontId="11" fillId="6" borderId="0" xfId="0" applyFont="1" applyFill="1"/>
    <xf numFmtId="0" fontId="11" fillId="9" borderId="0" xfId="0" applyFont="1" applyFill="1"/>
    <xf numFmtId="166" fontId="4" fillId="10" borderId="0" xfId="1" applyNumberFormat="1" applyFont="1" applyFill="1"/>
    <xf numFmtId="166" fontId="0" fillId="10" borderId="0" xfId="1" applyNumberFormat="1" applyFont="1" applyFill="1"/>
    <xf numFmtId="166" fontId="1" fillId="6" borderId="0" xfId="1" applyNumberFormat="1" applyFont="1" applyFill="1"/>
    <xf numFmtId="171" fontId="4" fillId="5" borderId="0" xfId="1" applyNumberFormat="1" applyFont="1" applyFill="1"/>
    <xf numFmtId="171" fontId="0" fillId="6" borderId="0" xfId="1" applyNumberFormat="1" applyFont="1" applyFill="1"/>
    <xf numFmtId="168" fontId="4" fillId="5" borderId="0" xfId="1" applyNumberFormat="1" applyFont="1" applyFill="1"/>
    <xf numFmtId="168" fontId="0" fillId="4" borderId="0" xfId="1" applyNumberFormat="1" applyFont="1" applyFill="1"/>
    <xf numFmtId="0" fontId="4" fillId="10" borderId="0" xfId="0" applyFont="1" applyFill="1"/>
    <xf numFmtId="0" fontId="8" fillId="0" borderId="0" xfId="0" applyFont="1"/>
    <xf numFmtId="11" fontId="8" fillId="0" borderId="0" xfId="0" applyNumberFormat="1" applyFont="1"/>
  </cellXfs>
  <cellStyles count="5">
    <cellStyle name="Comma" xfId="1" builtinId="3"/>
    <cellStyle name="Comma [0]" xfId="2" builtinId="6"/>
    <cellStyle name="Hyperlink" xfId="4" builtinId="8"/>
    <cellStyle name="Normal" xfId="0" builtinId="0"/>
    <cellStyle name="Percent" xfId="3" builtinId="5"/>
  </cellStyles>
  <dxfs count="87">
    <dxf>
      <alignment horizontal="center" vertical="bottom" textRotation="0" wrapText="1" indent="0" justifyLastLine="0" shrinkToFit="0" readingOrder="0"/>
    </dxf>
    <dxf>
      <numFmt numFmtId="166" formatCode="###,##0"/>
      <fill>
        <patternFill patternType="solid">
          <fgColor indexed="64"/>
          <bgColor rgb="FFD8E4BC"/>
        </patternFill>
      </fill>
    </dxf>
    <dxf>
      <numFmt numFmtId="166" formatCode="###,##0"/>
      <fill>
        <patternFill patternType="solid">
          <fgColor indexed="64"/>
          <bgColor rgb="FFD8E4BC"/>
        </patternFill>
      </fill>
    </dxf>
    <dxf>
      <numFmt numFmtId="166" formatCode="###,##0"/>
      <fill>
        <patternFill patternType="solid">
          <fgColor indexed="64"/>
          <bgColor rgb="FFD8E4BC"/>
        </patternFill>
      </fill>
    </dxf>
    <dxf>
      <numFmt numFmtId="166" formatCode="###,##0"/>
      <fill>
        <patternFill patternType="solid">
          <fgColor indexed="64"/>
          <bgColor rgb="FFD8E4BC"/>
        </patternFill>
      </fill>
    </dxf>
    <dxf>
      <numFmt numFmtId="166" formatCode="###,##0"/>
      <fill>
        <patternFill patternType="solid">
          <fgColor indexed="64"/>
          <bgColor rgb="FFD8E4BC"/>
        </patternFill>
      </fill>
    </dxf>
    <dxf>
      <font>
        <b/>
        <color rgb="FFFFFFFF"/>
      </font>
      <numFmt numFmtId="166" formatCode="###,##0"/>
      <fill>
        <patternFill patternType="solid">
          <fgColor indexed="64"/>
          <bgColor rgb="FF4F6228"/>
        </patternFill>
      </fill>
    </dxf>
    <dxf>
      <alignment horizontal="center" vertical="bottom" textRotation="0" wrapText="1" indent="0" justifyLastLine="0" shrinkToFit="0" readingOrder="0"/>
    </dxf>
    <dxf>
      <numFmt numFmtId="166" formatCode="###,##0"/>
      <fill>
        <patternFill patternType="solid">
          <fgColor indexed="64"/>
          <bgColor rgb="FFD8E4BC"/>
        </patternFill>
      </fill>
    </dxf>
    <dxf>
      <numFmt numFmtId="166" formatCode="###,##0"/>
      <fill>
        <patternFill patternType="solid">
          <fgColor indexed="64"/>
          <bgColor rgb="FFD8E4BC"/>
        </patternFill>
      </fill>
    </dxf>
    <dxf>
      <numFmt numFmtId="166" formatCode="###,##0"/>
      <fill>
        <patternFill patternType="solid">
          <fgColor indexed="64"/>
          <bgColor rgb="FFD8E4BC"/>
        </patternFill>
      </fill>
    </dxf>
    <dxf>
      <numFmt numFmtId="166" formatCode="###,##0"/>
      <fill>
        <patternFill patternType="solid">
          <fgColor indexed="64"/>
          <bgColor rgb="FFD8E4BC"/>
        </patternFill>
      </fill>
    </dxf>
    <dxf>
      <numFmt numFmtId="166" formatCode="###,##0"/>
      <fill>
        <patternFill patternType="solid">
          <fgColor indexed="64"/>
          <bgColor rgb="FFD8E4BC"/>
        </patternFill>
      </fill>
    </dxf>
    <dxf>
      <font>
        <b/>
        <color rgb="FFFFFFFF"/>
      </font>
      <numFmt numFmtId="166" formatCode="###,##0"/>
      <fill>
        <patternFill patternType="solid">
          <fgColor indexed="64"/>
          <bgColor rgb="FF4F6228"/>
        </patternFill>
      </fill>
    </dxf>
    <dxf>
      <font>
        <color rgb="FF000000"/>
      </font>
    </dxf>
    <dxf>
      <font>
        <b val="0"/>
        <i val="0"/>
        <strike val="0"/>
        <condense val="0"/>
        <extend val="0"/>
        <outline val="0"/>
        <shadow val="0"/>
        <u val="none"/>
        <vertAlign val="baseline"/>
        <sz val="11"/>
        <color rgb="FF000000"/>
        <name val="Calibri"/>
        <scheme val="minor"/>
      </font>
      <fill>
        <patternFill patternType="solid">
          <fgColor indexed="64"/>
          <bgColor rgb="FF000000"/>
        </patternFill>
      </fill>
    </dxf>
    <dxf>
      <font>
        <color rgb="FF000000"/>
      </font>
    </dxf>
    <dxf>
      <font>
        <color rgb="FF000000"/>
      </font>
    </dxf>
    <dxf>
      <font>
        <color rgb="FF000000"/>
      </font>
    </dxf>
    <dxf>
      <font>
        <b/>
        <color rgb="FFFFFFFF"/>
      </font>
      <fill>
        <patternFill patternType="solid">
          <fgColor indexed="64"/>
          <bgColor rgb="FF000000"/>
        </patternFill>
      </fill>
      <alignment horizontal="center" vertical="bottom" textRotation="0" wrapText="1" indent="0" justifyLastLine="0" shrinkToFit="0" readingOrder="0"/>
    </dxf>
    <dxf>
      <numFmt numFmtId="19" formatCode="m/d/yyyy"/>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4" formatCode="####"/>
    </dxf>
    <dxf>
      <numFmt numFmtId="165" formatCode="##,##0"/>
    </dxf>
    <dxf>
      <numFmt numFmtId="165" formatCode="##,##0"/>
    </dxf>
    <dxf>
      <numFmt numFmtId="165" formatCode="##,##0"/>
    </dxf>
    <dxf>
      <border diagonalUp="0" diagonalDown="0" outline="0">
        <left/>
        <right/>
        <top/>
        <bottom/>
      </border>
    </dxf>
    <dxf>
      <font>
        <b/>
        <i val="0"/>
        <strike val="0"/>
        <condense val="0"/>
        <extend val="0"/>
        <outline val="0"/>
        <shadow val="0"/>
        <u val="none"/>
        <vertAlign val="baseline"/>
        <sz val="11"/>
        <color rgb="FF00AA00"/>
        <name val="Calibri"/>
        <scheme val="minor"/>
      </font>
      <numFmt numFmtId="170" formatCode="0.0000"/>
      <fill>
        <patternFill patternType="solid">
          <fgColor indexed="64"/>
          <bgColor rgb="FFC6EFCD"/>
        </patternFill>
      </fill>
      <border diagonalUp="0" diagonalDown="0" outline="0">
        <left/>
        <right/>
        <top style="medium">
          <color indexed="64"/>
        </top>
        <bottom/>
      </border>
    </dxf>
    <dxf>
      <font>
        <b/>
        <i val="0"/>
        <strike val="0"/>
        <condense val="0"/>
        <extend val="0"/>
        <outline val="0"/>
        <shadow val="0"/>
        <u val="none"/>
        <vertAlign val="baseline"/>
        <sz val="11"/>
        <color rgb="FF00AA00"/>
        <name val="Calibri"/>
        <scheme val="minor"/>
      </font>
      <fill>
        <patternFill patternType="solid">
          <fgColor indexed="64"/>
          <bgColor rgb="FFC6EFCD"/>
        </patternFill>
      </fill>
      <border diagonalUp="0" diagonalDown="0" outline="0">
        <left/>
        <right/>
        <top style="medium">
          <color indexed="64"/>
        </top>
        <bottom/>
      </border>
    </dxf>
    <dxf>
      <font>
        <b/>
        <i val="0"/>
        <strike val="0"/>
        <condense val="0"/>
        <extend val="0"/>
        <outline val="0"/>
        <shadow val="0"/>
        <u val="none"/>
        <vertAlign val="baseline"/>
        <sz val="11"/>
        <color rgb="FF00AA00"/>
        <name val="Calibri"/>
        <scheme val="minor"/>
      </font>
      <numFmt numFmtId="170" formatCode="0.0000"/>
      <fill>
        <patternFill patternType="solid">
          <fgColor indexed="64"/>
          <bgColor rgb="FFC6EFCD"/>
        </patternFill>
      </fill>
      <border diagonalUp="0" diagonalDown="0" outline="0">
        <left/>
        <right/>
        <top style="medium">
          <color indexed="64"/>
        </top>
        <bottom/>
      </border>
    </dxf>
    <dxf>
      <font>
        <b/>
        <i val="0"/>
        <strike val="0"/>
        <condense val="0"/>
        <extend val="0"/>
        <outline val="0"/>
        <shadow val="0"/>
        <u val="none"/>
        <vertAlign val="baseline"/>
        <sz val="11"/>
        <color rgb="FF00AA00"/>
        <name val="Calibri"/>
        <scheme val="minor"/>
      </font>
      <numFmt numFmtId="170" formatCode="0.0000"/>
      <fill>
        <patternFill patternType="solid">
          <fgColor indexed="64"/>
          <bgColor rgb="FFC6EFCD"/>
        </patternFill>
      </fill>
      <border diagonalUp="0" diagonalDown="0" outline="0">
        <left/>
        <right/>
        <top style="medium">
          <color indexed="64"/>
        </top>
        <bottom/>
      </border>
    </dxf>
    <dxf>
      <font>
        <b/>
        <i val="0"/>
        <strike val="0"/>
        <condense val="0"/>
        <extend val="0"/>
        <outline val="0"/>
        <shadow val="0"/>
        <u val="none"/>
        <vertAlign val="baseline"/>
        <sz val="11"/>
        <color rgb="FF00AA00"/>
        <name val="Calibri"/>
        <scheme val="minor"/>
      </font>
      <numFmt numFmtId="170" formatCode="0.0000"/>
      <fill>
        <patternFill patternType="solid">
          <fgColor indexed="64"/>
          <bgColor rgb="FFC6EFCD"/>
        </patternFill>
      </fill>
      <border diagonalUp="0" diagonalDown="0" outline="0">
        <left/>
        <right/>
        <top style="medium">
          <color indexed="64"/>
        </top>
        <bottom/>
      </border>
    </dxf>
    <dxf>
      <font>
        <b/>
        <i val="0"/>
        <strike val="0"/>
        <condense val="0"/>
        <extend val="0"/>
        <outline val="0"/>
        <shadow val="0"/>
        <u val="none"/>
        <vertAlign val="baseline"/>
        <sz val="11"/>
        <color rgb="FF00AA00"/>
        <name val="Calibri"/>
        <scheme val="minor"/>
      </font>
      <fill>
        <patternFill patternType="solid">
          <fgColor indexed="64"/>
          <bgColor rgb="FFC6EFCD"/>
        </patternFill>
      </fill>
      <border diagonalUp="0" diagonalDown="0" outline="0">
        <left/>
        <right/>
        <top style="medium">
          <color indexed="64"/>
        </top>
        <bottom/>
      </border>
    </dxf>
    <dxf>
      <font>
        <b/>
        <i val="0"/>
        <strike val="0"/>
        <condense val="0"/>
        <extend val="0"/>
        <outline val="0"/>
        <shadow val="0"/>
        <u val="none"/>
        <vertAlign val="baseline"/>
        <sz val="11"/>
        <color rgb="FF00AA00"/>
        <name val="Calibri"/>
        <scheme val="minor"/>
      </font>
      <fill>
        <patternFill patternType="solid">
          <fgColor indexed="64"/>
          <bgColor rgb="FFC6EFCD"/>
        </patternFill>
      </fill>
    </dxf>
    <dxf>
      <font>
        <b/>
        <i val="0"/>
        <strike val="0"/>
        <condense val="0"/>
        <extend val="0"/>
        <outline val="0"/>
        <shadow val="0"/>
        <u val="none"/>
        <vertAlign val="baseline"/>
        <sz val="11"/>
        <color rgb="FF00AA00"/>
        <name val="Calibri"/>
        <scheme val="minor"/>
      </font>
      <fill>
        <patternFill patternType="solid">
          <fgColor indexed="64"/>
          <bgColor rgb="FFC6EFCD"/>
        </patternFill>
      </fill>
      <border diagonalUp="0" diagonalDown="0">
        <left/>
        <right style="medium">
          <color indexed="64"/>
        </right>
        <top style="medium">
          <color indexed="64"/>
        </top>
        <bottom/>
        <vertical/>
        <horizontal/>
      </border>
    </dxf>
    <dxf>
      <font>
        <b/>
        <i val="0"/>
        <strike val="0"/>
        <condense val="0"/>
        <extend val="0"/>
        <outline val="0"/>
        <shadow val="0"/>
        <u val="none"/>
        <vertAlign val="baseline"/>
        <sz val="11"/>
        <color rgb="FF00AA00"/>
        <name val="Calibri"/>
        <scheme val="minor"/>
      </font>
      <fill>
        <patternFill patternType="solid">
          <fgColor indexed="64"/>
          <bgColor rgb="FFC6EFCD"/>
        </patternFill>
      </fill>
      <border diagonalUp="0" diagonalDown="0">
        <left/>
        <right/>
        <top style="medium">
          <color indexed="64"/>
        </top>
        <bottom/>
        <vertical/>
        <horizontal/>
      </border>
    </dxf>
    <dxf>
      <font>
        <b/>
        <i val="0"/>
        <strike val="0"/>
        <condense val="0"/>
        <extend val="0"/>
        <outline val="0"/>
        <shadow val="0"/>
        <u val="none"/>
        <vertAlign val="baseline"/>
        <sz val="11"/>
        <color rgb="FF00AA00"/>
        <name val="Calibri"/>
        <scheme val="minor"/>
      </font>
      <fill>
        <patternFill patternType="solid">
          <fgColor indexed="64"/>
          <bgColor rgb="FFC6EFCD"/>
        </patternFill>
      </fill>
      <border diagonalUp="0" diagonalDown="0">
        <left/>
        <right/>
        <top style="medium">
          <color indexed="64"/>
        </top>
        <bottom/>
        <vertical/>
        <horizontal/>
      </border>
    </dxf>
    <dxf>
      <font>
        <b/>
        <i val="0"/>
        <strike val="0"/>
        <condense val="0"/>
        <extend val="0"/>
        <outline val="0"/>
        <shadow val="0"/>
        <u val="none"/>
        <vertAlign val="baseline"/>
        <sz val="11"/>
        <color rgb="FF00AA00"/>
        <name val="Calibri"/>
        <scheme val="minor"/>
      </font>
      <fill>
        <patternFill patternType="solid">
          <fgColor indexed="64"/>
          <bgColor rgb="FFC6EFCD"/>
        </patternFill>
      </fill>
      <border diagonalUp="0" diagonalDown="0">
        <left/>
        <right/>
        <top style="medium">
          <color indexed="64"/>
        </top>
        <bottom/>
        <vertical/>
        <horizontal/>
      </border>
    </dxf>
    <dxf>
      <font>
        <b/>
        <i val="0"/>
        <strike val="0"/>
        <condense val="0"/>
        <extend val="0"/>
        <outline val="0"/>
        <shadow val="0"/>
        <u val="none"/>
        <vertAlign val="baseline"/>
        <sz val="11"/>
        <color rgb="FF00AA00"/>
        <name val="Calibri"/>
        <scheme val="minor"/>
      </font>
      <fill>
        <patternFill patternType="solid">
          <fgColor indexed="64"/>
          <bgColor rgb="FFC6EFCD"/>
        </patternFill>
      </fill>
      <border diagonalUp="0" diagonalDown="0">
        <left/>
        <right/>
        <top style="medium">
          <color indexed="64"/>
        </top>
        <bottom/>
        <vertical/>
        <horizontal/>
      </border>
    </dxf>
    <dxf>
      <font>
        <b/>
        <i val="0"/>
        <strike val="0"/>
        <condense val="0"/>
        <extend val="0"/>
        <outline val="0"/>
        <shadow val="0"/>
        <u val="none"/>
        <vertAlign val="baseline"/>
        <sz val="11"/>
        <color rgb="FF00AA00"/>
        <name val="Calibri"/>
        <scheme val="minor"/>
      </font>
      <fill>
        <patternFill patternType="solid">
          <fgColor indexed="64"/>
          <bgColor rgb="FFC6EFCD"/>
        </patternFill>
      </fill>
      <border diagonalUp="0" diagonalDown="0">
        <left/>
        <right/>
        <top style="medium">
          <color indexed="64"/>
        </top>
        <bottom/>
        <vertical/>
        <horizontal/>
      </border>
    </dxf>
    <dxf>
      <border outline="0">
        <bottom style="medium">
          <color indexed="64"/>
        </bottom>
      </border>
    </dxf>
    <dxf>
      <alignment horizontal="center" vertical="bottom" textRotation="0" wrapText="1" indent="0" justifyLastLine="0" shrinkToFit="0" readingOrder="0"/>
    </dxf>
    <dxf>
      <numFmt numFmtId="166" formatCode="###,##0"/>
      <fill>
        <patternFill patternType="solid">
          <fgColor indexed="64"/>
          <bgColor rgb="FFD8E4BC"/>
        </patternFill>
      </fill>
    </dxf>
    <dxf>
      <numFmt numFmtId="166" formatCode="###,##0"/>
      <fill>
        <patternFill patternType="solid">
          <fgColor indexed="64"/>
          <bgColor rgb="FFD8E4BC"/>
        </patternFill>
      </fill>
    </dxf>
    <dxf>
      <numFmt numFmtId="166" formatCode="###,##0"/>
      <fill>
        <patternFill patternType="solid">
          <fgColor indexed="64"/>
          <bgColor rgb="FFD8E4BC"/>
        </patternFill>
      </fill>
    </dxf>
    <dxf>
      <numFmt numFmtId="166" formatCode="###,##0"/>
      <fill>
        <patternFill patternType="solid">
          <fgColor indexed="64"/>
          <bgColor rgb="FFD8E4BC"/>
        </patternFill>
      </fill>
    </dxf>
    <dxf>
      <numFmt numFmtId="166" formatCode="###,##0"/>
      <fill>
        <patternFill patternType="solid">
          <fgColor indexed="64"/>
          <bgColor rgb="FFD8E4BC"/>
        </patternFill>
      </fill>
    </dxf>
    <dxf>
      <font>
        <b/>
        <color rgb="FFFFFFFF"/>
      </font>
      <numFmt numFmtId="166" formatCode="###,##0"/>
      <fill>
        <patternFill patternType="solid">
          <fgColor indexed="64"/>
          <bgColor rgb="FF4F6228"/>
        </patternFill>
      </fill>
    </dxf>
    <dxf>
      <font>
        <b/>
        <color rgb="FFFFFFFF"/>
      </font>
      <fill>
        <patternFill patternType="solid">
          <fgColor indexed="64"/>
          <bgColor rgb="FF000000"/>
        </patternFill>
      </fill>
      <alignment horizontal="center" vertical="bottom" textRotation="0" wrapText="1" indent="0" justifyLastLine="0" shrinkToFit="0" readingOrder="0"/>
    </dxf>
    <dxf>
      <numFmt numFmtId="19" formatCode="m/d/yyyy"/>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5" formatCode="##,##0"/>
    </dxf>
    <dxf>
      <numFmt numFmtId="164" formatCode="####"/>
    </dxf>
    <dxf>
      <numFmt numFmtId="165" formatCode="##,##0"/>
    </dxf>
    <dxf>
      <numFmt numFmtId="165" formatCode="##,##0"/>
    </dxf>
    <dxf>
      <numFmt numFmtId="165" formatCode="##,##0"/>
    </dxf>
    <dxf>
      <numFmt numFmtId="164" formatCode="####"/>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lineChart>
        <c:grouping val="standard"/>
        <c:varyColors val="0"/>
        <c:ser>
          <c:idx val="0"/>
          <c:order val="0"/>
          <c:tx>
            <c:strRef>
              <c:f>'1 Detail Data'!$G$12</c:f>
              <c:strCache>
                <c:ptCount val="1"/>
                <c:pt idx="0">
                  <c:v>TOTAL  (MMBtu)</c:v>
                </c:pt>
              </c:strCache>
            </c:strRef>
          </c:tx>
          <c:spPr>
            <a:ln w="28575" cap="rnd" cmpd="sng" algn="ctr">
              <a:solidFill>
                <a:srgbClr val="1E90FF">
                  <a:alpha val="0"/>
                </a:srgbClr>
              </a:solidFill>
              <a:prstDash val="solid"/>
              <a:round/>
              <a:headEnd type="none" w="med" len="med"/>
              <a:tailEnd type="none" w="med" len="med"/>
            </a:ln>
          </c:spPr>
          <c:marker>
            <c:spPr>
              <a:solidFill>
                <a:srgbClr val="000080"/>
              </a:solidFill>
              <a:ln w="28575" cap="rnd" cmpd="sng" algn="ctr">
                <a:solidFill>
                  <a:srgbClr val="1E90FF">
                    <a:alpha val="0"/>
                  </a:srgbClr>
                </a:solidFill>
                <a:prstDash val="solid"/>
                <a:round/>
                <a:headEnd type="none" w="med" len="med"/>
                <a:tailEnd type="none" w="med" len="med"/>
              </a:ln>
            </c:spPr>
          </c:marker>
          <c:val>
            <c:numRef>
              <c:f>'1 Detail Data'!$G$13:$G$60</c:f>
              <c:numCache>
                <c:formatCode>##,##0</c:formatCode>
                <c:ptCount val="48"/>
                <c:pt idx="0">
                  <c:v>767.752422852</c:v>
                </c:pt>
                <c:pt idx="1">
                  <c:v>807.42633281290796</c:v>
                </c:pt>
                <c:pt idx="2">
                  <c:v>868.42116219506397</c:v>
                </c:pt>
                <c:pt idx="3">
                  <c:v>1489.9412749704538</c:v>
                </c:pt>
                <c:pt idx="4">
                  <c:v>1733.1221205617999</c:v>
                </c:pt>
                <c:pt idx="5">
                  <c:v>1253.1709092701999</c:v>
                </c:pt>
                <c:pt idx="6">
                  <c:v>1190.711308746</c:v>
                </c:pt>
                <c:pt idx="7">
                  <c:v>803.84853814309201</c:v>
                </c:pt>
                <c:pt idx="8">
                  <c:v>734.69403863138996</c:v>
                </c:pt>
                <c:pt idx="9">
                  <c:v>709.7150504876339</c:v>
                </c:pt>
                <c:pt idx="10">
                  <c:v>615.78751972329599</c:v>
                </c:pt>
                <c:pt idx="11">
                  <c:v>601.29108220628405</c:v>
                </c:pt>
                <c:pt idx="12">
                  <c:v>763.474303097394</c:v>
                </c:pt>
                <c:pt idx="13">
                  <c:v>760.64558960940599</c:v>
                </c:pt>
                <c:pt idx="14">
                  <c:v>889.06641608175596</c:v>
                </c:pt>
                <c:pt idx="15">
                  <c:v>1667.4604022019839</c:v>
                </c:pt>
                <c:pt idx="16">
                  <c:v>1303.4892179893379</c:v>
                </c:pt>
                <c:pt idx="17">
                  <c:v>1388.6537846213937</c:v>
                </c:pt>
                <c:pt idx="18">
                  <c:v>1246.4542988231519</c:v>
                </c:pt>
                <c:pt idx="19">
                  <c:v>744.08649178054202</c:v>
                </c:pt>
                <c:pt idx="20">
                  <c:v>706.283769783156</c:v>
                </c:pt>
                <c:pt idx="21">
                  <c:v>619.30315881444005</c:v>
                </c:pt>
                <c:pt idx="22">
                  <c:v>591.64833820500598</c:v>
                </c:pt>
                <c:pt idx="23">
                  <c:v>563.57088627530993</c:v>
                </c:pt>
                <c:pt idx="24">
                  <c:v>566.4395115882719</c:v>
                </c:pt>
                <c:pt idx="25">
                  <c:v>569.69721321706788</c:v>
                </c:pt>
                <c:pt idx="26">
                  <c:v>625.62339437391597</c:v>
                </c:pt>
                <c:pt idx="27">
                  <c:v>368.49174348063605</c:v>
                </c:pt>
                <c:pt idx="28">
                  <c:v>977.34553816142397</c:v>
                </c:pt>
                <c:pt idx="29">
                  <c:v>1108.7736628097578</c:v>
                </c:pt>
                <c:pt idx="30">
                  <c:v>805.50453595924205</c:v>
                </c:pt>
                <c:pt idx="31">
                  <c:v>627.36451830868202</c:v>
                </c:pt>
                <c:pt idx="32">
                  <c:v>745.49136959405996</c:v>
                </c:pt>
                <c:pt idx="33">
                  <c:v>736.73510008438211</c:v>
                </c:pt>
                <c:pt idx="34">
                  <c:v>531.35841982648799</c:v>
                </c:pt>
                <c:pt idx="35">
                  <c:v>547.94353865024402</c:v>
                </c:pt>
                <c:pt idx="36">
                  <c:v>703.99213085811004</c:v>
                </c:pt>
                <c:pt idx="37">
                  <c:v>723.34728797602202</c:v>
                </c:pt>
                <c:pt idx="38">
                  <c:v>871.78584471198599</c:v>
                </c:pt>
                <c:pt idx="39">
                  <c:v>1308.2954247248581</c:v>
                </c:pt>
                <c:pt idx="40">
                  <c:v>1501.1395769759699</c:v>
                </c:pt>
                <c:pt idx="41">
                  <c:v>1406.70148399203</c:v>
                </c:pt>
                <c:pt idx="42">
                  <c:v>1217.2114742688623</c:v>
                </c:pt>
                <c:pt idx="43">
                  <c:v>923.47105304524155</c:v>
                </c:pt>
                <c:pt idx="44">
                  <c:v>763.58369451944213</c:v>
                </c:pt>
                <c:pt idx="45">
                  <c:v>572.67017803517865</c:v>
                </c:pt>
                <c:pt idx="46">
                  <c:v>527.20587813936663</c:v>
                </c:pt>
                <c:pt idx="47">
                  <c:v>485.84590373290911</c:v>
                </c:pt>
              </c:numCache>
            </c:numRef>
          </c:val>
          <c:smooth val="0"/>
        </c:ser>
        <c:dLbls>
          <c:showLegendKey val="0"/>
          <c:showVal val="0"/>
          <c:showCatName val="0"/>
          <c:showSerName val="0"/>
          <c:showPercent val="0"/>
          <c:showBubbleSize val="0"/>
        </c:dLbls>
        <c:marker val="1"/>
        <c:smooth val="0"/>
        <c:axId val="149273984"/>
        <c:axId val="149279872"/>
      </c:lineChart>
      <c:catAx>
        <c:axId val="149273984"/>
        <c:scaling>
          <c:orientation val="minMax"/>
        </c:scaling>
        <c:delete val="0"/>
        <c:axPos val="b"/>
        <c:title>
          <c:tx>
            <c:rich>
              <a:bodyPr/>
              <a:lstStyle/>
              <a:p>
                <a:pPr>
                  <a:defRPr/>
                </a:pPr>
                <a:r>
                  <a:rPr lang="en-US"/>
                  <a:t>Year</a:t>
                </a:r>
              </a:p>
            </c:rich>
          </c:tx>
          <c:layout/>
          <c:overlay val="0"/>
        </c:title>
        <c:majorTickMark val="out"/>
        <c:minorTickMark val="none"/>
        <c:tickLblPos val="nextTo"/>
        <c:crossAx val="149279872"/>
        <c:crosses val="autoZero"/>
        <c:auto val="1"/>
        <c:lblAlgn val="ctr"/>
        <c:lblOffset val="100"/>
        <c:noMultiLvlLbl val="0"/>
      </c:catAx>
      <c:valAx>
        <c:axId val="149279872"/>
        <c:scaling>
          <c:orientation val="minMax"/>
        </c:scaling>
        <c:delete val="0"/>
        <c:axPos val="l"/>
        <c:majorGridlines/>
        <c:title>
          <c:tx>
            <c:rich>
              <a:bodyPr/>
              <a:lstStyle/>
              <a:p>
                <a:pPr>
                  <a:defRPr/>
                </a:pPr>
                <a:r>
                  <a:rPr lang="en-US"/>
                  <a:t>Total Consumption (MMBtu)</a:t>
                </a:r>
              </a:p>
            </c:rich>
          </c:tx>
          <c:layout/>
          <c:overlay val="0"/>
        </c:title>
        <c:numFmt formatCode="##,##0" sourceLinked="1"/>
        <c:majorTickMark val="out"/>
        <c:minorTickMark val="none"/>
        <c:tickLblPos val="nextTo"/>
        <c:crossAx val="149273984"/>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7"/>
    </mc:Choice>
    <mc:Fallback>
      <c:style val="37"/>
    </mc:Fallback>
  </mc:AlternateContent>
  <c:chart>
    <c:autoTitleDeleted val="0"/>
    <c:plotArea>
      <c:layout/>
      <c:barChart>
        <c:barDir val="col"/>
        <c:grouping val="clustered"/>
        <c:varyColors val="0"/>
        <c:ser>
          <c:idx val="0"/>
          <c:order val="0"/>
          <c:tx>
            <c:strRef>
              <c:f>'1 EnPI Actual Results'!$A$10</c:f>
              <c:strCache>
                <c:ptCount val="1"/>
                <c:pt idx="0">
                  <c:v>Production Energy Intensity (MMBtu/unit production)</c:v>
                </c:pt>
              </c:strCache>
            </c:strRef>
          </c:tx>
          <c:invertIfNegative val="0"/>
          <c:val>
            <c:numRef>
              <c:f>'1 EnPI Actual Results'!$B$10:$E$10</c:f>
              <c:numCache>
                <c:formatCode>###,##0.000</c:formatCode>
                <c:ptCount val="4"/>
                <c:pt idx="0">
                  <c:v>18.743331866256675</c:v>
                </c:pt>
                <c:pt idx="1">
                  <c:v>18.019449771286663</c:v>
                </c:pt>
                <c:pt idx="2">
                  <c:v>13.533490268755846</c:v>
                </c:pt>
                <c:pt idx="3">
                  <c:v>18.400350996455401</c:v>
                </c:pt>
              </c:numCache>
            </c:numRef>
          </c:val>
        </c:ser>
        <c:dLbls>
          <c:showLegendKey val="0"/>
          <c:showVal val="0"/>
          <c:showCatName val="0"/>
          <c:showSerName val="0"/>
          <c:showPercent val="0"/>
          <c:showBubbleSize val="0"/>
        </c:dLbls>
        <c:gapWidth val="150"/>
        <c:axId val="263014656"/>
        <c:axId val="263020544"/>
      </c:barChart>
      <c:lineChart>
        <c:grouping val="standard"/>
        <c:varyColors val="0"/>
        <c:ser>
          <c:idx val="1"/>
          <c:order val="1"/>
          <c:tx>
            <c:strRef>
              <c:f>'1 EnPI Actual Results'!$A$12</c:f>
              <c:strCache>
                <c:ptCount val="1"/>
                <c:pt idx="0">
                  <c:v>Annual Improvement in Energy Intensity (%)</c:v>
                </c:pt>
              </c:strCache>
            </c:strRef>
          </c:tx>
          <c:spPr>
            <a:ln>
              <a:solidFill>
                <a:srgbClr val="006400"/>
              </a:solidFill>
            </a:ln>
          </c:spPr>
          <c:marker>
            <c:spPr>
              <a:solidFill>
                <a:srgbClr val="006400"/>
              </a:solidFill>
              <a:ln>
                <a:solidFill>
                  <a:srgbClr val="006400"/>
                </a:solidFill>
              </a:ln>
            </c:spPr>
          </c:marker>
          <c:val>
            <c:numRef>
              <c:f>'1 EnPI Actual Results'!$B$12:$E$12</c:f>
              <c:numCache>
                <c:formatCode>0.00%</c:formatCode>
                <c:ptCount val="4"/>
                <c:pt idx="0">
                  <c:v>0</c:v>
                </c:pt>
                <c:pt idx="1">
                  <c:v>3.8620779919775389E-2</c:v>
                </c:pt>
                <c:pt idx="2">
                  <c:v>0.23933628954235284</c:v>
                </c:pt>
                <c:pt idx="3">
                  <c:v>-0.25965824872691323</c:v>
                </c:pt>
              </c:numCache>
            </c:numRef>
          </c:val>
          <c:smooth val="0"/>
        </c:ser>
        <c:ser>
          <c:idx val="2"/>
          <c:order val="2"/>
          <c:tx>
            <c:strRef>
              <c:f>'1 EnPI Actual Results'!$A$11</c:f>
              <c:strCache>
                <c:ptCount val="1"/>
                <c:pt idx="0">
                  <c:v>Total Improvement in Energy Intensity (%)</c:v>
                </c:pt>
              </c:strCache>
            </c:strRef>
          </c:tx>
          <c:spPr>
            <a:ln>
              <a:solidFill>
                <a:srgbClr val="9ACD32"/>
              </a:solidFill>
            </a:ln>
          </c:spPr>
          <c:marker>
            <c:spPr>
              <a:solidFill>
                <a:srgbClr val="9ACD32"/>
              </a:solidFill>
              <a:ln>
                <a:solidFill>
                  <a:srgbClr val="9ACD32"/>
                </a:solidFill>
              </a:ln>
            </c:spPr>
          </c:marker>
          <c:val>
            <c:numRef>
              <c:f>'1 EnPI Actual Results'!$B$11:$E$11</c:f>
              <c:numCache>
                <c:formatCode>0.00%</c:formatCode>
                <c:ptCount val="4"/>
                <c:pt idx="0">
                  <c:v>0</c:v>
                </c:pt>
                <c:pt idx="1">
                  <c:v>3.8620779919775389E-2</c:v>
                </c:pt>
                <c:pt idx="2">
                  <c:v>0.27795706946212823</c:v>
                </c:pt>
                <c:pt idx="3">
                  <c:v>1.829882073521499E-2</c:v>
                </c:pt>
              </c:numCache>
            </c:numRef>
          </c:val>
          <c:smooth val="0"/>
        </c:ser>
        <c:dLbls>
          <c:showLegendKey val="0"/>
          <c:showVal val="0"/>
          <c:showCatName val="0"/>
          <c:showSerName val="0"/>
          <c:showPercent val="0"/>
          <c:showBubbleSize val="0"/>
        </c:dLbls>
        <c:marker val="1"/>
        <c:smooth val="0"/>
        <c:axId val="398132352"/>
        <c:axId val="398064256"/>
      </c:lineChart>
      <c:catAx>
        <c:axId val="263014656"/>
        <c:scaling>
          <c:orientation val="minMax"/>
        </c:scaling>
        <c:delete val="0"/>
        <c:axPos val="b"/>
        <c:title>
          <c:tx>
            <c:rich>
              <a:bodyPr/>
              <a:lstStyle/>
              <a:p>
                <a:pPr>
                  <a:defRPr/>
                </a:pPr>
                <a:r>
                  <a:rPr lang="en-US"/>
                  <a:t>Reporting Year</a:t>
                </a:r>
              </a:p>
            </c:rich>
          </c:tx>
          <c:layout/>
          <c:overlay val="0"/>
        </c:title>
        <c:majorTickMark val="out"/>
        <c:minorTickMark val="none"/>
        <c:tickLblPos val="nextTo"/>
        <c:crossAx val="263020544"/>
        <c:crosses val="autoZero"/>
        <c:auto val="1"/>
        <c:lblAlgn val="ctr"/>
        <c:lblOffset val="100"/>
        <c:noMultiLvlLbl val="0"/>
      </c:catAx>
      <c:valAx>
        <c:axId val="263020544"/>
        <c:scaling>
          <c:orientation val="minMax"/>
        </c:scaling>
        <c:delete val="0"/>
        <c:axPos val="l"/>
        <c:majorGridlines/>
        <c:title>
          <c:tx>
            <c:rich>
              <a:bodyPr/>
              <a:lstStyle/>
              <a:p>
                <a:pPr>
                  <a:defRPr/>
                </a:pPr>
                <a:r>
                  <a:rPr lang="en-US"/>
                  <a:t>Energy Intensity (MMBtu/unit)</a:t>
                </a:r>
              </a:p>
            </c:rich>
          </c:tx>
          <c:layout/>
          <c:overlay val="0"/>
        </c:title>
        <c:numFmt formatCode="###,##0.000" sourceLinked="1"/>
        <c:majorTickMark val="out"/>
        <c:minorTickMark val="none"/>
        <c:tickLblPos val="nextTo"/>
        <c:crossAx val="263014656"/>
        <c:crosses val="autoZero"/>
        <c:crossBetween val="between"/>
      </c:valAx>
      <c:valAx>
        <c:axId val="398064256"/>
        <c:scaling>
          <c:orientation val="minMax"/>
        </c:scaling>
        <c:delete val="0"/>
        <c:axPos val="r"/>
        <c:title>
          <c:tx>
            <c:rich>
              <a:bodyPr/>
              <a:lstStyle/>
              <a:p>
                <a:pPr>
                  <a:defRPr/>
                </a:pPr>
                <a:r>
                  <a:rPr lang="en-US"/>
                  <a:t>Percent Improvement</a:t>
                </a:r>
              </a:p>
            </c:rich>
          </c:tx>
          <c:layout/>
          <c:overlay val="0"/>
        </c:title>
        <c:numFmt formatCode="0.00%" sourceLinked="1"/>
        <c:majorTickMark val="out"/>
        <c:minorTickMark val="none"/>
        <c:tickLblPos val="nextTo"/>
        <c:crossAx val="398132352"/>
        <c:crosses val="max"/>
        <c:crossBetween val="between"/>
      </c:valAx>
      <c:catAx>
        <c:axId val="398132352"/>
        <c:scaling>
          <c:orientation val="minMax"/>
        </c:scaling>
        <c:delete val="1"/>
        <c:axPos val="b"/>
        <c:majorTickMark val="out"/>
        <c:minorTickMark val="none"/>
        <c:tickLblPos val="nextTo"/>
        <c:crossAx val="398064256"/>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1"/>
          <c:order val="1"/>
          <c:spPr>
            <a:ln w="28575">
              <a:noFill/>
            </a:ln>
          </c:spPr>
          <c:xVal>
            <c:numLit>
              <c:formatCode>General</c:formatCode>
              <c:ptCount val="12"/>
              <c:pt idx="0">
                <c:v>47</c:v>
              </c:pt>
              <c:pt idx="1">
                <c:v>338</c:v>
              </c:pt>
              <c:pt idx="2">
                <c:v>632</c:v>
              </c:pt>
              <c:pt idx="3">
                <c:v>1113</c:v>
              </c:pt>
              <c:pt idx="4">
                <c:v>1248</c:v>
              </c:pt>
              <c:pt idx="5">
                <c:v>906</c:v>
              </c:pt>
              <c:pt idx="6">
                <c:v>926</c:v>
              </c:pt>
              <c:pt idx="7">
                <c:v>401</c:v>
              </c:pt>
              <c:pt idx="8">
                <c:v>256</c:v>
              </c:pt>
              <c:pt idx="9">
                <c:v>8</c:v>
              </c:pt>
              <c:pt idx="10">
                <c:v>0</c:v>
              </c:pt>
              <c:pt idx="11">
                <c:v>0</c:v>
              </c:pt>
            </c:numLit>
          </c:xVal>
          <c:yVal>
            <c:numLit>
              <c:formatCode>General</c:formatCode>
              <c:ptCount val="12"/>
              <c:pt idx="0">
                <c:v>767.752422852</c:v>
              </c:pt>
              <c:pt idx="1">
                <c:v>807.42633281290796</c:v>
              </c:pt>
              <c:pt idx="2">
                <c:v>868.42116219506397</c:v>
              </c:pt>
              <c:pt idx="3">
                <c:v>1489.94127497045</c:v>
              </c:pt>
              <c:pt idx="4">
                <c:v>1733.1221205618001</c:v>
              </c:pt>
              <c:pt idx="5">
                <c:v>1253.1709092701999</c:v>
              </c:pt>
              <c:pt idx="6">
                <c:v>1190.711308746</c:v>
              </c:pt>
              <c:pt idx="7">
                <c:v>803.84853814309201</c:v>
              </c:pt>
              <c:pt idx="8">
                <c:v>734.69403863138996</c:v>
              </c:pt>
              <c:pt idx="9">
                <c:v>709.71505048763402</c:v>
              </c:pt>
              <c:pt idx="10">
                <c:v>615.78751972329599</c:v>
              </c:pt>
              <c:pt idx="11">
                <c:v>601.29108220628405</c:v>
              </c:pt>
            </c:numLit>
          </c:yVal>
          <c:smooth val="0"/>
        </c:ser>
        <c:ser>
          <c:idx val="0"/>
          <c:order val="0"/>
          <c:tx>
            <c:strRef>
              <c:f>'2 kwh(MMBTU)'!$A$2</c:f>
              <c:strCache>
                <c:ptCount val="1"/>
                <c:pt idx="0">
                  <c:v>The best model for the data provided is #1</c:v>
                </c:pt>
              </c:strCache>
            </c:strRef>
          </c:tx>
          <c:yVal>
            <c:numRef>
              <c:f>'2 kwh(MMBTU)'!$B$2:$G$2</c:f>
            </c:numRef>
          </c:yVal>
          <c:smooth val="0"/>
        </c:ser>
        <c:dLbls>
          <c:showLegendKey val="0"/>
          <c:showVal val="0"/>
          <c:showCatName val="0"/>
          <c:showSerName val="0"/>
          <c:showPercent val="0"/>
          <c:showBubbleSize val="0"/>
        </c:dLbls>
        <c:axId val="263497984"/>
        <c:axId val="263477888"/>
      </c:scatterChart>
      <c:valAx>
        <c:axId val="263497984"/>
        <c:scaling>
          <c:orientation val="minMax"/>
        </c:scaling>
        <c:delete val="0"/>
        <c:axPos val="b"/>
        <c:title>
          <c:tx>
            <c:rich>
              <a:bodyPr/>
              <a:lstStyle/>
              <a:p>
                <a:pPr>
                  <a:defRPr/>
                </a:pPr>
                <a:r>
                  <a:rPr lang="en-US"/>
                  <a:t>Heating Degree Days, Base 65 deg F</a:t>
                </a:r>
              </a:p>
            </c:rich>
          </c:tx>
          <c:layout/>
          <c:overlay val="0"/>
        </c:title>
        <c:numFmt formatCode="###,##0" sourceLinked="0"/>
        <c:majorTickMark val="out"/>
        <c:minorTickMark val="none"/>
        <c:tickLblPos val="nextTo"/>
        <c:crossAx val="263477888"/>
        <c:crosses val="autoZero"/>
        <c:crossBetween val="midCat"/>
      </c:valAx>
      <c:valAx>
        <c:axId val="263477888"/>
        <c:scaling>
          <c:orientation val="minMax"/>
        </c:scaling>
        <c:delete val="0"/>
        <c:axPos val="l"/>
        <c:majorGridlines/>
        <c:title>
          <c:tx>
            <c:rich>
              <a:bodyPr/>
              <a:lstStyle/>
              <a:p>
                <a:pPr>
                  <a:defRPr/>
                </a:pPr>
                <a:r>
                  <a:rPr lang="en-US"/>
                  <a:t>2 kwh(MMBTU)</a:t>
                </a:r>
              </a:p>
            </c:rich>
          </c:tx>
          <c:layout/>
          <c:overlay val="0"/>
        </c:title>
        <c:numFmt formatCode="###,##0" sourceLinked="0"/>
        <c:majorTickMark val="out"/>
        <c:minorTickMark val="none"/>
        <c:tickLblPos val="nextTo"/>
        <c:crossAx val="263497984"/>
        <c:crosses val="autoZero"/>
        <c:crossBetween val="midCat"/>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a:lstStyle/>
          <a:p>
            <a:pPr>
              <a:defRPr/>
            </a:pPr>
            <a:r>
              <a:rPr lang="en-US"/>
              <a:t>Comparison of Actual and Model Data</a:t>
            </a:r>
          </a:p>
        </c:rich>
      </c:tx>
      <c:layout/>
      <c:overlay val="0"/>
    </c:title>
    <c:autoTitleDeleted val="0"/>
    <c:plotArea>
      <c:layout/>
      <c:lineChart>
        <c:grouping val="standard"/>
        <c:varyColors val="0"/>
        <c:ser>
          <c:idx val="1"/>
          <c:order val="1"/>
          <c:tx>
            <c:v>Actuals</c:v>
          </c:tx>
          <c:spPr>
            <a:ln w="28575" cap="rnd" cmpd="sng" algn="ctr">
              <a:solidFill>
                <a:srgbClr val="8B0000">
                  <a:alpha val="0"/>
                </a:srgbClr>
              </a:solidFill>
              <a:prstDash val="solid"/>
              <a:round/>
              <a:headEnd type="none" w="med" len="med"/>
              <a:tailEnd type="none" w="med" len="med"/>
            </a:ln>
          </c:spPr>
          <c:marker>
            <c:symbol val="square"/>
            <c:size val="5"/>
            <c:spPr>
              <a:solidFill>
                <a:srgbClr val="800000"/>
              </a:solidFill>
              <a:ln w="28575" cap="rnd" cmpd="sng" algn="ctr">
                <a:solidFill>
                  <a:srgbClr val="8B0000">
                    <a:alpha val="0"/>
                  </a:srgbClr>
                </a:solidFill>
                <a:prstDash val="solid"/>
                <a:round/>
                <a:headEnd type="none" w="med" len="med"/>
                <a:tailEnd type="none" w="med" len="med"/>
              </a:ln>
            </c:spPr>
          </c:marker>
          <c:val>
            <c:numLit>
              <c:formatCode>General</c:formatCode>
              <c:ptCount val="12"/>
              <c:pt idx="0">
                <c:v>767.752422852</c:v>
              </c:pt>
              <c:pt idx="1">
                <c:v>807.42633281290796</c:v>
              </c:pt>
              <c:pt idx="2">
                <c:v>868.42116219506397</c:v>
              </c:pt>
              <c:pt idx="3">
                <c:v>1489.94127497045</c:v>
              </c:pt>
              <c:pt idx="4">
                <c:v>1733.1221205618001</c:v>
              </c:pt>
              <c:pt idx="5">
                <c:v>1253.1709092701999</c:v>
              </c:pt>
              <c:pt idx="6">
                <c:v>1190.711308746</c:v>
              </c:pt>
              <c:pt idx="7">
                <c:v>803.84853814309201</c:v>
              </c:pt>
              <c:pt idx="8">
                <c:v>734.69403863138996</c:v>
              </c:pt>
              <c:pt idx="9">
                <c:v>709.71505048763402</c:v>
              </c:pt>
              <c:pt idx="10">
                <c:v>615.78751972329599</c:v>
              </c:pt>
              <c:pt idx="11">
                <c:v>601.29108220628405</c:v>
              </c:pt>
            </c:numLit>
          </c:val>
          <c:smooth val="0"/>
        </c:ser>
        <c:ser>
          <c:idx val="2"/>
          <c:order val="2"/>
          <c:tx>
            <c:v>Model 1</c:v>
          </c:tx>
          <c:val>
            <c:numLit>
              <c:formatCode>General</c:formatCode>
              <c:ptCount val="12"/>
              <c:pt idx="0">
                <c:v>630.75796821660629</c:v>
              </c:pt>
              <c:pt idx="1">
                <c:v>850.29755912646203</c:v>
              </c:pt>
              <c:pt idx="2">
                <c:v>1072.1004447879659</c:v>
              </c:pt>
              <c:pt idx="3">
                <c:v>1434.9820366355284</c:v>
              </c:pt>
              <c:pt idx="4">
                <c:v>1536.8303004596883</c:v>
              </c:pt>
              <c:pt idx="5">
                <c:v>1278.8146987718164</c:v>
              </c:pt>
              <c:pt idx="6">
                <c:v>1293.9033304494696</c:v>
              </c:pt>
              <c:pt idx="7">
                <c:v>897.82674891107001</c:v>
              </c:pt>
              <c:pt idx="8">
                <c:v>788.43416924808344</c:v>
              </c:pt>
              <c:pt idx="9">
                <c:v>601.33513644518223</c:v>
              </c:pt>
              <c:pt idx="10">
                <c:v>595.29968377412092</c:v>
              </c:pt>
              <c:pt idx="11">
                <c:v>595.29968377412092</c:v>
              </c:pt>
            </c:numLit>
          </c:val>
          <c:smooth val="0"/>
        </c:ser>
        <c:ser>
          <c:idx val="0"/>
          <c:order val="0"/>
          <c:tx>
            <c:strRef>
              <c:f>'2 kwh(MMBTU)'!$A$2</c:f>
              <c:strCache>
                <c:ptCount val="1"/>
                <c:pt idx="0">
                  <c:v>The best model for the data provided is #1</c:v>
                </c:pt>
              </c:strCache>
            </c:strRef>
          </c:tx>
          <c:val>
            <c:numRef>
              <c:f>'2 kwh(MMBTU)'!$B$2:$G$2</c:f>
            </c:numRef>
          </c:val>
          <c:smooth val="0"/>
        </c:ser>
        <c:dLbls>
          <c:showLegendKey val="0"/>
          <c:showVal val="0"/>
          <c:showCatName val="0"/>
          <c:showSerName val="0"/>
          <c:showPercent val="0"/>
          <c:showBubbleSize val="0"/>
        </c:dLbls>
        <c:marker val="1"/>
        <c:smooth val="0"/>
        <c:axId val="263754496"/>
        <c:axId val="263756032"/>
      </c:lineChart>
      <c:catAx>
        <c:axId val="263754496"/>
        <c:scaling>
          <c:orientation val="minMax"/>
        </c:scaling>
        <c:delete val="0"/>
        <c:axPos val="b"/>
        <c:title>
          <c:tx>
            <c:rich>
              <a:bodyPr/>
              <a:lstStyle/>
              <a:p>
                <a:pPr>
                  <a:defRPr/>
                </a:pPr>
                <a:r>
                  <a:rPr lang="en-US"/>
                  <a:t>Input Interval</a:t>
                </a:r>
              </a:p>
            </c:rich>
          </c:tx>
          <c:layout/>
          <c:overlay val="0"/>
        </c:title>
        <c:numFmt formatCode="###,##0" sourceLinked="0"/>
        <c:majorTickMark val="out"/>
        <c:minorTickMark val="none"/>
        <c:tickLblPos val="nextTo"/>
        <c:crossAx val="263756032"/>
        <c:crosses val="autoZero"/>
        <c:auto val="1"/>
        <c:lblAlgn val="ctr"/>
        <c:lblOffset val="100"/>
        <c:noMultiLvlLbl val="0"/>
      </c:catAx>
      <c:valAx>
        <c:axId val="263756032"/>
        <c:scaling>
          <c:orientation val="minMax"/>
        </c:scaling>
        <c:delete val="0"/>
        <c:axPos val="l"/>
        <c:majorGridlines/>
        <c:title>
          <c:tx>
            <c:rich>
              <a:bodyPr/>
              <a:lstStyle/>
              <a:p>
                <a:pPr>
                  <a:defRPr/>
                </a:pPr>
                <a:r>
                  <a:rPr lang="en-US"/>
                  <a:t>2 kwh(MMBTU)</a:t>
                </a:r>
              </a:p>
            </c:rich>
          </c:tx>
          <c:layout/>
          <c:overlay val="0"/>
        </c:title>
        <c:numFmt formatCode="###,##0" sourceLinked="0"/>
        <c:majorTickMark val="out"/>
        <c:minorTickMark val="none"/>
        <c:tickLblPos val="nextTo"/>
        <c:crossAx val="263754496"/>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lineChart>
        <c:grouping val="standard"/>
        <c:varyColors val="0"/>
        <c:ser>
          <c:idx val="0"/>
          <c:order val="0"/>
          <c:tx>
            <c:strRef>
              <c:f>'2 Model Data'!$N$12</c:f>
              <c:strCache>
                <c:ptCount val="1"/>
                <c:pt idx="0">
                  <c:v>Total Modeled Energy Consumption (MMBtu)</c:v>
                </c:pt>
              </c:strCache>
            </c:strRef>
          </c:tx>
          <c:spPr>
            <a:ln>
              <a:solidFill>
                <a:srgbClr val="9ACD32"/>
              </a:solidFill>
            </a:ln>
          </c:spPr>
          <c:marker>
            <c:spPr>
              <a:ln>
                <a:solidFill>
                  <a:srgbClr val="9ACD32"/>
                </a:solidFill>
              </a:ln>
            </c:spPr>
          </c:marker>
          <c:cat>
            <c:numLit>
              <c:formatCode>General</c:formatCode>
              <c:ptCount val="4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numLit>
          </c:cat>
          <c:val>
            <c:numRef>
              <c:f>'2 Model Data'!$N$13:$N$60</c:f>
              <c:numCache>
                <c:formatCode>##,##0</c:formatCode>
                <c:ptCount val="48"/>
                <c:pt idx="0">
                  <c:v>630.75796821660629</c:v>
                </c:pt>
                <c:pt idx="1">
                  <c:v>850.29755912646215</c:v>
                </c:pt>
                <c:pt idx="2">
                  <c:v>1072.1004447879659</c:v>
                </c:pt>
                <c:pt idx="3">
                  <c:v>1434.9820366355284</c:v>
                </c:pt>
                <c:pt idx="4">
                  <c:v>1536.8303004596883</c:v>
                </c:pt>
                <c:pt idx="5">
                  <c:v>1278.8146987718164</c:v>
                </c:pt>
                <c:pt idx="6">
                  <c:v>1293.9033304494696</c:v>
                </c:pt>
                <c:pt idx="7">
                  <c:v>897.82674891107013</c:v>
                </c:pt>
                <c:pt idx="8">
                  <c:v>788.43416924808355</c:v>
                </c:pt>
                <c:pt idx="9">
                  <c:v>601.33513644518234</c:v>
                </c:pt>
                <c:pt idx="10">
                  <c:v>595.29968377412104</c:v>
                </c:pt>
                <c:pt idx="11">
                  <c:v>595.29968377412104</c:v>
                </c:pt>
                <c:pt idx="12">
                  <c:v>623.21365237777968</c:v>
                </c:pt>
                <c:pt idx="13">
                  <c:v>851.80642229422745</c:v>
                </c:pt>
                <c:pt idx="14">
                  <c:v>1109.0675923982167</c:v>
                </c:pt>
                <c:pt idx="15">
                  <c:v>1561.7265427278162</c:v>
                </c:pt>
                <c:pt idx="16">
                  <c:v>1271.2703829329898</c:v>
                </c:pt>
                <c:pt idx="17">
                  <c:v>1367.837625669971</c:v>
                </c:pt>
                <c:pt idx="18">
                  <c:v>1214.6880141417898</c:v>
                </c:pt>
                <c:pt idx="19">
                  <c:v>865.38619080411547</c:v>
                </c:pt>
                <c:pt idx="20">
                  <c:v>769.57337965101692</c:v>
                </c:pt>
                <c:pt idx="21">
                  <c:v>616.42376812283567</c:v>
                </c:pt>
                <c:pt idx="22">
                  <c:v>595.29968377412104</c:v>
                </c:pt>
                <c:pt idx="23">
                  <c:v>595.29968377412104</c:v>
                </c:pt>
                <c:pt idx="24">
                  <c:v>682.05931592062757</c:v>
                </c:pt>
                <c:pt idx="25">
                  <c:v>970.25218096380604</c:v>
                </c:pt>
                <c:pt idx="26">
                  <c:v>1092.4700975527978</c:v>
                </c:pt>
                <c:pt idx="27">
                  <c:v>1319.5540043014803</c:v>
                </c:pt>
                <c:pt idx="28">
                  <c:v>1456.1061209842428</c:v>
                </c:pt>
                <c:pt idx="29">
                  <c:v>1583.6050586604133</c:v>
                </c:pt>
                <c:pt idx="30">
                  <c:v>1121.1384977403391</c:v>
                </c:pt>
                <c:pt idx="31">
                  <c:v>1004.9560338224087</c:v>
                </c:pt>
                <c:pt idx="32">
                  <c:v>682.81374750451027</c:v>
                </c:pt>
                <c:pt idx="33">
                  <c:v>608.87945228400906</c:v>
                </c:pt>
                <c:pt idx="34">
                  <c:v>595.29968377412104</c:v>
                </c:pt>
                <c:pt idx="35">
                  <c:v>596.05411535800374</c:v>
                </c:pt>
                <c:pt idx="36">
                  <c:v>637.5478524715503</c:v>
                </c:pt>
                <c:pt idx="37">
                  <c:v>771.83667440266481</c:v>
                </c:pt>
                <c:pt idx="38">
                  <c:v>1170.9309822765952</c:v>
                </c:pt>
                <c:pt idx="39">
                  <c:v>1459.8782789036563</c:v>
                </c:pt>
                <c:pt idx="40">
                  <c:v>1560.9721111439335</c:v>
                </c:pt>
                <c:pt idx="41">
                  <c:v>1508.9163318560295</c:v>
                </c:pt>
                <c:pt idx="42">
                  <c:v>1293.9033304494696</c:v>
                </c:pt>
                <c:pt idx="43">
                  <c:v>943.09264394402999</c:v>
                </c:pt>
                <c:pt idx="44">
                  <c:v>814.08484310009419</c:v>
                </c:pt>
                <c:pt idx="45">
                  <c:v>598.31741010965175</c:v>
                </c:pt>
                <c:pt idx="46">
                  <c:v>597.56297852576904</c:v>
                </c:pt>
                <c:pt idx="47">
                  <c:v>595.29968377412104</c:v>
                </c:pt>
              </c:numCache>
            </c:numRef>
          </c:val>
          <c:smooth val="0"/>
        </c:ser>
        <c:ser>
          <c:idx val="1"/>
          <c:order val="1"/>
          <c:tx>
            <c:strRef>
              <c:f>'2 Model Data'!$G$12</c:f>
              <c:strCache>
                <c:ptCount val="1"/>
                <c:pt idx="0">
                  <c:v>TOTAL  (MMBtu)</c:v>
                </c:pt>
              </c:strCache>
            </c:strRef>
          </c:tx>
          <c:spPr>
            <a:ln w="28575" cap="rnd" cmpd="sng" algn="ctr">
              <a:solidFill>
                <a:srgbClr val="1E90FF">
                  <a:alpha val="0"/>
                </a:srgbClr>
              </a:solidFill>
              <a:prstDash val="solid"/>
              <a:round/>
              <a:headEnd type="none" w="med" len="med"/>
              <a:tailEnd type="none" w="med" len="med"/>
            </a:ln>
          </c:spPr>
          <c:marker>
            <c:symbol val="plus"/>
            <c:size val="5"/>
            <c:spPr>
              <a:solidFill>
                <a:srgbClr val="000080"/>
              </a:solidFill>
              <a:ln w="28575" cap="rnd" cmpd="sng" algn="ctr">
                <a:solidFill>
                  <a:srgbClr val="1E90FF">
                    <a:alpha val="0"/>
                  </a:srgbClr>
                </a:solidFill>
                <a:prstDash val="solid"/>
                <a:round/>
                <a:headEnd type="none" w="med" len="med"/>
                <a:tailEnd type="none" w="med" len="med"/>
              </a:ln>
            </c:spPr>
          </c:marker>
          <c:cat>
            <c:numLit>
              <c:formatCode>General</c:formatCode>
              <c:ptCount val="4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numLit>
          </c:cat>
          <c:val>
            <c:numRef>
              <c:f>'2 Model Data'!$G$13:$G$60</c:f>
              <c:numCache>
                <c:formatCode>##,##0</c:formatCode>
                <c:ptCount val="48"/>
                <c:pt idx="0">
                  <c:v>767.752422852</c:v>
                </c:pt>
                <c:pt idx="1">
                  <c:v>807.42633281290796</c:v>
                </c:pt>
                <c:pt idx="2">
                  <c:v>868.42116219506397</c:v>
                </c:pt>
                <c:pt idx="3">
                  <c:v>1489.9412749704538</c:v>
                </c:pt>
                <c:pt idx="4">
                  <c:v>1733.1221205617999</c:v>
                </c:pt>
                <c:pt idx="5">
                  <c:v>1253.1709092701999</c:v>
                </c:pt>
                <c:pt idx="6">
                  <c:v>1190.711308746</c:v>
                </c:pt>
                <c:pt idx="7">
                  <c:v>803.84853814309201</c:v>
                </c:pt>
                <c:pt idx="8">
                  <c:v>734.69403863138996</c:v>
                </c:pt>
                <c:pt idx="9">
                  <c:v>709.7150504876339</c:v>
                </c:pt>
                <c:pt idx="10">
                  <c:v>615.78751972329599</c:v>
                </c:pt>
                <c:pt idx="11">
                  <c:v>601.29108220628405</c:v>
                </c:pt>
                <c:pt idx="12">
                  <c:v>763.474303097394</c:v>
                </c:pt>
                <c:pt idx="13">
                  <c:v>760.64558960940599</c:v>
                </c:pt>
                <c:pt idx="14">
                  <c:v>889.06641608175596</c:v>
                </c:pt>
                <c:pt idx="15">
                  <c:v>1667.4604022019839</c:v>
                </c:pt>
                <c:pt idx="16">
                  <c:v>1303.4892179893379</c:v>
                </c:pt>
                <c:pt idx="17">
                  <c:v>1388.6537846213937</c:v>
                </c:pt>
                <c:pt idx="18">
                  <c:v>1246.4542988231519</c:v>
                </c:pt>
                <c:pt idx="19">
                  <c:v>744.08649178054202</c:v>
                </c:pt>
                <c:pt idx="20">
                  <c:v>706.283769783156</c:v>
                </c:pt>
                <c:pt idx="21">
                  <c:v>619.30315881444005</c:v>
                </c:pt>
                <c:pt idx="22">
                  <c:v>591.64833820500598</c:v>
                </c:pt>
                <c:pt idx="23">
                  <c:v>563.57088627530993</c:v>
                </c:pt>
                <c:pt idx="24">
                  <c:v>566.4395115882719</c:v>
                </c:pt>
                <c:pt idx="25">
                  <c:v>569.69721321706788</c:v>
                </c:pt>
                <c:pt idx="26">
                  <c:v>625.62339437391597</c:v>
                </c:pt>
                <c:pt idx="27">
                  <c:v>368.49174348063605</c:v>
                </c:pt>
                <c:pt idx="28">
                  <c:v>977.34553816142397</c:v>
                </c:pt>
                <c:pt idx="29">
                  <c:v>1108.7736628097578</c:v>
                </c:pt>
                <c:pt idx="30">
                  <c:v>805.50453595924205</c:v>
                </c:pt>
                <c:pt idx="31">
                  <c:v>627.36451830868202</c:v>
                </c:pt>
                <c:pt idx="32">
                  <c:v>745.49136959405996</c:v>
                </c:pt>
                <c:pt idx="33">
                  <c:v>736.73510008438211</c:v>
                </c:pt>
                <c:pt idx="34">
                  <c:v>531.35841982648799</c:v>
                </c:pt>
                <c:pt idx="35">
                  <c:v>547.94353865024402</c:v>
                </c:pt>
                <c:pt idx="36">
                  <c:v>703.99213085811004</c:v>
                </c:pt>
                <c:pt idx="37">
                  <c:v>723.34728797602202</c:v>
                </c:pt>
                <c:pt idx="38">
                  <c:v>871.78584471198599</c:v>
                </c:pt>
                <c:pt idx="39">
                  <c:v>1308.2954247248581</c:v>
                </c:pt>
                <c:pt idx="40">
                  <c:v>1501.1395769759699</c:v>
                </c:pt>
                <c:pt idx="41">
                  <c:v>1406.70148399203</c:v>
                </c:pt>
                <c:pt idx="42">
                  <c:v>1217.2114742688623</c:v>
                </c:pt>
                <c:pt idx="43">
                  <c:v>923.47105304524155</c:v>
                </c:pt>
                <c:pt idx="44">
                  <c:v>763.58369451944213</c:v>
                </c:pt>
                <c:pt idx="45">
                  <c:v>572.67017803517865</c:v>
                </c:pt>
                <c:pt idx="46">
                  <c:v>527.20587813936663</c:v>
                </c:pt>
                <c:pt idx="47">
                  <c:v>485.84590373290911</c:v>
                </c:pt>
              </c:numCache>
            </c:numRef>
          </c:val>
          <c:smooth val="0"/>
        </c:ser>
        <c:dLbls>
          <c:showLegendKey val="0"/>
          <c:showVal val="0"/>
          <c:showCatName val="0"/>
          <c:showSerName val="0"/>
          <c:showPercent val="0"/>
          <c:showBubbleSize val="0"/>
        </c:dLbls>
        <c:marker val="1"/>
        <c:smooth val="0"/>
        <c:axId val="438916608"/>
        <c:axId val="438918144"/>
      </c:lineChart>
      <c:catAx>
        <c:axId val="438916608"/>
        <c:scaling>
          <c:orientation val="minMax"/>
        </c:scaling>
        <c:delete val="0"/>
        <c:axPos val="b"/>
        <c:title>
          <c:tx>
            <c:rich>
              <a:bodyPr/>
              <a:lstStyle/>
              <a:p>
                <a:pPr>
                  <a:defRPr/>
                </a:pPr>
                <a:r>
                  <a:rPr lang="en-US"/>
                  <a:t>Input Interval</a:t>
                </a:r>
              </a:p>
            </c:rich>
          </c:tx>
          <c:layout/>
          <c:overlay val="0"/>
        </c:title>
        <c:numFmt formatCode="General" sourceLinked="1"/>
        <c:majorTickMark val="out"/>
        <c:minorTickMark val="none"/>
        <c:tickLblPos val="nextTo"/>
        <c:crossAx val="438918144"/>
        <c:crosses val="autoZero"/>
        <c:auto val="1"/>
        <c:lblAlgn val="ctr"/>
        <c:lblOffset val="100"/>
        <c:tickLblSkip val="6"/>
        <c:tickMarkSkip val="6"/>
        <c:noMultiLvlLbl val="0"/>
      </c:catAx>
      <c:valAx>
        <c:axId val="438918144"/>
        <c:scaling>
          <c:orientation val="minMax"/>
        </c:scaling>
        <c:delete val="0"/>
        <c:axPos val="l"/>
        <c:majorGridlines/>
        <c:title>
          <c:tx>
            <c:rich>
              <a:bodyPr/>
              <a:lstStyle/>
              <a:p>
                <a:pPr>
                  <a:defRPr/>
                </a:pPr>
                <a:r>
                  <a:rPr lang="en-US"/>
                  <a:t>Total Consumption (MMBtu)</a:t>
                </a:r>
              </a:p>
            </c:rich>
          </c:tx>
          <c:layout/>
          <c:overlay val="0"/>
        </c:title>
        <c:numFmt formatCode="##,##0" sourceLinked="1"/>
        <c:majorTickMark val="out"/>
        <c:minorTickMark val="none"/>
        <c:tickLblPos val="nextTo"/>
        <c:crossAx val="438916608"/>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7"/>
    </mc:Choice>
    <mc:Fallback>
      <c:style val="37"/>
    </mc:Fallback>
  </mc:AlternateContent>
  <c:chart>
    <c:autoTitleDeleted val="0"/>
    <c:plotArea>
      <c:layout/>
      <c:lineChart>
        <c:grouping val="standard"/>
        <c:varyColors val="0"/>
        <c:ser>
          <c:idx val="0"/>
          <c:order val="0"/>
          <c:tx>
            <c:strRef>
              <c:f>'2 EnPI Results'!$A$15</c:f>
              <c:strCache>
                <c:ptCount val="1"/>
                <c:pt idx="0">
                  <c:v>Annual Improvement in Energy Intensity (%)</c:v>
                </c:pt>
              </c:strCache>
            </c:strRef>
          </c:tx>
          <c:spPr>
            <a:ln>
              <a:solidFill>
                <a:srgbClr val="006400"/>
              </a:solidFill>
            </a:ln>
          </c:spPr>
          <c:marker>
            <c:spPr>
              <a:solidFill>
                <a:srgbClr val="006400"/>
              </a:solidFill>
              <a:ln>
                <a:solidFill>
                  <a:srgbClr val="006400"/>
                </a:solidFill>
              </a:ln>
            </c:spPr>
          </c:marker>
          <c:val>
            <c:numRef>
              <c:f>'2 EnPI Results'!$B$15:$E$15</c:f>
              <c:numCache>
                <c:formatCode>0.00%</c:formatCode>
                <c:ptCount val="4"/>
                <c:pt idx="0">
                  <c:v>0</c:v>
                </c:pt>
                <c:pt idx="1">
                  <c:v>1.7257761436240471E-2</c:v>
                </c:pt>
                <c:pt idx="2">
                  <c:v>0.28175730350225214</c:v>
                </c:pt>
                <c:pt idx="3">
                  <c:v>-0.21977594166425107</c:v>
                </c:pt>
              </c:numCache>
            </c:numRef>
          </c:val>
          <c:smooth val="0"/>
        </c:ser>
        <c:ser>
          <c:idx val="1"/>
          <c:order val="1"/>
          <c:tx>
            <c:strRef>
              <c:f>'2 EnPI Results'!$A$14</c:f>
              <c:strCache>
                <c:ptCount val="1"/>
                <c:pt idx="0">
                  <c:v>Total Improvement in Energy Intensity (%)</c:v>
                </c:pt>
              </c:strCache>
            </c:strRef>
          </c:tx>
          <c:spPr>
            <a:ln>
              <a:solidFill>
                <a:srgbClr val="9ACD32"/>
              </a:solidFill>
            </a:ln>
          </c:spPr>
          <c:marker>
            <c:spPr>
              <a:solidFill>
                <a:srgbClr val="9ACD32"/>
              </a:solidFill>
              <a:ln>
                <a:solidFill>
                  <a:srgbClr val="9ACD32"/>
                </a:solidFill>
              </a:ln>
            </c:spPr>
          </c:marker>
          <c:val>
            <c:numRef>
              <c:f>'2 EnPI Results'!$B$14:$E$14</c:f>
              <c:numCache>
                <c:formatCode>0.00%</c:formatCode>
                <c:ptCount val="4"/>
                <c:pt idx="0">
                  <c:v>0</c:v>
                </c:pt>
                <c:pt idx="1">
                  <c:v>1.7257761436240471E-2</c:v>
                </c:pt>
                <c:pt idx="2">
                  <c:v>0.29901506493849261</c:v>
                </c:pt>
                <c:pt idx="3">
                  <c:v>7.9239123274241541E-2</c:v>
                </c:pt>
              </c:numCache>
            </c:numRef>
          </c:val>
          <c:smooth val="0"/>
        </c:ser>
        <c:dLbls>
          <c:showLegendKey val="0"/>
          <c:showVal val="0"/>
          <c:showCatName val="0"/>
          <c:showSerName val="0"/>
          <c:showPercent val="0"/>
          <c:showBubbleSize val="0"/>
        </c:dLbls>
        <c:marker val="1"/>
        <c:smooth val="0"/>
        <c:axId val="439038336"/>
        <c:axId val="439039872"/>
      </c:lineChart>
      <c:catAx>
        <c:axId val="439038336"/>
        <c:scaling>
          <c:orientation val="minMax"/>
        </c:scaling>
        <c:delete val="0"/>
        <c:axPos val="b"/>
        <c:title>
          <c:tx>
            <c:rich>
              <a:bodyPr/>
              <a:lstStyle/>
              <a:p>
                <a:pPr>
                  <a:defRPr/>
                </a:pPr>
                <a:r>
                  <a:rPr lang="en-US"/>
                  <a:t>Reporting Year</a:t>
                </a:r>
              </a:p>
            </c:rich>
          </c:tx>
          <c:layout/>
          <c:overlay val="0"/>
        </c:title>
        <c:majorTickMark val="out"/>
        <c:minorTickMark val="none"/>
        <c:tickLblPos val="nextTo"/>
        <c:crossAx val="439039872"/>
        <c:crosses val="autoZero"/>
        <c:auto val="1"/>
        <c:lblAlgn val="ctr"/>
        <c:lblOffset val="100"/>
        <c:noMultiLvlLbl val="0"/>
      </c:catAx>
      <c:valAx>
        <c:axId val="439039872"/>
        <c:scaling>
          <c:orientation val="minMax"/>
        </c:scaling>
        <c:delete val="0"/>
        <c:axPos val="l"/>
        <c:majorGridlines/>
        <c:title>
          <c:tx>
            <c:rich>
              <a:bodyPr/>
              <a:lstStyle/>
              <a:p>
                <a:pPr>
                  <a:defRPr/>
                </a:pPr>
                <a:r>
                  <a:rPr lang="en-US"/>
                  <a:t>Percent Improvement</a:t>
                </a:r>
              </a:p>
            </c:rich>
          </c:tx>
          <c:layout/>
          <c:overlay val="0"/>
        </c:title>
        <c:numFmt formatCode="0.00%" sourceLinked="1"/>
        <c:majorTickMark val="out"/>
        <c:minorTickMark val="none"/>
        <c:tickLblPos val="nextTo"/>
        <c:crossAx val="439038336"/>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0"/>
    <c:plotArea>
      <c:layout/>
      <c:lineChart>
        <c:grouping val="standard"/>
        <c:varyColors val="0"/>
        <c:ser>
          <c:idx val="0"/>
          <c:order val="0"/>
          <c:tx>
            <c:strRef>
              <c:f>'2 Model Data'!$N$12</c:f>
              <c:strCache>
                <c:ptCount val="1"/>
                <c:pt idx="0">
                  <c:v>Total Modeled Energy Consumption (MMBtu)</c:v>
                </c:pt>
              </c:strCache>
            </c:strRef>
          </c:tx>
          <c:spPr>
            <a:ln>
              <a:solidFill>
                <a:srgbClr val="9ACD32"/>
              </a:solidFill>
            </a:ln>
          </c:spPr>
          <c:marker>
            <c:spPr>
              <a:ln>
                <a:solidFill>
                  <a:srgbClr val="9ACD32"/>
                </a:solidFill>
              </a:ln>
            </c:spPr>
          </c:marker>
          <c:cat>
            <c:numLit>
              <c:formatCode>General</c:formatCode>
              <c:ptCount val="4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numLit>
          </c:cat>
          <c:val>
            <c:numRef>
              <c:f>'2 Model Data'!$N$13:$N$60</c:f>
              <c:numCache>
                <c:formatCode>##,##0</c:formatCode>
                <c:ptCount val="48"/>
                <c:pt idx="0">
                  <c:v>630.75796821660629</c:v>
                </c:pt>
                <c:pt idx="1">
                  <c:v>850.29755912646215</c:v>
                </c:pt>
                <c:pt idx="2">
                  <c:v>1072.1004447879659</c:v>
                </c:pt>
                <c:pt idx="3">
                  <c:v>1434.9820366355284</c:v>
                </c:pt>
                <c:pt idx="4">
                  <c:v>1536.8303004596883</c:v>
                </c:pt>
                <c:pt idx="5">
                  <c:v>1278.8146987718164</c:v>
                </c:pt>
                <c:pt idx="6">
                  <c:v>1293.9033304494696</c:v>
                </c:pt>
                <c:pt idx="7">
                  <c:v>897.82674891107013</c:v>
                </c:pt>
                <c:pt idx="8">
                  <c:v>788.43416924808355</c:v>
                </c:pt>
                <c:pt idx="9">
                  <c:v>601.33513644518234</c:v>
                </c:pt>
                <c:pt idx="10">
                  <c:v>595.29968377412104</c:v>
                </c:pt>
                <c:pt idx="11">
                  <c:v>595.29968377412104</c:v>
                </c:pt>
                <c:pt idx="12">
                  <c:v>623.21365237777968</c:v>
                </c:pt>
                <c:pt idx="13">
                  <c:v>851.80642229422745</c:v>
                </c:pt>
                <c:pt idx="14">
                  <c:v>1109.0675923982167</c:v>
                </c:pt>
                <c:pt idx="15">
                  <c:v>1561.7265427278162</c:v>
                </c:pt>
                <c:pt idx="16">
                  <c:v>1271.2703829329898</c:v>
                </c:pt>
                <c:pt idx="17">
                  <c:v>1367.837625669971</c:v>
                </c:pt>
                <c:pt idx="18">
                  <c:v>1214.6880141417898</c:v>
                </c:pt>
                <c:pt idx="19">
                  <c:v>865.38619080411547</c:v>
                </c:pt>
                <c:pt idx="20">
                  <c:v>769.57337965101692</c:v>
                </c:pt>
                <c:pt idx="21">
                  <c:v>616.42376812283567</c:v>
                </c:pt>
                <c:pt idx="22">
                  <c:v>595.29968377412104</c:v>
                </c:pt>
                <c:pt idx="23">
                  <c:v>595.29968377412104</c:v>
                </c:pt>
                <c:pt idx="24">
                  <c:v>682.05931592062757</c:v>
                </c:pt>
                <c:pt idx="25">
                  <c:v>970.25218096380604</c:v>
                </c:pt>
                <c:pt idx="26">
                  <c:v>1092.4700975527978</c:v>
                </c:pt>
                <c:pt idx="27">
                  <c:v>1319.5540043014803</c:v>
                </c:pt>
                <c:pt idx="28">
                  <c:v>1456.1061209842428</c:v>
                </c:pt>
                <c:pt idx="29">
                  <c:v>1583.6050586604133</c:v>
                </c:pt>
                <c:pt idx="30">
                  <c:v>1121.1384977403391</c:v>
                </c:pt>
                <c:pt idx="31">
                  <c:v>1004.9560338224087</c:v>
                </c:pt>
                <c:pt idx="32">
                  <c:v>682.81374750451027</c:v>
                </c:pt>
                <c:pt idx="33">
                  <c:v>608.87945228400906</c:v>
                </c:pt>
                <c:pt idx="34">
                  <c:v>595.29968377412104</c:v>
                </c:pt>
                <c:pt idx="35">
                  <c:v>596.05411535800374</c:v>
                </c:pt>
                <c:pt idx="36">
                  <c:v>637.5478524715503</c:v>
                </c:pt>
                <c:pt idx="37">
                  <c:v>771.83667440266481</c:v>
                </c:pt>
                <c:pt idx="38">
                  <c:v>1170.9309822765952</c:v>
                </c:pt>
                <c:pt idx="39">
                  <c:v>1459.8782789036563</c:v>
                </c:pt>
                <c:pt idx="40">
                  <c:v>1560.9721111439335</c:v>
                </c:pt>
                <c:pt idx="41">
                  <c:v>1508.9163318560295</c:v>
                </c:pt>
                <c:pt idx="42">
                  <c:v>1293.9033304494696</c:v>
                </c:pt>
                <c:pt idx="43">
                  <c:v>943.09264394402999</c:v>
                </c:pt>
                <c:pt idx="44">
                  <c:v>814.08484310009419</c:v>
                </c:pt>
                <c:pt idx="45">
                  <c:v>598.31741010965175</c:v>
                </c:pt>
                <c:pt idx="46">
                  <c:v>597.56297852576904</c:v>
                </c:pt>
                <c:pt idx="47">
                  <c:v>595.29968377412104</c:v>
                </c:pt>
              </c:numCache>
            </c:numRef>
          </c:val>
          <c:smooth val="0"/>
        </c:ser>
        <c:ser>
          <c:idx val="1"/>
          <c:order val="1"/>
          <c:tx>
            <c:strRef>
              <c:f>'2 Model Data'!$G$12</c:f>
              <c:strCache>
                <c:ptCount val="1"/>
                <c:pt idx="0">
                  <c:v>TOTAL  (MMBtu)</c:v>
                </c:pt>
              </c:strCache>
            </c:strRef>
          </c:tx>
          <c:spPr>
            <a:ln w="28575" cap="rnd" cmpd="sng" algn="ctr">
              <a:solidFill>
                <a:srgbClr val="1E90FF">
                  <a:alpha val="0"/>
                </a:srgbClr>
              </a:solidFill>
              <a:prstDash val="solid"/>
              <a:round/>
              <a:headEnd type="none" w="med" len="med"/>
              <a:tailEnd type="none" w="med" len="med"/>
            </a:ln>
          </c:spPr>
          <c:marker>
            <c:symbol val="plus"/>
            <c:size val="5"/>
            <c:spPr>
              <a:solidFill>
                <a:srgbClr val="000080"/>
              </a:solidFill>
              <a:ln w="28575" cap="rnd" cmpd="sng" algn="ctr">
                <a:solidFill>
                  <a:srgbClr val="1E90FF">
                    <a:alpha val="0"/>
                  </a:srgbClr>
                </a:solidFill>
                <a:prstDash val="solid"/>
                <a:round/>
                <a:headEnd type="none" w="med" len="med"/>
                <a:tailEnd type="none" w="med" len="med"/>
              </a:ln>
            </c:spPr>
          </c:marker>
          <c:cat>
            <c:numLit>
              <c:formatCode>General</c:formatCode>
              <c:ptCount val="4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numLit>
          </c:cat>
          <c:val>
            <c:numRef>
              <c:f>'2 Model Data'!$G$13:$G$60</c:f>
              <c:numCache>
                <c:formatCode>##,##0</c:formatCode>
                <c:ptCount val="48"/>
                <c:pt idx="0">
                  <c:v>767.752422852</c:v>
                </c:pt>
                <c:pt idx="1">
                  <c:v>807.42633281290796</c:v>
                </c:pt>
                <c:pt idx="2">
                  <c:v>868.42116219506397</c:v>
                </c:pt>
                <c:pt idx="3">
                  <c:v>1489.9412749704538</c:v>
                </c:pt>
                <c:pt idx="4">
                  <c:v>1733.1221205617999</c:v>
                </c:pt>
                <c:pt idx="5">
                  <c:v>1253.1709092701999</c:v>
                </c:pt>
                <c:pt idx="6">
                  <c:v>1190.711308746</c:v>
                </c:pt>
                <c:pt idx="7">
                  <c:v>803.84853814309201</c:v>
                </c:pt>
                <c:pt idx="8">
                  <c:v>734.69403863138996</c:v>
                </c:pt>
                <c:pt idx="9">
                  <c:v>709.7150504876339</c:v>
                </c:pt>
                <c:pt idx="10">
                  <c:v>615.78751972329599</c:v>
                </c:pt>
                <c:pt idx="11">
                  <c:v>601.29108220628405</c:v>
                </c:pt>
                <c:pt idx="12">
                  <c:v>763.474303097394</c:v>
                </c:pt>
                <c:pt idx="13">
                  <c:v>760.64558960940599</c:v>
                </c:pt>
                <c:pt idx="14">
                  <c:v>889.06641608175596</c:v>
                </c:pt>
                <c:pt idx="15">
                  <c:v>1667.4604022019839</c:v>
                </c:pt>
                <c:pt idx="16">
                  <c:v>1303.4892179893379</c:v>
                </c:pt>
                <c:pt idx="17">
                  <c:v>1388.6537846213937</c:v>
                </c:pt>
                <c:pt idx="18">
                  <c:v>1246.4542988231519</c:v>
                </c:pt>
                <c:pt idx="19">
                  <c:v>744.08649178054202</c:v>
                </c:pt>
                <c:pt idx="20">
                  <c:v>706.283769783156</c:v>
                </c:pt>
                <c:pt idx="21">
                  <c:v>619.30315881444005</c:v>
                </c:pt>
                <c:pt idx="22">
                  <c:v>591.64833820500598</c:v>
                </c:pt>
                <c:pt idx="23">
                  <c:v>563.57088627530993</c:v>
                </c:pt>
                <c:pt idx="24">
                  <c:v>566.4395115882719</c:v>
                </c:pt>
                <c:pt idx="25">
                  <c:v>569.69721321706788</c:v>
                </c:pt>
                <c:pt idx="26">
                  <c:v>625.62339437391597</c:v>
                </c:pt>
                <c:pt idx="27">
                  <c:v>368.49174348063605</c:v>
                </c:pt>
                <c:pt idx="28">
                  <c:v>977.34553816142397</c:v>
                </c:pt>
                <c:pt idx="29">
                  <c:v>1108.7736628097578</c:v>
                </c:pt>
                <c:pt idx="30">
                  <c:v>805.50453595924205</c:v>
                </c:pt>
                <c:pt idx="31">
                  <c:v>627.36451830868202</c:v>
                </c:pt>
                <c:pt idx="32">
                  <c:v>745.49136959405996</c:v>
                </c:pt>
                <c:pt idx="33">
                  <c:v>736.73510008438211</c:v>
                </c:pt>
                <c:pt idx="34">
                  <c:v>531.35841982648799</c:v>
                </c:pt>
                <c:pt idx="35">
                  <c:v>547.94353865024402</c:v>
                </c:pt>
                <c:pt idx="36">
                  <c:v>703.99213085811004</c:v>
                </c:pt>
                <c:pt idx="37">
                  <c:v>723.34728797602202</c:v>
                </c:pt>
                <c:pt idx="38">
                  <c:v>871.78584471198599</c:v>
                </c:pt>
                <c:pt idx="39">
                  <c:v>1308.2954247248581</c:v>
                </c:pt>
                <c:pt idx="40">
                  <c:v>1501.1395769759699</c:v>
                </c:pt>
                <c:pt idx="41">
                  <c:v>1406.70148399203</c:v>
                </c:pt>
                <c:pt idx="42">
                  <c:v>1217.2114742688623</c:v>
                </c:pt>
                <c:pt idx="43">
                  <c:v>923.47105304524155</c:v>
                </c:pt>
                <c:pt idx="44">
                  <c:v>763.58369451944213</c:v>
                </c:pt>
                <c:pt idx="45">
                  <c:v>572.67017803517865</c:v>
                </c:pt>
                <c:pt idx="46">
                  <c:v>527.20587813936663</c:v>
                </c:pt>
                <c:pt idx="47">
                  <c:v>485.84590373290911</c:v>
                </c:pt>
              </c:numCache>
            </c:numRef>
          </c:val>
          <c:smooth val="0"/>
        </c:ser>
        <c:dLbls>
          <c:showLegendKey val="0"/>
          <c:showVal val="0"/>
          <c:showCatName val="0"/>
          <c:showSerName val="0"/>
          <c:showPercent val="0"/>
          <c:showBubbleSize val="0"/>
        </c:dLbls>
        <c:marker val="1"/>
        <c:smooth val="0"/>
        <c:axId val="447159296"/>
        <c:axId val="447165184"/>
      </c:lineChart>
      <c:catAx>
        <c:axId val="447159296"/>
        <c:scaling>
          <c:orientation val="minMax"/>
        </c:scaling>
        <c:delete val="0"/>
        <c:axPos val="b"/>
        <c:title>
          <c:tx>
            <c:rich>
              <a:bodyPr/>
              <a:lstStyle/>
              <a:p>
                <a:pPr>
                  <a:defRPr/>
                </a:pPr>
                <a:r>
                  <a:rPr lang="en-US"/>
                  <a:t>Input Interval</a:t>
                </a:r>
              </a:p>
            </c:rich>
          </c:tx>
          <c:layout/>
          <c:overlay val="0"/>
        </c:title>
        <c:numFmt formatCode="General" sourceLinked="1"/>
        <c:majorTickMark val="out"/>
        <c:minorTickMark val="none"/>
        <c:tickLblPos val="nextTo"/>
        <c:crossAx val="447165184"/>
        <c:crosses val="autoZero"/>
        <c:auto val="1"/>
        <c:lblAlgn val="ctr"/>
        <c:lblOffset val="100"/>
        <c:tickLblSkip val="6"/>
        <c:tickMarkSkip val="6"/>
        <c:noMultiLvlLbl val="0"/>
      </c:catAx>
      <c:valAx>
        <c:axId val="447165184"/>
        <c:scaling>
          <c:orientation val="minMax"/>
        </c:scaling>
        <c:delete val="0"/>
        <c:axPos val="l"/>
        <c:majorGridlines/>
        <c:title>
          <c:tx>
            <c:rich>
              <a:bodyPr/>
              <a:lstStyle/>
              <a:p>
                <a:pPr>
                  <a:defRPr/>
                </a:pPr>
                <a:r>
                  <a:rPr lang="en-US"/>
                  <a:t>Total Consumption (MMBtu)</a:t>
                </a:r>
              </a:p>
            </c:rich>
          </c:tx>
          <c:layout/>
          <c:overlay val="0"/>
        </c:title>
        <c:numFmt formatCode="##,##0" sourceLinked="1"/>
        <c:majorTickMark val="out"/>
        <c:minorTickMark val="none"/>
        <c:tickLblPos val="nextTo"/>
        <c:crossAx val="447159296"/>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7"/>
    </mc:Choice>
    <mc:Fallback>
      <c:style val="37"/>
    </mc:Fallback>
  </mc:AlternateContent>
  <c:chart>
    <c:autoTitleDeleted val="0"/>
    <c:plotArea>
      <c:layout/>
      <c:barChart>
        <c:barDir val="col"/>
        <c:grouping val="clustered"/>
        <c:varyColors val="0"/>
        <c:ser>
          <c:idx val="2"/>
          <c:order val="2"/>
          <c:tx>
            <c:strRef>
              <c:f>'2 SEnPIResults'!$A$13</c:f>
              <c:strCache>
                <c:ptCount val="1"/>
                <c:pt idx="0">
                  <c:v>SEnPI Cumulative</c:v>
                </c:pt>
              </c:strCache>
            </c:strRef>
          </c:tx>
          <c:invertIfNegative val="0"/>
          <c:val>
            <c:numRef>
              <c:f>'2 SEnPIResults'!$B$13:$E$13</c:f>
              <c:numCache>
                <c:formatCode>###,##0.000</c:formatCode>
                <c:ptCount val="4"/>
                <c:pt idx="0">
                  <c:v>1</c:v>
                </c:pt>
                <c:pt idx="1">
                  <c:v>0.98274223856375953</c:v>
                </c:pt>
                <c:pt idx="2">
                  <c:v>0.70098493506150739</c:v>
                </c:pt>
                <c:pt idx="3">
                  <c:v>0.92076087672575846</c:v>
                </c:pt>
              </c:numCache>
            </c:numRef>
          </c:val>
        </c:ser>
        <c:dLbls>
          <c:showLegendKey val="0"/>
          <c:showVal val="0"/>
          <c:showCatName val="0"/>
          <c:showSerName val="0"/>
          <c:showPercent val="0"/>
          <c:showBubbleSize val="0"/>
        </c:dLbls>
        <c:gapWidth val="150"/>
        <c:axId val="449117568"/>
        <c:axId val="449115264"/>
      </c:barChart>
      <c:lineChart>
        <c:grouping val="standard"/>
        <c:varyColors val="0"/>
        <c:ser>
          <c:idx val="0"/>
          <c:order val="0"/>
          <c:tx>
            <c:strRef>
              <c:f>'2 SEnPIResults'!$A$15</c:f>
              <c:strCache>
                <c:ptCount val="1"/>
                <c:pt idx="0">
                  <c:v>Annual Improvement (%)</c:v>
                </c:pt>
              </c:strCache>
            </c:strRef>
          </c:tx>
          <c:spPr>
            <a:ln>
              <a:solidFill>
                <a:srgbClr val="006400"/>
              </a:solidFill>
            </a:ln>
          </c:spPr>
          <c:marker>
            <c:spPr>
              <a:solidFill>
                <a:srgbClr val="006400"/>
              </a:solidFill>
              <a:ln>
                <a:solidFill>
                  <a:srgbClr val="006400"/>
                </a:solidFill>
              </a:ln>
            </c:spPr>
          </c:marker>
          <c:cat>
            <c:strLit>
              <c:ptCount val="4"/>
              <c:pt idx="0">
                <c:v>FY4</c:v>
              </c:pt>
              <c:pt idx="1">
                <c:v>FY5</c:v>
              </c:pt>
              <c:pt idx="2">
                <c:v>FY6</c:v>
              </c:pt>
              <c:pt idx="3">
                <c:v>FY7</c:v>
              </c:pt>
            </c:strLit>
          </c:cat>
          <c:val>
            <c:numRef>
              <c:f>'2 SEnPIResults'!$B$15:$E$15</c:f>
              <c:numCache>
                <c:formatCode>0.00%</c:formatCode>
                <c:ptCount val="4"/>
                <c:pt idx="0">
                  <c:v>0</c:v>
                </c:pt>
                <c:pt idx="1">
                  <c:v>1.7257761436240471E-2</c:v>
                </c:pt>
                <c:pt idx="2">
                  <c:v>0.28175730350225214</c:v>
                </c:pt>
                <c:pt idx="3">
                  <c:v>-0.21977594166425107</c:v>
                </c:pt>
              </c:numCache>
            </c:numRef>
          </c:val>
          <c:smooth val="0"/>
        </c:ser>
        <c:ser>
          <c:idx val="1"/>
          <c:order val="1"/>
          <c:tx>
            <c:strRef>
              <c:f>'2 SEnPIResults'!$A$14</c:f>
              <c:strCache>
                <c:ptCount val="1"/>
                <c:pt idx="0">
                  <c:v>Cumulative Improvement (%)</c:v>
                </c:pt>
              </c:strCache>
            </c:strRef>
          </c:tx>
          <c:spPr>
            <a:ln>
              <a:solidFill>
                <a:srgbClr val="9ACD32"/>
              </a:solidFill>
            </a:ln>
          </c:spPr>
          <c:marker>
            <c:spPr>
              <a:solidFill>
                <a:srgbClr val="9ACD32"/>
              </a:solidFill>
              <a:ln>
                <a:solidFill>
                  <a:srgbClr val="9ACD32"/>
                </a:solidFill>
              </a:ln>
            </c:spPr>
          </c:marker>
          <c:val>
            <c:numRef>
              <c:f>'2 SEnPIResults'!$B$14:$E$14</c:f>
              <c:numCache>
                <c:formatCode>0.00%</c:formatCode>
                <c:ptCount val="4"/>
                <c:pt idx="0">
                  <c:v>0</c:v>
                </c:pt>
                <c:pt idx="1">
                  <c:v>1.7257761436240471E-2</c:v>
                </c:pt>
                <c:pt idx="2">
                  <c:v>0.29901506493849261</c:v>
                </c:pt>
                <c:pt idx="3">
                  <c:v>7.9239123274241541E-2</c:v>
                </c:pt>
              </c:numCache>
            </c:numRef>
          </c:val>
          <c:smooth val="0"/>
        </c:ser>
        <c:dLbls>
          <c:showLegendKey val="0"/>
          <c:showVal val="0"/>
          <c:showCatName val="0"/>
          <c:showSerName val="0"/>
          <c:showPercent val="0"/>
          <c:showBubbleSize val="0"/>
        </c:dLbls>
        <c:marker val="1"/>
        <c:smooth val="0"/>
        <c:axId val="447186816"/>
        <c:axId val="447188352"/>
      </c:lineChart>
      <c:catAx>
        <c:axId val="447186816"/>
        <c:scaling>
          <c:orientation val="minMax"/>
        </c:scaling>
        <c:delete val="0"/>
        <c:axPos val="b"/>
        <c:title>
          <c:tx>
            <c:rich>
              <a:bodyPr/>
              <a:lstStyle/>
              <a:p>
                <a:pPr>
                  <a:defRPr/>
                </a:pPr>
                <a:r>
                  <a:rPr lang="en-US"/>
                  <a:t>Reporting Year</a:t>
                </a:r>
              </a:p>
            </c:rich>
          </c:tx>
          <c:layout/>
          <c:overlay val="0"/>
        </c:title>
        <c:majorTickMark val="out"/>
        <c:minorTickMark val="none"/>
        <c:tickLblPos val="nextTo"/>
        <c:crossAx val="447188352"/>
        <c:crosses val="autoZero"/>
        <c:auto val="1"/>
        <c:lblAlgn val="ctr"/>
        <c:lblOffset val="100"/>
        <c:noMultiLvlLbl val="0"/>
      </c:catAx>
      <c:valAx>
        <c:axId val="447188352"/>
        <c:scaling>
          <c:orientation val="minMax"/>
        </c:scaling>
        <c:delete val="0"/>
        <c:axPos val="l"/>
        <c:majorGridlines/>
        <c:title>
          <c:tx>
            <c:rich>
              <a:bodyPr/>
              <a:lstStyle/>
              <a:p>
                <a:pPr>
                  <a:defRPr/>
                </a:pPr>
                <a:r>
                  <a:rPr lang="en-US"/>
                  <a:t>Percent Improvement</a:t>
                </a:r>
              </a:p>
            </c:rich>
          </c:tx>
          <c:layout/>
          <c:overlay val="0"/>
        </c:title>
        <c:numFmt formatCode="0.00%" sourceLinked="1"/>
        <c:majorTickMark val="out"/>
        <c:minorTickMark val="none"/>
        <c:tickLblPos val="nextTo"/>
        <c:crossAx val="447186816"/>
        <c:crosses val="autoZero"/>
        <c:crossBetween val="between"/>
      </c:valAx>
      <c:valAx>
        <c:axId val="449115264"/>
        <c:scaling>
          <c:orientation val="minMax"/>
        </c:scaling>
        <c:delete val="0"/>
        <c:axPos val="r"/>
        <c:title>
          <c:tx>
            <c:rich>
              <a:bodyPr/>
              <a:lstStyle/>
              <a:p>
                <a:pPr>
                  <a:defRPr/>
                </a:pPr>
                <a:r>
                  <a:rPr lang="en-US"/>
                  <a:t>SEnPI</a:t>
                </a:r>
              </a:p>
            </c:rich>
          </c:tx>
          <c:layout/>
          <c:overlay val="0"/>
        </c:title>
        <c:numFmt formatCode="###,##0.000" sourceLinked="1"/>
        <c:majorTickMark val="out"/>
        <c:minorTickMark val="none"/>
        <c:tickLblPos val="nextTo"/>
        <c:crossAx val="449117568"/>
        <c:crosses val="max"/>
        <c:crossBetween val="between"/>
      </c:valAx>
      <c:catAx>
        <c:axId val="449117568"/>
        <c:scaling>
          <c:orientation val="minMax"/>
        </c:scaling>
        <c:delete val="1"/>
        <c:axPos val="b"/>
        <c:majorTickMark val="out"/>
        <c:minorTickMark val="none"/>
        <c:tickLblPos val="nextTo"/>
        <c:crossAx val="449115264"/>
        <c:auto val="1"/>
        <c:lblAlgn val="ctr"/>
        <c:lblOffset val="100"/>
        <c:noMultiLvlLbl val="0"/>
      </c:catAx>
    </c:plotArea>
    <c:legend>
      <c:legendPos val="t"/>
      <c:layout/>
      <c:overlay val="0"/>
    </c:legend>
    <c:plotVisOnly val="1"/>
    <c:dispBlanksAs val="gap"/>
    <c:showDLblsOverMax val="0"/>
  </c:chart>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285750</xdr:colOff>
      <xdr:row>3</xdr:row>
      <xdr:rowOff>0</xdr:rowOff>
    </xdr:from>
    <xdr:to>
      <xdr:col>15</xdr:col>
      <xdr:colOff>447675</xdr:colOff>
      <xdr:row>30</xdr:row>
      <xdr:rowOff>28575</xdr:rowOff>
    </xdr:to>
    <xdr:sp macro="" textlink="">
      <xdr:nvSpPr>
        <xdr:cNvPr id="2" name="TextBox 1"/>
        <xdr:cNvSpPr txBox="1"/>
      </xdr:nvSpPr>
      <xdr:spPr>
        <a:xfrm>
          <a:off x="285750" y="571500"/>
          <a:ext cx="9305925"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Problem</a:t>
          </a:r>
          <a:r>
            <a:rPr lang="en-US" sz="1100" b="1" baseline="0">
              <a:solidFill>
                <a:schemeClr val="dk1"/>
              </a:solidFill>
              <a:effectLst/>
              <a:latin typeface="+mn-lt"/>
              <a:ea typeface="+mn-ea"/>
              <a:cs typeface="+mn-cs"/>
            </a:rPr>
            <a:t> Description</a:t>
          </a:r>
          <a:endParaRPr lang="en-US">
            <a:effectLst/>
          </a:endParaRPr>
        </a:p>
        <a:p>
          <a:r>
            <a:rPr lang="en-US" sz="1100">
              <a:solidFill>
                <a:schemeClr val="dk1"/>
              </a:solidFill>
              <a:effectLst/>
              <a:latin typeface="+mn-lt"/>
              <a:ea typeface="+mn-ea"/>
              <a:cs typeface="+mn-cs"/>
            </a:rPr>
            <a:t>The data table has four fields and shows</a:t>
          </a:r>
          <a:r>
            <a:rPr lang="en-US" sz="1100" baseline="0">
              <a:solidFill>
                <a:schemeClr val="dk1"/>
              </a:solidFill>
              <a:effectLst/>
              <a:latin typeface="+mn-lt"/>
              <a:ea typeface="+mn-ea"/>
              <a:cs typeface="+mn-cs"/>
            </a:rPr>
            <a:t> monthly data for an elementary school in Chicago, IL.   The only energy source is electricity.</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Date:  month shown as nominal first day (e.g. 1/1/2005 represents the month of January 2005).   The  relevant period is the school year, September through August.</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kWh:   kilowatt-hours  usage for the month</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Avg Monthly Mean Temp:   National Weather Service monthly mean temperature  in °F from NWS station at O'Hare International Airport</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Heating Degree Days, Base 65 deg F:  Calculation from NWS station </a:t>
          </a:r>
          <a:endParaRPr lang="en-US">
            <a:effectLst/>
          </a:endParaRPr>
        </a:p>
        <a:p>
          <a:endParaRPr lang="en-US" sz="1100" u="sng" baseline="0">
            <a:solidFill>
              <a:schemeClr val="dk1"/>
            </a:solidFill>
            <a:effectLst/>
            <a:latin typeface="+mn-lt"/>
            <a:ea typeface="+mn-ea"/>
            <a:cs typeface="+mn-cs"/>
          </a:endParaRPr>
        </a:p>
        <a:p>
          <a:endParaRPr lang="en-US" sz="1100" u="sng" baseline="0">
            <a:solidFill>
              <a:schemeClr val="dk1"/>
            </a:solidFill>
            <a:effectLst/>
            <a:latin typeface="+mn-lt"/>
            <a:ea typeface="+mn-ea"/>
            <a:cs typeface="+mn-cs"/>
          </a:endParaRPr>
        </a:p>
        <a:p>
          <a:r>
            <a:rPr lang="en-US" sz="1100" u="sng" baseline="0">
              <a:solidFill>
                <a:schemeClr val="dk1"/>
              </a:solidFill>
              <a:effectLst/>
              <a:latin typeface="+mn-lt"/>
              <a:ea typeface="+mn-ea"/>
              <a:cs typeface="+mn-cs"/>
            </a:rPr>
            <a:t>Practice Exercise:</a:t>
          </a:r>
          <a:endParaRPr lang="en-US">
            <a:effectLst/>
          </a:endParaRPr>
        </a:p>
        <a:p>
          <a:r>
            <a:rPr lang="en-US" sz="1100" baseline="0">
              <a:solidFill>
                <a:schemeClr val="dk1"/>
              </a:solidFill>
              <a:effectLst/>
              <a:latin typeface="+mn-lt"/>
              <a:ea typeface="+mn-ea"/>
              <a:cs typeface="+mn-cs"/>
            </a:rPr>
            <a:t>Using the 24 months from Sept 2004 to August 2006, predict electricity use in the school year Sept 2007-Aug 2008.</a:t>
          </a:r>
        </a:p>
        <a:p>
          <a:endParaRPr lang="en-US">
            <a:effectLst/>
          </a:endParaRPr>
        </a:p>
        <a:p>
          <a:r>
            <a:rPr lang="en-US">
              <a:effectLst/>
            </a:rPr>
            <a:t>Take a look at the school year Sept</a:t>
          </a:r>
          <a:r>
            <a:rPr lang="en-US" baseline="0">
              <a:effectLst/>
            </a:rPr>
            <a:t> 2006-Aug 2007.  The unusually low values for the winter are associated with broken air handling units, so we suggest omitting that school year from analysis.</a:t>
          </a:r>
        </a:p>
        <a:p>
          <a:endParaRPr lang="en-US">
            <a:effectLst/>
          </a:endParaRPr>
        </a:p>
        <a:p>
          <a:r>
            <a:rPr lang="en-US" sz="1100" baseline="0">
              <a:solidFill>
                <a:schemeClr val="dk1"/>
              </a:solidFill>
              <a:effectLst/>
              <a:latin typeface="+mn-lt"/>
              <a:ea typeface="+mn-ea"/>
              <a:cs typeface="+mn-cs"/>
            </a:rPr>
            <a:t>Is there any evidence that electricity use has decreased in the school year Sept 2007-Aug 2008?  </a:t>
          </a:r>
        </a:p>
        <a:p>
          <a:endParaRPr lang="en-US">
            <a:effectLst/>
          </a:endParaRPr>
        </a:p>
        <a:p>
          <a:r>
            <a:rPr lang="en-US" sz="1100" baseline="0">
              <a:solidFill>
                <a:schemeClr val="dk1"/>
              </a:solidFill>
              <a:effectLst/>
              <a:latin typeface="+mn-lt"/>
              <a:ea typeface="+mn-ea"/>
              <a:cs typeface="+mn-cs"/>
            </a:rPr>
            <a:t>If so, </a:t>
          </a:r>
        </a:p>
        <a:p>
          <a:r>
            <a:rPr lang="en-US" sz="1100" baseline="0">
              <a:solidFill>
                <a:schemeClr val="dk1"/>
              </a:solidFill>
              <a:effectLst/>
              <a:latin typeface="+mn-lt"/>
              <a:ea typeface="+mn-ea"/>
              <a:cs typeface="+mn-cs"/>
            </a:rPr>
            <a:t>a) what is an estimate of dollar savings if the average 2007-2008 School year kWh cost was $0.08?</a:t>
          </a:r>
        </a:p>
        <a:p>
          <a:r>
            <a:rPr lang="en-US" sz="1100" baseline="0">
              <a:solidFill>
                <a:schemeClr val="dk1"/>
              </a:solidFill>
              <a:effectLst/>
              <a:latin typeface="+mn-lt"/>
              <a:ea typeface="+mn-ea"/>
              <a:cs typeface="+mn-cs"/>
            </a:rPr>
            <a:t>b) what is an estimate of environmental impact if each kWh is associated with 1.6 lbs of CO2 emissions?</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13</xdr:col>
      <xdr:colOff>375920</xdr:colOff>
      <xdr:row>0</xdr:row>
      <xdr:rowOff>2501900</xdr:rowOff>
    </xdr:to>
    <xdr:sp macro="" textlink="">
      <xdr:nvSpPr>
        <xdr:cNvPr id="2" name="TextBox 1"/>
        <xdr:cNvSpPr txBox="1"/>
      </xdr:nvSpPr>
      <xdr:spPr>
        <a:xfrm>
          <a:off x="12700" y="12700"/>
          <a:ext cx="8890000" cy="248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Data Table
</a:t>
          </a:r>
        </a:p>
        <a:p>
          <a:endParaRPr lang="en-US" sz="110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17</xdr:row>
      <xdr:rowOff>0</xdr:rowOff>
    </xdr:from>
    <xdr:to>
      <xdr:col>3</xdr:col>
      <xdr:colOff>78740</xdr:colOff>
      <xdr:row>17</xdr:row>
      <xdr:rowOff>3098800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581660</xdr:colOff>
      <xdr:row>17</xdr:row>
      <xdr:rowOff>0</xdr:rowOff>
    </xdr:from>
    <xdr:to>
      <xdr:col>12</xdr:col>
      <xdr:colOff>99060</xdr:colOff>
      <xdr:row>17</xdr:row>
      <xdr:rowOff>3098800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10</xdr:row>
      <xdr:rowOff>0</xdr:rowOff>
    </xdr:from>
    <xdr:to>
      <xdr:col>5</xdr:col>
      <xdr:colOff>1023620</xdr:colOff>
      <xdr:row>10</xdr:row>
      <xdr:rowOff>3098800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226060</xdr:colOff>
      <xdr:row>10</xdr:row>
      <xdr:rowOff>0</xdr:rowOff>
    </xdr:from>
    <xdr:to>
      <xdr:col>15</xdr:col>
      <xdr:colOff>330200</xdr:colOff>
      <xdr:row>10</xdr:row>
      <xdr:rowOff>3098800</xdr:rowOff>
    </xdr:to>
    <xdr:graphicFrame macro="">
      <xdr:nvGraphicFramePr>
        <xdr:cNvPr id="3" name="Model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0</xdr:row>
      <xdr:rowOff>12700</xdr:rowOff>
    </xdr:from>
    <xdr:to>
      <xdr:col>5</xdr:col>
      <xdr:colOff>406400</xdr:colOff>
      <xdr:row>0</xdr:row>
      <xdr:rowOff>2501900</xdr:rowOff>
    </xdr:to>
    <xdr:sp macro="" textlink="">
      <xdr:nvSpPr>
        <xdr:cNvPr id="2" name="TextBox 1"/>
        <xdr:cNvSpPr txBox="1"/>
      </xdr:nvSpPr>
      <xdr:spPr>
        <a:xfrm>
          <a:off x="12700" y="12700"/>
          <a:ext cx="8890000" cy="248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Data Table
Original and Modeled Values
The table below shows the energy and independent variable data originally entered in the tool, the adjusted data, adjustment method, and totals. The data used for the model year is highlighted in green. 
If a new model is selected for an individual energy source, the adjusted values below will be updated. The EnPI/SEnPI results pages are also linked to this page. Therefore, if changes are made to the adjusted data in the columns below, the results shown in the EnPI and SEnPI pages will update. However, this data is not linked to the orginal source data, so changes made to this page will not affect the data originally entered.
</a:t>
          </a:r>
        </a:p>
        <a:p>
          <a:endParaRPr lang="en-US" sz="1100"/>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22</xdr:row>
      <xdr:rowOff>0</xdr:rowOff>
    </xdr:from>
    <xdr:to>
      <xdr:col>2</xdr:col>
      <xdr:colOff>398780</xdr:colOff>
      <xdr:row>22</xdr:row>
      <xdr:rowOff>3098800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703580</xdr:colOff>
      <xdr:row>22</xdr:row>
      <xdr:rowOff>0</xdr:rowOff>
    </xdr:from>
    <xdr:to>
      <xdr:col>12</xdr:col>
      <xdr:colOff>281940</xdr:colOff>
      <xdr:row>22</xdr:row>
      <xdr:rowOff>3098800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22</xdr:row>
      <xdr:rowOff>0</xdr:rowOff>
    </xdr:from>
    <xdr:to>
      <xdr:col>2</xdr:col>
      <xdr:colOff>398780</xdr:colOff>
      <xdr:row>22</xdr:row>
      <xdr:rowOff>3098800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703580</xdr:colOff>
      <xdr:row>22</xdr:row>
      <xdr:rowOff>0</xdr:rowOff>
    </xdr:from>
    <xdr:to>
      <xdr:col>12</xdr:col>
      <xdr:colOff>281940</xdr:colOff>
      <xdr:row>22</xdr:row>
      <xdr:rowOff>3098800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1" name="Table1" displayName="Table1" ref="A1:F49" totalsRowShown="0" tableBorderDxfId="86">
  <autoFilter ref="A1:F49"/>
  <tableColumns count="6">
    <tableColumn id="1" name="Date" dataDxfId="85"/>
    <tableColumn id="2" name="kwh" dataDxfId="84"/>
    <tableColumn id="5" name="kwh(MMBTU)" dataDxfId="82" dataCellStyle="Comma">
      <calculatedColumnFormula>Table1[kwh]*0.003412142*3</calculatedColumnFormula>
    </tableColumn>
    <tableColumn id="3" name="Avg Monthly Mean Temp" dataDxfId="83"/>
    <tableColumn id="4" name="Heating Degree Days, Base 65 deg F" dataDxfId="81"/>
    <tableColumn id="6" name="Period" dataDxfId="80">
      <calculatedColumnFormula>"FY4"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DetailTable2" displayName="DetailTable2" ref="A12:R60" headerRowDxfId="61">
  <autoFilter ref="A12:R60"/>
  <tableColumns count="18">
    <tableColumn id="1" name="Date" dataDxfId="62"/>
    <tableColumn id="2" name="kwh" dataDxfId="63"/>
    <tableColumn id="3" name="kwh(MMBTU)" dataDxfId="79"/>
    <tableColumn id="4" name="Avg Monthly Mean Temp" dataDxfId="78"/>
    <tableColumn id="5" name="Heating Degree Days, Base 65 deg F" dataDxfId="77"/>
    <tableColumn id="6" name="Period" dataDxfId="76"/>
    <tableColumn id="7" name="TOTAL  (MMBtu)" totalsRowFunction="sum" dataDxfId="75">
      <calculatedColumnFormula>DetailTable2[kwh(MMBTU)]</calculatedColumnFormula>
    </tableColumn>
    <tableColumn id="8" name="Total Production" dataDxfId="74">
      <calculatedColumnFormula>SUM(SUMIFS(DetailTable2[Avg Monthly Mean Temp],DetailTable2[Period],DetailTable2[Period]))</calculatedColumnFormula>
    </tableColumn>
    <tableColumn id="9" name="Baseline Year" dataDxfId="73"/>
    <tableColumn id="10" name="Model Year" dataDxfId="72"/>
    <tableColumn id="11" name="Period Count" dataDxfId="71">
      <calculatedColumnFormula>IF(OFFSET(INDIRECT(ADDRESS(ROW(),COLUMN(DetailTable2[Period]))),-1,0,1,1) = OFFSET(INDIRECT(ADDRESS(ROW(),COLUMN(DetailTable2[Period]))),0,0,1,1),OFFSET(INDIRECT(ADDRESS(ROW(),COLUMN())),-1,0,1,1) + 1,1)</calculatedColumnFormula>
    </tableColumn>
    <tableColumn id="12" name="Baseline Count" dataDxfId="70">
      <calculatedColumnFormula>IF(DetailTable2[Period] = DetailTable2[Baseline Year],IF(OFFSET(INDIRECT(ADDRESS(ROW(),COLUMN(DetailTable2[Period]))),-1,0,1,1) = OFFSET(INDIRECT(ADDRESS(ROW(),COLUMN(DetailTable2[Period]))),0,0,1,1),OFFSET(INDIRECT(ADDRESS(ROW(),COLUMN())),-1,0,1,1) + 1,1),0)</calculatedColumnFormula>
    </tableColumn>
    <tableColumn id="13" name="Energy Savings: kwh(MMBTU)" dataDxfId="69">
      <calculatedColumnFormula>IF(DetailTable2[Period]=DetailTable2[Baseline Year],DetailTable2[kwh(MMBTU)],IF(DetailTable2[Period Count] &lt;= MAX(DetailTable2[Baseline Count]),INDEX(DetailTable2[],DetailTable2[Period Count],COLUMN(DetailTable2[kwh(MMBTU)])),DetailTable2[kwh(MMBTU)]))-DetailTable2[kwh(MMBTU)]</calculatedColumnFormula>
    </tableColumn>
    <tableColumn id="14" name="Energy Savings: TOTAL  (MMBtu)" dataDxfId="68">
      <calculatedColumnFormula>IF(DetailTable2[Period]=DetailTable2[Baseline Year],DetailTable2[TOTAL  (MMBtu)],IF(DetailTable2[Period Count] &lt;= MAX(DetailTable2[Baseline Count]),INDEX(DetailTable2[],DetailTable2[Period Count],COLUMN(DetailTable2[TOTAL  (MMBtu)])),DetailTable2[TOTAL  (MMBtu)]))-DetailTable2[TOTAL  (MMBtu)]</calculatedColumnFormula>
    </tableColumn>
    <tableColumn id="15" name="Unit Cost in $/MMBtu for column: kwh(MMBTU)" dataDxfId="67">
      <calculatedColumnFormula>DetailTable2[kwh]/DetailTable2[kwh(MMBTU)]</calculatedColumnFormula>
    </tableColumn>
    <tableColumn id="16" name="Unit Cost in $/MMBtu for column: TOTAL  (MMBtu)" dataDxfId="66"/>
    <tableColumn id="17" name="Cost Savings ($): kwh(MMBTU)" dataDxfId="65">
      <calculatedColumnFormula>DetailTable2[Unit Cost in $/MMBtu for column: kwh(MMBTU)]*DetailTable2[Energy Savings: kwh(MMBTU)]</calculatedColumnFormula>
    </tableColumn>
    <tableColumn id="18" name="Cost Savings ($): TOTAL  (MMBtu)" dataDxfId="64">
      <calculatedColumnFormula>DetailTable2[Unit Cost in $/MMBtu for column: TOTAL  (MMBtu)]*DetailTable2[Energy Savings: TOTAL  (MMBtu)]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3" name="AnnualTable3" displayName="AnnualTable3" ref="A4:E16" totalsRowShown="0" headerRowDxfId="54" dataDxfId="55" dataCellStyle="Comma">
  <autoFilter ref="A4:E16"/>
  <tableColumns count="5">
    <tableColumn id="1" name=" " dataDxfId="60" dataCellStyle="Comma"/>
    <tableColumn id="2" name="FY4" dataDxfId="59" dataCellStyle="Comma">
      <calculatedColumnFormula>SUMIF(DetailTable2[Period],AnnualTable3[#Headers],DetailTable2[kwh(MMBTU)])</calculatedColumnFormula>
    </tableColumn>
    <tableColumn id="3" name="FY5" dataDxfId="58" dataCellStyle="Comma">
      <calculatedColumnFormula>SUMIF(DetailTable2[Period],AnnualTable3[#Headers],DetailTable2[kwh(MMBTU)])</calculatedColumnFormula>
    </tableColumn>
    <tableColumn id="4" name="FY6" dataDxfId="57" dataCellStyle="Comma">
      <calculatedColumnFormula>SUMIF(DetailTable2[Period],AnnualTable3[#Headers],DetailTable2[kwh(MMBTU)])</calculatedColumnFormula>
    </tableColumn>
    <tableColumn id="5" name="FY7" dataDxfId="56" dataCellStyle="Comma">
      <calculatedColumnFormula>SUMIF(DetailTable2[Period],AnnualTable3[#Headers],DetailTable2[kwh(MMBTU)])</calculatedColumnFormula>
    </tableColumn>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6:M8" totalsRowShown="0" dataDxfId="46" tableBorderDxfId="53">
  <autoFilter ref="A6:M8"/>
  <tableColumns count="13">
    <tableColumn id="1" name="Model Number"/>
    <tableColumn id="2" name="Model is Appropriate for SEP" dataDxfId="52"/>
    <tableColumn id="3" name="Variables" dataDxfId="51"/>
    <tableColumn id="4" name="Coefficients" dataDxfId="50"/>
    <tableColumn id="5" name="Variable Std. Error" dataDxfId="45"/>
    <tableColumn id="6" name="Variable p-Values" dataDxfId="44"/>
    <tableColumn id="7" name="R2" dataDxfId="43"/>
    <tableColumn id="8" name="Adjusted R2" dataDxfId="42"/>
    <tableColumn id="9" name="Model p-Value" dataDxfId="40"/>
    <tableColumn id="10" name="RMSError" dataDxfId="41"/>
    <tableColumn id="11" name="Residual" dataDxfId="49"/>
    <tableColumn id="12" name="AIC" dataDxfId="48"/>
    <tableColumn id="13" name="Formula" dataDxfId="47"/>
  </tableColumns>
  <tableStyleInfo name="TableStyleLight8" showFirstColumn="0" showLastColumn="0" showRowStripes="0" showColumnStripes="0"/>
</table>
</file>

<file path=xl/tables/table5.xml><?xml version="1.0" encoding="utf-8"?>
<table xmlns="http://schemas.openxmlformats.org/spreadsheetml/2006/main" id="11" name="Table11" displayName="Table11" ref="A1:D5" totalsRowShown="0">
  <autoFilter ref="A1:D5"/>
  <tableColumns count="4">
    <tableColumn id="1" name="Column1"/>
    <tableColumn id="2" name="Column2"/>
    <tableColumn id="3" name="Column3"/>
    <tableColumn id="4" name="Column4"/>
  </tableColumns>
  <tableStyleInfo name="TableStyleMedium2" showFirstColumn="0" showLastColumn="0" showRowStripes="1" showColumnStripes="0"/>
</table>
</file>

<file path=xl/tables/table6.xml><?xml version="1.0" encoding="utf-8"?>
<table xmlns="http://schemas.openxmlformats.org/spreadsheetml/2006/main" id="12" name="Table12" displayName="Table12" ref="F1:I7" totalsRowShown="0">
  <autoFilter ref="F1:I7"/>
  <tableColumns count="4">
    <tableColumn id="1" name="Column1"/>
    <tableColumn id="2" name="Column2"/>
    <tableColumn id="3" name="Column3"/>
    <tableColumn id="4" name="Column4"/>
  </tableColumns>
  <tableStyleInfo name="TableStyleMedium2" showFirstColumn="0" showLastColumn="0" showRowStripes="1" showColumnStripes="0"/>
</table>
</file>

<file path=xl/tables/table7.xml><?xml version="1.0" encoding="utf-8"?>
<table xmlns="http://schemas.openxmlformats.org/spreadsheetml/2006/main" id="5" name="DetailTable5" displayName="DetailTable5" ref="A12:S60" headerRowDxfId="19">
  <autoFilter ref="A12:S60"/>
  <tableColumns count="19">
    <tableColumn id="1" name="Date" dataDxfId="20"/>
    <tableColumn id="2" name="kwh" dataDxfId="21"/>
    <tableColumn id="3" name="kwh(MMBTU)" dataDxfId="38"/>
    <tableColumn id="4" name="Avg Monthly Mean Temp" dataDxfId="37"/>
    <tableColumn id="5" name="Heating Degree Days, Base 65 deg F" dataDxfId="36"/>
    <tableColumn id="6" name="Period" dataDxfId="35"/>
    <tableColumn id="7" name="TOTAL  (MMBtu)" totalsRowFunction="sum" dataDxfId="34">
      <calculatedColumnFormula>DetailTable5[kwh(MMBTU)]</calculatedColumnFormula>
    </tableColumn>
    <tableColumn id="8" name="Total Production" dataDxfId="33">
      <calculatedColumnFormula>SUM(SUMIFS(DetailTable5[Avg Monthly Mean Temp],DetailTable5[Period],DetailTable5[Period]))</calculatedColumnFormula>
    </tableColumn>
    <tableColumn id="9" name="Baseline Year" dataDxfId="32"/>
    <tableColumn id="10" name="Model Year" dataDxfId="31"/>
    <tableColumn id="11" name="Last Year" dataDxfId="30"/>
    <tableColumn id="12" name="Adjustment Method" dataDxfId="29">
      <calculatedColumnFormula>IF(DetailTable5[Baseline Year]=DetailTable5[Model Year],IF(DetailTable5[Period]=DetailTable5[Model Year],"Model Year","Forecast"),IF(DetailTable5[Period]=DetailTable5[Model Year],"Model Year",IF(DetailTable5[Last Year]=DetailTable5[Model Year],"Backcast",IF(DetailTable5[Baseline Year]=DetailTable5[Model Year],"Forecast","Chaining"))))</calculatedColumnFormula>
    </tableColumn>
    <tableColumn id="13" name="Modeled kwh(MMBTU)" dataDxfId="28" totalsRowDxfId="39">
      <calculatedColumnFormula>(0.754431583882666 * DetailTable5[Heating Degree Days, Base 65 deg F]) + 595.299683774121</calculatedColumnFormula>
    </tableColumn>
    <tableColumn id="14" name="Total Modeled Energy Consumption (MMBtu)" totalsRowFunction="sum" dataDxfId="27">
      <calculatedColumnFormula>DetailTable5[Modeled kwh(MMBTU)]</calculatedColumnFormula>
    </tableColumn>
    <tableColumn id="15" name="CUSUMHidden" dataDxfId="26">
      <calculatedColumnFormula>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calculatedColumnFormula>
    </tableColumn>
    <tableColumn id="16" name="SEP CUSUM" dataDxfId="25">
      <calculatedColumnFormula>IF(DetailTable5[Period]=DetailTable5[Model Year],"",DetailTable5[CUSUMHidden])</calculatedColumnFormula>
    </tableColumn>
    <tableColumn id="17" name="Energy Savings: kwh(MMBTU)" dataDxfId="24">
      <calculatedColumnFormula>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calculatedColumnFormula>
    </tableColumn>
    <tableColumn id="18" name="Unit Cost in $/MMBtu for column: kwh(MMBTU)" dataDxfId="23">
      <calculatedColumnFormula>DetailTable5[kwh]/DetailTable5[kwh(MMBTU)]</calculatedColumnFormula>
    </tableColumn>
    <tableColumn id="19" name="Cost Savings ($): kwh(MMBTU)" dataDxfId="22">
      <calculatedColumnFormula>DetailTable5[Unit Cost in $/MMBtu for column: kwh(MMBTU)]*DetailTable5[Energy Savings: kwh(MMBTU)]</calculatedColumnFormula>
    </tableColumn>
  </tableColumns>
  <tableStyleInfo name="TableStyleMedium2" showFirstColumn="0" showLastColumn="0" showRowStripes="1" showColumnStripes="0"/>
</table>
</file>

<file path=xl/tables/table8.xml><?xml version="1.0" encoding="utf-8"?>
<table xmlns="http://schemas.openxmlformats.org/spreadsheetml/2006/main" id="6" name="ValidationDetailTable5" displayName="ValidationDetailTable5" ref="A6:C10" totalsRowShown="0" headerRowDxfId="15" dataDxfId="14">
  <autoFilter ref="A6:C10"/>
  <tableColumns count="3">
    <tableColumn id="1" name="Column1" dataDxfId="18"/>
    <tableColumn id="2" name="Column2" dataDxfId="17"/>
    <tableColumn id="3" name="Heating Degree Days, Base 65 deg F" dataDxfId="16"/>
  </tableColumns>
  <tableStyleInfo name="TableStyleMedium2" showFirstColumn="0" showLastColumn="0" showRowStripes="1" showColumnStripes="0"/>
</table>
</file>

<file path=xl/tables/table9.xml><?xml version="1.0" encoding="utf-8"?>
<table xmlns="http://schemas.openxmlformats.org/spreadsheetml/2006/main" id="7" name="AnnualTable7" displayName="AnnualTable7" ref="A4:E21" totalsRowShown="0" headerRowDxfId="7" dataDxfId="8" dataCellStyle="Comma">
  <autoFilter ref="A4:E21"/>
  <tableColumns count="5">
    <tableColumn id="1" name=" " dataDxfId="13" dataCellStyle="Comma"/>
    <tableColumn id="2" name="FY4" dataDxfId="12" dataCellStyle="Comma">
      <calculatedColumnFormula>SUMIF(DetailTable5[Period],AnnualTable7[#Headers],DetailTable5[kwh(MMBTU)])</calculatedColumnFormula>
    </tableColumn>
    <tableColumn id="3" name="FY5" dataDxfId="11" dataCellStyle="Comma">
      <calculatedColumnFormula>SUMIF(DetailTable5[Period],AnnualTable7[#Headers],DetailTable5[kwh(MMBTU)])</calculatedColumnFormula>
    </tableColumn>
    <tableColumn id="4" name="FY6" dataDxfId="10" dataCellStyle="Comma">
      <calculatedColumnFormula>SUMIF(DetailTable5[Period],AnnualTable7[#Headers],DetailTable5[kwh(MMBTU)])</calculatedColumnFormula>
    </tableColumn>
    <tableColumn id="5" name="FY7" dataDxfId="9" dataCellStyle="Comma">
      <calculatedColumnFormula>SUMIF(DetailTable5[Period],AnnualTable7[#Headers],DetailTable5[kwh(MMBTU)])</calculatedColumnFormula>
    </tableColumn>
  </tableColumns>
  <tableStyleInfo name="TableStyleMedium4" showFirstColumn="0" showLastColumn="0" showRowStripes="1" showColumnStripes="0"/>
</table>
</file>

<file path=xl/tables/table10.xml><?xml version="1.0" encoding="utf-8"?>
<table xmlns="http://schemas.openxmlformats.org/spreadsheetml/2006/main" id="8" name="ModelTable8" displayName="ModelTable8" ref="A27:H28" insertRow="1" totalsRowShown="0">
  <autoFilter ref="A27:H28"/>
  <tableColumns count="8">
    <tableColumn id="1" name="Energy Use"/>
    <tableColumn id="2" name="Model is Appropriate for SEP"/>
    <tableColumn id="3" name="Variables"/>
    <tableColumn id="4" name="Variable p-Values"/>
    <tableColumn id="5" name="R2"/>
    <tableColumn id="6" name="Adjusted R2"/>
    <tableColumn id="7" name="Model p-Value"/>
    <tableColumn id="8" name="Formula"/>
  </tableColumns>
  <tableStyleInfo name="TableStyleMedium4" showFirstColumn="0" showLastColumn="0" showRowStripes="1" showColumnStripes="0"/>
</table>
</file>

<file path=xl/tables/table11.xml><?xml version="1.0" encoding="utf-8"?>
<table xmlns="http://schemas.openxmlformats.org/spreadsheetml/2006/main" id="9" name="AnnualTable9" displayName="AnnualTable9" ref="A4:E21" totalsRowShown="0" headerRowDxfId="0" dataDxfId="1" dataCellStyle="Comma">
  <autoFilter ref="A4:E21"/>
  <tableColumns count="5">
    <tableColumn id="1" name=" " dataDxfId="6" dataCellStyle="Comma"/>
    <tableColumn id="2" name="FY4" dataDxfId="5" dataCellStyle="Comma">
      <calculatedColumnFormula>SUMIF(DetailTable5[Period],AnnualTable9[#Headers],DetailTable5[kwh(MMBTU)])</calculatedColumnFormula>
    </tableColumn>
    <tableColumn id="3" name="FY5" dataDxfId="4" dataCellStyle="Comma">
      <calculatedColumnFormula>SUMIF(DetailTable5[Period],AnnualTable9[#Headers],DetailTable5[kwh(MMBTU)])</calculatedColumnFormula>
    </tableColumn>
    <tableColumn id="4" name="FY6" dataDxfId="3" dataCellStyle="Comma">
      <calculatedColumnFormula>SUMIF(DetailTable5[Period],AnnualTable9[#Headers],DetailTable5[kwh(MMBTU)])</calculatedColumnFormula>
    </tableColumn>
    <tableColumn id="5" name="FY7" dataDxfId="2" dataCellStyle="Comma">
      <calculatedColumnFormula>SUMIF(DetailTable5[Period],AnnualTable9[#Headers],DetailTable5[kwh(MMBTU)])</calculatedColumnFormula>
    </tableColumn>
  </tableColumns>
  <tableStyleInfo name="TableStyleMedium4" showFirstColumn="0" showLastColumn="0" showRowStripes="1" showColumnStripes="0"/>
</table>
</file>

<file path=xl/tables/table12.xml><?xml version="1.0" encoding="utf-8"?>
<table xmlns="http://schemas.openxmlformats.org/spreadsheetml/2006/main" id="10" name="ModelTable10" displayName="ModelTable10" ref="A27:H28" insertRow="1" totalsRowShown="0">
  <autoFilter ref="A27:H28"/>
  <tableColumns count="8">
    <tableColumn id="1" name="Energy Use"/>
    <tableColumn id="2" name="Model is Appropriate for SEP"/>
    <tableColumn id="3" name="Variables"/>
    <tableColumn id="4" name="Variable p-Values"/>
    <tableColumn id="5" name="R2"/>
    <tableColumn id="6" name="Adjusted R2"/>
    <tableColumn id="7" name="Model p-Value"/>
    <tableColumn id="8" name="Formula"/>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3.bin"/><Relationship Id="rId7" Type="http://schemas.openxmlformats.org/officeDocument/2006/relationships/table" Target="../tables/table1.xml"/><Relationship Id="rId2" Type="http://schemas.openxmlformats.org/officeDocument/2006/relationships/customProperty" Target="../customProperty2.bin"/><Relationship Id="rId1" Type="http://schemas.openxmlformats.org/officeDocument/2006/relationships/customProperty" Target="../customProperty1.bin"/><Relationship Id="rId6" Type="http://schemas.openxmlformats.org/officeDocument/2006/relationships/customProperty" Target="../customProperty6.bin"/><Relationship Id="rId5" Type="http://schemas.openxmlformats.org/officeDocument/2006/relationships/customProperty" Target="../customProperty5.bin"/><Relationship Id="rId4" Type="http://schemas.openxmlformats.org/officeDocument/2006/relationships/customProperty" Target="../customProperty4.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printerSettings" Target="../printerSettings/printerSettings1.bin"/><Relationship Id="rId5" Type="http://schemas.openxmlformats.org/officeDocument/2006/relationships/table" Target="../tables/table2.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customProperty" Target="../customProperty9.bin"/><Relationship Id="rId5" Type="http://schemas.openxmlformats.org/officeDocument/2006/relationships/table" Target="../tables/table3.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customProperty" Target="../customProperty12.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4.bin"/><Relationship Id="rId1" Type="http://schemas.openxmlformats.org/officeDocument/2006/relationships/customProperty" Target="../customProperty13.bin"/><Relationship Id="rId5" Type="http://schemas.openxmlformats.org/officeDocument/2006/relationships/table" Target="../tables/table8.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7.bin"/><Relationship Id="rId2" Type="http://schemas.openxmlformats.org/officeDocument/2006/relationships/customProperty" Target="../customProperty16.bin"/><Relationship Id="rId1" Type="http://schemas.openxmlformats.org/officeDocument/2006/relationships/customProperty" Target="../customProperty15.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customProperty" Target="../customProperty19.bin"/><Relationship Id="rId1" Type="http://schemas.openxmlformats.org/officeDocument/2006/relationships/customProperty" Target="../customProperty18.bin"/><Relationship Id="rId5" Type="http://schemas.openxmlformats.org/officeDocument/2006/relationships/table" Target="../tables/table12.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6" sqref="E36"/>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activeCell="F39" sqref="F39:F49"/>
    </sheetView>
  </sheetViews>
  <sheetFormatPr defaultRowHeight="14.4" x14ac:dyDescent="0.3"/>
  <cols>
    <col min="1" max="1" width="15.33203125" style="1" customWidth="1"/>
    <col min="2" max="2" width="9.109375" style="2"/>
    <col min="3" max="3" width="24.33203125" customWidth="1"/>
    <col min="4" max="4" width="32.33203125" customWidth="1"/>
    <col min="6" max="6" width="12.21875" customWidth="1"/>
  </cols>
  <sheetData>
    <row r="1" spans="1:6" ht="72" x14ac:dyDescent="0.3">
      <c r="A1" s="7" t="s">
        <v>3</v>
      </c>
      <c r="B1" s="5" t="s">
        <v>0</v>
      </c>
      <c r="C1" s="5" t="s">
        <v>5</v>
      </c>
      <c r="D1" s="4" t="s">
        <v>1</v>
      </c>
      <c r="E1" s="3" t="s">
        <v>2</v>
      </c>
      <c r="F1" s="3" t="s">
        <v>6</v>
      </c>
    </row>
    <row r="2" spans="1:6" x14ac:dyDescent="0.3">
      <c r="A2" s="8">
        <v>38231</v>
      </c>
      <c r="B2" s="6">
        <v>75002</v>
      </c>
      <c r="C2" s="11">
        <f>Table1[kwh]*0.003412142*3</f>
        <v>767.752422852</v>
      </c>
      <c r="D2" s="6">
        <v>66.5</v>
      </c>
      <c r="E2" s="6">
        <v>47</v>
      </c>
      <c r="F2" s="13" t="str">
        <f t="shared" ref="F2:F49" si="0">"FY4"</f>
        <v>FY4</v>
      </c>
    </row>
    <row r="3" spans="1:6" x14ac:dyDescent="0.3">
      <c r="A3" s="8">
        <v>38261</v>
      </c>
      <c r="B3" s="6">
        <v>78877.758000000002</v>
      </c>
      <c r="C3" s="11">
        <f>Table1[kwh]*0.003412142*3</f>
        <v>807.42633281290796</v>
      </c>
      <c r="D3" s="6">
        <v>53.9</v>
      </c>
      <c r="E3" s="6">
        <v>338</v>
      </c>
      <c r="F3" s="14" t="str">
        <f t="shared" si="0"/>
        <v>FY4</v>
      </c>
    </row>
    <row r="4" spans="1:6" x14ac:dyDescent="0.3">
      <c r="A4" s="8">
        <v>38292</v>
      </c>
      <c r="B4" s="6">
        <v>84836.364000000001</v>
      </c>
      <c r="C4" s="11">
        <f>Table1[kwh]*0.003412142*3</f>
        <v>868.42116219506397</v>
      </c>
      <c r="D4" s="6">
        <v>43.7</v>
      </c>
      <c r="E4" s="6">
        <v>632</v>
      </c>
      <c r="F4" s="14" t="str">
        <f t="shared" si="0"/>
        <v>FY4</v>
      </c>
    </row>
    <row r="5" spans="1:6" x14ac:dyDescent="0.3">
      <c r="A5" s="8">
        <v>38322</v>
      </c>
      <c r="B5" s="6">
        <v>145552.87899999999</v>
      </c>
      <c r="C5" s="11">
        <f>Table1[kwh]*0.003412142*3</f>
        <v>1489.9412749704538</v>
      </c>
      <c r="D5" s="6">
        <v>28.9</v>
      </c>
      <c r="E5" s="6">
        <v>1113</v>
      </c>
      <c r="F5" s="14" t="str">
        <f t="shared" si="0"/>
        <v>FY4</v>
      </c>
    </row>
    <row r="6" spans="1:6" x14ac:dyDescent="0.3">
      <c r="A6" s="8">
        <v>38353</v>
      </c>
      <c r="B6" s="6">
        <v>169309.3</v>
      </c>
      <c r="C6" s="11">
        <f>Table1[kwh]*0.003412142*3</f>
        <v>1733.1221205617999</v>
      </c>
      <c r="D6" s="6">
        <v>24.5</v>
      </c>
      <c r="E6" s="6">
        <v>1248</v>
      </c>
      <c r="F6" s="14" t="str">
        <f t="shared" si="0"/>
        <v>FY4</v>
      </c>
    </row>
    <row r="7" spans="1:6" x14ac:dyDescent="0.3">
      <c r="A7" s="8">
        <v>38384</v>
      </c>
      <c r="B7" s="6">
        <v>122422.7</v>
      </c>
      <c r="C7" s="11">
        <f>Table1[kwh]*0.003412142*3</f>
        <v>1253.1709092701999</v>
      </c>
      <c r="D7" s="6">
        <v>32.4</v>
      </c>
      <c r="E7" s="6">
        <v>906</v>
      </c>
      <c r="F7" s="14" t="str">
        <f t="shared" si="0"/>
        <v>FY4</v>
      </c>
    </row>
    <row r="8" spans="1:6" x14ac:dyDescent="0.3">
      <c r="A8" s="8">
        <v>38412</v>
      </c>
      <c r="B8" s="6">
        <v>116321</v>
      </c>
      <c r="C8" s="11">
        <f>Table1[kwh]*0.003412142*3</f>
        <v>1190.711308746</v>
      </c>
      <c r="D8" s="6">
        <v>35</v>
      </c>
      <c r="E8" s="6">
        <v>926</v>
      </c>
      <c r="F8" s="14" t="str">
        <f t="shared" si="0"/>
        <v>FY4</v>
      </c>
    </row>
    <row r="9" spans="1:6" x14ac:dyDescent="0.3">
      <c r="A9" s="8">
        <v>38443</v>
      </c>
      <c r="B9" s="6">
        <v>78528.241999999998</v>
      </c>
      <c r="C9" s="11">
        <f>Table1[kwh]*0.003412142*3</f>
        <v>803.84853814309201</v>
      </c>
      <c r="D9" s="6">
        <v>51.5</v>
      </c>
      <c r="E9" s="6">
        <v>401</v>
      </c>
      <c r="F9" s="14" t="str">
        <f t="shared" si="0"/>
        <v>FY4</v>
      </c>
    </row>
    <row r="10" spans="1:6" x14ac:dyDescent="0.3">
      <c r="A10" s="8">
        <v>38473</v>
      </c>
      <c r="B10" s="6">
        <v>71772.514999999999</v>
      </c>
      <c r="C10" s="11">
        <f>Table1[kwh]*0.003412142*3</f>
        <v>734.69403863138996</v>
      </c>
      <c r="D10" s="6">
        <v>57.1</v>
      </c>
      <c r="E10" s="6">
        <v>256</v>
      </c>
      <c r="F10" s="14" t="str">
        <f t="shared" si="0"/>
        <v>FY4</v>
      </c>
    </row>
    <row r="11" spans="1:6" x14ac:dyDescent="0.3">
      <c r="A11" s="8">
        <v>38504</v>
      </c>
      <c r="B11" s="6">
        <v>69332.308999999994</v>
      </c>
      <c r="C11" s="11">
        <f>Table1[kwh]*0.003412142*3</f>
        <v>709.7150504876339</v>
      </c>
      <c r="D11" s="6">
        <v>74.2</v>
      </c>
      <c r="E11" s="6">
        <v>8</v>
      </c>
      <c r="F11" s="14" t="str">
        <f t="shared" si="0"/>
        <v>FY4</v>
      </c>
    </row>
    <row r="12" spans="1:6" x14ac:dyDescent="0.3">
      <c r="A12" s="8">
        <v>38534</v>
      </c>
      <c r="B12" s="6">
        <v>60156.495999999999</v>
      </c>
      <c r="C12" s="11">
        <f>Table1[kwh]*0.003412142*3</f>
        <v>615.78751972329599</v>
      </c>
      <c r="D12" s="6">
        <v>75.599999999999994</v>
      </c>
      <c r="E12" s="6">
        <v>0</v>
      </c>
      <c r="F12" s="14" t="str">
        <f t="shared" si="0"/>
        <v>FY4</v>
      </c>
    </row>
    <row r="13" spans="1:6" x14ac:dyDescent="0.3">
      <c r="A13" s="8">
        <v>38565</v>
      </c>
      <c r="B13" s="6">
        <v>58740.334000000003</v>
      </c>
      <c r="C13" s="11">
        <f>Table1[kwh]*0.003412142*3</f>
        <v>601.29108220628405</v>
      </c>
      <c r="D13" s="6">
        <v>74.3</v>
      </c>
      <c r="E13" s="6">
        <v>0</v>
      </c>
      <c r="F13" s="14" t="str">
        <f t="shared" si="0"/>
        <v>FY4</v>
      </c>
    </row>
    <row r="14" spans="1:6" x14ac:dyDescent="0.3">
      <c r="A14" s="8">
        <v>38596</v>
      </c>
      <c r="B14" s="6">
        <v>74584.069000000003</v>
      </c>
      <c r="C14" s="11">
        <f>Table1[kwh]*0.003412142*3</f>
        <v>763.474303097394</v>
      </c>
      <c r="D14" s="6">
        <v>69.400000000000006</v>
      </c>
      <c r="E14" s="6">
        <v>37</v>
      </c>
      <c r="F14" s="14" t="s">
        <v>7</v>
      </c>
    </row>
    <row r="15" spans="1:6" x14ac:dyDescent="0.3">
      <c r="A15" s="8">
        <v>38626</v>
      </c>
      <c r="B15" s="6">
        <v>74307.731</v>
      </c>
      <c r="C15" s="11">
        <f>Table1[kwh]*0.003412142*3</f>
        <v>760.64558960940599</v>
      </c>
      <c r="D15" s="6">
        <v>55.2</v>
      </c>
      <c r="E15" s="6">
        <v>340</v>
      </c>
      <c r="F15" s="14" t="s">
        <v>7</v>
      </c>
    </row>
    <row r="16" spans="1:6" x14ac:dyDescent="0.3">
      <c r="A16" s="8">
        <v>38657</v>
      </c>
      <c r="B16" s="6">
        <v>86853.206000000006</v>
      </c>
      <c r="C16" s="11">
        <f>Table1[kwh]*0.003412142*3</f>
        <v>889.06641608175596</v>
      </c>
      <c r="D16" s="6">
        <v>42</v>
      </c>
      <c r="E16" s="6">
        <v>681</v>
      </c>
      <c r="F16" s="14" t="s">
        <v>7</v>
      </c>
    </row>
    <row r="17" spans="1:6" x14ac:dyDescent="0.3">
      <c r="A17" s="8">
        <v>38687</v>
      </c>
      <c r="B17" s="6">
        <v>162894.78400000001</v>
      </c>
      <c r="C17" s="11">
        <f>Table1[kwh]*0.003412142*3</f>
        <v>1667.4604022019839</v>
      </c>
      <c r="D17" s="6">
        <v>23.3</v>
      </c>
      <c r="E17" s="6">
        <v>1281</v>
      </c>
      <c r="F17" s="14" t="s">
        <v>7</v>
      </c>
    </row>
    <row r="18" spans="1:6" x14ac:dyDescent="0.3">
      <c r="A18" s="8">
        <v>38718</v>
      </c>
      <c r="B18" s="6">
        <v>127338.31299999999</v>
      </c>
      <c r="C18" s="11">
        <f>Table1[kwh]*0.003412142*3</f>
        <v>1303.4892179893379</v>
      </c>
      <c r="D18" s="6">
        <v>35.799999999999997</v>
      </c>
      <c r="E18" s="6">
        <v>896</v>
      </c>
      <c r="F18" s="14" t="s">
        <v>7</v>
      </c>
    </row>
    <row r="19" spans="1:6" x14ac:dyDescent="0.3">
      <c r="A19" s="8">
        <v>38749</v>
      </c>
      <c r="B19" s="6">
        <v>135658.06899999999</v>
      </c>
      <c r="C19" s="11">
        <f>Table1[kwh]*0.003412142*3</f>
        <v>1388.6537846213937</v>
      </c>
      <c r="D19" s="6">
        <v>28.2</v>
      </c>
      <c r="E19" s="6">
        <v>1024</v>
      </c>
      <c r="F19" s="14" t="s">
        <v>7</v>
      </c>
    </row>
    <row r="20" spans="1:6" x14ac:dyDescent="0.3">
      <c r="A20" s="8">
        <v>38777</v>
      </c>
      <c r="B20" s="6">
        <v>121766.552</v>
      </c>
      <c r="C20" s="11">
        <f>Table1[kwh]*0.003412142*3</f>
        <v>1246.4542988231519</v>
      </c>
      <c r="D20" s="6">
        <v>38.299999999999997</v>
      </c>
      <c r="E20" s="6">
        <v>821</v>
      </c>
      <c r="F20" s="14" t="s">
        <v>7</v>
      </c>
    </row>
    <row r="21" spans="1:6" x14ac:dyDescent="0.3">
      <c r="A21" s="8">
        <v>38808</v>
      </c>
      <c r="B21" s="6">
        <v>72690.066999999995</v>
      </c>
      <c r="C21" s="11">
        <f>Table1[kwh]*0.003412142*3</f>
        <v>744.08649178054202</v>
      </c>
      <c r="D21" s="6">
        <v>53.1</v>
      </c>
      <c r="E21" s="6">
        <v>358</v>
      </c>
      <c r="F21" s="14" t="s">
        <v>7</v>
      </c>
    </row>
    <row r="22" spans="1:6" x14ac:dyDescent="0.3">
      <c r="A22" s="8">
        <v>38838</v>
      </c>
      <c r="B22" s="6">
        <v>68997.106</v>
      </c>
      <c r="C22" s="11">
        <f>Table1[kwh]*0.003412142*3</f>
        <v>706.283769783156</v>
      </c>
      <c r="D22" s="6">
        <v>59.6</v>
      </c>
      <c r="E22" s="6">
        <v>231</v>
      </c>
      <c r="F22" s="14" t="s">
        <v>7</v>
      </c>
    </row>
    <row r="23" spans="1:6" x14ac:dyDescent="0.3">
      <c r="A23" s="8">
        <v>38869</v>
      </c>
      <c r="B23" s="6">
        <v>60499.94</v>
      </c>
      <c r="C23" s="11">
        <f>Table1[kwh]*0.003412142*3</f>
        <v>619.30315881444005</v>
      </c>
      <c r="D23" s="6">
        <v>68.3</v>
      </c>
      <c r="E23" s="6">
        <v>28</v>
      </c>
      <c r="F23" s="14" t="s">
        <v>7</v>
      </c>
    </row>
    <row r="24" spans="1:6" x14ac:dyDescent="0.3">
      <c r="A24" s="8">
        <v>38899</v>
      </c>
      <c r="B24" s="6">
        <v>57798.330999999998</v>
      </c>
      <c r="C24" s="11">
        <f>Table1[kwh]*0.003412142*3</f>
        <v>591.64833820500598</v>
      </c>
      <c r="D24" s="6">
        <v>76.5</v>
      </c>
      <c r="E24" s="6">
        <v>0</v>
      </c>
      <c r="F24" s="14" t="s">
        <v>7</v>
      </c>
    </row>
    <row r="25" spans="1:6" x14ac:dyDescent="0.3">
      <c r="A25" s="8">
        <v>38930</v>
      </c>
      <c r="B25" s="6">
        <v>55055.434999999998</v>
      </c>
      <c r="C25" s="11">
        <f>Table1[kwh]*0.003412142*3</f>
        <v>563.57088627530993</v>
      </c>
      <c r="D25" s="6">
        <v>74.3</v>
      </c>
      <c r="E25" s="6">
        <v>0</v>
      </c>
      <c r="F25" s="14" t="s">
        <v>7</v>
      </c>
    </row>
    <row r="26" spans="1:6" x14ac:dyDescent="0.3">
      <c r="A26" s="8">
        <v>38961</v>
      </c>
      <c r="B26" s="6">
        <v>55335.671999999999</v>
      </c>
      <c r="C26" s="11">
        <f>Table1[kwh]*0.003412142*3</f>
        <v>566.4395115882719</v>
      </c>
      <c r="D26" s="6">
        <v>62.4</v>
      </c>
      <c r="E26" s="6">
        <v>115</v>
      </c>
      <c r="F26" s="14" t="s">
        <v>8</v>
      </c>
    </row>
    <row r="27" spans="1:6" x14ac:dyDescent="0.3">
      <c r="A27" s="8">
        <v>38991</v>
      </c>
      <c r="B27" s="6">
        <v>55653.917999999998</v>
      </c>
      <c r="C27" s="11">
        <f>Table1[kwh]*0.003412142*3</f>
        <v>569.69721321706788</v>
      </c>
      <c r="D27" s="6">
        <v>49</v>
      </c>
      <c r="E27" s="6">
        <v>497</v>
      </c>
      <c r="F27" s="14" t="s">
        <v>8</v>
      </c>
    </row>
    <row r="28" spans="1:6" x14ac:dyDescent="0.3">
      <c r="A28" s="8">
        <v>39022</v>
      </c>
      <c r="B28" s="6">
        <v>61117.366000000002</v>
      </c>
      <c r="C28" s="11">
        <f>Table1[kwh]*0.003412142*3</f>
        <v>625.62339437391597</v>
      </c>
      <c r="D28" s="6">
        <v>42.8</v>
      </c>
      <c r="E28" s="6">
        <v>659</v>
      </c>
      <c r="F28" s="14" t="s">
        <v>8</v>
      </c>
    </row>
    <row r="29" spans="1:6" x14ac:dyDescent="0.3">
      <c r="A29" s="8">
        <v>39052</v>
      </c>
      <c r="B29" s="6">
        <v>35998.086000000003</v>
      </c>
      <c r="C29" s="11">
        <f>Table1[kwh]*0.003412142*3</f>
        <v>368.49174348063605</v>
      </c>
      <c r="D29" s="6">
        <v>33.799999999999997</v>
      </c>
      <c r="E29" s="6">
        <v>960</v>
      </c>
      <c r="F29" s="14" t="s">
        <v>8</v>
      </c>
    </row>
    <row r="30" spans="1:6" x14ac:dyDescent="0.3">
      <c r="A30" s="8">
        <v>39083</v>
      </c>
      <c r="B30" s="6">
        <v>95477.224000000002</v>
      </c>
      <c r="C30" s="11">
        <f>Table1[kwh]*0.003412142*3</f>
        <v>977.34553816142397</v>
      </c>
      <c r="D30" s="6">
        <v>27.9</v>
      </c>
      <c r="E30" s="6">
        <v>1141</v>
      </c>
      <c r="F30" s="14" t="s">
        <v>8</v>
      </c>
    </row>
    <row r="31" spans="1:6" x14ac:dyDescent="0.3">
      <c r="A31" s="8">
        <v>39114</v>
      </c>
      <c r="B31" s="6">
        <v>108316.48299999999</v>
      </c>
      <c r="C31" s="11">
        <f>Table1[kwh]*0.003412142*3</f>
        <v>1108.7736628097578</v>
      </c>
      <c r="D31" s="6">
        <v>17.899999999999999</v>
      </c>
      <c r="E31" s="6">
        <v>1310</v>
      </c>
      <c r="F31" s="14" t="s">
        <v>8</v>
      </c>
    </row>
    <row r="32" spans="1:6" x14ac:dyDescent="0.3">
      <c r="A32" s="8">
        <v>39142</v>
      </c>
      <c r="B32" s="6">
        <v>78690.017000000007</v>
      </c>
      <c r="C32" s="11">
        <f>Table1[kwh]*0.003412142*3</f>
        <v>805.50453595924205</v>
      </c>
      <c r="D32" s="6">
        <v>42.5</v>
      </c>
      <c r="E32" s="6">
        <v>697</v>
      </c>
      <c r="F32" s="14" t="s">
        <v>8</v>
      </c>
    </row>
    <row r="33" spans="1:6" x14ac:dyDescent="0.3">
      <c r="A33" s="8">
        <v>39173</v>
      </c>
      <c r="B33" s="6">
        <v>61287.457000000002</v>
      </c>
      <c r="C33" s="11">
        <f>Table1[kwh]*0.003412142*3</f>
        <v>627.36451830868202</v>
      </c>
      <c r="D33" s="6">
        <v>46.8</v>
      </c>
      <c r="E33" s="6">
        <v>543</v>
      </c>
      <c r="F33" s="14" t="s">
        <v>8</v>
      </c>
    </row>
    <row r="34" spans="1:6" x14ac:dyDescent="0.3">
      <c r="A34" s="8">
        <v>39203</v>
      </c>
      <c r="B34" s="6">
        <v>72827.31</v>
      </c>
      <c r="C34" s="11">
        <f>Table1[kwh]*0.003412142*3</f>
        <v>745.49136959405996</v>
      </c>
      <c r="D34" s="6">
        <v>63.8</v>
      </c>
      <c r="E34" s="6">
        <v>116</v>
      </c>
      <c r="F34" s="14" t="s">
        <v>8</v>
      </c>
    </row>
    <row r="35" spans="1:6" x14ac:dyDescent="0.3">
      <c r="A35" s="8">
        <v>39234</v>
      </c>
      <c r="B35" s="6">
        <v>71971.907000000007</v>
      </c>
      <c r="C35" s="11">
        <f>Table1[kwh]*0.003412142*3</f>
        <v>736.73510008438211</v>
      </c>
      <c r="D35" s="6">
        <v>71.3</v>
      </c>
      <c r="E35" s="6">
        <v>18</v>
      </c>
      <c r="F35" s="14" t="s">
        <v>8</v>
      </c>
    </row>
    <row r="36" spans="1:6" x14ac:dyDescent="0.3">
      <c r="A36" s="8">
        <v>39264</v>
      </c>
      <c r="B36" s="6">
        <v>51908.588000000003</v>
      </c>
      <c r="C36" s="11">
        <f>Table1[kwh]*0.003412142*3</f>
        <v>531.35841982648799</v>
      </c>
      <c r="D36" s="6">
        <v>73.7</v>
      </c>
      <c r="E36" s="6">
        <v>0</v>
      </c>
      <c r="F36" s="14" t="s">
        <v>8</v>
      </c>
    </row>
    <row r="37" spans="1:6" x14ac:dyDescent="0.3">
      <c r="A37" s="8">
        <v>39295</v>
      </c>
      <c r="B37" s="6">
        <v>53528.794000000002</v>
      </c>
      <c r="C37" s="11">
        <f>Table1[kwh]*0.003412142*3</f>
        <v>547.94353865024402</v>
      </c>
      <c r="D37" s="6">
        <v>74.8</v>
      </c>
      <c r="E37" s="6">
        <v>1</v>
      </c>
      <c r="F37" s="14" t="s">
        <v>8</v>
      </c>
    </row>
    <row r="38" spans="1:6" x14ac:dyDescent="0.3">
      <c r="A38" s="8">
        <v>39326</v>
      </c>
      <c r="B38" s="6">
        <v>68773.235000000001</v>
      </c>
      <c r="C38" s="11">
        <f>Table1[kwh]*0.003412142*3</f>
        <v>703.99213085811004</v>
      </c>
      <c r="D38" s="6">
        <v>68.099999999999994</v>
      </c>
      <c r="E38" s="6">
        <v>56</v>
      </c>
      <c r="F38" s="14" t="s">
        <v>9</v>
      </c>
    </row>
    <row r="39" spans="1:6" x14ac:dyDescent="0.3">
      <c r="A39" s="8">
        <v>39356</v>
      </c>
      <c r="B39" s="6">
        <v>70664.047000000006</v>
      </c>
      <c r="C39" s="11">
        <f>Table1[kwh]*0.003412142*3</f>
        <v>723.34728797602202</v>
      </c>
      <c r="D39" s="6">
        <v>59</v>
      </c>
      <c r="E39" s="6">
        <v>234</v>
      </c>
      <c r="F39" s="14" t="s">
        <v>9</v>
      </c>
    </row>
    <row r="40" spans="1:6" x14ac:dyDescent="0.3">
      <c r="A40" s="8">
        <v>39387</v>
      </c>
      <c r="B40" s="6">
        <v>85165.061000000002</v>
      </c>
      <c r="C40" s="11">
        <f>Table1[kwh]*0.003412142*3</f>
        <v>871.78584471198599</v>
      </c>
      <c r="D40" s="6">
        <v>39.4</v>
      </c>
      <c r="E40" s="6">
        <v>763</v>
      </c>
      <c r="F40" s="14" t="s">
        <v>9</v>
      </c>
    </row>
    <row r="41" spans="1:6" x14ac:dyDescent="0.3">
      <c r="A41" s="8">
        <v>39417</v>
      </c>
      <c r="B41" s="6">
        <v>127807.833</v>
      </c>
      <c r="C41" s="11">
        <f>Table1[kwh]*0.003412142*3</f>
        <v>1308.2954247248581</v>
      </c>
      <c r="D41" s="6">
        <v>27.8</v>
      </c>
      <c r="E41" s="6">
        <v>1146</v>
      </c>
      <c r="F41" s="14" t="s">
        <v>9</v>
      </c>
    </row>
    <row r="42" spans="1:6" x14ac:dyDescent="0.3">
      <c r="A42" s="8">
        <v>39448</v>
      </c>
      <c r="B42" s="6">
        <v>146646.845</v>
      </c>
      <c r="C42" s="11">
        <f>Table1[kwh]*0.003412142*3</f>
        <v>1501.1395769759699</v>
      </c>
      <c r="D42" s="6">
        <v>23.5</v>
      </c>
      <c r="E42" s="6">
        <v>1280</v>
      </c>
      <c r="F42" s="14" t="s">
        <v>9</v>
      </c>
    </row>
    <row r="43" spans="1:6" x14ac:dyDescent="0.3">
      <c r="A43" s="8">
        <v>39479</v>
      </c>
      <c r="B43" s="6">
        <v>137421.155</v>
      </c>
      <c r="C43" s="11">
        <f>Table1[kwh]*0.003412142*3</f>
        <v>1406.70148399203</v>
      </c>
      <c r="D43" s="6">
        <v>23</v>
      </c>
      <c r="E43" s="6">
        <v>1211</v>
      </c>
      <c r="F43" s="14" t="s">
        <v>9</v>
      </c>
    </row>
    <row r="44" spans="1:6" x14ac:dyDescent="0.3">
      <c r="A44" s="8">
        <v>39508</v>
      </c>
      <c r="B44" s="6">
        <v>118909.81034482759</v>
      </c>
      <c r="C44" s="11">
        <f>Table1[kwh]*0.003412142*3</f>
        <v>1217.2114742688623</v>
      </c>
      <c r="D44" s="6">
        <v>34.9</v>
      </c>
      <c r="E44" s="6">
        <v>926</v>
      </c>
      <c r="F44" s="14" t="s">
        <v>9</v>
      </c>
    </row>
    <row r="45" spans="1:6" x14ac:dyDescent="0.3">
      <c r="A45" s="8">
        <v>39539</v>
      </c>
      <c r="B45" s="6">
        <v>90214.206896551739</v>
      </c>
      <c r="C45" s="11">
        <f>Table1[kwh]*0.003412142*3</f>
        <v>923.47105304524155</v>
      </c>
      <c r="D45" s="6">
        <v>49.4</v>
      </c>
      <c r="E45" s="6">
        <v>461</v>
      </c>
      <c r="F45" s="14" t="s">
        <v>9</v>
      </c>
    </row>
    <row r="46" spans="1:6" x14ac:dyDescent="0.3">
      <c r="A46" s="8">
        <v>39569</v>
      </c>
      <c r="B46" s="6">
        <v>74594.755485893431</v>
      </c>
      <c r="C46" s="11">
        <f>Table1[kwh]*0.003412142*3</f>
        <v>763.58369451944213</v>
      </c>
      <c r="D46" s="6">
        <v>55.5</v>
      </c>
      <c r="E46" s="6">
        <v>290</v>
      </c>
      <c r="F46" s="14" t="s">
        <v>9</v>
      </c>
    </row>
    <row r="47" spans="1:6" x14ac:dyDescent="0.3">
      <c r="A47" s="8">
        <v>39600</v>
      </c>
      <c r="B47" s="6">
        <v>55944.347962382446</v>
      </c>
      <c r="C47" s="11">
        <f>Table1[kwh]*0.003412142*3</f>
        <v>572.67017803517865</v>
      </c>
      <c r="D47" s="6">
        <v>70.8</v>
      </c>
      <c r="E47" s="6">
        <v>4</v>
      </c>
      <c r="F47" s="14" t="s">
        <v>9</v>
      </c>
    </row>
    <row r="48" spans="1:6" x14ac:dyDescent="0.3">
      <c r="A48" s="8">
        <v>39630</v>
      </c>
      <c r="B48" s="6">
        <v>51502.924764890275</v>
      </c>
      <c r="C48" s="11">
        <f>Table1[kwh]*0.003412142*3</f>
        <v>527.20587813936663</v>
      </c>
      <c r="D48" s="6">
        <v>74</v>
      </c>
      <c r="E48" s="6">
        <v>3</v>
      </c>
      <c r="F48" s="14" t="s">
        <v>9</v>
      </c>
    </row>
    <row r="49" spans="1:6" x14ac:dyDescent="0.3">
      <c r="A49" s="9">
        <v>39661</v>
      </c>
      <c r="B49" s="10">
        <v>47462.454545454544</v>
      </c>
      <c r="C49" s="12">
        <f>Table1[kwh]*0.003412142*3</f>
        <v>485.84590373290911</v>
      </c>
      <c r="D49" s="10">
        <v>72.7</v>
      </c>
      <c r="E49" s="10">
        <v>0</v>
      </c>
      <c r="F49" s="14" t="s">
        <v>9</v>
      </c>
    </row>
  </sheetData>
  <pageMargins left="0.7" right="0.7" top="0.75" bottom="0.75" header="0.3" footer="0.3"/>
  <customProperties>
    <customPr name="BaselineYear" r:id="rId1"/>
    <customPr name="BuildingSF" r:id="rId2"/>
    <customPr name="ModelYear" r:id="rId3"/>
    <customPr name="Production" r:id="rId4"/>
    <customPr name="Sources" r:id="rId5"/>
    <customPr name="Variables" r:id="rId6"/>
  </customProperties>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1CC50"/>
  </sheetPr>
  <dimension ref="A1:X108"/>
  <sheetViews>
    <sheetView workbookViewId="0">
      <selection activeCell="A15" sqref="A15:E15"/>
    </sheetView>
  </sheetViews>
  <sheetFormatPr defaultRowHeight="14.4" x14ac:dyDescent="0.3"/>
  <cols>
    <col min="1" max="1" width="9.5546875" bestFit="1" customWidth="1"/>
    <col min="3" max="3" width="14.77734375" customWidth="1"/>
    <col min="4" max="4" width="24.33203125" customWidth="1"/>
    <col min="5" max="5" width="32.33203125" customWidth="1"/>
    <col min="7" max="7" width="9.109375" bestFit="1" customWidth="1"/>
    <col min="8" max="12" width="0" hidden="1" customWidth="1"/>
    <col min="13" max="14" width="16.44140625" customWidth="1"/>
    <col min="15" max="15" width="11.88671875" customWidth="1"/>
    <col min="16" max="16" width="11.88671875" hidden="1" customWidth="1"/>
    <col min="17" max="18" width="17.5546875" customWidth="1"/>
  </cols>
  <sheetData>
    <row r="1" spans="1:24" ht="211.35" customHeight="1" x14ac:dyDescent="0.3"/>
    <row r="12" spans="1:24" ht="72" x14ac:dyDescent="0.3">
      <c r="A12" s="18" t="s">
        <v>3</v>
      </c>
      <c r="B12" s="18" t="s">
        <v>0</v>
      </c>
      <c r="C12" s="18" t="s">
        <v>5</v>
      </c>
      <c r="D12" s="18" t="s">
        <v>1</v>
      </c>
      <c r="E12" s="18" t="s">
        <v>2</v>
      </c>
      <c r="F12" s="18" t="s">
        <v>6</v>
      </c>
      <c r="G12" s="18" t="s">
        <v>11</v>
      </c>
      <c r="H12" s="18" t="s">
        <v>12</v>
      </c>
      <c r="I12" s="18" t="s">
        <v>13</v>
      </c>
      <c r="J12" s="18" t="s">
        <v>14</v>
      </c>
      <c r="K12" s="18" t="s">
        <v>15</v>
      </c>
      <c r="L12" s="18" t="s">
        <v>16</v>
      </c>
      <c r="M12" s="18" t="s">
        <v>17</v>
      </c>
      <c r="N12" s="18" t="s">
        <v>18</v>
      </c>
      <c r="O12" s="18" t="s">
        <v>19</v>
      </c>
      <c r="P12" s="18" t="s">
        <v>20</v>
      </c>
      <c r="Q12" s="18" t="s">
        <v>21</v>
      </c>
      <c r="R12" s="18" t="s">
        <v>22</v>
      </c>
    </row>
    <row r="13" spans="1:24" x14ac:dyDescent="0.3">
      <c r="A13" s="1">
        <v>38231</v>
      </c>
      <c r="B13" s="15">
        <v>75002</v>
      </c>
      <c r="C13" s="15">
        <v>767.752422852</v>
      </c>
      <c r="D13" s="15">
        <v>66.5</v>
      </c>
      <c r="E13" s="15">
        <v>47</v>
      </c>
      <c r="F13" s="16" t="s">
        <v>10</v>
      </c>
      <c r="G13" s="15">
        <f>DetailTable2[kwh(MMBTU)]</f>
        <v>767.752422852</v>
      </c>
      <c r="H13" s="15">
        <f>SUM(SUMIFS(DetailTable2[Avg Monthly Mean Temp],DetailTable2[Period],DetailTable2[Period]))</f>
        <v>617.6</v>
      </c>
      <c r="I13" s="15" t="s">
        <v>10</v>
      </c>
      <c r="J13" s="15">
        <v>0</v>
      </c>
      <c r="K13" s="15">
        <f ca="1">IF(OFFSET(INDIRECT(ADDRESS(ROW(),COLUMN(DetailTable2[Period]))),-1,0,1,1) = OFFSET(INDIRECT(ADDRESS(ROW(),COLUMN(DetailTable2[Period]))),0,0,1,1),OFFSET(INDIRECT(ADDRESS(ROW(),COLUMN())),-1,0,1,1) + 1,1)</f>
        <v>1</v>
      </c>
      <c r="L13" s="15">
        <f ca="1">IF(DetailTable2[Period] = DetailTable2[Baseline Year],IF(OFFSET(INDIRECT(ADDRESS(ROW(),COLUMN(DetailTable2[Period]))),-1,0,1,1) = OFFSET(INDIRECT(ADDRESS(ROW(),COLUMN(DetailTable2[Period]))),0,0,1,1),OFFSET(INDIRECT(ADDRESS(ROW(),COLUMN())),-1,0,1,1) + 1,1),0)</f>
        <v>1</v>
      </c>
      <c r="M13" s="15">
        <f>IF(DetailTable2[Period]=DetailTable2[Baseline Year],DetailTable2[kwh(MMBTU)],IF(DetailTable2[Period Count] &lt;= MAX(DetailTable2[Baseline Count]),INDEX(DetailTable2[],DetailTable2[Period Count],COLUMN(DetailTable2[kwh(MMBTU)])),DetailTable2[kwh(MMBTU)]))-DetailTable2[kwh(MMBTU)]</f>
        <v>0</v>
      </c>
      <c r="N13" s="15">
        <f>IF(DetailTable2[Period]=DetailTable2[Baseline Year],DetailTable2[TOTAL  (MMBtu)],IF(DetailTable2[Period Count] &lt;= MAX(DetailTable2[Baseline Count]),INDEX(DetailTable2[],DetailTable2[Period Count],COLUMN(DetailTable2[TOTAL  (MMBtu)])),DetailTable2[TOTAL  (MMBtu)]))-DetailTable2[TOTAL  (MMBtu)]</f>
        <v>0</v>
      </c>
      <c r="O13" s="15">
        <f>DetailTable2[kwh]/DetailTable2[kwh(MMBTU)]</f>
        <v>97.690346220448433</v>
      </c>
      <c r="P13" s="15"/>
      <c r="Q13" s="15">
        <f>DetailTable2[Unit Cost in $/MMBtu for column: kwh(MMBTU)]*DetailTable2[Energy Savings: kwh(MMBTU)]</f>
        <v>0</v>
      </c>
      <c r="R13" s="15">
        <f>DetailTable2[Unit Cost in $/MMBtu for column: TOTAL  (MMBtu)]*DetailTable2[Energy Savings: TOTAL  (MMBtu)]</f>
        <v>0</v>
      </c>
      <c r="S13" s="15"/>
      <c r="T13" s="15"/>
      <c r="U13" s="15"/>
      <c r="V13" s="15"/>
      <c r="W13" s="15"/>
      <c r="X13" s="15"/>
    </row>
    <row r="14" spans="1:24" x14ac:dyDescent="0.3">
      <c r="A14" s="1">
        <v>38261</v>
      </c>
      <c r="B14" s="15">
        <v>78877.758000000002</v>
      </c>
      <c r="C14" s="15">
        <v>807.42633281290796</v>
      </c>
      <c r="D14" s="15">
        <v>53.9</v>
      </c>
      <c r="E14" s="15">
        <v>338</v>
      </c>
      <c r="F14" s="16" t="s">
        <v>10</v>
      </c>
      <c r="G14" s="15">
        <f>DetailTable2[kwh(MMBTU)]</f>
        <v>807.42633281290796</v>
      </c>
      <c r="H14" s="15">
        <f>SUM(SUMIFS(DetailTable2[Avg Monthly Mean Temp],DetailTable2[Period],DetailTable2[Period]))</f>
        <v>617.6</v>
      </c>
      <c r="I14" s="15" t="s">
        <v>10</v>
      </c>
      <c r="J14" s="15">
        <v>0</v>
      </c>
      <c r="K14" s="15">
        <f ca="1">IF(OFFSET(INDIRECT(ADDRESS(ROW(),COLUMN(DetailTable2[Period]))),-1,0,1,1) = OFFSET(INDIRECT(ADDRESS(ROW(),COLUMN(DetailTable2[Period]))),0,0,1,1),OFFSET(INDIRECT(ADDRESS(ROW(),COLUMN())),-1,0,1,1) + 1,1)</f>
        <v>2</v>
      </c>
      <c r="L14" s="15">
        <f ca="1">IF(DetailTable2[Period] = DetailTable2[Baseline Year],IF(OFFSET(INDIRECT(ADDRESS(ROW(),COLUMN(DetailTable2[Period]))),-1,0,1,1) = OFFSET(INDIRECT(ADDRESS(ROW(),COLUMN(DetailTable2[Period]))),0,0,1,1),OFFSET(INDIRECT(ADDRESS(ROW(),COLUMN())),-1,0,1,1) + 1,1),0)</f>
        <v>2</v>
      </c>
      <c r="M14" s="15">
        <f>IF(DetailTable2[Period]=DetailTable2[Baseline Year],DetailTable2[kwh(MMBTU)],IF(DetailTable2[Period Count] &lt;= MAX(DetailTable2[Baseline Count]),INDEX(DetailTable2[],DetailTable2[Period Count],COLUMN(DetailTable2[kwh(MMBTU)])),DetailTable2[kwh(MMBTU)]))-DetailTable2[kwh(MMBTU)]</f>
        <v>0</v>
      </c>
      <c r="N14" s="15">
        <f>IF(DetailTable2[Period]=DetailTable2[Baseline Year],DetailTable2[TOTAL  (MMBtu)],IF(DetailTable2[Period Count] &lt;= MAX(DetailTable2[Baseline Count]),INDEX(DetailTable2[],DetailTable2[Period Count],COLUMN(DetailTable2[TOTAL  (MMBtu)])),DetailTable2[TOTAL  (MMBtu)]))-DetailTable2[TOTAL  (MMBtu)]</f>
        <v>0</v>
      </c>
      <c r="O14" s="15">
        <f>DetailTable2[kwh]/DetailTable2[kwh(MMBTU)]</f>
        <v>97.690346220448433</v>
      </c>
      <c r="P14" s="15"/>
      <c r="Q14" s="15">
        <f>DetailTable2[Unit Cost in $/MMBtu for column: kwh(MMBTU)]*DetailTable2[Energy Savings: kwh(MMBTU)]</f>
        <v>0</v>
      </c>
      <c r="R14" s="15">
        <f>DetailTable2[Unit Cost in $/MMBtu for column: TOTAL  (MMBtu)]*DetailTable2[Energy Savings: TOTAL  (MMBtu)]</f>
        <v>0</v>
      </c>
      <c r="S14" s="15"/>
      <c r="T14" s="15"/>
      <c r="U14" s="15"/>
      <c r="V14" s="15"/>
      <c r="W14" s="15"/>
      <c r="X14" s="15"/>
    </row>
    <row r="15" spans="1:24" x14ac:dyDescent="0.3">
      <c r="A15" s="1">
        <v>38292</v>
      </c>
      <c r="B15" s="15">
        <v>84836.364000000001</v>
      </c>
      <c r="C15" s="15">
        <v>868.42116219506397</v>
      </c>
      <c r="D15" s="15">
        <v>43.7</v>
      </c>
      <c r="E15" s="15">
        <v>632</v>
      </c>
      <c r="F15" s="16" t="s">
        <v>10</v>
      </c>
      <c r="G15" s="15">
        <f>DetailTable2[kwh(MMBTU)]</f>
        <v>868.42116219506397</v>
      </c>
      <c r="H15" s="15">
        <f>SUM(SUMIFS(DetailTable2[Avg Monthly Mean Temp],DetailTable2[Period],DetailTable2[Period]))</f>
        <v>617.6</v>
      </c>
      <c r="I15" s="15" t="s">
        <v>10</v>
      </c>
      <c r="J15" s="15">
        <v>0</v>
      </c>
      <c r="K15" s="15">
        <f ca="1">IF(OFFSET(INDIRECT(ADDRESS(ROW(),COLUMN(DetailTable2[Period]))),-1,0,1,1) = OFFSET(INDIRECT(ADDRESS(ROW(),COLUMN(DetailTable2[Period]))),0,0,1,1),OFFSET(INDIRECT(ADDRESS(ROW(),COLUMN())),-1,0,1,1) + 1,1)</f>
        <v>3</v>
      </c>
      <c r="L15" s="15">
        <f ca="1">IF(DetailTable2[Period] = DetailTable2[Baseline Year],IF(OFFSET(INDIRECT(ADDRESS(ROW(),COLUMN(DetailTable2[Period]))),-1,0,1,1) = OFFSET(INDIRECT(ADDRESS(ROW(),COLUMN(DetailTable2[Period]))),0,0,1,1),OFFSET(INDIRECT(ADDRESS(ROW(),COLUMN())),-1,0,1,1) + 1,1),0)</f>
        <v>3</v>
      </c>
      <c r="M15" s="15">
        <f>IF(DetailTable2[Period]=DetailTable2[Baseline Year],DetailTable2[kwh(MMBTU)],IF(DetailTable2[Period Count] &lt;= MAX(DetailTable2[Baseline Count]),INDEX(DetailTable2[],DetailTable2[Period Count],COLUMN(DetailTable2[kwh(MMBTU)])),DetailTable2[kwh(MMBTU)]))-DetailTable2[kwh(MMBTU)]</f>
        <v>0</v>
      </c>
      <c r="N15" s="15">
        <f>IF(DetailTable2[Period]=DetailTable2[Baseline Year],DetailTable2[TOTAL  (MMBtu)],IF(DetailTable2[Period Count] &lt;= MAX(DetailTable2[Baseline Count]),INDEX(DetailTable2[],DetailTable2[Period Count],COLUMN(DetailTable2[TOTAL  (MMBtu)])),DetailTable2[TOTAL  (MMBtu)]))-DetailTable2[TOTAL  (MMBtu)]</f>
        <v>0</v>
      </c>
      <c r="O15" s="15">
        <f>DetailTable2[kwh]/DetailTable2[kwh(MMBTU)]</f>
        <v>97.690346220448433</v>
      </c>
      <c r="P15" s="15"/>
      <c r="Q15" s="15">
        <f>DetailTable2[Unit Cost in $/MMBtu for column: kwh(MMBTU)]*DetailTable2[Energy Savings: kwh(MMBTU)]</f>
        <v>0</v>
      </c>
      <c r="R15" s="15">
        <f>DetailTable2[Unit Cost in $/MMBtu for column: TOTAL  (MMBtu)]*DetailTable2[Energy Savings: TOTAL  (MMBtu)]</f>
        <v>0</v>
      </c>
      <c r="S15" s="15"/>
      <c r="T15" s="15"/>
      <c r="U15" s="15"/>
      <c r="V15" s="15"/>
      <c r="W15" s="15"/>
      <c r="X15" s="15"/>
    </row>
    <row r="16" spans="1:24" x14ac:dyDescent="0.3">
      <c r="A16" s="1">
        <v>38322</v>
      </c>
      <c r="B16" s="15">
        <v>145552.87899999999</v>
      </c>
      <c r="C16" s="15">
        <v>1489.9412749704538</v>
      </c>
      <c r="D16" s="15">
        <v>28.9</v>
      </c>
      <c r="E16" s="15">
        <v>1113</v>
      </c>
      <c r="F16" s="16" t="s">
        <v>10</v>
      </c>
      <c r="G16" s="15">
        <f>DetailTable2[kwh(MMBTU)]</f>
        <v>1489.9412749704538</v>
      </c>
      <c r="H16" s="15">
        <f>SUM(SUMIFS(DetailTable2[Avg Monthly Mean Temp],DetailTable2[Period],DetailTable2[Period]))</f>
        <v>617.6</v>
      </c>
      <c r="I16" s="15" t="s">
        <v>10</v>
      </c>
      <c r="J16" s="15">
        <v>0</v>
      </c>
      <c r="K16" s="15">
        <f ca="1">IF(OFFSET(INDIRECT(ADDRESS(ROW(),COLUMN(DetailTable2[Period]))),-1,0,1,1) = OFFSET(INDIRECT(ADDRESS(ROW(),COLUMN(DetailTable2[Period]))),0,0,1,1),OFFSET(INDIRECT(ADDRESS(ROW(),COLUMN())),-1,0,1,1) + 1,1)</f>
        <v>4</v>
      </c>
      <c r="L16" s="15">
        <f ca="1">IF(DetailTable2[Period] = DetailTable2[Baseline Year],IF(OFFSET(INDIRECT(ADDRESS(ROW(),COLUMN(DetailTable2[Period]))),-1,0,1,1) = OFFSET(INDIRECT(ADDRESS(ROW(),COLUMN(DetailTable2[Period]))),0,0,1,1),OFFSET(INDIRECT(ADDRESS(ROW(),COLUMN())),-1,0,1,1) + 1,1),0)</f>
        <v>4</v>
      </c>
      <c r="M16" s="15">
        <f>IF(DetailTable2[Period]=DetailTable2[Baseline Year],DetailTable2[kwh(MMBTU)],IF(DetailTable2[Period Count] &lt;= MAX(DetailTable2[Baseline Count]),INDEX(DetailTable2[],DetailTable2[Period Count],COLUMN(DetailTable2[kwh(MMBTU)])),DetailTable2[kwh(MMBTU)]))-DetailTable2[kwh(MMBTU)]</f>
        <v>0</v>
      </c>
      <c r="N16" s="15">
        <f>IF(DetailTable2[Period]=DetailTable2[Baseline Year],DetailTable2[TOTAL  (MMBtu)],IF(DetailTable2[Period Count] &lt;= MAX(DetailTable2[Baseline Count]),INDEX(DetailTable2[],DetailTable2[Period Count],COLUMN(DetailTable2[TOTAL  (MMBtu)])),DetailTable2[TOTAL  (MMBtu)]))-DetailTable2[TOTAL  (MMBtu)]</f>
        <v>0</v>
      </c>
      <c r="O16" s="15">
        <f>DetailTable2[kwh]/DetailTable2[kwh(MMBTU)]</f>
        <v>97.690346220448433</v>
      </c>
      <c r="P16" s="15"/>
      <c r="Q16" s="15">
        <f>DetailTable2[Unit Cost in $/MMBtu for column: kwh(MMBTU)]*DetailTable2[Energy Savings: kwh(MMBTU)]</f>
        <v>0</v>
      </c>
      <c r="R16" s="15">
        <f>DetailTable2[Unit Cost in $/MMBtu for column: TOTAL  (MMBtu)]*DetailTable2[Energy Savings: TOTAL  (MMBtu)]</f>
        <v>0</v>
      </c>
      <c r="S16" s="15"/>
      <c r="T16" s="15"/>
      <c r="U16" s="15"/>
      <c r="V16" s="15"/>
      <c r="W16" s="15"/>
      <c r="X16" s="15"/>
    </row>
    <row r="17" spans="1:24" x14ac:dyDescent="0.3">
      <c r="A17" s="1">
        <v>38353</v>
      </c>
      <c r="B17" s="15">
        <v>169309.3</v>
      </c>
      <c r="C17" s="15">
        <v>1733.1221205617999</v>
      </c>
      <c r="D17" s="15">
        <v>24.5</v>
      </c>
      <c r="E17" s="15">
        <v>1248</v>
      </c>
      <c r="F17" s="16" t="s">
        <v>10</v>
      </c>
      <c r="G17" s="15">
        <f>DetailTable2[kwh(MMBTU)]</f>
        <v>1733.1221205617999</v>
      </c>
      <c r="H17" s="15">
        <f>SUM(SUMIFS(DetailTable2[Avg Monthly Mean Temp],DetailTable2[Period],DetailTable2[Period]))</f>
        <v>617.6</v>
      </c>
      <c r="I17" s="15" t="s">
        <v>10</v>
      </c>
      <c r="J17" s="15">
        <v>0</v>
      </c>
      <c r="K17" s="15">
        <f ca="1">IF(OFFSET(INDIRECT(ADDRESS(ROW(),COLUMN(DetailTable2[Period]))),-1,0,1,1) = OFFSET(INDIRECT(ADDRESS(ROW(),COLUMN(DetailTable2[Period]))),0,0,1,1),OFFSET(INDIRECT(ADDRESS(ROW(),COLUMN())),-1,0,1,1) + 1,1)</f>
        <v>5</v>
      </c>
      <c r="L17" s="15">
        <f ca="1">IF(DetailTable2[Period] = DetailTable2[Baseline Year],IF(OFFSET(INDIRECT(ADDRESS(ROW(),COLUMN(DetailTable2[Period]))),-1,0,1,1) = OFFSET(INDIRECT(ADDRESS(ROW(),COLUMN(DetailTable2[Period]))),0,0,1,1),OFFSET(INDIRECT(ADDRESS(ROW(),COLUMN())),-1,0,1,1) + 1,1),0)</f>
        <v>5</v>
      </c>
      <c r="M17" s="15">
        <f>IF(DetailTable2[Period]=DetailTable2[Baseline Year],DetailTable2[kwh(MMBTU)],IF(DetailTable2[Period Count] &lt;= MAX(DetailTable2[Baseline Count]),INDEX(DetailTable2[],DetailTable2[Period Count],COLUMN(DetailTable2[kwh(MMBTU)])),DetailTable2[kwh(MMBTU)]))-DetailTable2[kwh(MMBTU)]</f>
        <v>0</v>
      </c>
      <c r="N17" s="15">
        <f>IF(DetailTable2[Period]=DetailTable2[Baseline Year],DetailTable2[TOTAL  (MMBtu)],IF(DetailTable2[Period Count] &lt;= MAX(DetailTable2[Baseline Count]),INDEX(DetailTable2[],DetailTable2[Period Count],COLUMN(DetailTable2[TOTAL  (MMBtu)])),DetailTable2[TOTAL  (MMBtu)]))-DetailTable2[TOTAL  (MMBtu)]</f>
        <v>0</v>
      </c>
      <c r="O17" s="15">
        <f>DetailTable2[kwh]/DetailTable2[kwh(MMBTU)]</f>
        <v>97.690346220448433</v>
      </c>
      <c r="P17" s="15"/>
      <c r="Q17" s="15">
        <f>DetailTable2[Unit Cost in $/MMBtu for column: kwh(MMBTU)]*DetailTable2[Energy Savings: kwh(MMBTU)]</f>
        <v>0</v>
      </c>
      <c r="R17" s="15">
        <f>DetailTable2[Unit Cost in $/MMBtu for column: TOTAL  (MMBtu)]*DetailTable2[Energy Savings: TOTAL  (MMBtu)]</f>
        <v>0</v>
      </c>
      <c r="S17" s="15"/>
      <c r="T17" s="15"/>
      <c r="U17" s="15"/>
      <c r="V17" s="15"/>
      <c r="W17" s="15"/>
      <c r="X17" s="15"/>
    </row>
    <row r="18" spans="1:24" x14ac:dyDescent="0.3">
      <c r="A18" s="1">
        <v>38384</v>
      </c>
      <c r="B18" s="15">
        <v>122422.7</v>
      </c>
      <c r="C18" s="15">
        <v>1253.1709092701999</v>
      </c>
      <c r="D18" s="15">
        <v>32.4</v>
      </c>
      <c r="E18" s="15">
        <v>906</v>
      </c>
      <c r="F18" s="16" t="s">
        <v>10</v>
      </c>
      <c r="G18" s="15">
        <f>DetailTable2[kwh(MMBTU)]</f>
        <v>1253.1709092701999</v>
      </c>
      <c r="H18" s="15">
        <f>SUM(SUMIFS(DetailTable2[Avg Monthly Mean Temp],DetailTable2[Period],DetailTable2[Period]))</f>
        <v>617.6</v>
      </c>
      <c r="I18" s="15" t="s">
        <v>10</v>
      </c>
      <c r="J18" s="15">
        <v>0</v>
      </c>
      <c r="K18" s="15">
        <f ca="1">IF(OFFSET(INDIRECT(ADDRESS(ROW(),COLUMN(DetailTable2[Period]))),-1,0,1,1) = OFFSET(INDIRECT(ADDRESS(ROW(),COLUMN(DetailTable2[Period]))),0,0,1,1),OFFSET(INDIRECT(ADDRESS(ROW(),COLUMN())),-1,0,1,1) + 1,1)</f>
        <v>6</v>
      </c>
      <c r="L18" s="15">
        <f ca="1">IF(DetailTable2[Period] = DetailTable2[Baseline Year],IF(OFFSET(INDIRECT(ADDRESS(ROW(),COLUMN(DetailTable2[Period]))),-1,0,1,1) = OFFSET(INDIRECT(ADDRESS(ROW(),COLUMN(DetailTable2[Period]))),0,0,1,1),OFFSET(INDIRECT(ADDRESS(ROW(),COLUMN())),-1,0,1,1) + 1,1),0)</f>
        <v>6</v>
      </c>
      <c r="M18" s="15">
        <f>IF(DetailTable2[Period]=DetailTable2[Baseline Year],DetailTable2[kwh(MMBTU)],IF(DetailTable2[Period Count] &lt;= MAX(DetailTable2[Baseline Count]),INDEX(DetailTable2[],DetailTable2[Period Count],COLUMN(DetailTable2[kwh(MMBTU)])),DetailTable2[kwh(MMBTU)]))-DetailTable2[kwh(MMBTU)]</f>
        <v>0</v>
      </c>
      <c r="N18" s="15">
        <f>IF(DetailTable2[Period]=DetailTable2[Baseline Year],DetailTable2[TOTAL  (MMBtu)],IF(DetailTable2[Period Count] &lt;= MAX(DetailTable2[Baseline Count]),INDEX(DetailTable2[],DetailTable2[Period Count],COLUMN(DetailTable2[TOTAL  (MMBtu)])),DetailTable2[TOTAL  (MMBtu)]))-DetailTable2[TOTAL  (MMBtu)]</f>
        <v>0</v>
      </c>
      <c r="O18" s="15">
        <f>DetailTable2[kwh]/DetailTable2[kwh(MMBTU)]</f>
        <v>97.690346220448433</v>
      </c>
      <c r="P18" s="15"/>
      <c r="Q18" s="15">
        <f>DetailTable2[Unit Cost in $/MMBtu for column: kwh(MMBTU)]*DetailTable2[Energy Savings: kwh(MMBTU)]</f>
        <v>0</v>
      </c>
      <c r="R18" s="15">
        <f>DetailTable2[Unit Cost in $/MMBtu for column: TOTAL  (MMBtu)]*DetailTable2[Energy Savings: TOTAL  (MMBtu)]</f>
        <v>0</v>
      </c>
      <c r="S18" s="15"/>
      <c r="T18" s="15"/>
      <c r="U18" s="15"/>
      <c r="V18" s="15"/>
      <c r="W18" s="15"/>
      <c r="X18" s="15"/>
    </row>
    <row r="19" spans="1:24" x14ac:dyDescent="0.3">
      <c r="A19" s="1">
        <v>38412</v>
      </c>
      <c r="B19" s="15">
        <v>116321</v>
      </c>
      <c r="C19" s="15">
        <v>1190.711308746</v>
      </c>
      <c r="D19" s="15">
        <v>35</v>
      </c>
      <c r="E19" s="15">
        <v>926</v>
      </c>
      <c r="F19" s="16" t="s">
        <v>10</v>
      </c>
      <c r="G19" s="15">
        <f>DetailTable2[kwh(MMBTU)]</f>
        <v>1190.711308746</v>
      </c>
      <c r="H19" s="15">
        <f>SUM(SUMIFS(DetailTable2[Avg Monthly Mean Temp],DetailTable2[Period],DetailTable2[Period]))</f>
        <v>617.6</v>
      </c>
      <c r="I19" s="15" t="s">
        <v>10</v>
      </c>
      <c r="J19" s="15">
        <v>0</v>
      </c>
      <c r="K19" s="15">
        <f ca="1">IF(OFFSET(INDIRECT(ADDRESS(ROW(),COLUMN(DetailTable2[Period]))),-1,0,1,1) = OFFSET(INDIRECT(ADDRESS(ROW(),COLUMN(DetailTable2[Period]))),0,0,1,1),OFFSET(INDIRECT(ADDRESS(ROW(),COLUMN())),-1,0,1,1) + 1,1)</f>
        <v>7</v>
      </c>
      <c r="L19" s="15">
        <f ca="1">IF(DetailTable2[Period] = DetailTable2[Baseline Year],IF(OFFSET(INDIRECT(ADDRESS(ROW(),COLUMN(DetailTable2[Period]))),-1,0,1,1) = OFFSET(INDIRECT(ADDRESS(ROW(),COLUMN(DetailTable2[Period]))),0,0,1,1),OFFSET(INDIRECT(ADDRESS(ROW(),COLUMN())),-1,0,1,1) + 1,1),0)</f>
        <v>7</v>
      </c>
      <c r="M19" s="15">
        <f>IF(DetailTable2[Period]=DetailTable2[Baseline Year],DetailTable2[kwh(MMBTU)],IF(DetailTable2[Period Count] &lt;= MAX(DetailTable2[Baseline Count]),INDEX(DetailTable2[],DetailTable2[Period Count],COLUMN(DetailTable2[kwh(MMBTU)])),DetailTable2[kwh(MMBTU)]))-DetailTable2[kwh(MMBTU)]</f>
        <v>0</v>
      </c>
      <c r="N19" s="15">
        <f>IF(DetailTable2[Period]=DetailTable2[Baseline Year],DetailTable2[TOTAL  (MMBtu)],IF(DetailTable2[Period Count] &lt;= MAX(DetailTable2[Baseline Count]),INDEX(DetailTable2[],DetailTable2[Period Count],COLUMN(DetailTable2[TOTAL  (MMBtu)])),DetailTable2[TOTAL  (MMBtu)]))-DetailTable2[TOTAL  (MMBtu)]</f>
        <v>0</v>
      </c>
      <c r="O19" s="15">
        <f>DetailTable2[kwh]/DetailTable2[kwh(MMBTU)]</f>
        <v>97.690346220448433</v>
      </c>
      <c r="P19" s="15"/>
      <c r="Q19" s="15">
        <f>DetailTable2[Unit Cost in $/MMBtu for column: kwh(MMBTU)]*DetailTable2[Energy Savings: kwh(MMBTU)]</f>
        <v>0</v>
      </c>
      <c r="R19" s="15">
        <f>DetailTable2[Unit Cost in $/MMBtu for column: TOTAL  (MMBtu)]*DetailTable2[Energy Savings: TOTAL  (MMBtu)]</f>
        <v>0</v>
      </c>
      <c r="S19" s="15"/>
      <c r="T19" s="15"/>
      <c r="U19" s="15"/>
      <c r="V19" s="15"/>
      <c r="W19" s="15"/>
      <c r="X19" s="15"/>
    </row>
    <row r="20" spans="1:24" x14ac:dyDescent="0.3">
      <c r="A20" s="1">
        <v>38443</v>
      </c>
      <c r="B20" s="15">
        <v>78528.241999999998</v>
      </c>
      <c r="C20" s="15">
        <v>803.84853814309201</v>
      </c>
      <c r="D20" s="15">
        <v>51.5</v>
      </c>
      <c r="E20" s="15">
        <v>401</v>
      </c>
      <c r="F20" s="16" t="s">
        <v>10</v>
      </c>
      <c r="G20" s="15">
        <f>DetailTable2[kwh(MMBTU)]</f>
        <v>803.84853814309201</v>
      </c>
      <c r="H20" s="15">
        <f>SUM(SUMIFS(DetailTable2[Avg Monthly Mean Temp],DetailTable2[Period],DetailTable2[Period]))</f>
        <v>617.6</v>
      </c>
      <c r="I20" s="15" t="s">
        <v>10</v>
      </c>
      <c r="J20" s="15">
        <v>0</v>
      </c>
      <c r="K20" s="15">
        <f ca="1">IF(OFFSET(INDIRECT(ADDRESS(ROW(),COLUMN(DetailTable2[Period]))),-1,0,1,1) = OFFSET(INDIRECT(ADDRESS(ROW(),COLUMN(DetailTable2[Period]))),0,0,1,1),OFFSET(INDIRECT(ADDRESS(ROW(),COLUMN())),-1,0,1,1) + 1,1)</f>
        <v>8</v>
      </c>
      <c r="L20" s="15">
        <f ca="1">IF(DetailTable2[Period] = DetailTable2[Baseline Year],IF(OFFSET(INDIRECT(ADDRESS(ROW(),COLUMN(DetailTable2[Period]))),-1,0,1,1) = OFFSET(INDIRECT(ADDRESS(ROW(),COLUMN(DetailTable2[Period]))),0,0,1,1),OFFSET(INDIRECT(ADDRESS(ROW(),COLUMN())),-1,0,1,1) + 1,1),0)</f>
        <v>8</v>
      </c>
      <c r="M20" s="15">
        <f>IF(DetailTable2[Period]=DetailTable2[Baseline Year],DetailTable2[kwh(MMBTU)],IF(DetailTable2[Period Count] &lt;= MAX(DetailTable2[Baseline Count]),INDEX(DetailTable2[],DetailTable2[Period Count],COLUMN(DetailTable2[kwh(MMBTU)])),DetailTable2[kwh(MMBTU)]))-DetailTable2[kwh(MMBTU)]</f>
        <v>0</v>
      </c>
      <c r="N20" s="15">
        <f>IF(DetailTable2[Period]=DetailTable2[Baseline Year],DetailTable2[TOTAL  (MMBtu)],IF(DetailTable2[Period Count] &lt;= MAX(DetailTable2[Baseline Count]),INDEX(DetailTable2[],DetailTable2[Period Count],COLUMN(DetailTable2[TOTAL  (MMBtu)])),DetailTable2[TOTAL  (MMBtu)]))-DetailTable2[TOTAL  (MMBtu)]</f>
        <v>0</v>
      </c>
      <c r="O20" s="15">
        <f>DetailTable2[kwh]/DetailTable2[kwh(MMBTU)]</f>
        <v>97.690346220448419</v>
      </c>
      <c r="P20" s="15"/>
      <c r="Q20" s="15">
        <f>DetailTable2[Unit Cost in $/MMBtu for column: kwh(MMBTU)]*DetailTable2[Energy Savings: kwh(MMBTU)]</f>
        <v>0</v>
      </c>
      <c r="R20" s="15">
        <f>DetailTable2[Unit Cost in $/MMBtu for column: TOTAL  (MMBtu)]*DetailTable2[Energy Savings: TOTAL  (MMBtu)]</f>
        <v>0</v>
      </c>
      <c r="S20" s="15"/>
      <c r="T20" s="15"/>
      <c r="U20" s="15"/>
      <c r="V20" s="15"/>
      <c r="W20" s="15"/>
      <c r="X20" s="15"/>
    </row>
    <row r="21" spans="1:24" x14ac:dyDescent="0.3">
      <c r="A21" s="1">
        <v>38473</v>
      </c>
      <c r="B21" s="15">
        <v>71772.514999999999</v>
      </c>
      <c r="C21" s="15">
        <v>734.69403863138996</v>
      </c>
      <c r="D21" s="15">
        <v>57.1</v>
      </c>
      <c r="E21" s="15">
        <v>256</v>
      </c>
      <c r="F21" s="16" t="s">
        <v>10</v>
      </c>
      <c r="G21" s="15">
        <f>DetailTable2[kwh(MMBTU)]</f>
        <v>734.69403863138996</v>
      </c>
      <c r="H21" s="15">
        <f>SUM(SUMIFS(DetailTable2[Avg Monthly Mean Temp],DetailTable2[Period],DetailTable2[Period]))</f>
        <v>617.6</v>
      </c>
      <c r="I21" s="15" t="s">
        <v>10</v>
      </c>
      <c r="J21" s="15">
        <v>0</v>
      </c>
      <c r="K21" s="15">
        <f ca="1">IF(OFFSET(INDIRECT(ADDRESS(ROW(),COLUMN(DetailTable2[Period]))),-1,0,1,1) = OFFSET(INDIRECT(ADDRESS(ROW(),COLUMN(DetailTable2[Period]))),0,0,1,1),OFFSET(INDIRECT(ADDRESS(ROW(),COLUMN())),-1,0,1,1) + 1,1)</f>
        <v>9</v>
      </c>
      <c r="L21" s="15">
        <f ca="1">IF(DetailTable2[Period] = DetailTable2[Baseline Year],IF(OFFSET(INDIRECT(ADDRESS(ROW(),COLUMN(DetailTable2[Period]))),-1,0,1,1) = OFFSET(INDIRECT(ADDRESS(ROW(),COLUMN(DetailTable2[Period]))),0,0,1,1),OFFSET(INDIRECT(ADDRESS(ROW(),COLUMN())),-1,0,1,1) + 1,1),0)</f>
        <v>9</v>
      </c>
      <c r="M21" s="15">
        <f>IF(DetailTable2[Period]=DetailTable2[Baseline Year],DetailTable2[kwh(MMBTU)],IF(DetailTable2[Period Count] &lt;= MAX(DetailTable2[Baseline Count]),INDEX(DetailTable2[],DetailTable2[Period Count],COLUMN(DetailTable2[kwh(MMBTU)])),DetailTable2[kwh(MMBTU)]))-DetailTable2[kwh(MMBTU)]</f>
        <v>0</v>
      </c>
      <c r="N21" s="15">
        <f>IF(DetailTable2[Period]=DetailTable2[Baseline Year],DetailTable2[TOTAL  (MMBtu)],IF(DetailTable2[Period Count] &lt;= MAX(DetailTable2[Baseline Count]),INDEX(DetailTable2[],DetailTable2[Period Count],COLUMN(DetailTable2[TOTAL  (MMBtu)])),DetailTable2[TOTAL  (MMBtu)]))-DetailTable2[TOTAL  (MMBtu)]</f>
        <v>0</v>
      </c>
      <c r="O21" s="15">
        <f>DetailTable2[kwh]/DetailTable2[kwh(MMBTU)]</f>
        <v>97.690346220448433</v>
      </c>
      <c r="P21" s="15"/>
      <c r="Q21" s="15">
        <f>DetailTable2[Unit Cost in $/MMBtu for column: kwh(MMBTU)]*DetailTable2[Energy Savings: kwh(MMBTU)]</f>
        <v>0</v>
      </c>
      <c r="R21" s="15">
        <f>DetailTable2[Unit Cost in $/MMBtu for column: TOTAL  (MMBtu)]*DetailTable2[Energy Savings: TOTAL  (MMBtu)]</f>
        <v>0</v>
      </c>
      <c r="S21" s="15"/>
      <c r="T21" s="15"/>
      <c r="U21" s="15"/>
      <c r="V21" s="15"/>
      <c r="W21" s="15"/>
      <c r="X21" s="15"/>
    </row>
    <row r="22" spans="1:24" x14ac:dyDescent="0.3">
      <c r="A22" s="1">
        <v>38504</v>
      </c>
      <c r="B22" s="15">
        <v>69332.308999999994</v>
      </c>
      <c r="C22" s="15">
        <v>709.7150504876339</v>
      </c>
      <c r="D22" s="15">
        <v>74.2</v>
      </c>
      <c r="E22" s="15">
        <v>8</v>
      </c>
      <c r="F22" s="16" t="s">
        <v>10</v>
      </c>
      <c r="G22" s="15">
        <f>DetailTable2[kwh(MMBTU)]</f>
        <v>709.7150504876339</v>
      </c>
      <c r="H22" s="15">
        <f>SUM(SUMIFS(DetailTable2[Avg Monthly Mean Temp],DetailTable2[Period],DetailTable2[Period]))</f>
        <v>617.6</v>
      </c>
      <c r="I22" s="15" t="s">
        <v>10</v>
      </c>
      <c r="J22" s="15">
        <v>0</v>
      </c>
      <c r="K22" s="15">
        <f ca="1">IF(OFFSET(INDIRECT(ADDRESS(ROW(),COLUMN(DetailTable2[Period]))),-1,0,1,1) = OFFSET(INDIRECT(ADDRESS(ROW(),COLUMN(DetailTable2[Period]))),0,0,1,1),OFFSET(INDIRECT(ADDRESS(ROW(),COLUMN())),-1,0,1,1) + 1,1)</f>
        <v>10</v>
      </c>
      <c r="L22" s="15">
        <f ca="1">IF(DetailTable2[Period] = DetailTable2[Baseline Year],IF(OFFSET(INDIRECT(ADDRESS(ROW(),COLUMN(DetailTable2[Period]))),-1,0,1,1) = OFFSET(INDIRECT(ADDRESS(ROW(),COLUMN(DetailTable2[Period]))),0,0,1,1),OFFSET(INDIRECT(ADDRESS(ROW(),COLUMN())),-1,0,1,1) + 1,1),0)</f>
        <v>10</v>
      </c>
      <c r="M22" s="15">
        <f>IF(DetailTable2[Period]=DetailTable2[Baseline Year],DetailTable2[kwh(MMBTU)],IF(DetailTable2[Period Count] &lt;= MAX(DetailTable2[Baseline Count]),INDEX(DetailTable2[],DetailTable2[Period Count],COLUMN(DetailTable2[kwh(MMBTU)])),DetailTable2[kwh(MMBTU)]))-DetailTable2[kwh(MMBTU)]</f>
        <v>0</v>
      </c>
      <c r="N22" s="15">
        <f>IF(DetailTable2[Period]=DetailTable2[Baseline Year],DetailTable2[TOTAL  (MMBtu)],IF(DetailTable2[Period Count] &lt;= MAX(DetailTable2[Baseline Count]),INDEX(DetailTable2[],DetailTable2[Period Count],COLUMN(DetailTable2[TOTAL  (MMBtu)])),DetailTable2[TOTAL  (MMBtu)]))-DetailTable2[TOTAL  (MMBtu)]</f>
        <v>0</v>
      </c>
      <c r="O22" s="15">
        <f>DetailTable2[kwh]/DetailTable2[kwh(MMBTU)]</f>
        <v>97.690346220448433</v>
      </c>
      <c r="P22" s="15"/>
      <c r="Q22" s="15">
        <f>DetailTable2[Unit Cost in $/MMBtu for column: kwh(MMBTU)]*DetailTable2[Energy Savings: kwh(MMBTU)]</f>
        <v>0</v>
      </c>
      <c r="R22" s="15">
        <f>DetailTable2[Unit Cost in $/MMBtu for column: TOTAL  (MMBtu)]*DetailTable2[Energy Savings: TOTAL  (MMBtu)]</f>
        <v>0</v>
      </c>
      <c r="S22" s="15"/>
      <c r="T22" s="15"/>
      <c r="U22" s="15"/>
      <c r="V22" s="15"/>
      <c r="W22" s="15"/>
      <c r="X22" s="15"/>
    </row>
    <row r="23" spans="1:24" x14ac:dyDescent="0.3">
      <c r="A23" s="1">
        <v>38534</v>
      </c>
      <c r="B23" s="15">
        <v>60156.495999999999</v>
      </c>
      <c r="C23" s="15">
        <v>615.78751972329599</v>
      </c>
      <c r="D23" s="15">
        <v>75.599999999999994</v>
      </c>
      <c r="E23" s="15">
        <v>0</v>
      </c>
      <c r="F23" s="16" t="s">
        <v>10</v>
      </c>
      <c r="G23" s="15">
        <f>DetailTable2[kwh(MMBTU)]</f>
        <v>615.78751972329599</v>
      </c>
      <c r="H23" s="15">
        <f>SUM(SUMIFS(DetailTable2[Avg Monthly Mean Temp],DetailTable2[Period],DetailTable2[Period]))</f>
        <v>617.6</v>
      </c>
      <c r="I23" s="15" t="s">
        <v>10</v>
      </c>
      <c r="J23" s="15">
        <v>0</v>
      </c>
      <c r="K23" s="15">
        <f ca="1">IF(OFFSET(INDIRECT(ADDRESS(ROW(),COLUMN(DetailTable2[Period]))),-1,0,1,1) = OFFSET(INDIRECT(ADDRESS(ROW(),COLUMN(DetailTable2[Period]))),0,0,1,1),OFFSET(INDIRECT(ADDRESS(ROW(),COLUMN())),-1,0,1,1) + 1,1)</f>
        <v>11</v>
      </c>
      <c r="L23" s="15">
        <f ca="1">IF(DetailTable2[Period] = DetailTable2[Baseline Year],IF(OFFSET(INDIRECT(ADDRESS(ROW(),COLUMN(DetailTable2[Period]))),-1,0,1,1) = OFFSET(INDIRECT(ADDRESS(ROW(),COLUMN(DetailTable2[Period]))),0,0,1,1),OFFSET(INDIRECT(ADDRESS(ROW(),COLUMN())),-1,0,1,1) + 1,1),0)</f>
        <v>11</v>
      </c>
      <c r="M23" s="15">
        <f>IF(DetailTable2[Period]=DetailTable2[Baseline Year],DetailTable2[kwh(MMBTU)],IF(DetailTable2[Period Count] &lt;= MAX(DetailTable2[Baseline Count]),INDEX(DetailTable2[],DetailTable2[Period Count],COLUMN(DetailTable2[kwh(MMBTU)])),DetailTable2[kwh(MMBTU)]))-DetailTable2[kwh(MMBTU)]</f>
        <v>0</v>
      </c>
      <c r="N23" s="15">
        <f>IF(DetailTable2[Period]=DetailTable2[Baseline Year],DetailTable2[TOTAL  (MMBtu)],IF(DetailTable2[Period Count] &lt;= MAX(DetailTable2[Baseline Count]),INDEX(DetailTable2[],DetailTable2[Period Count],COLUMN(DetailTable2[TOTAL  (MMBtu)])),DetailTable2[TOTAL  (MMBtu)]))-DetailTable2[TOTAL  (MMBtu)]</f>
        <v>0</v>
      </c>
      <c r="O23" s="15">
        <f>DetailTable2[kwh]/DetailTable2[kwh(MMBTU)]</f>
        <v>97.690346220448433</v>
      </c>
      <c r="P23" s="15"/>
      <c r="Q23" s="15">
        <f>DetailTable2[Unit Cost in $/MMBtu for column: kwh(MMBTU)]*DetailTable2[Energy Savings: kwh(MMBTU)]</f>
        <v>0</v>
      </c>
      <c r="R23" s="15">
        <f>DetailTable2[Unit Cost in $/MMBtu for column: TOTAL  (MMBtu)]*DetailTable2[Energy Savings: TOTAL  (MMBtu)]</f>
        <v>0</v>
      </c>
      <c r="S23" s="15"/>
      <c r="T23" s="15"/>
      <c r="U23" s="15"/>
      <c r="V23" s="15"/>
      <c r="W23" s="15"/>
      <c r="X23" s="15"/>
    </row>
    <row r="24" spans="1:24" x14ac:dyDescent="0.3">
      <c r="A24" s="1">
        <v>38565</v>
      </c>
      <c r="B24" s="15">
        <v>58740.334000000003</v>
      </c>
      <c r="C24" s="15">
        <v>601.29108220628405</v>
      </c>
      <c r="D24" s="15">
        <v>74.3</v>
      </c>
      <c r="E24" s="15">
        <v>0</v>
      </c>
      <c r="F24" s="16" t="s">
        <v>10</v>
      </c>
      <c r="G24" s="15">
        <f>DetailTable2[kwh(MMBTU)]</f>
        <v>601.29108220628405</v>
      </c>
      <c r="H24" s="15">
        <f>SUM(SUMIFS(DetailTable2[Avg Monthly Mean Temp],DetailTable2[Period],DetailTable2[Period]))</f>
        <v>617.6</v>
      </c>
      <c r="I24" s="15" t="s">
        <v>10</v>
      </c>
      <c r="J24" s="15">
        <v>0</v>
      </c>
      <c r="K24" s="15">
        <f ca="1">IF(OFFSET(INDIRECT(ADDRESS(ROW(),COLUMN(DetailTable2[Period]))),-1,0,1,1) = OFFSET(INDIRECT(ADDRESS(ROW(),COLUMN(DetailTable2[Period]))),0,0,1,1),OFFSET(INDIRECT(ADDRESS(ROW(),COLUMN())),-1,0,1,1) + 1,1)</f>
        <v>12</v>
      </c>
      <c r="L24" s="15">
        <f ca="1">IF(DetailTable2[Period] = DetailTable2[Baseline Year],IF(OFFSET(INDIRECT(ADDRESS(ROW(),COLUMN(DetailTable2[Period]))),-1,0,1,1) = OFFSET(INDIRECT(ADDRESS(ROW(),COLUMN(DetailTable2[Period]))),0,0,1,1),OFFSET(INDIRECT(ADDRESS(ROW(),COLUMN())),-1,0,1,1) + 1,1),0)</f>
        <v>12</v>
      </c>
      <c r="M24" s="15">
        <f>IF(DetailTable2[Period]=DetailTable2[Baseline Year],DetailTable2[kwh(MMBTU)],IF(DetailTable2[Period Count] &lt;= MAX(DetailTable2[Baseline Count]),INDEX(DetailTable2[],DetailTable2[Period Count],COLUMN(DetailTable2[kwh(MMBTU)])),DetailTable2[kwh(MMBTU)]))-DetailTable2[kwh(MMBTU)]</f>
        <v>0</v>
      </c>
      <c r="N24" s="15">
        <f>IF(DetailTable2[Period]=DetailTable2[Baseline Year],DetailTable2[TOTAL  (MMBtu)],IF(DetailTable2[Period Count] &lt;= MAX(DetailTable2[Baseline Count]),INDEX(DetailTable2[],DetailTable2[Period Count],COLUMN(DetailTable2[TOTAL  (MMBtu)])),DetailTable2[TOTAL  (MMBtu)]))-DetailTable2[TOTAL  (MMBtu)]</f>
        <v>0</v>
      </c>
      <c r="O24" s="15">
        <f>DetailTable2[kwh]/DetailTable2[kwh(MMBTU)]</f>
        <v>97.690346220448419</v>
      </c>
      <c r="P24" s="15"/>
      <c r="Q24" s="15">
        <f>DetailTable2[Unit Cost in $/MMBtu for column: kwh(MMBTU)]*DetailTable2[Energy Savings: kwh(MMBTU)]</f>
        <v>0</v>
      </c>
      <c r="R24" s="15">
        <f>DetailTable2[Unit Cost in $/MMBtu for column: TOTAL  (MMBtu)]*DetailTable2[Energy Savings: TOTAL  (MMBtu)]</f>
        <v>0</v>
      </c>
      <c r="S24" s="15"/>
      <c r="T24" s="15"/>
      <c r="U24" s="15"/>
      <c r="V24" s="15"/>
      <c r="W24" s="15"/>
      <c r="X24" s="15"/>
    </row>
    <row r="25" spans="1:24" x14ac:dyDescent="0.3">
      <c r="A25" s="1">
        <v>38596</v>
      </c>
      <c r="B25" s="15">
        <v>74584.069000000003</v>
      </c>
      <c r="C25" s="15">
        <v>763.474303097394</v>
      </c>
      <c r="D25" s="15">
        <v>69.400000000000006</v>
      </c>
      <c r="E25" s="15">
        <v>37</v>
      </c>
      <c r="F25" s="16" t="s">
        <v>7</v>
      </c>
      <c r="G25" s="15">
        <f>DetailTable2[kwh(MMBTU)]</f>
        <v>763.474303097394</v>
      </c>
      <c r="H25" s="15">
        <f>SUM(SUMIFS(DetailTable2[Avg Monthly Mean Temp],DetailTable2[Period],DetailTable2[Period]))</f>
        <v>624</v>
      </c>
      <c r="I25" s="15" t="s">
        <v>10</v>
      </c>
      <c r="J25" s="15">
        <v>0</v>
      </c>
      <c r="K25" s="15">
        <f ca="1">IF(OFFSET(INDIRECT(ADDRESS(ROW(),COLUMN(DetailTable2[Period]))),-1,0,1,1) = OFFSET(INDIRECT(ADDRESS(ROW(),COLUMN(DetailTable2[Period]))),0,0,1,1),OFFSET(INDIRECT(ADDRESS(ROW(),COLUMN())),-1,0,1,1) + 1,1)</f>
        <v>1</v>
      </c>
      <c r="L25" s="15">
        <f ca="1">IF(DetailTable2[Period] = DetailTable2[Baseline Year],IF(OFFSET(INDIRECT(ADDRESS(ROW(),COLUMN(DetailTable2[Period]))),-1,0,1,1) = OFFSET(INDIRECT(ADDRESS(ROW(),COLUMN(DetailTable2[Period]))),0,0,1,1),OFFSET(INDIRECT(ADDRESS(ROW(),COLUMN())),-1,0,1,1) + 1,1),0)</f>
        <v>0</v>
      </c>
      <c r="M25" s="15">
        <f ca="1">IF(DetailTable2[Period]=DetailTable2[Baseline Year],DetailTable2[kwh(MMBTU)],IF(DetailTable2[Period Count] &lt;= MAX(DetailTable2[Baseline Count]),INDEX(DetailTable2[],DetailTable2[Period Count],COLUMN(DetailTable2[kwh(MMBTU)])),DetailTable2[kwh(MMBTU)]))-DetailTable2[kwh(MMBTU)]</f>
        <v>4.2781197546059957</v>
      </c>
      <c r="N25" s="15">
        <f ca="1">IF(DetailTable2[Period]=DetailTable2[Baseline Year],DetailTable2[TOTAL  (MMBtu)],IF(DetailTable2[Period Count] &lt;= MAX(DetailTable2[Baseline Count]),INDEX(DetailTable2[],DetailTable2[Period Count],COLUMN(DetailTable2[TOTAL  (MMBtu)])),DetailTable2[TOTAL  (MMBtu)]))-DetailTable2[TOTAL  (MMBtu)]</f>
        <v>4.2781197546059957</v>
      </c>
      <c r="O25" s="15">
        <f>DetailTable2[kwh]/DetailTable2[kwh(MMBTU)]</f>
        <v>97.690346220448433</v>
      </c>
      <c r="P25" s="15"/>
      <c r="Q25" s="15">
        <f ca="1">DetailTable2[Unit Cost in $/MMBtu for column: kwh(MMBTU)]*DetailTable2[Energy Savings: kwh(MMBTU)]</f>
        <v>417.93099999999959</v>
      </c>
      <c r="R25" s="15">
        <f ca="1">DetailTable2[Unit Cost in $/MMBtu for column: TOTAL  (MMBtu)]*DetailTable2[Energy Savings: TOTAL  (MMBtu)]</f>
        <v>0</v>
      </c>
      <c r="S25" s="15"/>
      <c r="T25" s="15"/>
      <c r="U25" s="15"/>
      <c r="V25" s="15"/>
      <c r="W25" s="15"/>
      <c r="X25" s="15"/>
    </row>
    <row r="26" spans="1:24" x14ac:dyDescent="0.3">
      <c r="A26" s="1">
        <v>38626</v>
      </c>
      <c r="B26" s="15">
        <v>74307.731</v>
      </c>
      <c r="C26" s="15">
        <v>760.64558960940599</v>
      </c>
      <c r="D26" s="15">
        <v>55.2</v>
      </c>
      <c r="E26" s="15">
        <v>340</v>
      </c>
      <c r="F26" s="16" t="s">
        <v>7</v>
      </c>
      <c r="G26" s="15">
        <f>DetailTable2[kwh(MMBTU)]</f>
        <v>760.64558960940599</v>
      </c>
      <c r="H26" s="15">
        <f>SUM(SUMIFS(DetailTable2[Avg Monthly Mean Temp],DetailTable2[Period],DetailTable2[Period]))</f>
        <v>624</v>
      </c>
      <c r="I26" s="15" t="s">
        <v>10</v>
      </c>
      <c r="J26" s="15">
        <v>0</v>
      </c>
      <c r="K26" s="15">
        <f ca="1">IF(OFFSET(INDIRECT(ADDRESS(ROW(),COLUMN(DetailTable2[Period]))),-1,0,1,1) = OFFSET(INDIRECT(ADDRESS(ROW(),COLUMN(DetailTable2[Period]))),0,0,1,1),OFFSET(INDIRECT(ADDRESS(ROW(),COLUMN())),-1,0,1,1) + 1,1)</f>
        <v>2</v>
      </c>
      <c r="L26" s="15">
        <f ca="1">IF(DetailTable2[Period] = DetailTable2[Baseline Year],IF(OFFSET(INDIRECT(ADDRESS(ROW(),COLUMN(DetailTable2[Period]))),-1,0,1,1) = OFFSET(INDIRECT(ADDRESS(ROW(),COLUMN(DetailTable2[Period]))),0,0,1,1),OFFSET(INDIRECT(ADDRESS(ROW(),COLUMN())),-1,0,1,1) + 1,1),0)</f>
        <v>0</v>
      </c>
      <c r="M26" s="15">
        <f ca="1">IF(DetailTable2[Period]=DetailTable2[Baseline Year],DetailTable2[kwh(MMBTU)],IF(DetailTable2[Period Count] &lt;= MAX(DetailTable2[Baseline Count]),INDEX(DetailTable2[],DetailTable2[Period Count],COLUMN(DetailTable2[kwh(MMBTU)])),DetailTable2[kwh(MMBTU)]))-DetailTable2[kwh(MMBTU)]</f>
        <v>46.78074320350197</v>
      </c>
      <c r="N26" s="15">
        <f ca="1">IF(DetailTable2[Period]=DetailTable2[Baseline Year],DetailTable2[TOTAL  (MMBtu)],IF(DetailTable2[Period Count] &lt;= MAX(DetailTable2[Baseline Count]),INDEX(DetailTable2[],DetailTable2[Period Count],COLUMN(DetailTable2[TOTAL  (MMBtu)])),DetailTable2[TOTAL  (MMBtu)]))-DetailTable2[TOTAL  (MMBtu)]</f>
        <v>46.78074320350197</v>
      </c>
      <c r="O26" s="15">
        <f>DetailTable2[kwh]/DetailTable2[kwh(MMBTU)]</f>
        <v>97.690346220448433</v>
      </c>
      <c r="P26" s="15"/>
      <c r="Q26" s="15">
        <f ca="1">DetailTable2[Unit Cost in $/MMBtu for column: kwh(MMBTU)]*DetailTable2[Energy Savings: kwh(MMBTU)]</f>
        <v>4570.0269999999973</v>
      </c>
      <c r="R26" s="15">
        <f ca="1">DetailTable2[Unit Cost in $/MMBtu for column: TOTAL  (MMBtu)]*DetailTable2[Energy Savings: TOTAL  (MMBtu)]</f>
        <v>0</v>
      </c>
      <c r="S26" s="15"/>
      <c r="T26" s="15"/>
      <c r="U26" s="15"/>
      <c r="V26" s="15"/>
      <c r="W26" s="15"/>
      <c r="X26" s="15"/>
    </row>
    <row r="27" spans="1:24" x14ac:dyDescent="0.3">
      <c r="A27" s="1">
        <v>38657</v>
      </c>
      <c r="B27" s="15">
        <v>86853.206000000006</v>
      </c>
      <c r="C27" s="15">
        <v>889.06641608175596</v>
      </c>
      <c r="D27" s="15">
        <v>42</v>
      </c>
      <c r="E27" s="15">
        <v>681</v>
      </c>
      <c r="F27" s="16" t="s">
        <v>7</v>
      </c>
      <c r="G27" s="15">
        <f>DetailTable2[kwh(MMBTU)]</f>
        <v>889.06641608175596</v>
      </c>
      <c r="H27" s="15">
        <f>SUM(SUMIFS(DetailTable2[Avg Monthly Mean Temp],DetailTable2[Period],DetailTable2[Period]))</f>
        <v>624</v>
      </c>
      <c r="I27" s="15" t="s">
        <v>10</v>
      </c>
      <c r="J27" s="15">
        <v>0</v>
      </c>
      <c r="K27" s="15">
        <f ca="1">IF(OFFSET(INDIRECT(ADDRESS(ROW(),COLUMN(DetailTable2[Period]))),-1,0,1,1) = OFFSET(INDIRECT(ADDRESS(ROW(),COLUMN(DetailTable2[Period]))),0,0,1,1),OFFSET(INDIRECT(ADDRESS(ROW(),COLUMN())),-1,0,1,1) + 1,1)</f>
        <v>3</v>
      </c>
      <c r="L27" s="15">
        <f ca="1">IF(DetailTable2[Period] = DetailTable2[Baseline Year],IF(OFFSET(INDIRECT(ADDRESS(ROW(),COLUMN(DetailTable2[Period]))),-1,0,1,1) = OFFSET(INDIRECT(ADDRESS(ROW(),COLUMN(DetailTable2[Period]))),0,0,1,1),OFFSET(INDIRECT(ADDRESS(ROW(),COLUMN())),-1,0,1,1) + 1,1),0)</f>
        <v>0</v>
      </c>
      <c r="M27" s="15">
        <f ca="1">IF(DetailTable2[Period]=DetailTable2[Baseline Year],DetailTable2[kwh(MMBTU)],IF(DetailTable2[Period Count] &lt;= MAX(DetailTable2[Baseline Count]),INDEX(DetailTable2[],DetailTable2[Period Count],COLUMN(DetailTable2[kwh(MMBTU)])),DetailTable2[kwh(MMBTU)]))-DetailTable2[kwh(MMBTU)]</f>
        <v>-20.645253886691989</v>
      </c>
      <c r="N27" s="15">
        <f ca="1">IF(DetailTable2[Period]=DetailTable2[Baseline Year],DetailTable2[TOTAL  (MMBtu)],IF(DetailTable2[Period Count] &lt;= MAX(DetailTable2[Baseline Count]),INDEX(DetailTable2[],DetailTable2[Period Count],COLUMN(DetailTable2[TOTAL  (MMBtu)])),DetailTable2[TOTAL  (MMBtu)]))-DetailTable2[TOTAL  (MMBtu)]</f>
        <v>-20.645253886691989</v>
      </c>
      <c r="O27" s="15">
        <f>DetailTable2[kwh]/DetailTable2[kwh(MMBTU)]</f>
        <v>97.690346220448433</v>
      </c>
      <c r="P27" s="15"/>
      <c r="Q27" s="15">
        <f ca="1">DetailTable2[Unit Cost in $/MMBtu for column: kwh(MMBTU)]*DetailTable2[Energy Savings: kwh(MMBTU)]</f>
        <v>-2016.8419999999992</v>
      </c>
      <c r="R27" s="15">
        <f ca="1">DetailTable2[Unit Cost in $/MMBtu for column: TOTAL  (MMBtu)]*DetailTable2[Energy Savings: TOTAL  (MMBtu)]</f>
        <v>0</v>
      </c>
      <c r="S27" s="15"/>
      <c r="T27" s="15"/>
      <c r="U27" s="15"/>
      <c r="V27" s="15"/>
      <c r="W27" s="15"/>
      <c r="X27" s="15"/>
    </row>
    <row r="28" spans="1:24" x14ac:dyDescent="0.3">
      <c r="A28" s="1">
        <v>38687</v>
      </c>
      <c r="B28" s="15">
        <v>162894.78400000001</v>
      </c>
      <c r="C28" s="15">
        <v>1667.4604022019839</v>
      </c>
      <c r="D28" s="15">
        <v>23.3</v>
      </c>
      <c r="E28" s="15">
        <v>1281</v>
      </c>
      <c r="F28" s="16" t="s">
        <v>7</v>
      </c>
      <c r="G28" s="15">
        <f>DetailTable2[kwh(MMBTU)]</f>
        <v>1667.4604022019839</v>
      </c>
      <c r="H28" s="15">
        <f>SUM(SUMIFS(DetailTable2[Avg Monthly Mean Temp],DetailTable2[Period],DetailTable2[Period]))</f>
        <v>624</v>
      </c>
      <c r="I28" s="15" t="s">
        <v>10</v>
      </c>
      <c r="J28" s="15">
        <v>0</v>
      </c>
      <c r="K28" s="15">
        <f ca="1">IF(OFFSET(INDIRECT(ADDRESS(ROW(),COLUMN(DetailTable2[Period]))),-1,0,1,1) = OFFSET(INDIRECT(ADDRESS(ROW(),COLUMN(DetailTable2[Period]))),0,0,1,1),OFFSET(INDIRECT(ADDRESS(ROW(),COLUMN())),-1,0,1,1) + 1,1)</f>
        <v>4</v>
      </c>
      <c r="L28" s="15">
        <f ca="1">IF(DetailTable2[Period] = DetailTable2[Baseline Year],IF(OFFSET(INDIRECT(ADDRESS(ROW(),COLUMN(DetailTable2[Period]))),-1,0,1,1) = OFFSET(INDIRECT(ADDRESS(ROW(),COLUMN(DetailTable2[Period]))),0,0,1,1),OFFSET(INDIRECT(ADDRESS(ROW(),COLUMN())),-1,0,1,1) + 1,1),0)</f>
        <v>0</v>
      </c>
      <c r="M28" s="15">
        <f ca="1">IF(DetailTable2[Period]=DetailTable2[Baseline Year],DetailTable2[kwh(MMBTU)],IF(DetailTable2[Period Count] &lt;= MAX(DetailTable2[Baseline Count]),INDEX(DetailTable2[],DetailTable2[Period Count],COLUMN(DetailTable2[kwh(MMBTU)])),DetailTable2[kwh(MMBTU)]))-DetailTable2[kwh(MMBTU)]</f>
        <v>-177.51912723153009</v>
      </c>
      <c r="N28" s="15">
        <f ca="1">IF(DetailTable2[Period]=DetailTable2[Baseline Year],DetailTable2[TOTAL  (MMBtu)],IF(DetailTable2[Period Count] &lt;= MAX(DetailTable2[Baseline Count]),INDEX(DetailTable2[],DetailTable2[Period Count],COLUMN(DetailTable2[TOTAL  (MMBtu)])),DetailTable2[TOTAL  (MMBtu)]))-DetailTable2[TOTAL  (MMBtu)]</f>
        <v>-177.51912723153009</v>
      </c>
      <c r="O28" s="15">
        <f>DetailTable2[kwh]/DetailTable2[kwh(MMBTU)]</f>
        <v>97.690346220448433</v>
      </c>
      <c r="P28" s="15"/>
      <c r="Q28" s="15">
        <f ca="1">DetailTable2[Unit Cost in $/MMBtu for column: kwh(MMBTU)]*DetailTable2[Energy Savings: kwh(MMBTU)]</f>
        <v>-17341.90500000001</v>
      </c>
      <c r="R28" s="15">
        <f ca="1">DetailTable2[Unit Cost in $/MMBtu for column: TOTAL  (MMBtu)]*DetailTable2[Energy Savings: TOTAL  (MMBtu)]</f>
        <v>0</v>
      </c>
      <c r="S28" s="15"/>
      <c r="T28" s="15"/>
      <c r="U28" s="15"/>
      <c r="V28" s="15"/>
      <c r="W28" s="15"/>
      <c r="X28" s="15"/>
    </row>
    <row r="29" spans="1:24" x14ac:dyDescent="0.3">
      <c r="A29" s="1">
        <v>38718</v>
      </c>
      <c r="B29" s="15">
        <v>127338.31299999999</v>
      </c>
      <c r="C29" s="15">
        <v>1303.4892179893379</v>
      </c>
      <c r="D29" s="15">
        <v>35.799999999999997</v>
      </c>
      <c r="E29" s="15">
        <v>896</v>
      </c>
      <c r="F29" s="16" t="s">
        <v>7</v>
      </c>
      <c r="G29" s="15">
        <f>DetailTable2[kwh(MMBTU)]</f>
        <v>1303.4892179893379</v>
      </c>
      <c r="H29" s="15">
        <f>SUM(SUMIFS(DetailTable2[Avg Monthly Mean Temp],DetailTable2[Period],DetailTable2[Period]))</f>
        <v>624</v>
      </c>
      <c r="I29" s="15" t="s">
        <v>10</v>
      </c>
      <c r="J29" s="15">
        <v>0</v>
      </c>
      <c r="K29" s="15">
        <f ca="1">IF(OFFSET(INDIRECT(ADDRESS(ROW(),COLUMN(DetailTable2[Period]))),-1,0,1,1) = OFFSET(INDIRECT(ADDRESS(ROW(),COLUMN(DetailTable2[Period]))),0,0,1,1),OFFSET(INDIRECT(ADDRESS(ROW(),COLUMN())),-1,0,1,1) + 1,1)</f>
        <v>5</v>
      </c>
      <c r="L29" s="15">
        <f ca="1">IF(DetailTable2[Period] = DetailTable2[Baseline Year],IF(OFFSET(INDIRECT(ADDRESS(ROW(),COLUMN(DetailTable2[Period]))),-1,0,1,1) = OFFSET(INDIRECT(ADDRESS(ROW(),COLUMN(DetailTable2[Period]))),0,0,1,1),OFFSET(INDIRECT(ADDRESS(ROW(),COLUMN())),-1,0,1,1) + 1,1),0)</f>
        <v>0</v>
      </c>
      <c r="M29" s="15">
        <f ca="1">IF(DetailTable2[Period]=DetailTable2[Baseline Year],DetailTable2[kwh(MMBTU)],IF(DetailTable2[Period Count] &lt;= MAX(DetailTable2[Baseline Count]),INDEX(DetailTable2[],DetailTable2[Period Count],COLUMN(DetailTable2[kwh(MMBTU)])),DetailTable2[kwh(MMBTU)]))-DetailTable2[kwh(MMBTU)]</f>
        <v>429.63290257246194</v>
      </c>
      <c r="N29" s="15">
        <f ca="1">IF(DetailTable2[Period]=DetailTable2[Baseline Year],DetailTable2[TOTAL  (MMBtu)],IF(DetailTable2[Period Count] &lt;= MAX(DetailTable2[Baseline Count]),INDEX(DetailTable2[],DetailTable2[Period Count],COLUMN(DetailTable2[TOTAL  (MMBtu)])),DetailTable2[TOTAL  (MMBtu)]))-DetailTable2[TOTAL  (MMBtu)]</f>
        <v>429.63290257246194</v>
      </c>
      <c r="O29" s="15">
        <f>DetailTable2[kwh]/DetailTable2[kwh(MMBTU)]</f>
        <v>97.690346220448433</v>
      </c>
      <c r="P29" s="15"/>
      <c r="Q29" s="15">
        <f ca="1">DetailTable2[Unit Cost in $/MMBtu for column: kwh(MMBTU)]*DetailTable2[Energy Savings: kwh(MMBTU)]</f>
        <v>41970.987000000001</v>
      </c>
      <c r="R29" s="15">
        <f ca="1">DetailTable2[Unit Cost in $/MMBtu for column: TOTAL  (MMBtu)]*DetailTable2[Energy Savings: TOTAL  (MMBtu)]</f>
        <v>0</v>
      </c>
      <c r="S29" s="15"/>
      <c r="T29" s="15"/>
      <c r="U29" s="15"/>
      <c r="V29" s="15"/>
      <c r="W29" s="15"/>
      <c r="X29" s="15"/>
    </row>
    <row r="30" spans="1:24" x14ac:dyDescent="0.3">
      <c r="A30" s="1">
        <v>38749</v>
      </c>
      <c r="B30" s="15">
        <v>135658.06899999999</v>
      </c>
      <c r="C30" s="15">
        <v>1388.6537846213937</v>
      </c>
      <c r="D30" s="15">
        <v>28.2</v>
      </c>
      <c r="E30" s="15">
        <v>1024</v>
      </c>
      <c r="F30" s="16" t="s">
        <v>7</v>
      </c>
      <c r="G30" s="15">
        <f>DetailTable2[kwh(MMBTU)]</f>
        <v>1388.6537846213937</v>
      </c>
      <c r="H30" s="15">
        <f>SUM(SUMIFS(DetailTable2[Avg Monthly Mean Temp],DetailTable2[Period],DetailTable2[Period]))</f>
        <v>624</v>
      </c>
      <c r="I30" s="15" t="s">
        <v>10</v>
      </c>
      <c r="J30" s="15">
        <v>0</v>
      </c>
      <c r="K30" s="15">
        <f ca="1">IF(OFFSET(INDIRECT(ADDRESS(ROW(),COLUMN(DetailTable2[Period]))),-1,0,1,1) = OFFSET(INDIRECT(ADDRESS(ROW(),COLUMN(DetailTable2[Period]))),0,0,1,1),OFFSET(INDIRECT(ADDRESS(ROW(),COLUMN())),-1,0,1,1) + 1,1)</f>
        <v>6</v>
      </c>
      <c r="L30" s="15">
        <f ca="1">IF(DetailTable2[Period] = DetailTable2[Baseline Year],IF(OFFSET(INDIRECT(ADDRESS(ROW(),COLUMN(DetailTable2[Period]))),-1,0,1,1) = OFFSET(INDIRECT(ADDRESS(ROW(),COLUMN(DetailTable2[Period]))),0,0,1,1),OFFSET(INDIRECT(ADDRESS(ROW(),COLUMN())),-1,0,1,1) + 1,1),0)</f>
        <v>0</v>
      </c>
      <c r="M30" s="15">
        <f ca="1">IF(DetailTable2[Period]=DetailTable2[Baseline Year],DetailTable2[kwh(MMBTU)],IF(DetailTable2[Period Count] &lt;= MAX(DetailTable2[Baseline Count]),INDEX(DetailTable2[],DetailTable2[Period Count],COLUMN(DetailTable2[kwh(MMBTU)])),DetailTable2[kwh(MMBTU)]))-DetailTable2[kwh(MMBTU)]</f>
        <v>-135.4828753511938</v>
      </c>
      <c r="N30" s="15">
        <f ca="1">IF(DetailTable2[Period]=DetailTable2[Baseline Year],DetailTable2[TOTAL  (MMBtu)],IF(DetailTable2[Period Count] &lt;= MAX(DetailTable2[Baseline Count]),INDEX(DetailTable2[],DetailTable2[Period Count],COLUMN(DetailTable2[TOTAL  (MMBtu)])),DetailTable2[TOTAL  (MMBtu)]))-DetailTable2[TOTAL  (MMBtu)]</f>
        <v>-135.4828753511938</v>
      </c>
      <c r="O30" s="15">
        <f>DetailTable2[kwh]/DetailTable2[kwh(MMBTU)]</f>
        <v>97.690346220448433</v>
      </c>
      <c r="P30" s="15"/>
      <c r="Q30" s="15">
        <f ca="1">DetailTable2[Unit Cost in $/MMBtu for column: kwh(MMBTU)]*DetailTable2[Energy Savings: kwh(MMBTU)]</f>
        <v>-13235.368999999981</v>
      </c>
      <c r="R30" s="15">
        <f ca="1">DetailTable2[Unit Cost in $/MMBtu for column: TOTAL  (MMBtu)]*DetailTable2[Energy Savings: TOTAL  (MMBtu)]</f>
        <v>0</v>
      </c>
      <c r="S30" s="15"/>
      <c r="T30" s="15"/>
      <c r="U30" s="15"/>
      <c r="V30" s="15"/>
      <c r="W30" s="15"/>
      <c r="X30" s="15"/>
    </row>
    <row r="31" spans="1:24" x14ac:dyDescent="0.3">
      <c r="A31" s="1">
        <v>38777</v>
      </c>
      <c r="B31" s="15">
        <v>121766.552</v>
      </c>
      <c r="C31" s="15">
        <v>1246.4542988231519</v>
      </c>
      <c r="D31" s="15">
        <v>38.299999999999997</v>
      </c>
      <c r="E31" s="15">
        <v>821</v>
      </c>
      <c r="F31" s="16" t="s">
        <v>7</v>
      </c>
      <c r="G31" s="15">
        <f>DetailTable2[kwh(MMBTU)]</f>
        <v>1246.4542988231519</v>
      </c>
      <c r="H31" s="15">
        <f>SUM(SUMIFS(DetailTable2[Avg Monthly Mean Temp],DetailTable2[Period],DetailTable2[Period]))</f>
        <v>624</v>
      </c>
      <c r="I31" s="15" t="s">
        <v>10</v>
      </c>
      <c r="J31" s="15">
        <v>0</v>
      </c>
      <c r="K31" s="15">
        <f ca="1">IF(OFFSET(INDIRECT(ADDRESS(ROW(),COLUMN(DetailTable2[Period]))),-1,0,1,1) = OFFSET(INDIRECT(ADDRESS(ROW(),COLUMN(DetailTable2[Period]))),0,0,1,1),OFFSET(INDIRECT(ADDRESS(ROW(),COLUMN())),-1,0,1,1) + 1,1)</f>
        <v>7</v>
      </c>
      <c r="L31" s="15">
        <f ca="1">IF(DetailTable2[Period] = DetailTable2[Baseline Year],IF(OFFSET(INDIRECT(ADDRESS(ROW(),COLUMN(DetailTable2[Period]))),-1,0,1,1) = OFFSET(INDIRECT(ADDRESS(ROW(),COLUMN(DetailTable2[Period]))),0,0,1,1),OFFSET(INDIRECT(ADDRESS(ROW(),COLUMN())),-1,0,1,1) + 1,1),0)</f>
        <v>0</v>
      </c>
      <c r="M31" s="15">
        <f ca="1">IF(DetailTable2[Period]=DetailTable2[Baseline Year],DetailTable2[kwh(MMBTU)],IF(DetailTable2[Period Count] &lt;= MAX(DetailTable2[Baseline Count]),INDEX(DetailTable2[],DetailTable2[Period Count],COLUMN(DetailTable2[kwh(MMBTU)])),DetailTable2[kwh(MMBTU)]))-DetailTable2[kwh(MMBTU)]</f>
        <v>-55.742990077151944</v>
      </c>
      <c r="N31" s="15">
        <f ca="1">IF(DetailTable2[Period]=DetailTable2[Baseline Year],DetailTable2[TOTAL  (MMBtu)],IF(DetailTable2[Period Count] &lt;= MAX(DetailTable2[Baseline Count]),INDEX(DetailTable2[],DetailTable2[Period Count],COLUMN(DetailTable2[TOTAL  (MMBtu)])),DetailTable2[TOTAL  (MMBtu)]))-DetailTable2[TOTAL  (MMBtu)]</f>
        <v>-55.742990077151944</v>
      </c>
      <c r="O31" s="15">
        <f>DetailTable2[kwh]/DetailTable2[kwh(MMBTU)]</f>
        <v>97.690346220448433</v>
      </c>
      <c r="P31" s="15"/>
      <c r="Q31" s="15">
        <f ca="1">DetailTable2[Unit Cost in $/MMBtu for column: kwh(MMBTU)]*DetailTable2[Energy Savings: kwh(MMBTU)]</f>
        <v>-5445.5519999999951</v>
      </c>
      <c r="R31" s="15">
        <f ca="1">DetailTable2[Unit Cost in $/MMBtu for column: TOTAL  (MMBtu)]*DetailTable2[Energy Savings: TOTAL  (MMBtu)]</f>
        <v>0</v>
      </c>
      <c r="S31" s="15"/>
      <c r="T31" s="15"/>
      <c r="U31" s="15"/>
      <c r="V31" s="15"/>
      <c r="W31" s="15"/>
      <c r="X31" s="15"/>
    </row>
    <row r="32" spans="1:24" x14ac:dyDescent="0.3">
      <c r="A32" s="1">
        <v>38808</v>
      </c>
      <c r="B32" s="15">
        <v>72690.066999999995</v>
      </c>
      <c r="C32" s="15">
        <v>744.08649178054202</v>
      </c>
      <c r="D32" s="15">
        <v>53.1</v>
      </c>
      <c r="E32" s="15">
        <v>358</v>
      </c>
      <c r="F32" s="16" t="s">
        <v>7</v>
      </c>
      <c r="G32" s="15">
        <f>DetailTable2[kwh(MMBTU)]</f>
        <v>744.08649178054202</v>
      </c>
      <c r="H32" s="15">
        <f>SUM(SUMIFS(DetailTable2[Avg Monthly Mean Temp],DetailTable2[Period],DetailTable2[Period]))</f>
        <v>624</v>
      </c>
      <c r="I32" s="15" t="s">
        <v>10</v>
      </c>
      <c r="J32" s="15">
        <v>0</v>
      </c>
      <c r="K32" s="15">
        <f ca="1">IF(OFFSET(INDIRECT(ADDRESS(ROW(),COLUMN(DetailTable2[Period]))),-1,0,1,1) = OFFSET(INDIRECT(ADDRESS(ROW(),COLUMN(DetailTable2[Period]))),0,0,1,1),OFFSET(INDIRECT(ADDRESS(ROW(),COLUMN())),-1,0,1,1) + 1,1)</f>
        <v>8</v>
      </c>
      <c r="L32" s="15">
        <f ca="1">IF(DetailTable2[Period] = DetailTable2[Baseline Year],IF(OFFSET(INDIRECT(ADDRESS(ROW(),COLUMN(DetailTable2[Period]))),-1,0,1,1) = OFFSET(INDIRECT(ADDRESS(ROW(),COLUMN(DetailTable2[Period]))),0,0,1,1),OFFSET(INDIRECT(ADDRESS(ROW(),COLUMN())),-1,0,1,1) + 1,1),0)</f>
        <v>0</v>
      </c>
      <c r="M32" s="15">
        <f ca="1">IF(DetailTable2[Period]=DetailTable2[Baseline Year],DetailTable2[kwh(MMBTU)],IF(DetailTable2[Period Count] &lt;= MAX(DetailTable2[Baseline Count]),INDEX(DetailTable2[],DetailTable2[Period Count],COLUMN(DetailTable2[kwh(MMBTU)])),DetailTable2[kwh(MMBTU)]))-DetailTable2[kwh(MMBTU)]</f>
        <v>59.762046362549995</v>
      </c>
      <c r="N32" s="15">
        <f ca="1">IF(DetailTable2[Period]=DetailTable2[Baseline Year],DetailTable2[TOTAL  (MMBtu)],IF(DetailTable2[Period Count] &lt;= MAX(DetailTable2[Baseline Count]),INDEX(DetailTable2[],DetailTable2[Period Count],COLUMN(DetailTable2[TOTAL  (MMBtu)])),DetailTable2[TOTAL  (MMBtu)]))-DetailTable2[TOTAL  (MMBtu)]</f>
        <v>59.762046362549995</v>
      </c>
      <c r="O32" s="15">
        <f>DetailTable2[kwh]/DetailTable2[kwh(MMBTU)]</f>
        <v>97.690346220448419</v>
      </c>
      <c r="P32" s="15"/>
      <c r="Q32" s="15">
        <f ca="1">DetailTable2[Unit Cost in $/MMBtu for column: kwh(MMBTU)]*DetailTable2[Energy Savings: kwh(MMBTU)]</f>
        <v>5838.1749999999993</v>
      </c>
      <c r="R32" s="15">
        <f ca="1">DetailTable2[Unit Cost in $/MMBtu for column: TOTAL  (MMBtu)]*DetailTable2[Energy Savings: TOTAL  (MMBtu)]</f>
        <v>0</v>
      </c>
      <c r="S32" s="15"/>
      <c r="T32" s="15"/>
      <c r="U32" s="15"/>
      <c r="V32" s="15"/>
      <c r="W32" s="15"/>
      <c r="X32" s="15"/>
    </row>
    <row r="33" spans="1:24" x14ac:dyDescent="0.3">
      <c r="A33" s="1">
        <v>38838</v>
      </c>
      <c r="B33" s="15">
        <v>68997.106</v>
      </c>
      <c r="C33" s="15">
        <v>706.283769783156</v>
      </c>
      <c r="D33" s="15">
        <v>59.6</v>
      </c>
      <c r="E33" s="15">
        <v>231</v>
      </c>
      <c r="F33" s="16" t="s">
        <v>7</v>
      </c>
      <c r="G33" s="15">
        <f>DetailTable2[kwh(MMBTU)]</f>
        <v>706.283769783156</v>
      </c>
      <c r="H33" s="15">
        <f>SUM(SUMIFS(DetailTable2[Avg Monthly Mean Temp],DetailTable2[Period],DetailTable2[Period]))</f>
        <v>624</v>
      </c>
      <c r="I33" s="15" t="s">
        <v>10</v>
      </c>
      <c r="J33" s="15">
        <v>0</v>
      </c>
      <c r="K33" s="15">
        <f ca="1">IF(OFFSET(INDIRECT(ADDRESS(ROW(),COLUMN(DetailTable2[Period]))),-1,0,1,1) = OFFSET(INDIRECT(ADDRESS(ROW(),COLUMN(DetailTable2[Period]))),0,0,1,1),OFFSET(INDIRECT(ADDRESS(ROW(),COLUMN())),-1,0,1,1) + 1,1)</f>
        <v>9</v>
      </c>
      <c r="L33" s="15">
        <f ca="1">IF(DetailTable2[Period] = DetailTable2[Baseline Year],IF(OFFSET(INDIRECT(ADDRESS(ROW(),COLUMN(DetailTable2[Period]))),-1,0,1,1) = OFFSET(INDIRECT(ADDRESS(ROW(),COLUMN(DetailTable2[Period]))),0,0,1,1),OFFSET(INDIRECT(ADDRESS(ROW(),COLUMN())),-1,0,1,1) + 1,1),0)</f>
        <v>0</v>
      </c>
      <c r="M33" s="15">
        <f ca="1">IF(DetailTable2[Period]=DetailTable2[Baseline Year],DetailTable2[kwh(MMBTU)],IF(DetailTable2[Period Count] &lt;= MAX(DetailTable2[Baseline Count]),INDEX(DetailTable2[],DetailTable2[Period Count],COLUMN(DetailTable2[kwh(MMBTU)])),DetailTable2[kwh(MMBTU)]))-DetailTable2[kwh(MMBTU)]</f>
        <v>28.410268848233954</v>
      </c>
      <c r="N33" s="15">
        <f ca="1">IF(DetailTable2[Period]=DetailTable2[Baseline Year],DetailTable2[TOTAL  (MMBtu)],IF(DetailTable2[Period Count] &lt;= MAX(DetailTable2[Baseline Count]),INDEX(DetailTable2[],DetailTable2[Period Count],COLUMN(DetailTable2[TOTAL  (MMBtu)])),DetailTable2[TOTAL  (MMBtu)]))-DetailTable2[TOTAL  (MMBtu)]</f>
        <v>28.410268848233954</v>
      </c>
      <c r="O33" s="15">
        <f>DetailTable2[kwh]/DetailTable2[kwh(MMBTU)]</f>
        <v>97.690346220448419</v>
      </c>
      <c r="P33" s="15"/>
      <c r="Q33" s="15">
        <f ca="1">DetailTable2[Unit Cost in $/MMBtu for column: kwh(MMBTU)]*DetailTable2[Energy Savings: kwh(MMBTU)]</f>
        <v>2775.4089999999956</v>
      </c>
      <c r="R33" s="15">
        <f ca="1">DetailTable2[Unit Cost in $/MMBtu for column: TOTAL  (MMBtu)]*DetailTable2[Energy Savings: TOTAL  (MMBtu)]</f>
        <v>0</v>
      </c>
      <c r="S33" s="15"/>
      <c r="T33" s="15"/>
      <c r="U33" s="15"/>
      <c r="V33" s="15"/>
      <c r="W33" s="15"/>
      <c r="X33" s="15"/>
    </row>
    <row r="34" spans="1:24" x14ac:dyDescent="0.3">
      <c r="A34" s="1">
        <v>38869</v>
      </c>
      <c r="B34" s="15">
        <v>60499.94</v>
      </c>
      <c r="C34" s="15">
        <v>619.30315881444005</v>
      </c>
      <c r="D34" s="15">
        <v>68.3</v>
      </c>
      <c r="E34" s="15">
        <v>28</v>
      </c>
      <c r="F34" s="16" t="s">
        <v>7</v>
      </c>
      <c r="G34" s="15">
        <f>DetailTable2[kwh(MMBTU)]</f>
        <v>619.30315881444005</v>
      </c>
      <c r="H34" s="15">
        <f>SUM(SUMIFS(DetailTable2[Avg Monthly Mean Temp],DetailTable2[Period],DetailTable2[Period]))</f>
        <v>624</v>
      </c>
      <c r="I34" s="15" t="s">
        <v>10</v>
      </c>
      <c r="J34" s="15">
        <v>0</v>
      </c>
      <c r="K34" s="15">
        <f ca="1">IF(OFFSET(INDIRECT(ADDRESS(ROW(),COLUMN(DetailTable2[Period]))),-1,0,1,1) = OFFSET(INDIRECT(ADDRESS(ROW(),COLUMN(DetailTable2[Period]))),0,0,1,1),OFFSET(INDIRECT(ADDRESS(ROW(),COLUMN())),-1,0,1,1) + 1,1)</f>
        <v>10</v>
      </c>
      <c r="L34" s="15">
        <f ca="1">IF(DetailTable2[Period] = DetailTable2[Baseline Year],IF(OFFSET(INDIRECT(ADDRESS(ROW(),COLUMN(DetailTable2[Period]))),-1,0,1,1) = OFFSET(INDIRECT(ADDRESS(ROW(),COLUMN(DetailTable2[Period]))),0,0,1,1),OFFSET(INDIRECT(ADDRESS(ROW(),COLUMN())),-1,0,1,1) + 1,1),0)</f>
        <v>0</v>
      </c>
      <c r="M34" s="15">
        <f ca="1">IF(DetailTable2[Period]=DetailTable2[Baseline Year],DetailTable2[kwh(MMBTU)],IF(DetailTable2[Period Count] &lt;= MAX(DetailTable2[Baseline Count]),INDEX(DetailTable2[],DetailTable2[Period Count],COLUMN(DetailTable2[kwh(MMBTU)])),DetailTable2[kwh(MMBTU)]))-DetailTable2[kwh(MMBTU)]</f>
        <v>90.41189167319385</v>
      </c>
      <c r="N34" s="15">
        <f ca="1">IF(DetailTable2[Period]=DetailTable2[Baseline Year],DetailTable2[TOTAL  (MMBtu)],IF(DetailTable2[Period Count] &lt;= MAX(DetailTable2[Baseline Count]),INDEX(DetailTable2[],DetailTable2[Period Count],COLUMN(DetailTable2[TOTAL  (MMBtu)])),DetailTable2[TOTAL  (MMBtu)]))-DetailTable2[TOTAL  (MMBtu)]</f>
        <v>90.41189167319385</v>
      </c>
      <c r="O34" s="15">
        <f>DetailTable2[kwh]/DetailTable2[kwh(MMBTU)]</f>
        <v>97.690346220448419</v>
      </c>
      <c r="P34" s="15"/>
      <c r="Q34" s="15">
        <f ca="1">DetailTable2[Unit Cost in $/MMBtu for column: kwh(MMBTU)]*DetailTable2[Energy Savings: kwh(MMBTU)]</f>
        <v>8832.3689999999842</v>
      </c>
      <c r="R34" s="15">
        <f ca="1">DetailTable2[Unit Cost in $/MMBtu for column: TOTAL  (MMBtu)]*DetailTable2[Energy Savings: TOTAL  (MMBtu)]</f>
        <v>0</v>
      </c>
      <c r="S34" s="15"/>
      <c r="T34" s="15"/>
      <c r="U34" s="15"/>
      <c r="V34" s="15"/>
      <c r="W34" s="15"/>
      <c r="X34" s="15"/>
    </row>
    <row r="35" spans="1:24" x14ac:dyDescent="0.3">
      <c r="A35" s="1">
        <v>38899</v>
      </c>
      <c r="B35" s="15">
        <v>57798.330999999998</v>
      </c>
      <c r="C35" s="15">
        <v>591.64833820500598</v>
      </c>
      <c r="D35" s="15">
        <v>76.5</v>
      </c>
      <c r="E35" s="15">
        <v>0</v>
      </c>
      <c r="F35" s="16" t="s">
        <v>7</v>
      </c>
      <c r="G35" s="15">
        <f>DetailTable2[kwh(MMBTU)]</f>
        <v>591.64833820500598</v>
      </c>
      <c r="H35" s="15">
        <f>SUM(SUMIFS(DetailTable2[Avg Monthly Mean Temp],DetailTable2[Period],DetailTable2[Period]))</f>
        <v>624</v>
      </c>
      <c r="I35" s="15" t="s">
        <v>10</v>
      </c>
      <c r="J35" s="15">
        <v>0</v>
      </c>
      <c r="K35" s="15">
        <f ca="1">IF(OFFSET(INDIRECT(ADDRESS(ROW(),COLUMN(DetailTable2[Period]))),-1,0,1,1) = OFFSET(INDIRECT(ADDRESS(ROW(),COLUMN(DetailTable2[Period]))),0,0,1,1),OFFSET(INDIRECT(ADDRESS(ROW(),COLUMN())),-1,0,1,1) + 1,1)</f>
        <v>11</v>
      </c>
      <c r="L35" s="15">
        <f ca="1">IF(DetailTable2[Period] = DetailTable2[Baseline Year],IF(OFFSET(INDIRECT(ADDRESS(ROW(),COLUMN(DetailTable2[Period]))),-1,0,1,1) = OFFSET(INDIRECT(ADDRESS(ROW(),COLUMN(DetailTable2[Period]))),0,0,1,1),OFFSET(INDIRECT(ADDRESS(ROW(),COLUMN())),-1,0,1,1) + 1,1),0)</f>
        <v>0</v>
      </c>
      <c r="M35" s="15">
        <f ca="1">IF(DetailTable2[Period]=DetailTable2[Baseline Year],DetailTable2[kwh(MMBTU)],IF(DetailTable2[Period Count] &lt;= MAX(DetailTable2[Baseline Count]),INDEX(DetailTable2[],DetailTable2[Period Count],COLUMN(DetailTable2[kwh(MMBTU)])),DetailTable2[kwh(MMBTU)]))-DetailTable2[kwh(MMBTU)]</f>
        <v>24.139181518290002</v>
      </c>
      <c r="N35" s="15">
        <f ca="1">IF(DetailTable2[Period]=DetailTable2[Baseline Year],DetailTable2[TOTAL  (MMBtu)],IF(DetailTable2[Period Count] &lt;= MAX(DetailTable2[Baseline Count]),INDEX(DetailTable2[],DetailTable2[Period Count],COLUMN(DetailTable2[TOTAL  (MMBtu)])),DetailTable2[TOTAL  (MMBtu)]))-DetailTable2[TOTAL  (MMBtu)]</f>
        <v>24.139181518290002</v>
      </c>
      <c r="O35" s="15">
        <f>DetailTable2[kwh]/DetailTable2[kwh(MMBTU)]</f>
        <v>97.690346220448433</v>
      </c>
      <c r="P35" s="15"/>
      <c r="Q35" s="15">
        <f ca="1">DetailTable2[Unit Cost in $/MMBtu for column: kwh(MMBTU)]*DetailTable2[Energy Savings: kwh(MMBTU)]</f>
        <v>2358.1650000000004</v>
      </c>
      <c r="R35" s="15">
        <f ca="1">DetailTable2[Unit Cost in $/MMBtu for column: TOTAL  (MMBtu)]*DetailTable2[Energy Savings: TOTAL  (MMBtu)]</f>
        <v>0</v>
      </c>
      <c r="S35" s="15"/>
      <c r="T35" s="15"/>
      <c r="U35" s="15"/>
      <c r="V35" s="15"/>
      <c r="W35" s="15"/>
      <c r="X35" s="15"/>
    </row>
    <row r="36" spans="1:24" x14ac:dyDescent="0.3">
      <c r="A36" s="1">
        <v>38930</v>
      </c>
      <c r="B36" s="15">
        <v>55055.434999999998</v>
      </c>
      <c r="C36" s="15">
        <v>563.57088627530993</v>
      </c>
      <c r="D36" s="15">
        <v>74.3</v>
      </c>
      <c r="E36" s="15">
        <v>0</v>
      </c>
      <c r="F36" s="16" t="s">
        <v>7</v>
      </c>
      <c r="G36" s="15">
        <f>DetailTable2[kwh(MMBTU)]</f>
        <v>563.57088627530993</v>
      </c>
      <c r="H36" s="15">
        <f>SUM(SUMIFS(DetailTable2[Avg Monthly Mean Temp],DetailTable2[Period],DetailTable2[Period]))</f>
        <v>624</v>
      </c>
      <c r="I36" s="15" t="s">
        <v>10</v>
      </c>
      <c r="J36" s="15">
        <v>0</v>
      </c>
      <c r="K36" s="15">
        <f ca="1">IF(OFFSET(INDIRECT(ADDRESS(ROW(),COLUMN(DetailTable2[Period]))),-1,0,1,1) = OFFSET(INDIRECT(ADDRESS(ROW(),COLUMN(DetailTable2[Period]))),0,0,1,1),OFFSET(INDIRECT(ADDRESS(ROW(),COLUMN())),-1,0,1,1) + 1,1)</f>
        <v>12</v>
      </c>
      <c r="L36" s="15">
        <f ca="1">IF(DetailTable2[Period] = DetailTable2[Baseline Year],IF(OFFSET(INDIRECT(ADDRESS(ROW(),COLUMN(DetailTable2[Period]))),-1,0,1,1) = OFFSET(INDIRECT(ADDRESS(ROW(),COLUMN(DetailTable2[Period]))),0,0,1,1),OFFSET(INDIRECT(ADDRESS(ROW(),COLUMN())),-1,0,1,1) + 1,1),0)</f>
        <v>0</v>
      </c>
      <c r="M36" s="15">
        <f ca="1">IF(DetailTable2[Period]=DetailTable2[Baseline Year],DetailTable2[kwh(MMBTU)],IF(DetailTable2[Period Count] &lt;= MAX(DetailTable2[Baseline Count]),INDEX(DetailTable2[],DetailTable2[Period Count],COLUMN(DetailTable2[kwh(MMBTU)])),DetailTable2[kwh(MMBTU)]))-DetailTable2[kwh(MMBTU)]</f>
        <v>37.720195930974114</v>
      </c>
      <c r="N36" s="15">
        <f ca="1">IF(DetailTable2[Period]=DetailTable2[Baseline Year],DetailTable2[TOTAL  (MMBtu)],IF(DetailTable2[Period Count] &lt;= MAX(DetailTable2[Baseline Count]),INDEX(DetailTable2[],DetailTable2[Period Count],COLUMN(DetailTable2[TOTAL  (MMBtu)])),DetailTable2[TOTAL  (MMBtu)]))-DetailTable2[TOTAL  (MMBtu)]</f>
        <v>37.720195930974114</v>
      </c>
      <c r="O36" s="15">
        <f>DetailTable2[kwh]/DetailTable2[kwh(MMBTU)]</f>
        <v>97.690346220448433</v>
      </c>
      <c r="P36" s="15"/>
      <c r="Q36" s="15">
        <f ca="1">DetailTable2[Unit Cost in $/MMBtu for column: kwh(MMBTU)]*DetailTable2[Energy Savings: kwh(MMBTU)]</f>
        <v>3684.8990000000113</v>
      </c>
      <c r="R36" s="15">
        <f ca="1">DetailTable2[Unit Cost in $/MMBtu for column: TOTAL  (MMBtu)]*DetailTable2[Energy Savings: TOTAL  (MMBtu)]</f>
        <v>0</v>
      </c>
      <c r="S36" s="15"/>
      <c r="T36" s="15"/>
      <c r="U36" s="15"/>
      <c r="V36" s="15"/>
      <c r="W36" s="15"/>
      <c r="X36" s="15"/>
    </row>
    <row r="37" spans="1:24" x14ac:dyDescent="0.3">
      <c r="A37" s="1">
        <v>38961</v>
      </c>
      <c r="B37" s="15">
        <v>55335.671999999999</v>
      </c>
      <c r="C37" s="15">
        <v>566.4395115882719</v>
      </c>
      <c r="D37" s="15">
        <v>62.4</v>
      </c>
      <c r="E37" s="15">
        <v>115</v>
      </c>
      <c r="F37" s="16" t="s">
        <v>8</v>
      </c>
      <c r="G37" s="15">
        <f>DetailTable2[kwh(MMBTU)]</f>
        <v>566.4395115882719</v>
      </c>
      <c r="H37" s="15">
        <f>SUM(SUMIFS(DetailTable2[Avg Monthly Mean Temp],DetailTable2[Period],DetailTable2[Period]))</f>
        <v>606.70000000000005</v>
      </c>
      <c r="I37" s="15" t="s">
        <v>10</v>
      </c>
      <c r="J37" s="15">
        <v>0</v>
      </c>
      <c r="K37" s="15">
        <f ca="1">IF(OFFSET(INDIRECT(ADDRESS(ROW(),COLUMN(DetailTable2[Period]))),-1,0,1,1) = OFFSET(INDIRECT(ADDRESS(ROW(),COLUMN(DetailTable2[Period]))),0,0,1,1),OFFSET(INDIRECT(ADDRESS(ROW(),COLUMN())),-1,0,1,1) + 1,1)</f>
        <v>1</v>
      </c>
      <c r="L37" s="15">
        <f ca="1">IF(DetailTable2[Period] = DetailTable2[Baseline Year],IF(OFFSET(INDIRECT(ADDRESS(ROW(),COLUMN(DetailTable2[Period]))),-1,0,1,1) = OFFSET(INDIRECT(ADDRESS(ROW(),COLUMN(DetailTable2[Period]))),0,0,1,1),OFFSET(INDIRECT(ADDRESS(ROW(),COLUMN())),-1,0,1,1) + 1,1),0)</f>
        <v>0</v>
      </c>
      <c r="M37" s="15">
        <f ca="1">IF(DetailTable2[Period]=DetailTable2[Baseline Year],DetailTable2[kwh(MMBTU)],IF(DetailTable2[Period Count] &lt;= MAX(DetailTable2[Baseline Count]),INDEX(DetailTable2[],DetailTable2[Period Count],COLUMN(DetailTable2[kwh(MMBTU)])),DetailTable2[kwh(MMBTU)]))-DetailTable2[kwh(MMBTU)]</f>
        <v>201.3129112637281</v>
      </c>
      <c r="N37" s="15">
        <f ca="1">IF(DetailTable2[Period]=DetailTable2[Baseline Year],DetailTable2[TOTAL  (MMBtu)],IF(DetailTable2[Period Count] &lt;= MAX(DetailTable2[Baseline Count]),INDEX(DetailTable2[],DetailTable2[Period Count],COLUMN(DetailTable2[TOTAL  (MMBtu)])),DetailTable2[TOTAL  (MMBtu)]))-DetailTable2[TOTAL  (MMBtu)]</f>
        <v>201.3129112637281</v>
      </c>
      <c r="O37" s="15">
        <f>DetailTable2[kwh]/DetailTable2[kwh(MMBTU)]</f>
        <v>97.690346220448447</v>
      </c>
      <c r="P37" s="15"/>
      <c r="Q37" s="15">
        <f ca="1">DetailTable2[Unit Cost in $/MMBtu for column: kwh(MMBTU)]*DetailTable2[Energy Savings: kwh(MMBTU)]</f>
        <v>19666.328000000012</v>
      </c>
      <c r="R37" s="15">
        <f ca="1">DetailTable2[Unit Cost in $/MMBtu for column: TOTAL  (MMBtu)]*DetailTable2[Energy Savings: TOTAL  (MMBtu)]</f>
        <v>0</v>
      </c>
      <c r="S37" s="15"/>
      <c r="T37" s="15"/>
      <c r="U37" s="15"/>
      <c r="V37" s="15"/>
      <c r="W37" s="15"/>
      <c r="X37" s="15"/>
    </row>
    <row r="38" spans="1:24" x14ac:dyDescent="0.3">
      <c r="A38" s="1">
        <v>38991</v>
      </c>
      <c r="B38" s="15">
        <v>55653.917999999998</v>
      </c>
      <c r="C38" s="15">
        <v>569.69721321706788</v>
      </c>
      <c r="D38" s="15">
        <v>49</v>
      </c>
      <c r="E38" s="15">
        <v>497</v>
      </c>
      <c r="F38" s="16" t="s">
        <v>8</v>
      </c>
      <c r="G38" s="15">
        <f>DetailTable2[kwh(MMBTU)]</f>
        <v>569.69721321706788</v>
      </c>
      <c r="H38" s="15">
        <f>SUM(SUMIFS(DetailTable2[Avg Monthly Mean Temp],DetailTable2[Period],DetailTable2[Period]))</f>
        <v>606.70000000000005</v>
      </c>
      <c r="I38" s="15" t="s">
        <v>10</v>
      </c>
      <c r="J38" s="15">
        <v>0</v>
      </c>
      <c r="K38" s="15">
        <f ca="1">IF(OFFSET(INDIRECT(ADDRESS(ROW(),COLUMN(DetailTable2[Period]))),-1,0,1,1) = OFFSET(INDIRECT(ADDRESS(ROW(),COLUMN(DetailTable2[Period]))),0,0,1,1),OFFSET(INDIRECT(ADDRESS(ROW(),COLUMN())),-1,0,1,1) + 1,1)</f>
        <v>2</v>
      </c>
      <c r="L38" s="15">
        <f ca="1">IF(DetailTable2[Period] = DetailTable2[Baseline Year],IF(OFFSET(INDIRECT(ADDRESS(ROW(),COLUMN(DetailTable2[Period]))),-1,0,1,1) = OFFSET(INDIRECT(ADDRESS(ROW(),COLUMN(DetailTable2[Period]))),0,0,1,1),OFFSET(INDIRECT(ADDRESS(ROW(),COLUMN())),-1,0,1,1) + 1,1),0)</f>
        <v>0</v>
      </c>
      <c r="M38" s="15">
        <f ca="1">IF(DetailTable2[Period]=DetailTable2[Baseline Year],DetailTable2[kwh(MMBTU)],IF(DetailTable2[Period Count] &lt;= MAX(DetailTable2[Baseline Count]),INDEX(DetailTable2[],DetailTable2[Period Count],COLUMN(DetailTable2[kwh(MMBTU)])),DetailTable2[kwh(MMBTU)]))-DetailTable2[kwh(MMBTU)]</f>
        <v>237.72911959584007</v>
      </c>
      <c r="N38" s="15">
        <f ca="1">IF(DetailTable2[Period]=DetailTable2[Baseline Year],DetailTable2[TOTAL  (MMBtu)],IF(DetailTable2[Period Count] &lt;= MAX(DetailTable2[Baseline Count]),INDEX(DetailTable2[],DetailTable2[Period Count],COLUMN(DetailTable2[TOTAL  (MMBtu)])),DetailTable2[TOTAL  (MMBtu)]))-DetailTable2[TOTAL  (MMBtu)]</f>
        <v>237.72911959584007</v>
      </c>
      <c r="O38" s="15">
        <f>DetailTable2[kwh]/DetailTable2[kwh(MMBTU)]</f>
        <v>97.690346220448447</v>
      </c>
      <c r="P38" s="15"/>
      <c r="Q38" s="15">
        <f ca="1">DetailTable2[Unit Cost in $/MMBtu for column: kwh(MMBTU)]*DetailTable2[Energy Savings: kwh(MMBTU)]</f>
        <v>23223.840000000011</v>
      </c>
      <c r="R38" s="15">
        <f ca="1">DetailTable2[Unit Cost in $/MMBtu for column: TOTAL  (MMBtu)]*DetailTable2[Energy Savings: TOTAL  (MMBtu)]</f>
        <v>0</v>
      </c>
      <c r="S38" s="15"/>
      <c r="T38" s="15"/>
      <c r="U38" s="15"/>
      <c r="V38" s="15"/>
      <c r="W38" s="15"/>
      <c r="X38" s="15"/>
    </row>
    <row r="39" spans="1:24" x14ac:dyDescent="0.3">
      <c r="A39" s="1">
        <v>39022</v>
      </c>
      <c r="B39" s="15">
        <v>61117.366000000002</v>
      </c>
      <c r="C39" s="15">
        <v>625.62339437391597</v>
      </c>
      <c r="D39" s="15">
        <v>42.8</v>
      </c>
      <c r="E39" s="15">
        <v>659</v>
      </c>
      <c r="F39" s="16" t="s">
        <v>8</v>
      </c>
      <c r="G39" s="15">
        <f>DetailTable2[kwh(MMBTU)]</f>
        <v>625.62339437391597</v>
      </c>
      <c r="H39" s="15">
        <f>SUM(SUMIFS(DetailTable2[Avg Monthly Mean Temp],DetailTable2[Period],DetailTable2[Period]))</f>
        <v>606.70000000000005</v>
      </c>
      <c r="I39" s="15" t="s">
        <v>10</v>
      </c>
      <c r="J39" s="15">
        <v>0</v>
      </c>
      <c r="K39" s="15">
        <f ca="1">IF(OFFSET(INDIRECT(ADDRESS(ROW(),COLUMN(DetailTable2[Period]))),-1,0,1,1) = OFFSET(INDIRECT(ADDRESS(ROW(),COLUMN(DetailTable2[Period]))),0,0,1,1),OFFSET(INDIRECT(ADDRESS(ROW(),COLUMN())),-1,0,1,1) + 1,1)</f>
        <v>3</v>
      </c>
      <c r="L39" s="15">
        <f ca="1">IF(DetailTable2[Period] = DetailTable2[Baseline Year],IF(OFFSET(INDIRECT(ADDRESS(ROW(),COLUMN(DetailTable2[Period]))),-1,0,1,1) = OFFSET(INDIRECT(ADDRESS(ROW(),COLUMN(DetailTable2[Period]))),0,0,1,1),OFFSET(INDIRECT(ADDRESS(ROW(),COLUMN())),-1,0,1,1) + 1,1),0)</f>
        <v>0</v>
      </c>
      <c r="M39" s="15">
        <f ca="1">IF(DetailTable2[Period]=DetailTable2[Baseline Year],DetailTable2[kwh(MMBTU)],IF(DetailTable2[Period Count] &lt;= MAX(DetailTable2[Baseline Count]),INDEX(DetailTable2[],DetailTable2[Period Count],COLUMN(DetailTable2[kwh(MMBTU)])),DetailTable2[kwh(MMBTU)]))-DetailTable2[kwh(MMBTU)]</f>
        <v>242.797767821148</v>
      </c>
      <c r="N39" s="15">
        <f ca="1">IF(DetailTable2[Period]=DetailTable2[Baseline Year],DetailTable2[TOTAL  (MMBtu)],IF(DetailTable2[Period Count] &lt;= MAX(DetailTable2[Baseline Count]),INDEX(DetailTable2[],DetailTable2[Period Count],COLUMN(DetailTable2[TOTAL  (MMBtu)])),DetailTable2[TOTAL  (MMBtu)]))-DetailTable2[TOTAL  (MMBtu)]</f>
        <v>242.797767821148</v>
      </c>
      <c r="O39" s="15">
        <f>DetailTable2[kwh]/DetailTable2[kwh(MMBTU)]</f>
        <v>97.690346220448433</v>
      </c>
      <c r="P39" s="15"/>
      <c r="Q39" s="15">
        <f ca="1">DetailTable2[Unit Cost in $/MMBtu for column: kwh(MMBTU)]*DetailTable2[Energy Savings: kwh(MMBTU)]</f>
        <v>23718.998000000003</v>
      </c>
      <c r="R39" s="15">
        <f ca="1">DetailTable2[Unit Cost in $/MMBtu for column: TOTAL  (MMBtu)]*DetailTable2[Energy Savings: TOTAL  (MMBtu)]</f>
        <v>0</v>
      </c>
      <c r="S39" s="15"/>
      <c r="T39" s="15"/>
      <c r="U39" s="15"/>
      <c r="V39" s="15"/>
      <c r="W39" s="15"/>
      <c r="X39" s="15"/>
    </row>
    <row r="40" spans="1:24" x14ac:dyDescent="0.3">
      <c r="A40" s="1">
        <v>39052</v>
      </c>
      <c r="B40" s="15">
        <v>35998.086000000003</v>
      </c>
      <c r="C40" s="15">
        <v>368.49174348063605</v>
      </c>
      <c r="D40" s="15">
        <v>33.799999999999997</v>
      </c>
      <c r="E40" s="15">
        <v>960</v>
      </c>
      <c r="F40" s="16" t="s">
        <v>8</v>
      </c>
      <c r="G40" s="15">
        <f>DetailTable2[kwh(MMBTU)]</f>
        <v>368.49174348063605</v>
      </c>
      <c r="H40" s="15">
        <f>SUM(SUMIFS(DetailTable2[Avg Monthly Mean Temp],DetailTable2[Period],DetailTable2[Period]))</f>
        <v>606.70000000000005</v>
      </c>
      <c r="I40" s="15" t="s">
        <v>10</v>
      </c>
      <c r="J40" s="15">
        <v>0</v>
      </c>
      <c r="K40" s="15">
        <f ca="1">IF(OFFSET(INDIRECT(ADDRESS(ROW(),COLUMN(DetailTable2[Period]))),-1,0,1,1) = OFFSET(INDIRECT(ADDRESS(ROW(),COLUMN(DetailTable2[Period]))),0,0,1,1),OFFSET(INDIRECT(ADDRESS(ROW(),COLUMN())),-1,0,1,1) + 1,1)</f>
        <v>4</v>
      </c>
      <c r="L40" s="15">
        <f ca="1">IF(DetailTable2[Period] = DetailTable2[Baseline Year],IF(OFFSET(INDIRECT(ADDRESS(ROW(),COLUMN(DetailTable2[Period]))),-1,0,1,1) = OFFSET(INDIRECT(ADDRESS(ROW(),COLUMN(DetailTable2[Period]))),0,0,1,1),OFFSET(INDIRECT(ADDRESS(ROW(),COLUMN())),-1,0,1,1) + 1,1),0)</f>
        <v>0</v>
      </c>
      <c r="M40" s="15">
        <f ca="1">IF(DetailTable2[Period]=DetailTable2[Baseline Year],DetailTable2[kwh(MMBTU)],IF(DetailTable2[Period Count] &lt;= MAX(DetailTable2[Baseline Count]),INDEX(DetailTable2[],DetailTable2[Period Count],COLUMN(DetailTable2[kwh(MMBTU)])),DetailTable2[kwh(MMBTU)]))-DetailTable2[kwh(MMBTU)]</f>
        <v>1121.4495314898177</v>
      </c>
      <c r="N40" s="15">
        <f ca="1">IF(DetailTable2[Period]=DetailTable2[Baseline Year],DetailTable2[TOTAL  (MMBtu)],IF(DetailTable2[Period Count] &lt;= MAX(DetailTable2[Baseline Count]),INDEX(DetailTable2[],DetailTable2[Period Count],COLUMN(DetailTable2[TOTAL  (MMBtu)])),DetailTable2[TOTAL  (MMBtu)]))-DetailTable2[TOTAL  (MMBtu)]</f>
        <v>1121.4495314898177</v>
      </c>
      <c r="O40" s="15">
        <f>DetailTable2[kwh]/DetailTable2[kwh(MMBTU)]</f>
        <v>97.690346220448419</v>
      </c>
      <c r="P40" s="15"/>
      <c r="Q40" s="15">
        <f ca="1">DetailTable2[Unit Cost in $/MMBtu for column: kwh(MMBTU)]*DetailTable2[Energy Savings: kwh(MMBTU)]</f>
        <v>109554.79299999996</v>
      </c>
      <c r="R40" s="15">
        <f ca="1">DetailTable2[Unit Cost in $/MMBtu for column: TOTAL  (MMBtu)]*DetailTable2[Energy Savings: TOTAL  (MMBtu)]</f>
        <v>0</v>
      </c>
      <c r="S40" s="15"/>
      <c r="T40" s="15"/>
      <c r="U40" s="15"/>
      <c r="V40" s="15"/>
      <c r="W40" s="15"/>
      <c r="X40" s="15"/>
    </row>
    <row r="41" spans="1:24" x14ac:dyDescent="0.3">
      <c r="A41" s="1">
        <v>39083</v>
      </c>
      <c r="B41" s="15">
        <v>95477.224000000002</v>
      </c>
      <c r="C41" s="15">
        <v>977.34553816142397</v>
      </c>
      <c r="D41" s="15">
        <v>27.9</v>
      </c>
      <c r="E41" s="15">
        <v>1141</v>
      </c>
      <c r="F41" s="16" t="s">
        <v>8</v>
      </c>
      <c r="G41" s="15">
        <f>DetailTable2[kwh(MMBTU)]</f>
        <v>977.34553816142397</v>
      </c>
      <c r="H41" s="15">
        <f>SUM(SUMIFS(DetailTable2[Avg Monthly Mean Temp],DetailTable2[Period],DetailTable2[Period]))</f>
        <v>606.70000000000005</v>
      </c>
      <c r="I41" s="15" t="s">
        <v>10</v>
      </c>
      <c r="J41" s="15">
        <v>0</v>
      </c>
      <c r="K41" s="15">
        <f ca="1">IF(OFFSET(INDIRECT(ADDRESS(ROW(),COLUMN(DetailTable2[Period]))),-1,0,1,1) = OFFSET(INDIRECT(ADDRESS(ROW(),COLUMN(DetailTable2[Period]))),0,0,1,1),OFFSET(INDIRECT(ADDRESS(ROW(),COLUMN())),-1,0,1,1) + 1,1)</f>
        <v>5</v>
      </c>
      <c r="L41" s="15">
        <f ca="1">IF(DetailTable2[Period] = DetailTable2[Baseline Year],IF(OFFSET(INDIRECT(ADDRESS(ROW(),COLUMN(DetailTable2[Period]))),-1,0,1,1) = OFFSET(INDIRECT(ADDRESS(ROW(),COLUMN(DetailTable2[Period]))),0,0,1,1),OFFSET(INDIRECT(ADDRESS(ROW(),COLUMN())),-1,0,1,1) + 1,1),0)</f>
        <v>0</v>
      </c>
      <c r="M41" s="15">
        <f ca="1">IF(DetailTable2[Period]=DetailTable2[Baseline Year],DetailTable2[kwh(MMBTU)],IF(DetailTable2[Period Count] &lt;= MAX(DetailTable2[Baseline Count]),INDEX(DetailTable2[],DetailTable2[Period Count],COLUMN(DetailTable2[kwh(MMBTU)])),DetailTable2[kwh(MMBTU)]))-DetailTable2[kwh(MMBTU)]</f>
        <v>755.7765824003759</v>
      </c>
      <c r="N41" s="15">
        <f ca="1">IF(DetailTable2[Period]=DetailTable2[Baseline Year],DetailTable2[TOTAL  (MMBtu)],IF(DetailTable2[Period Count] &lt;= MAX(DetailTable2[Baseline Count]),INDEX(DetailTable2[],DetailTable2[Period Count],COLUMN(DetailTable2[TOTAL  (MMBtu)])),DetailTable2[TOTAL  (MMBtu)]))-DetailTable2[TOTAL  (MMBtu)]</f>
        <v>755.7765824003759</v>
      </c>
      <c r="O41" s="15">
        <f>DetailTable2[kwh]/DetailTable2[kwh(MMBTU)]</f>
        <v>97.690346220448433</v>
      </c>
      <c r="P41" s="15"/>
      <c r="Q41" s="15">
        <f ca="1">DetailTable2[Unit Cost in $/MMBtu for column: kwh(MMBTU)]*DetailTable2[Energy Savings: kwh(MMBTU)]</f>
        <v>73832.076000000001</v>
      </c>
      <c r="R41" s="15">
        <f ca="1">DetailTable2[Unit Cost in $/MMBtu for column: TOTAL  (MMBtu)]*DetailTable2[Energy Savings: TOTAL  (MMBtu)]</f>
        <v>0</v>
      </c>
      <c r="S41" s="15"/>
      <c r="T41" s="15"/>
      <c r="U41" s="15"/>
      <c r="V41" s="15"/>
      <c r="W41" s="15"/>
      <c r="X41" s="15"/>
    </row>
    <row r="42" spans="1:24" x14ac:dyDescent="0.3">
      <c r="A42" s="1">
        <v>39114</v>
      </c>
      <c r="B42" s="15">
        <v>108316.48299999999</v>
      </c>
      <c r="C42" s="15">
        <v>1108.7736628097578</v>
      </c>
      <c r="D42" s="15">
        <v>17.899999999999999</v>
      </c>
      <c r="E42" s="15">
        <v>1310</v>
      </c>
      <c r="F42" s="16" t="s">
        <v>8</v>
      </c>
      <c r="G42" s="15">
        <f>DetailTable2[kwh(MMBTU)]</f>
        <v>1108.7736628097578</v>
      </c>
      <c r="H42" s="15">
        <f>SUM(SUMIFS(DetailTable2[Avg Monthly Mean Temp],DetailTable2[Period],DetailTable2[Period]))</f>
        <v>606.70000000000005</v>
      </c>
      <c r="I42" s="15" t="s">
        <v>10</v>
      </c>
      <c r="J42" s="15">
        <v>0</v>
      </c>
      <c r="K42" s="15">
        <f ca="1">IF(OFFSET(INDIRECT(ADDRESS(ROW(),COLUMN(DetailTable2[Period]))),-1,0,1,1) = OFFSET(INDIRECT(ADDRESS(ROW(),COLUMN(DetailTable2[Period]))),0,0,1,1),OFFSET(INDIRECT(ADDRESS(ROW(),COLUMN())),-1,0,1,1) + 1,1)</f>
        <v>6</v>
      </c>
      <c r="L42" s="15">
        <f ca="1">IF(DetailTable2[Period] = DetailTable2[Baseline Year],IF(OFFSET(INDIRECT(ADDRESS(ROW(),COLUMN(DetailTable2[Period]))),-1,0,1,1) = OFFSET(INDIRECT(ADDRESS(ROW(),COLUMN(DetailTable2[Period]))),0,0,1,1),OFFSET(INDIRECT(ADDRESS(ROW(),COLUMN())),-1,0,1,1) + 1,1),0)</f>
        <v>0</v>
      </c>
      <c r="M42" s="15">
        <f ca="1">IF(DetailTable2[Period]=DetailTable2[Baseline Year],DetailTable2[kwh(MMBTU)],IF(DetailTable2[Period Count] &lt;= MAX(DetailTable2[Baseline Count]),INDEX(DetailTable2[],DetailTable2[Period Count],COLUMN(DetailTable2[kwh(MMBTU)])),DetailTable2[kwh(MMBTU)]))-DetailTable2[kwh(MMBTU)]</f>
        <v>144.39724646044215</v>
      </c>
      <c r="N42" s="15">
        <f ca="1">IF(DetailTable2[Period]=DetailTable2[Baseline Year],DetailTable2[TOTAL  (MMBtu)],IF(DetailTable2[Period Count] &lt;= MAX(DetailTable2[Baseline Count]),INDEX(DetailTable2[],DetailTable2[Period Count],COLUMN(DetailTable2[TOTAL  (MMBtu)])),DetailTable2[TOTAL  (MMBtu)]))-DetailTable2[TOTAL  (MMBtu)]</f>
        <v>144.39724646044215</v>
      </c>
      <c r="O42" s="15">
        <f>DetailTable2[kwh]/DetailTable2[kwh(MMBTU)]</f>
        <v>97.690346220448447</v>
      </c>
      <c r="P42" s="15"/>
      <c r="Q42" s="15">
        <f ca="1">DetailTable2[Unit Cost in $/MMBtu for column: kwh(MMBTU)]*DetailTable2[Energy Savings: kwh(MMBTU)]</f>
        <v>14106.217000000017</v>
      </c>
      <c r="R42" s="15">
        <f ca="1">DetailTable2[Unit Cost in $/MMBtu for column: TOTAL  (MMBtu)]*DetailTable2[Energy Savings: TOTAL  (MMBtu)]</f>
        <v>0</v>
      </c>
      <c r="S42" s="15"/>
      <c r="T42" s="15"/>
      <c r="U42" s="15"/>
      <c r="V42" s="15"/>
      <c r="W42" s="15"/>
      <c r="X42" s="15"/>
    </row>
    <row r="43" spans="1:24" x14ac:dyDescent="0.3">
      <c r="A43" s="1">
        <v>39142</v>
      </c>
      <c r="B43" s="15">
        <v>78690.017000000007</v>
      </c>
      <c r="C43" s="15">
        <v>805.50453595924205</v>
      </c>
      <c r="D43" s="15">
        <v>42.5</v>
      </c>
      <c r="E43" s="15">
        <v>697</v>
      </c>
      <c r="F43" s="16" t="s">
        <v>8</v>
      </c>
      <c r="G43" s="15">
        <f>DetailTable2[kwh(MMBTU)]</f>
        <v>805.50453595924205</v>
      </c>
      <c r="H43" s="15">
        <f>SUM(SUMIFS(DetailTable2[Avg Monthly Mean Temp],DetailTable2[Period],DetailTable2[Period]))</f>
        <v>606.70000000000005</v>
      </c>
      <c r="I43" s="15" t="s">
        <v>10</v>
      </c>
      <c r="J43" s="15">
        <v>0</v>
      </c>
      <c r="K43" s="15">
        <f ca="1">IF(OFFSET(INDIRECT(ADDRESS(ROW(),COLUMN(DetailTable2[Period]))),-1,0,1,1) = OFFSET(INDIRECT(ADDRESS(ROW(),COLUMN(DetailTable2[Period]))),0,0,1,1),OFFSET(INDIRECT(ADDRESS(ROW(),COLUMN())),-1,0,1,1) + 1,1)</f>
        <v>7</v>
      </c>
      <c r="L43" s="15">
        <f ca="1">IF(DetailTable2[Period] = DetailTable2[Baseline Year],IF(OFFSET(INDIRECT(ADDRESS(ROW(),COLUMN(DetailTable2[Period]))),-1,0,1,1) = OFFSET(INDIRECT(ADDRESS(ROW(),COLUMN(DetailTable2[Period]))),0,0,1,1),OFFSET(INDIRECT(ADDRESS(ROW(),COLUMN())),-1,0,1,1) + 1,1),0)</f>
        <v>0</v>
      </c>
      <c r="M43" s="15">
        <f ca="1">IF(DetailTable2[Period]=DetailTable2[Baseline Year],DetailTable2[kwh(MMBTU)],IF(DetailTable2[Period Count] &lt;= MAX(DetailTable2[Baseline Count]),INDEX(DetailTable2[],DetailTable2[Period Count],COLUMN(DetailTable2[kwh(MMBTU)])),DetailTable2[kwh(MMBTU)]))-DetailTable2[kwh(MMBTU)]</f>
        <v>385.20677278675794</v>
      </c>
      <c r="N43" s="15">
        <f ca="1">IF(DetailTable2[Period]=DetailTable2[Baseline Year],DetailTable2[TOTAL  (MMBtu)],IF(DetailTable2[Period Count] &lt;= MAX(DetailTable2[Baseline Count]),INDEX(DetailTable2[],DetailTable2[Period Count],COLUMN(DetailTable2[TOTAL  (MMBtu)])),DetailTable2[TOTAL  (MMBtu)]))-DetailTable2[TOTAL  (MMBtu)]</f>
        <v>385.20677278675794</v>
      </c>
      <c r="O43" s="15">
        <f>DetailTable2[kwh]/DetailTable2[kwh(MMBTU)]</f>
        <v>97.690346220448433</v>
      </c>
      <c r="P43" s="15"/>
      <c r="Q43" s="15">
        <f ca="1">DetailTable2[Unit Cost in $/MMBtu for column: kwh(MMBTU)]*DetailTable2[Energy Savings: kwh(MMBTU)]</f>
        <v>37630.982999999993</v>
      </c>
      <c r="R43" s="15">
        <f ca="1">DetailTable2[Unit Cost in $/MMBtu for column: TOTAL  (MMBtu)]*DetailTable2[Energy Savings: TOTAL  (MMBtu)]</f>
        <v>0</v>
      </c>
      <c r="S43" s="15"/>
      <c r="T43" s="15"/>
      <c r="U43" s="15"/>
      <c r="V43" s="15"/>
      <c r="W43" s="15"/>
      <c r="X43" s="15"/>
    </row>
    <row r="44" spans="1:24" x14ac:dyDescent="0.3">
      <c r="A44" s="1">
        <v>39173</v>
      </c>
      <c r="B44" s="15">
        <v>61287.457000000002</v>
      </c>
      <c r="C44" s="15">
        <v>627.36451830868202</v>
      </c>
      <c r="D44" s="15">
        <v>46.8</v>
      </c>
      <c r="E44" s="15">
        <v>543</v>
      </c>
      <c r="F44" s="16" t="s">
        <v>8</v>
      </c>
      <c r="G44" s="15">
        <f>DetailTable2[kwh(MMBTU)]</f>
        <v>627.36451830868202</v>
      </c>
      <c r="H44" s="15">
        <f>SUM(SUMIFS(DetailTable2[Avg Monthly Mean Temp],DetailTable2[Period],DetailTable2[Period]))</f>
        <v>606.70000000000005</v>
      </c>
      <c r="I44" s="15" t="s">
        <v>10</v>
      </c>
      <c r="J44" s="15">
        <v>0</v>
      </c>
      <c r="K44" s="15">
        <f ca="1">IF(OFFSET(INDIRECT(ADDRESS(ROW(),COLUMN(DetailTable2[Period]))),-1,0,1,1) = OFFSET(INDIRECT(ADDRESS(ROW(),COLUMN(DetailTable2[Period]))),0,0,1,1),OFFSET(INDIRECT(ADDRESS(ROW(),COLUMN())),-1,0,1,1) + 1,1)</f>
        <v>8</v>
      </c>
      <c r="L44" s="15">
        <f ca="1">IF(DetailTable2[Period] = DetailTable2[Baseline Year],IF(OFFSET(INDIRECT(ADDRESS(ROW(),COLUMN(DetailTable2[Period]))),-1,0,1,1) = OFFSET(INDIRECT(ADDRESS(ROW(),COLUMN(DetailTable2[Period]))),0,0,1,1),OFFSET(INDIRECT(ADDRESS(ROW(),COLUMN())),-1,0,1,1) + 1,1),0)</f>
        <v>0</v>
      </c>
      <c r="M44" s="15">
        <f ca="1">IF(DetailTable2[Period]=DetailTable2[Baseline Year],DetailTable2[kwh(MMBTU)],IF(DetailTable2[Period Count] &lt;= MAX(DetailTable2[Baseline Count]),INDEX(DetailTable2[],DetailTable2[Period Count],COLUMN(DetailTable2[kwh(MMBTU)])),DetailTable2[kwh(MMBTU)]))-DetailTable2[kwh(MMBTU)]</f>
        <v>176.48401983440999</v>
      </c>
      <c r="N44" s="15">
        <f ca="1">IF(DetailTable2[Period]=DetailTable2[Baseline Year],DetailTable2[TOTAL  (MMBtu)],IF(DetailTable2[Period Count] &lt;= MAX(DetailTable2[Baseline Count]),INDEX(DetailTable2[],DetailTable2[Period Count],COLUMN(DetailTable2[TOTAL  (MMBtu)])),DetailTable2[TOTAL  (MMBtu)]))-DetailTable2[TOTAL  (MMBtu)]</f>
        <v>176.48401983440999</v>
      </c>
      <c r="O44" s="15">
        <f>DetailTable2[kwh]/DetailTable2[kwh(MMBTU)]</f>
        <v>97.690346220448433</v>
      </c>
      <c r="P44" s="15"/>
      <c r="Q44" s="15">
        <f ca="1">DetailTable2[Unit Cost in $/MMBtu for column: kwh(MMBTU)]*DetailTable2[Energy Savings: kwh(MMBTU)]</f>
        <v>17240.785</v>
      </c>
      <c r="R44" s="15">
        <f ca="1">DetailTable2[Unit Cost in $/MMBtu for column: TOTAL  (MMBtu)]*DetailTable2[Energy Savings: TOTAL  (MMBtu)]</f>
        <v>0</v>
      </c>
      <c r="S44" s="15"/>
      <c r="T44" s="15"/>
      <c r="U44" s="15"/>
      <c r="V44" s="15"/>
      <c r="W44" s="15"/>
      <c r="X44" s="15"/>
    </row>
    <row r="45" spans="1:24" x14ac:dyDescent="0.3">
      <c r="A45" s="1">
        <v>39203</v>
      </c>
      <c r="B45" s="15">
        <v>72827.31</v>
      </c>
      <c r="C45" s="15">
        <v>745.49136959405996</v>
      </c>
      <c r="D45" s="15">
        <v>63.8</v>
      </c>
      <c r="E45" s="15">
        <v>116</v>
      </c>
      <c r="F45" s="16" t="s">
        <v>8</v>
      </c>
      <c r="G45" s="15">
        <f>DetailTable2[kwh(MMBTU)]</f>
        <v>745.49136959405996</v>
      </c>
      <c r="H45" s="15">
        <f>SUM(SUMIFS(DetailTable2[Avg Monthly Mean Temp],DetailTable2[Period],DetailTable2[Period]))</f>
        <v>606.70000000000005</v>
      </c>
      <c r="I45" s="15" t="s">
        <v>10</v>
      </c>
      <c r="J45" s="15">
        <v>0</v>
      </c>
      <c r="K45" s="15">
        <f ca="1">IF(OFFSET(INDIRECT(ADDRESS(ROW(),COLUMN(DetailTable2[Period]))),-1,0,1,1) = OFFSET(INDIRECT(ADDRESS(ROW(),COLUMN(DetailTable2[Period]))),0,0,1,1),OFFSET(INDIRECT(ADDRESS(ROW(),COLUMN())),-1,0,1,1) + 1,1)</f>
        <v>9</v>
      </c>
      <c r="L45" s="15">
        <f ca="1">IF(DetailTable2[Period] = DetailTable2[Baseline Year],IF(OFFSET(INDIRECT(ADDRESS(ROW(),COLUMN(DetailTable2[Period]))),-1,0,1,1) = OFFSET(INDIRECT(ADDRESS(ROW(),COLUMN(DetailTable2[Period]))),0,0,1,1),OFFSET(INDIRECT(ADDRESS(ROW(),COLUMN())),-1,0,1,1) + 1,1),0)</f>
        <v>0</v>
      </c>
      <c r="M45" s="15">
        <f ca="1">IF(DetailTable2[Period]=DetailTable2[Baseline Year],DetailTable2[kwh(MMBTU)],IF(DetailTable2[Period Count] &lt;= MAX(DetailTable2[Baseline Count]),INDEX(DetailTable2[],DetailTable2[Period Count],COLUMN(DetailTable2[kwh(MMBTU)])),DetailTable2[kwh(MMBTU)]))-DetailTable2[kwh(MMBTU)]</f>
        <v>-10.797330962670003</v>
      </c>
      <c r="N45" s="15">
        <f ca="1">IF(DetailTable2[Period]=DetailTable2[Baseline Year],DetailTable2[TOTAL  (MMBtu)],IF(DetailTable2[Period Count] &lt;= MAX(DetailTable2[Baseline Count]),INDEX(DetailTable2[],DetailTable2[Period Count],COLUMN(DetailTable2[TOTAL  (MMBtu)])),DetailTable2[TOTAL  (MMBtu)]))-DetailTable2[TOTAL  (MMBtu)]</f>
        <v>-10.797330962670003</v>
      </c>
      <c r="O45" s="15">
        <f>DetailTable2[kwh]/DetailTable2[kwh(MMBTU)]</f>
        <v>97.690346220448433</v>
      </c>
      <c r="P45" s="15"/>
      <c r="Q45" s="15">
        <f ca="1">DetailTable2[Unit Cost in $/MMBtu for column: kwh(MMBTU)]*DetailTable2[Energy Savings: kwh(MMBTU)]</f>
        <v>-1054.7950000000003</v>
      </c>
      <c r="R45" s="15">
        <f ca="1">DetailTable2[Unit Cost in $/MMBtu for column: TOTAL  (MMBtu)]*DetailTable2[Energy Savings: TOTAL  (MMBtu)]</f>
        <v>0</v>
      </c>
      <c r="S45" s="15"/>
      <c r="T45" s="15"/>
      <c r="U45" s="15"/>
      <c r="V45" s="15"/>
      <c r="W45" s="15"/>
      <c r="X45" s="15"/>
    </row>
    <row r="46" spans="1:24" x14ac:dyDescent="0.3">
      <c r="A46" s="1">
        <v>39234</v>
      </c>
      <c r="B46" s="15">
        <v>71971.907000000007</v>
      </c>
      <c r="C46" s="15">
        <v>736.73510008438211</v>
      </c>
      <c r="D46" s="15">
        <v>71.3</v>
      </c>
      <c r="E46" s="15">
        <v>18</v>
      </c>
      <c r="F46" s="16" t="s">
        <v>8</v>
      </c>
      <c r="G46" s="15">
        <f>DetailTable2[kwh(MMBTU)]</f>
        <v>736.73510008438211</v>
      </c>
      <c r="H46" s="15">
        <f>SUM(SUMIFS(DetailTable2[Avg Monthly Mean Temp],DetailTable2[Period],DetailTable2[Period]))</f>
        <v>606.70000000000005</v>
      </c>
      <c r="I46" s="15" t="s">
        <v>10</v>
      </c>
      <c r="J46" s="15">
        <v>0</v>
      </c>
      <c r="K46" s="15">
        <f ca="1">IF(OFFSET(INDIRECT(ADDRESS(ROW(),COLUMN(DetailTable2[Period]))),-1,0,1,1) = OFFSET(INDIRECT(ADDRESS(ROW(),COLUMN(DetailTable2[Period]))),0,0,1,1),OFFSET(INDIRECT(ADDRESS(ROW(),COLUMN())),-1,0,1,1) + 1,1)</f>
        <v>10</v>
      </c>
      <c r="L46" s="15">
        <f ca="1">IF(DetailTable2[Period] = DetailTable2[Baseline Year],IF(OFFSET(INDIRECT(ADDRESS(ROW(),COLUMN(DetailTable2[Period]))),-1,0,1,1) = OFFSET(INDIRECT(ADDRESS(ROW(),COLUMN(DetailTable2[Period]))),0,0,1,1),OFFSET(INDIRECT(ADDRESS(ROW(),COLUMN())),-1,0,1,1) + 1,1),0)</f>
        <v>0</v>
      </c>
      <c r="M46" s="15">
        <f ca="1">IF(DetailTable2[Period]=DetailTable2[Baseline Year],DetailTable2[kwh(MMBTU)],IF(DetailTable2[Period Count] &lt;= MAX(DetailTable2[Baseline Count]),INDEX(DetailTable2[],DetailTable2[Period Count],COLUMN(DetailTable2[kwh(MMBTU)])),DetailTable2[kwh(MMBTU)]))-DetailTable2[kwh(MMBTU)]</f>
        <v>-27.020049596748208</v>
      </c>
      <c r="N46" s="15">
        <f ca="1">IF(DetailTable2[Period]=DetailTable2[Baseline Year],DetailTable2[TOTAL  (MMBtu)],IF(DetailTable2[Period Count] &lt;= MAX(DetailTable2[Baseline Count]),INDEX(DetailTable2[],DetailTable2[Period Count],COLUMN(DetailTable2[TOTAL  (MMBtu)])),DetailTable2[TOTAL  (MMBtu)]))-DetailTable2[TOTAL  (MMBtu)]</f>
        <v>-27.020049596748208</v>
      </c>
      <c r="O46" s="15">
        <f>DetailTable2[kwh]/DetailTable2[kwh(MMBTU)]</f>
        <v>97.690346220448419</v>
      </c>
      <c r="P46" s="15"/>
      <c r="Q46" s="15">
        <f ca="1">DetailTable2[Unit Cost in $/MMBtu for column: kwh(MMBTU)]*DetailTable2[Energy Savings: kwh(MMBTU)]</f>
        <v>-2639.59800000002</v>
      </c>
      <c r="R46" s="15">
        <f ca="1">DetailTable2[Unit Cost in $/MMBtu for column: TOTAL  (MMBtu)]*DetailTable2[Energy Savings: TOTAL  (MMBtu)]</f>
        <v>0</v>
      </c>
      <c r="S46" s="15"/>
      <c r="T46" s="15"/>
      <c r="U46" s="15"/>
      <c r="V46" s="15"/>
      <c r="W46" s="15"/>
      <c r="X46" s="15"/>
    </row>
    <row r="47" spans="1:24" x14ac:dyDescent="0.3">
      <c r="A47" s="1">
        <v>39264</v>
      </c>
      <c r="B47" s="15">
        <v>51908.588000000003</v>
      </c>
      <c r="C47" s="15">
        <v>531.35841982648799</v>
      </c>
      <c r="D47" s="15">
        <v>73.7</v>
      </c>
      <c r="E47" s="15">
        <v>0</v>
      </c>
      <c r="F47" s="16" t="s">
        <v>8</v>
      </c>
      <c r="G47" s="15">
        <f>DetailTable2[kwh(MMBTU)]</f>
        <v>531.35841982648799</v>
      </c>
      <c r="H47" s="15">
        <f>SUM(SUMIFS(DetailTable2[Avg Monthly Mean Temp],DetailTable2[Period],DetailTable2[Period]))</f>
        <v>606.70000000000005</v>
      </c>
      <c r="I47" s="15" t="s">
        <v>10</v>
      </c>
      <c r="J47" s="15">
        <v>0</v>
      </c>
      <c r="K47" s="15">
        <f ca="1">IF(OFFSET(INDIRECT(ADDRESS(ROW(),COLUMN(DetailTable2[Period]))),-1,0,1,1) = OFFSET(INDIRECT(ADDRESS(ROW(),COLUMN(DetailTable2[Period]))),0,0,1,1),OFFSET(INDIRECT(ADDRESS(ROW(),COLUMN())),-1,0,1,1) + 1,1)</f>
        <v>11</v>
      </c>
      <c r="L47" s="15">
        <f ca="1">IF(DetailTable2[Period] = DetailTable2[Baseline Year],IF(OFFSET(INDIRECT(ADDRESS(ROW(),COLUMN(DetailTable2[Period]))),-1,0,1,1) = OFFSET(INDIRECT(ADDRESS(ROW(),COLUMN(DetailTable2[Period]))),0,0,1,1),OFFSET(INDIRECT(ADDRESS(ROW(),COLUMN())),-1,0,1,1) + 1,1),0)</f>
        <v>0</v>
      </c>
      <c r="M47" s="15">
        <f ca="1">IF(DetailTable2[Period]=DetailTable2[Baseline Year],DetailTable2[kwh(MMBTU)],IF(DetailTable2[Period Count] &lt;= MAX(DetailTable2[Baseline Count]),INDEX(DetailTable2[],DetailTable2[Period Count],COLUMN(DetailTable2[kwh(MMBTU)])),DetailTable2[kwh(MMBTU)]))-DetailTable2[kwh(MMBTU)]</f>
        <v>84.429099896807998</v>
      </c>
      <c r="N47" s="15">
        <f ca="1">IF(DetailTable2[Period]=DetailTable2[Baseline Year],DetailTable2[TOTAL  (MMBtu)],IF(DetailTable2[Period Count] &lt;= MAX(DetailTable2[Baseline Count]),INDEX(DetailTable2[],DetailTable2[Period Count],COLUMN(DetailTable2[TOTAL  (MMBtu)])),DetailTable2[TOTAL  (MMBtu)]))-DetailTable2[TOTAL  (MMBtu)]</f>
        <v>84.429099896807998</v>
      </c>
      <c r="O47" s="15">
        <f>DetailTable2[kwh]/DetailTable2[kwh(MMBTU)]</f>
        <v>97.690346220448433</v>
      </c>
      <c r="P47" s="15"/>
      <c r="Q47" s="15">
        <f ca="1">DetailTable2[Unit Cost in $/MMBtu for column: kwh(MMBTU)]*DetailTable2[Energy Savings: kwh(MMBTU)]</f>
        <v>8247.9079999999994</v>
      </c>
      <c r="R47" s="15">
        <f ca="1">DetailTable2[Unit Cost in $/MMBtu for column: TOTAL  (MMBtu)]*DetailTable2[Energy Savings: TOTAL  (MMBtu)]</f>
        <v>0</v>
      </c>
      <c r="S47" s="15"/>
      <c r="T47" s="15"/>
      <c r="U47" s="15"/>
      <c r="V47" s="15"/>
      <c r="W47" s="15"/>
      <c r="X47" s="15"/>
    </row>
    <row r="48" spans="1:24" x14ac:dyDescent="0.3">
      <c r="A48" s="1">
        <v>39295</v>
      </c>
      <c r="B48" s="15">
        <v>53528.794000000002</v>
      </c>
      <c r="C48" s="15">
        <v>547.94353865024402</v>
      </c>
      <c r="D48" s="15">
        <v>74.8</v>
      </c>
      <c r="E48" s="15">
        <v>1</v>
      </c>
      <c r="F48" s="16" t="s">
        <v>8</v>
      </c>
      <c r="G48" s="15">
        <f>DetailTable2[kwh(MMBTU)]</f>
        <v>547.94353865024402</v>
      </c>
      <c r="H48" s="15">
        <f>SUM(SUMIFS(DetailTable2[Avg Monthly Mean Temp],DetailTable2[Period],DetailTable2[Period]))</f>
        <v>606.70000000000005</v>
      </c>
      <c r="I48" s="15" t="s">
        <v>10</v>
      </c>
      <c r="J48" s="15">
        <v>0</v>
      </c>
      <c r="K48" s="15">
        <f ca="1">IF(OFFSET(INDIRECT(ADDRESS(ROW(),COLUMN(DetailTable2[Period]))),-1,0,1,1) = OFFSET(INDIRECT(ADDRESS(ROW(),COLUMN(DetailTable2[Period]))),0,0,1,1),OFFSET(INDIRECT(ADDRESS(ROW(),COLUMN())),-1,0,1,1) + 1,1)</f>
        <v>12</v>
      </c>
      <c r="L48" s="15">
        <f ca="1">IF(DetailTable2[Period] = DetailTable2[Baseline Year],IF(OFFSET(INDIRECT(ADDRESS(ROW(),COLUMN(DetailTable2[Period]))),-1,0,1,1) = OFFSET(INDIRECT(ADDRESS(ROW(),COLUMN(DetailTable2[Period]))),0,0,1,1),OFFSET(INDIRECT(ADDRESS(ROW(),COLUMN())),-1,0,1,1) + 1,1),0)</f>
        <v>0</v>
      </c>
      <c r="M48" s="15">
        <f ca="1">IF(DetailTable2[Period]=DetailTable2[Baseline Year],DetailTable2[kwh(MMBTU)],IF(DetailTable2[Period Count] &lt;= MAX(DetailTable2[Baseline Count]),INDEX(DetailTable2[],DetailTable2[Period Count],COLUMN(DetailTable2[kwh(MMBTU)])),DetailTable2[kwh(MMBTU)]))-DetailTable2[kwh(MMBTU)]</f>
        <v>53.347543556040023</v>
      </c>
      <c r="N48" s="15">
        <f ca="1">IF(DetailTable2[Period]=DetailTable2[Baseline Year],DetailTable2[TOTAL  (MMBtu)],IF(DetailTable2[Period Count] &lt;= MAX(DetailTable2[Baseline Count]),INDEX(DetailTable2[],DetailTable2[Period Count],COLUMN(DetailTable2[TOTAL  (MMBtu)])),DetailTable2[TOTAL  (MMBtu)]))-DetailTable2[TOTAL  (MMBtu)]</f>
        <v>53.347543556040023</v>
      </c>
      <c r="O48" s="15">
        <f>DetailTable2[kwh]/DetailTable2[kwh(MMBTU)]</f>
        <v>97.690346220448419</v>
      </c>
      <c r="P48" s="15"/>
      <c r="Q48" s="15">
        <f ca="1">DetailTable2[Unit Cost in $/MMBtu for column: kwh(MMBTU)]*DetailTable2[Energy Savings: kwh(MMBTU)]</f>
        <v>5211.5400000000018</v>
      </c>
      <c r="R48" s="15">
        <f ca="1">DetailTable2[Unit Cost in $/MMBtu for column: TOTAL  (MMBtu)]*DetailTable2[Energy Savings: TOTAL  (MMBtu)]</f>
        <v>0</v>
      </c>
      <c r="S48" s="15"/>
      <c r="T48" s="15"/>
      <c r="U48" s="15"/>
      <c r="V48" s="15"/>
      <c r="W48" s="15"/>
      <c r="X48" s="15"/>
    </row>
    <row r="49" spans="1:24" x14ac:dyDescent="0.3">
      <c r="A49" s="1">
        <v>39326</v>
      </c>
      <c r="B49" s="15">
        <v>68773.235000000001</v>
      </c>
      <c r="C49" s="15">
        <v>703.99213085811004</v>
      </c>
      <c r="D49" s="15">
        <v>68.099999999999994</v>
      </c>
      <c r="E49" s="15">
        <v>56</v>
      </c>
      <c r="F49" s="16" t="s">
        <v>9</v>
      </c>
      <c r="G49" s="15">
        <f>DetailTable2[kwh(MMBTU)]</f>
        <v>703.99213085811004</v>
      </c>
      <c r="H49" s="15">
        <f>SUM(SUMIFS(DetailTable2[Avg Monthly Mean Temp],DetailTable2[Period],DetailTable2[Period]))</f>
        <v>598.1</v>
      </c>
      <c r="I49" s="15" t="s">
        <v>10</v>
      </c>
      <c r="J49" s="15">
        <v>0</v>
      </c>
      <c r="K49" s="15">
        <f ca="1">IF(OFFSET(INDIRECT(ADDRESS(ROW(),COLUMN(DetailTable2[Period]))),-1,0,1,1) = OFFSET(INDIRECT(ADDRESS(ROW(),COLUMN(DetailTable2[Period]))),0,0,1,1),OFFSET(INDIRECT(ADDRESS(ROW(),COLUMN())),-1,0,1,1) + 1,1)</f>
        <v>1</v>
      </c>
      <c r="L49" s="15">
        <f ca="1">IF(DetailTable2[Period] = DetailTable2[Baseline Year],IF(OFFSET(INDIRECT(ADDRESS(ROW(),COLUMN(DetailTable2[Period]))),-1,0,1,1) = OFFSET(INDIRECT(ADDRESS(ROW(),COLUMN(DetailTable2[Period]))),0,0,1,1),OFFSET(INDIRECT(ADDRESS(ROW(),COLUMN())),-1,0,1,1) + 1,1),0)</f>
        <v>0</v>
      </c>
      <c r="M49" s="15">
        <f ca="1">IF(DetailTable2[Period]=DetailTable2[Baseline Year],DetailTable2[kwh(MMBTU)],IF(DetailTable2[Period Count] &lt;= MAX(DetailTable2[Baseline Count]),INDEX(DetailTable2[],DetailTable2[Period Count],COLUMN(DetailTable2[kwh(MMBTU)])),DetailTable2[kwh(MMBTU)]))-DetailTable2[kwh(MMBTU)]</f>
        <v>63.76029199388995</v>
      </c>
      <c r="N49" s="15">
        <f ca="1">IF(DetailTable2[Period]=DetailTable2[Baseline Year],DetailTable2[TOTAL  (MMBtu)],IF(DetailTable2[Period Count] &lt;= MAX(DetailTable2[Baseline Count]),INDEX(DetailTable2[],DetailTable2[Period Count],COLUMN(DetailTable2[TOTAL  (MMBtu)])),DetailTable2[TOTAL  (MMBtu)]))-DetailTable2[TOTAL  (MMBtu)]</f>
        <v>63.76029199388995</v>
      </c>
      <c r="O49" s="15">
        <f>DetailTable2[kwh]/DetailTable2[kwh(MMBTU)]</f>
        <v>97.690346220448419</v>
      </c>
      <c r="P49" s="15"/>
      <c r="Q49" s="15">
        <f ca="1">DetailTable2[Unit Cost in $/MMBtu for column: kwh(MMBTU)]*DetailTable2[Energy Savings: kwh(MMBTU)]</f>
        <v>6228.7649999999949</v>
      </c>
      <c r="R49" s="15">
        <f ca="1">DetailTable2[Unit Cost in $/MMBtu for column: TOTAL  (MMBtu)]*DetailTable2[Energy Savings: TOTAL  (MMBtu)]</f>
        <v>0</v>
      </c>
      <c r="S49" s="15"/>
      <c r="T49" s="15"/>
      <c r="U49" s="15"/>
      <c r="V49" s="15"/>
      <c r="W49" s="15"/>
      <c r="X49" s="15"/>
    </row>
    <row r="50" spans="1:24" x14ac:dyDescent="0.3">
      <c r="A50" s="1">
        <v>39356</v>
      </c>
      <c r="B50" s="15">
        <v>70664.047000000006</v>
      </c>
      <c r="C50" s="15">
        <v>723.34728797602202</v>
      </c>
      <c r="D50" s="15">
        <v>59</v>
      </c>
      <c r="E50" s="15">
        <v>234</v>
      </c>
      <c r="F50" s="16" t="s">
        <v>9</v>
      </c>
      <c r="G50" s="15">
        <f>DetailTable2[kwh(MMBTU)]</f>
        <v>723.34728797602202</v>
      </c>
      <c r="H50" s="15">
        <f>SUM(SUMIFS(DetailTable2[Avg Monthly Mean Temp],DetailTable2[Period],DetailTable2[Period]))</f>
        <v>598.1</v>
      </c>
      <c r="I50" s="15" t="s">
        <v>10</v>
      </c>
      <c r="J50" s="15">
        <v>0</v>
      </c>
      <c r="K50" s="15">
        <f ca="1">IF(OFFSET(INDIRECT(ADDRESS(ROW(),COLUMN(DetailTable2[Period]))),-1,0,1,1) = OFFSET(INDIRECT(ADDRESS(ROW(),COLUMN(DetailTable2[Period]))),0,0,1,1),OFFSET(INDIRECT(ADDRESS(ROW(),COLUMN())),-1,0,1,1) + 1,1)</f>
        <v>2</v>
      </c>
      <c r="L50" s="15">
        <f ca="1">IF(DetailTable2[Period] = DetailTable2[Baseline Year],IF(OFFSET(INDIRECT(ADDRESS(ROW(),COLUMN(DetailTable2[Period]))),-1,0,1,1) = OFFSET(INDIRECT(ADDRESS(ROW(),COLUMN(DetailTable2[Period]))),0,0,1,1),OFFSET(INDIRECT(ADDRESS(ROW(),COLUMN())),-1,0,1,1) + 1,1),0)</f>
        <v>0</v>
      </c>
      <c r="M50" s="15">
        <f ca="1">IF(DetailTable2[Period]=DetailTable2[Baseline Year],DetailTable2[kwh(MMBTU)],IF(DetailTable2[Period Count] &lt;= MAX(DetailTable2[Baseline Count]),INDEX(DetailTable2[],DetailTable2[Period Count],COLUMN(DetailTable2[kwh(MMBTU)])),DetailTable2[kwh(MMBTU)]))-DetailTable2[kwh(MMBTU)]</f>
        <v>84.079044836885942</v>
      </c>
      <c r="N50" s="15">
        <f ca="1">IF(DetailTable2[Period]=DetailTable2[Baseline Year],DetailTable2[TOTAL  (MMBtu)],IF(DetailTable2[Period Count] &lt;= MAX(DetailTable2[Baseline Count]),INDEX(DetailTable2[],DetailTable2[Period Count],COLUMN(DetailTable2[TOTAL  (MMBtu)])),DetailTable2[TOTAL  (MMBtu)]))-DetailTable2[TOTAL  (MMBtu)]</f>
        <v>84.079044836885942</v>
      </c>
      <c r="O50" s="15">
        <f>DetailTable2[kwh]/DetailTable2[kwh(MMBTU)]</f>
        <v>97.690346220448433</v>
      </c>
      <c r="P50" s="15"/>
      <c r="Q50" s="15">
        <f ca="1">DetailTable2[Unit Cost in $/MMBtu for column: kwh(MMBTU)]*DetailTable2[Energy Savings: kwh(MMBTU)]</f>
        <v>8213.7109999999957</v>
      </c>
      <c r="R50" s="15">
        <f ca="1">DetailTable2[Unit Cost in $/MMBtu for column: TOTAL  (MMBtu)]*DetailTable2[Energy Savings: TOTAL  (MMBtu)]</f>
        <v>0</v>
      </c>
      <c r="S50" s="15"/>
      <c r="T50" s="15"/>
      <c r="U50" s="15"/>
      <c r="V50" s="15"/>
      <c r="W50" s="15"/>
      <c r="X50" s="15"/>
    </row>
    <row r="51" spans="1:24" x14ac:dyDescent="0.3">
      <c r="A51" s="1">
        <v>39387</v>
      </c>
      <c r="B51" s="15">
        <v>85165.061000000002</v>
      </c>
      <c r="C51" s="15">
        <v>871.78584471198599</v>
      </c>
      <c r="D51" s="15">
        <v>39.4</v>
      </c>
      <c r="E51" s="15">
        <v>763</v>
      </c>
      <c r="F51" s="16" t="s">
        <v>9</v>
      </c>
      <c r="G51" s="15">
        <f>DetailTable2[kwh(MMBTU)]</f>
        <v>871.78584471198599</v>
      </c>
      <c r="H51" s="15">
        <f>SUM(SUMIFS(DetailTable2[Avg Monthly Mean Temp],DetailTable2[Period],DetailTable2[Period]))</f>
        <v>598.1</v>
      </c>
      <c r="I51" s="15" t="s">
        <v>10</v>
      </c>
      <c r="J51" s="15">
        <v>0</v>
      </c>
      <c r="K51" s="15">
        <f ca="1">IF(OFFSET(INDIRECT(ADDRESS(ROW(),COLUMN(DetailTable2[Period]))),-1,0,1,1) = OFFSET(INDIRECT(ADDRESS(ROW(),COLUMN(DetailTable2[Period]))),0,0,1,1),OFFSET(INDIRECT(ADDRESS(ROW(),COLUMN())),-1,0,1,1) + 1,1)</f>
        <v>3</v>
      </c>
      <c r="L51" s="15">
        <f ca="1">IF(DetailTable2[Period] = DetailTable2[Baseline Year],IF(OFFSET(INDIRECT(ADDRESS(ROW(),COLUMN(DetailTable2[Period]))),-1,0,1,1) = OFFSET(INDIRECT(ADDRESS(ROW(),COLUMN(DetailTable2[Period]))),0,0,1,1),OFFSET(INDIRECT(ADDRESS(ROW(),COLUMN())),-1,0,1,1) + 1,1),0)</f>
        <v>0</v>
      </c>
      <c r="M51" s="15">
        <f ca="1">IF(DetailTable2[Period]=DetailTable2[Baseline Year],DetailTable2[kwh(MMBTU)],IF(DetailTable2[Period Count] &lt;= MAX(DetailTable2[Baseline Count]),INDEX(DetailTable2[],DetailTable2[Period Count],COLUMN(DetailTable2[kwh(MMBTU)])),DetailTable2[kwh(MMBTU)]))-DetailTable2[kwh(MMBTU)]</f>
        <v>-3.3646825169220165</v>
      </c>
      <c r="N51" s="15">
        <f ca="1">IF(DetailTable2[Period]=DetailTable2[Baseline Year],DetailTable2[TOTAL  (MMBtu)],IF(DetailTable2[Period Count] &lt;= MAX(DetailTable2[Baseline Count]),INDEX(DetailTable2[],DetailTable2[Period Count],COLUMN(DetailTable2[TOTAL  (MMBtu)])),DetailTable2[TOTAL  (MMBtu)]))-DetailTable2[TOTAL  (MMBtu)]</f>
        <v>-3.3646825169220165</v>
      </c>
      <c r="O51" s="15">
        <f>DetailTable2[kwh]/DetailTable2[kwh(MMBTU)]</f>
        <v>97.690346220448433</v>
      </c>
      <c r="P51" s="15"/>
      <c r="Q51" s="15">
        <f ca="1">DetailTable2[Unit Cost in $/MMBtu for column: kwh(MMBTU)]*DetailTable2[Energy Savings: kwh(MMBTU)]</f>
        <v>-328.69700000000165</v>
      </c>
      <c r="R51" s="15">
        <f ca="1">DetailTable2[Unit Cost in $/MMBtu for column: TOTAL  (MMBtu)]*DetailTable2[Energy Savings: TOTAL  (MMBtu)]</f>
        <v>0</v>
      </c>
      <c r="S51" s="15"/>
      <c r="T51" s="15"/>
      <c r="U51" s="15"/>
      <c r="V51" s="15"/>
      <c r="W51" s="15"/>
      <c r="X51" s="15"/>
    </row>
    <row r="52" spans="1:24" x14ac:dyDescent="0.3">
      <c r="A52" s="1">
        <v>39417</v>
      </c>
      <c r="B52" s="15">
        <v>127807.833</v>
      </c>
      <c r="C52" s="15">
        <v>1308.2954247248581</v>
      </c>
      <c r="D52" s="15">
        <v>27.8</v>
      </c>
      <c r="E52" s="15">
        <v>1146</v>
      </c>
      <c r="F52" s="16" t="s">
        <v>9</v>
      </c>
      <c r="G52" s="15">
        <f>DetailTable2[kwh(MMBTU)]</f>
        <v>1308.2954247248581</v>
      </c>
      <c r="H52" s="15">
        <f>SUM(SUMIFS(DetailTable2[Avg Monthly Mean Temp],DetailTable2[Period],DetailTable2[Period]))</f>
        <v>598.1</v>
      </c>
      <c r="I52" s="15" t="s">
        <v>10</v>
      </c>
      <c r="J52" s="15">
        <v>0</v>
      </c>
      <c r="K52" s="15">
        <f ca="1">IF(OFFSET(INDIRECT(ADDRESS(ROW(),COLUMN(DetailTable2[Period]))),-1,0,1,1) = OFFSET(INDIRECT(ADDRESS(ROW(),COLUMN(DetailTable2[Period]))),0,0,1,1),OFFSET(INDIRECT(ADDRESS(ROW(),COLUMN())),-1,0,1,1) + 1,1)</f>
        <v>4</v>
      </c>
      <c r="L52" s="15">
        <f ca="1">IF(DetailTable2[Period] = DetailTable2[Baseline Year],IF(OFFSET(INDIRECT(ADDRESS(ROW(),COLUMN(DetailTable2[Period]))),-1,0,1,1) = OFFSET(INDIRECT(ADDRESS(ROW(),COLUMN(DetailTable2[Period]))),0,0,1,1),OFFSET(INDIRECT(ADDRESS(ROW(),COLUMN())),-1,0,1,1) + 1,1),0)</f>
        <v>0</v>
      </c>
      <c r="M52" s="15">
        <f ca="1">IF(DetailTable2[Period]=DetailTable2[Baseline Year],DetailTable2[kwh(MMBTU)],IF(DetailTable2[Period Count] &lt;= MAX(DetailTable2[Baseline Count]),INDEX(DetailTable2[],DetailTable2[Period Count],COLUMN(DetailTable2[kwh(MMBTU)])),DetailTable2[kwh(MMBTU)]))-DetailTable2[kwh(MMBTU)]</f>
        <v>181.64585024559574</v>
      </c>
      <c r="N52" s="15">
        <f ca="1">IF(DetailTable2[Period]=DetailTable2[Baseline Year],DetailTable2[TOTAL  (MMBtu)],IF(DetailTable2[Period Count] &lt;= MAX(DetailTable2[Baseline Count]),INDEX(DetailTable2[],DetailTable2[Period Count],COLUMN(DetailTable2[TOTAL  (MMBtu)])),DetailTable2[TOTAL  (MMBtu)]))-DetailTable2[TOTAL  (MMBtu)]</f>
        <v>181.64585024559574</v>
      </c>
      <c r="O52" s="15">
        <f>DetailTable2[kwh]/DetailTable2[kwh(MMBTU)]</f>
        <v>97.690346220448419</v>
      </c>
      <c r="P52" s="15"/>
      <c r="Q52" s="15">
        <f ca="1">DetailTable2[Unit Cost in $/MMBtu for column: kwh(MMBTU)]*DetailTable2[Energy Savings: kwh(MMBTU)]</f>
        <v>17745.045999999973</v>
      </c>
      <c r="R52" s="15">
        <f ca="1">DetailTable2[Unit Cost in $/MMBtu for column: TOTAL  (MMBtu)]*DetailTable2[Energy Savings: TOTAL  (MMBtu)]</f>
        <v>0</v>
      </c>
      <c r="S52" s="15"/>
      <c r="T52" s="15"/>
      <c r="U52" s="15"/>
      <c r="V52" s="15"/>
      <c r="W52" s="15"/>
      <c r="X52" s="15"/>
    </row>
    <row r="53" spans="1:24" x14ac:dyDescent="0.3">
      <c r="A53" s="1">
        <v>39448</v>
      </c>
      <c r="B53" s="15">
        <v>146646.845</v>
      </c>
      <c r="C53" s="15">
        <v>1501.1395769759699</v>
      </c>
      <c r="D53" s="15">
        <v>23.5</v>
      </c>
      <c r="E53" s="15">
        <v>1280</v>
      </c>
      <c r="F53" s="16" t="s">
        <v>9</v>
      </c>
      <c r="G53" s="15">
        <f>DetailTable2[kwh(MMBTU)]</f>
        <v>1501.1395769759699</v>
      </c>
      <c r="H53" s="15">
        <f>SUM(SUMIFS(DetailTable2[Avg Monthly Mean Temp],DetailTable2[Period],DetailTable2[Period]))</f>
        <v>598.1</v>
      </c>
      <c r="I53" s="15" t="s">
        <v>10</v>
      </c>
      <c r="J53" s="15">
        <v>0</v>
      </c>
      <c r="K53" s="15">
        <f ca="1">IF(OFFSET(INDIRECT(ADDRESS(ROW(),COLUMN(DetailTable2[Period]))),-1,0,1,1) = OFFSET(INDIRECT(ADDRESS(ROW(),COLUMN(DetailTable2[Period]))),0,0,1,1),OFFSET(INDIRECT(ADDRESS(ROW(),COLUMN())),-1,0,1,1) + 1,1)</f>
        <v>5</v>
      </c>
      <c r="L53" s="15">
        <f ca="1">IF(DetailTable2[Period] = DetailTable2[Baseline Year],IF(OFFSET(INDIRECT(ADDRESS(ROW(),COLUMN(DetailTable2[Period]))),-1,0,1,1) = OFFSET(INDIRECT(ADDRESS(ROW(),COLUMN(DetailTable2[Period]))),0,0,1,1),OFFSET(INDIRECT(ADDRESS(ROW(),COLUMN())),-1,0,1,1) + 1,1),0)</f>
        <v>0</v>
      </c>
      <c r="M53" s="15">
        <f ca="1">IF(DetailTable2[Period]=DetailTable2[Baseline Year],DetailTable2[kwh(MMBTU)],IF(DetailTable2[Period Count] &lt;= MAX(DetailTable2[Baseline Count]),INDEX(DetailTable2[],DetailTable2[Period Count],COLUMN(DetailTable2[kwh(MMBTU)])),DetailTable2[kwh(MMBTU)]))-DetailTable2[kwh(MMBTU)]</f>
        <v>231.98254358582994</v>
      </c>
      <c r="N53" s="15">
        <f ca="1">IF(DetailTable2[Period]=DetailTable2[Baseline Year],DetailTable2[TOTAL  (MMBtu)],IF(DetailTable2[Period Count] &lt;= MAX(DetailTable2[Baseline Count]),INDEX(DetailTable2[],DetailTable2[Period Count],COLUMN(DetailTable2[TOTAL  (MMBtu)])),DetailTable2[TOTAL  (MMBtu)]))-DetailTable2[TOTAL  (MMBtu)]</f>
        <v>231.98254358582994</v>
      </c>
      <c r="O53" s="15">
        <f>DetailTable2[kwh]/DetailTable2[kwh(MMBTU)]</f>
        <v>97.690346220448433</v>
      </c>
      <c r="P53" s="15"/>
      <c r="Q53" s="15">
        <f ca="1">DetailTable2[Unit Cost in $/MMBtu for column: kwh(MMBTU)]*DetailTable2[Energy Savings: kwh(MMBTU)]</f>
        <v>22662.454999999994</v>
      </c>
      <c r="R53" s="15">
        <f ca="1">DetailTable2[Unit Cost in $/MMBtu for column: TOTAL  (MMBtu)]*DetailTable2[Energy Savings: TOTAL  (MMBtu)]</f>
        <v>0</v>
      </c>
      <c r="S53" s="15"/>
      <c r="T53" s="15"/>
      <c r="U53" s="15"/>
      <c r="V53" s="15"/>
      <c r="W53" s="15"/>
      <c r="X53" s="15"/>
    </row>
    <row r="54" spans="1:24" x14ac:dyDescent="0.3">
      <c r="A54" s="1">
        <v>39479</v>
      </c>
      <c r="B54" s="15">
        <v>137421.155</v>
      </c>
      <c r="C54" s="15">
        <v>1406.70148399203</v>
      </c>
      <c r="D54" s="15">
        <v>23</v>
      </c>
      <c r="E54" s="15">
        <v>1211</v>
      </c>
      <c r="F54" s="16" t="s">
        <v>9</v>
      </c>
      <c r="G54" s="15">
        <f>DetailTable2[kwh(MMBTU)]</f>
        <v>1406.70148399203</v>
      </c>
      <c r="H54" s="15">
        <f>SUM(SUMIFS(DetailTable2[Avg Monthly Mean Temp],DetailTable2[Period],DetailTable2[Period]))</f>
        <v>598.1</v>
      </c>
      <c r="I54" s="15" t="s">
        <v>10</v>
      </c>
      <c r="J54" s="15">
        <v>0</v>
      </c>
      <c r="K54" s="15">
        <f ca="1">IF(OFFSET(INDIRECT(ADDRESS(ROW(),COLUMN(DetailTable2[Period]))),-1,0,1,1) = OFFSET(INDIRECT(ADDRESS(ROW(),COLUMN(DetailTable2[Period]))),0,0,1,1),OFFSET(INDIRECT(ADDRESS(ROW(),COLUMN())),-1,0,1,1) + 1,1)</f>
        <v>6</v>
      </c>
      <c r="L54" s="15">
        <f ca="1">IF(DetailTable2[Period] = DetailTable2[Baseline Year],IF(OFFSET(INDIRECT(ADDRESS(ROW(),COLUMN(DetailTable2[Period]))),-1,0,1,1) = OFFSET(INDIRECT(ADDRESS(ROW(),COLUMN(DetailTable2[Period]))),0,0,1,1),OFFSET(INDIRECT(ADDRESS(ROW(),COLUMN())),-1,0,1,1) + 1,1),0)</f>
        <v>0</v>
      </c>
      <c r="M54" s="15">
        <f ca="1">IF(DetailTable2[Period]=DetailTable2[Baseline Year],DetailTable2[kwh(MMBTU)],IF(DetailTable2[Period Count] &lt;= MAX(DetailTable2[Baseline Count]),INDEX(DetailTable2[],DetailTable2[Period Count],COLUMN(DetailTable2[kwh(MMBTU)])),DetailTable2[kwh(MMBTU)]))-DetailTable2[kwh(MMBTU)]</f>
        <v>-153.53057472183013</v>
      </c>
      <c r="N54" s="15">
        <f ca="1">IF(DetailTable2[Period]=DetailTable2[Baseline Year],DetailTable2[TOTAL  (MMBtu)],IF(DetailTable2[Period Count] &lt;= MAX(DetailTable2[Baseline Count]),INDEX(DetailTable2[],DetailTable2[Period Count],COLUMN(DetailTable2[TOTAL  (MMBtu)])),DetailTable2[TOTAL  (MMBtu)]))-DetailTable2[TOTAL  (MMBtu)]</f>
        <v>-153.53057472183013</v>
      </c>
      <c r="O54" s="15">
        <f>DetailTable2[kwh]/DetailTable2[kwh(MMBTU)]</f>
        <v>97.690346220448419</v>
      </c>
      <c r="P54" s="15"/>
      <c r="Q54" s="15">
        <f ca="1">DetailTable2[Unit Cost in $/MMBtu for column: kwh(MMBTU)]*DetailTable2[Energy Savings: kwh(MMBTU)]</f>
        <v>-14998.455000000013</v>
      </c>
      <c r="R54" s="15">
        <f ca="1">DetailTable2[Unit Cost in $/MMBtu for column: TOTAL  (MMBtu)]*DetailTable2[Energy Savings: TOTAL  (MMBtu)]</f>
        <v>0</v>
      </c>
      <c r="S54" s="15"/>
      <c r="T54" s="15"/>
      <c r="U54" s="15"/>
      <c r="V54" s="15"/>
      <c r="W54" s="15"/>
      <c r="X54" s="15"/>
    </row>
    <row r="55" spans="1:24" x14ac:dyDescent="0.3">
      <c r="A55" s="1">
        <v>39508</v>
      </c>
      <c r="B55" s="15">
        <v>118909.81034482759</v>
      </c>
      <c r="C55" s="15">
        <v>1217.2114742688623</v>
      </c>
      <c r="D55" s="15">
        <v>34.9</v>
      </c>
      <c r="E55" s="15">
        <v>926</v>
      </c>
      <c r="F55" s="16" t="s">
        <v>9</v>
      </c>
      <c r="G55" s="15">
        <f>DetailTable2[kwh(MMBTU)]</f>
        <v>1217.2114742688623</v>
      </c>
      <c r="H55" s="15">
        <f>SUM(SUMIFS(DetailTable2[Avg Monthly Mean Temp],DetailTable2[Period],DetailTable2[Period]))</f>
        <v>598.1</v>
      </c>
      <c r="I55" s="15" t="s">
        <v>10</v>
      </c>
      <c r="J55" s="15">
        <v>0</v>
      </c>
      <c r="K55" s="15">
        <f ca="1">IF(OFFSET(INDIRECT(ADDRESS(ROW(),COLUMN(DetailTable2[Period]))),-1,0,1,1) = OFFSET(INDIRECT(ADDRESS(ROW(),COLUMN(DetailTable2[Period]))),0,0,1,1),OFFSET(INDIRECT(ADDRESS(ROW(),COLUMN())),-1,0,1,1) + 1,1)</f>
        <v>7</v>
      </c>
      <c r="L55" s="15">
        <f ca="1">IF(DetailTable2[Period] = DetailTable2[Baseline Year],IF(OFFSET(INDIRECT(ADDRESS(ROW(),COLUMN(DetailTable2[Period]))),-1,0,1,1) = OFFSET(INDIRECT(ADDRESS(ROW(),COLUMN(DetailTable2[Period]))),0,0,1,1),OFFSET(INDIRECT(ADDRESS(ROW(),COLUMN())),-1,0,1,1) + 1,1),0)</f>
        <v>0</v>
      </c>
      <c r="M55" s="15">
        <f ca="1">IF(DetailTable2[Period]=DetailTable2[Baseline Year],DetailTable2[kwh(MMBTU)],IF(DetailTable2[Period Count] &lt;= MAX(DetailTable2[Baseline Count]),INDEX(DetailTable2[],DetailTable2[Period Count],COLUMN(DetailTable2[kwh(MMBTU)])),DetailTable2[kwh(MMBTU)]))-DetailTable2[kwh(MMBTU)]</f>
        <v>-26.500165522862289</v>
      </c>
      <c r="N55" s="15">
        <f ca="1">IF(DetailTable2[Period]=DetailTable2[Baseline Year],DetailTable2[TOTAL  (MMBtu)],IF(DetailTable2[Period Count] &lt;= MAX(DetailTable2[Baseline Count]),INDEX(DetailTable2[],DetailTable2[Period Count],COLUMN(DetailTable2[TOTAL  (MMBtu)])),DetailTable2[TOTAL  (MMBtu)]))-DetailTable2[TOTAL  (MMBtu)]</f>
        <v>-26.500165522862289</v>
      </c>
      <c r="O55" s="15">
        <f>DetailTable2[kwh]/DetailTable2[kwh(MMBTU)]</f>
        <v>97.690346220448419</v>
      </c>
      <c r="P55" s="15"/>
      <c r="Q55" s="15">
        <f ca="1">DetailTable2[Unit Cost in $/MMBtu for column: kwh(MMBTU)]*DetailTable2[Energy Savings: kwh(MMBTU)]</f>
        <v>-2588.8103448276074</v>
      </c>
      <c r="R55" s="15">
        <f ca="1">DetailTable2[Unit Cost in $/MMBtu for column: TOTAL  (MMBtu)]*DetailTable2[Energy Savings: TOTAL  (MMBtu)]</f>
        <v>0</v>
      </c>
      <c r="S55" s="15"/>
      <c r="T55" s="15"/>
      <c r="U55" s="15"/>
      <c r="V55" s="15"/>
      <c r="W55" s="15"/>
      <c r="X55" s="15"/>
    </row>
    <row r="56" spans="1:24" x14ac:dyDescent="0.3">
      <c r="A56" s="1">
        <v>39539</v>
      </c>
      <c r="B56" s="15">
        <v>90214.206896551739</v>
      </c>
      <c r="C56" s="15">
        <v>923.47105304524155</v>
      </c>
      <c r="D56" s="15">
        <v>49.4</v>
      </c>
      <c r="E56" s="15">
        <v>461</v>
      </c>
      <c r="F56" s="16" t="s">
        <v>9</v>
      </c>
      <c r="G56" s="15">
        <f>DetailTable2[kwh(MMBTU)]</f>
        <v>923.47105304524155</v>
      </c>
      <c r="H56" s="15">
        <f>SUM(SUMIFS(DetailTable2[Avg Monthly Mean Temp],DetailTable2[Period],DetailTable2[Period]))</f>
        <v>598.1</v>
      </c>
      <c r="I56" s="15" t="s">
        <v>10</v>
      </c>
      <c r="J56" s="15">
        <v>0</v>
      </c>
      <c r="K56" s="15">
        <f ca="1">IF(OFFSET(INDIRECT(ADDRESS(ROW(),COLUMN(DetailTable2[Period]))),-1,0,1,1) = OFFSET(INDIRECT(ADDRESS(ROW(),COLUMN(DetailTable2[Period]))),0,0,1,1),OFFSET(INDIRECT(ADDRESS(ROW(),COLUMN())),-1,0,1,1) + 1,1)</f>
        <v>8</v>
      </c>
      <c r="L56" s="15">
        <f ca="1">IF(DetailTable2[Period] = DetailTable2[Baseline Year],IF(OFFSET(INDIRECT(ADDRESS(ROW(),COLUMN(DetailTable2[Period]))),-1,0,1,1) = OFFSET(INDIRECT(ADDRESS(ROW(),COLUMN(DetailTable2[Period]))),0,0,1,1),OFFSET(INDIRECT(ADDRESS(ROW(),COLUMN())),-1,0,1,1) + 1,1),0)</f>
        <v>0</v>
      </c>
      <c r="M56" s="15">
        <f ca="1">IF(DetailTable2[Period]=DetailTable2[Baseline Year],DetailTable2[kwh(MMBTU)],IF(DetailTable2[Period Count] &lt;= MAX(DetailTable2[Baseline Count]),INDEX(DetailTable2[],DetailTable2[Period Count],COLUMN(DetailTable2[kwh(MMBTU)])),DetailTable2[kwh(MMBTU)]))-DetailTable2[kwh(MMBTU)]</f>
        <v>-119.62251490214953</v>
      </c>
      <c r="N56" s="15">
        <f ca="1">IF(DetailTable2[Period]=DetailTable2[Baseline Year],DetailTable2[TOTAL  (MMBtu)],IF(DetailTable2[Period Count] &lt;= MAX(DetailTable2[Baseline Count]),INDEX(DetailTable2[],DetailTable2[Period Count],COLUMN(DetailTable2[TOTAL  (MMBtu)])),DetailTable2[TOTAL  (MMBtu)]))-DetailTable2[TOTAL  (MMBtu)]</f>
        <v>-119.62251490214953</v>
      </c>
      <c r="O56" s="15">
        <f>DetailTable2[kwh]/DetailTable2[kwh(MMBTU)]</f>
        <v>97.690346220448419</v>
      </c>
      <c r="P56" s="15"/>
      <c r="Q56" s="15">
        <f ca="1">DetailTable2[Unit Cost in $/MMBtu for column: kwh(MMBTU)]*DetailTable2[Energy Savings: kwh(MMBTU)]</f>
        <v>-11685.964896551739</v>
      </c>
      <c r="R56" s="15">
        <f ca="1">DetailTable2[Unit Cost in $/MMBtu for column: TOTAL  (MMBtu)]*DetailTable2[Energy Savings: TOTAL  (MMBtu)]</f>
        <v>0</v>
      </c>
      <c r="S56" s="15"/>
      <c r="T56" s="15"/>
      <c r="U56" s="15"/>
      <c r="V56" s="15"/>
      <c r="W56" s="15"/>
      <c r="X56" s="15"/>
    </row>
    <row r="57" spans="1:24" x14ac:dyDescent="0.3">
      <c r="A57" s="1">
        <v>39569</v>
      </c>
      <c r="B57" s="15">
        <v>74594.755485893431</v>
      </c>
      <c r="C57" s="15">
        <v>763.58369451944213</v>
      </c>
      <c r="D57" s="15">
        <v>55.5</v>
      </c>
      <c r="E57" s="15">
        <v>290</v>
      </c>
      <c r="F57" s="16" t="s">
        <v>9</v>
      </c>
      <c r="G57" s="15">
        <f>DetailTable2[kwh(MMBTU)]</f>
        <v>763.58369451944213</v>
      </c>
      <c r="H57" s="15">
        <f>SUM(SUMIFS(DetailTable2[Avg Monthly Mean Temp],DetailTable2[Period],DetailTable2[Period]))</f>
        <v>598.1</v>
      </c>
      <c r="I57" s="15" t="s">
        <v>10</v>
      </c>
      <c r="J57" s="15">
        <v>0</v>
      </c>
      <c r="K57" s="15">
        <f ca="1">IF(OFFSET(INDIRECT(ADDRESS(ROW(),COLUMN(DetailTable2[Period]))),-1,0,1,1) = OFFSET(INDIRECT(ADDRESS(ROW(),COLUMN(DetailTable2[Period]))),0,0,1,1),OFFSET(INDIRECT(ADDRESS(ROW(),COLUMN())),-1,0,1,1) + 1,1)</f>
        <v>9</v>
      </c>
      <c r="L57" s="15">
        <f ca="1">IF(DetailTable2[Period] = DetailTable2[Baseline Year],IF(OFFSET(INDIRECT(ADDRESS(ROW(),COLUMN(DetailTable2[Period]))),-1,0,1,1) = OFFSET(INDIRECT(ADDRESS(ROW(),COLUMN(DetailTable2[Period]))),0,0,1,1),OFFSET(INDIRECT(ADDRESS(ROW(),COLUMN())),-1,0,1,1) + 1,1),0)</f>
        <v>0</v>
      </c>
      <c r="M57" s="15">
        <f ca="1">IF(DetailTable2[Period]=DetailTable2[Baseline Year],DetailTable2[kwh(MMBTU)],IF(DetailTable2[Period Count] &lt;= MAX(DetailTable2[Baseline Count]),INDEX(DetailTable2[],DetailTable2[Period Count],COLUMN(DetailTable2[kwh(MMBTU)])),DetailTable2[kwh(MMBTU)]))-DetailTable2[kwh(MMBTU)]</f>
        <v>-28.889655888052175</v>
      </c>
      <c r="N57" s="15">
        <f ca="1">IF(DetailTable2[Period]=DetailTable2[Baseline Year],DetailTable2[TOTAL  (MMBtu)],IF(DetailTable2[Period Count] &lt;= MAX(DetailTable2[Baseline Count]),INDEX(DetailTable2[],DetailTable2[Period Count],COLUMN(DetailTable2[TOTAL  (MMBtu)])),DetailTable2[TOTAL  (MMBtu)]))-DetailTable2[TOTAL  (MMBtu)]</f>
        <v>-28.889655888052175</v>
      </c>
      <c r="O57" s="15">
        <f>DetailTable2[kwh]/DetailTable2[kwh(MMBTU)]</f>
        <v>97.690346220448433</v>
      </c>
      <c r="P57" s="15"/>
      <c r="Q57" s="15">
        <f ca="1">DetailTable2[Unit Cost in $/MMBtu for column: kwh(MMBTU)]*DetailTable2[Energy Savings: kwh(MMBTU)]</f>
        <v>-2822.2404858934337</v>
      </c>
      <c r="R57" s="15">
        <f ca="1">DetailTable2[Unit Cost in $/MMBtu for column: TOTAL  (MMBtu)]*DetailTable2[Energy Savings: TOTAL  (MMBtu)]</f>
        <v>0</v>
      </c>
      <c r="S57" s="15"/>
      <c r="T57" s="15"/>
      <c r="U57" s="15"/>
      <c r="V57" s="15"/>
      <c r="W57" s="15"/>
      <c r="X57" s="15"/>
    </row>
    <row r="58" spans="1:24" x14ac:dyDescent="0.3">
      <c r="A58" s="1">
        <v>39600</v>
      </c>
      <c r="B58" s="15">
        <v>55944.347962382446</v>
      </c>
      <c r="C58" s="15">
        <v>572.67017803517865</v>
      </c>
      <c r="D58" s="15">
        <v>70.8</v>
      </c>
      <c r="E58" s="15">
        <v>4</v>
      </c>
      <c r="F58" s="16" t="s">
        <v>9</v>
      </c>
      <c r="G58" s="15">
        <f>DetailTable2[kwh(MMBTU)]</f>
        <v>572.67017803517865</v>
      </c>
      <c r="H58" s="15">
        <f>SUM(SUMIFS(DetailTable2[Avg Monthly Mean Temp],DetailTable2[Period],DetailTable2[Period]))</f>
        <v>598.1</v>
      </c>
      <c r="I58" s="15" t="s">
        <v>10</v>
      </c>
      <c r="J58" s="15">
        <v>0</v>
      </c>
      <c r="K58" s="15">
        <f ca="1">IF(OFFSET(INDIRECT(ADDRESS(ROW(),COLUMN(DetailTable2[Period]))),-1,0,1,1) = OFFSET(INDIRECT(ADDRESS(ROW(),COLUMN(DetailTable2[Period]))),0,0,1,1),OFFSET(INDIRECT(ADDRESS(ROW(),COLUMN())),-1,0,1,1) + 1,1)</f>
        <v>10</v>
      </c>
      <c r="L58" s="15">
        <f ca="1">IF(DetailTable2[Period] = DetailTable2[Baseline Year],IF(OFFSET(INDIRECT(ADDRESS(ROW(),COLUMN(DetailTable2[Period]))),-1,0,1,1) = OFFSET(INDIRECT(ADDRESS(ROW(),COLUMN(DetailTable2[Period]))),0,0,1,1),OFFSET(INDIRECT(ADDRESS(ROW(),COLUMN())),-1,0,1,1) + 1,1),0)</f>
        <v>0</v>
      </c>
      <c r="M58" s="15">
        <f ca="1">IF(DetailTable2[Period]=DetailTable2[Baseline Year],DetailTable2[kwh(MMBTU)],IF(DetailTable2[Period Count] &lt;= MAX(DetailTable2[Baseline Count]),INDEX(DetailTable2[],DetailTable2[Period Count],COLUMN(DetailTable2[kwh(MMBTU)])),DetailTable2[kwh(MMBTU)]))-DetailTable2[kwh(MMBTU)]</f>
        <v>137.04487245245525</v>
      </c>
      <c r="N58" s="15">
        <f ca="1">IF(DetailTable2[Period]=DetailTable2[Baseline Year],DetailTable2[TOTAL  (MMBtu)],IF(DetailTable2[Period Count] &lt;= MAX(DetailTable2[Baseline Count]),INDEX(DetailTable2[],DetailTable2[Period Count],COLUMN(DetailTable2[TOTAL  (MMBtu)])),DetailTable2[TOTAL  (MMBtu)]))-DetailTable2[TOTAL  (MMBtu)]</f>
        <v>137.04487245245525</v>
      </c>
      <c r="O58" s="15">
        <f>DetailTable2[kwh]/DetailTable2[kwh(MMBTU)]</f>
        <v>97.690346220448433</v>
      </c>
      <c r="P58" s="15"/>
      <c r="Q58" s="15">
        <f ca="1">DetailTable2[Unit Cost in $/MMBtu for column: kwh(MMBTU)]*DetailTable2[Energy Savings: kwh(MMBTU)]</f>
        <v>13387.96103761755</v>
      </c>
      <c r="R58" s="15">
        <f ca="1">DetailTable2[Unit Cost in $/MMBtu for column: TOTAL  (MMBtu)]*DetailTable2[Energy Savings: TOTAL  (MMBtu)]</f>
        <v>0</v>
      </c>
      <c r="S58" s="15"/>
      <c r="T58" s="15"/>
      <c r="U58" s="15"/>
      <c r="V58" s="15"/>
      <c r="W58" s="15"/>
      <c r="X58" s="15"/>
    </row>
    <row r="59" spans="1:24" x14ac:dyDescent="0.3">
      <c r="A59" s="1">
        <v>39630</v>
      </c>
      <c r="B59" s="15">
        <v>51502.924764890275</v>
      </c>
      <c r="C59" s="15">
        <v>527.20587813936663</v>
      </c>
      <c r="D59" s="15">
        <v>74</v>
      </c>
      <c r="E59" s="15">
        <v>3</v>
      </c>
      <c r="F59" s="16" t="s">
        <v>9</v>
      </c>
      <c r="G59" s="15">
        <f>DetailTable2[kwh(MMBTU)]</f>
        <v>527.20587813936663</v>
      </c>
      <c r="H59" s="15">
        <f>SUM(SUMIFS(DetailTable2[Avg Monthly Mean Temp],DetailTable2[Period],DetailTable2[Period]))</f>
        <v>598.1</v>
      </c>
      <c r="I59" s="15" t="s">
        <v>10</v>
      </c>
      <c r="J59" s="15">
        <v>0</v>
      </c>
      <c r="K59" s="15">
        <f ca="1">IF(OFFSET(INDIRECT(ADDRESS(ROW(),COLUMN(DetailTable2[Period]))),-1,0,1,1) = OFFSET(INDIRECT(ADDRESS(ROW(),COLUMN(DetailTable2[Period]))),0,0,1,1),OFFSET(INDIRECT(ADDRESS(ROW(),COLUMN())),-1,0,1,1) + 1,1)</f>
        <v>11</v>
      </c>
      <c r="L59" s="15">
        <f ca="1">IF(DetailTable2[Period] = DetailTable2[Baseline Year],IF(OFFSET(INDIRECT(ADDRESS(ROW(),COLUMN(DetailTable2[Period]))),-1,0,1,1) = OFFSET(INDIRECT(ADDRESS(ROW(),COLUMN(DetailTable2[Period]))),0,0,1,1),OFFSET(INDIRECT(ADDRESS(ROW(),COLUMN())),-1,0,1,1) + 1,1),0)</f>
        <v>0</v>
      </c>
      <c r="M59" s="15">
        <f ca="1">IF(DetailTable2[Period]=DetailTable2[Baseline Year],DetailTable2[kwh(MMBTU)],IF(DetailTable2[Period Count] &lt;= MAX(DetailTable2[Baseline Count]),INDEX(DetailTable2[],DetailTable2[Period Count],COLUMN(DetailTable2[kwh(MMBTU)])),DetailTable2[kwh(MMBTU)]))-DetailTable2[kwh(MMBTU)]</f>
        <v>88.581641583929354</v>
      </c>
      <c r="N59" s="15">
        <f ca="1">IF(DetailTable2[Period]=DetailTable2[Baseline Year],DetailTable2[TOTAL  (MMBtu)],IF(DetailTable2[Period Count] &lt;= MAX(DetailTable2[Baseline Count]),INDEX(DetailTable2[],DetailTable2[Period Count],COLUMN(DetailTable2[TOTAL  (MMBtu)])),DetailTable2[TOTAL  (MMBtu)]))-DetailTable2[TOTAL  (MMBtu)]</f>
        <v>88.581641583929354</v>
      </c>
      <c r="O59" s="15">
        <f>DetailTable2[kwh]/DetailTable2[kwh(MMBTU)]</f>
        <v>97.690346220448433</v>
      </c>
      <c r="P59" s="15"/>
      <c r="Q59" s="15">
        <f ca="1">DetailTable2[Unit Cost in $/MMBtu for column: kwh(MMBTU)]*DetailTable2[Energy Savings: kwh(MMBTU)]</f>
        <v>8653.57123510973</v>
      </c>
      <c r="R59" s="15">
        <f ca="1">DetailTable2[Unit Cost in $/MMBtu for column: TOTAL  (MMBtu)]*DetailTable2[Energy Savings: TOTAL  (MMBtu)]</f>
        <v>0</v>
      </c>
      <c r="S59" s="15"/>
      <c r="T59" s="15"/>
      <c r="U59" s="15"/>
      <c r="V59" s="15"/>
      <c r="W59" s="15"/>
      <c r="X59" s="15"/>
    </row>
    <row r="60" spans="1:24" x14ac:dyDescent="0.3">
      <c r="A60" s="1">
        <v>39661</v>
      </c>
      <c r="B60" s="15">
        <v>47462.454545454544</v>
      </c>
      <c r="C60" s="15">
        <v>485.84590373290911</v>
      </c>
      <c r="D60" s="15">
        <v>72.7</v>
      </c>
      <c r="E60" s="15">
        <v>0</v>
      </c>
      <c r="F60" s="16" t="s">
        <v>9</v>
      </c>
      <c r="G60" s="15">
        <f>DetailTable2[kwh(MMBTU)]</f>
        <v>485.84590373290911</v>
      </c>
      <c r="H60" s="15">
        <f>SUM(SUMIFS(DetailTable2[Avg Monthly Mean Temp],DetailTable2[Period],DetailTable2[Period]))</f>
        <v>598.1</v>
      </c>
      <c r="I60" s="15" t="s">
        <v>10</v>
      </c>
      <c r="J60" s="15">
        <v>0</v>
      </c>
      <c r="K60" s="15">
        <f ca="1">IF(OFFSET(INDIRECT(ADDRESS(ROW(),COLUMN(DetailTable2[Period]))),-1,0,1,1) = OFFSET(INDIRECT(ADDRESS(ROW(),COLUMN(DetailTable2[Period]))),0,0,1,1),OFFSET(INDIRECT(ADDRESS(ROW(),COLUMN())),-1,0,1,1) + 1,1)</f>
        <v>12</v>
      </c>
      <c r="L60" s="15">
        <f ca="1">IF(DetailTable2[Period] = DetailTable2[Baseline Year],IF(OFFSET(INDIRECT(ADDRESS(ROW(),COLUMN(DetailTable2[Period]))),-1,0,1,1) = OFFSET(INDIRECT(ADDRESS(ROW(),COLUMN(DetailTable2[Period]))),0,0,1,1),OFFSET(INDIRECT(ADDRESS(ROW(),COLUMN())),-1,0,1,1) + 1,1),0)</f>
        <v>0</v>
      </c>
      <c r="M60" s="15">
        <f ca="1">IF(DetailTable2[Period]=DetailTable2[Baseline Year],DetailTable2[kwh(MMBTU)],IF(DetailTable2[Period Count] &lt;= MAX(DetailTable2[Baseline Count]),INDEX(DetailTable2[],DetailTable2[Period Count],COLUMN(DetailTable2[kwh(MMBTU)])),DetailTable2[kwh(MMBTU)]))-DetailTable2[kwh(MMBTU)]</f>
        <v>115.44517847337494</v>
      </c>
      <c r="N60" s="15">
        <f ca="1">IF(DetailTable2[Period]=DetailTable2[Baseline Year],DetailTable2[TOTAL  (MMBtu)],IF(DetailTable2[Period Count] &lt;= MAX(DetailTable2[Baseline Count]),INDEX(DetailTable2[],DetailTable2[Period Count],COLUMN(DetailTable2[TOTAL  (MMBtu)])),DetailTable2[TOTAL  (MMBtu)]))-DetailTable2[TOTAL  (MMBtu)]</f>
        <v>115.44517847337494</v>
      </c>
      <c r="O60" s="15">
        <f>DetailTable2[kwh]/DetailTable2[kwh(MMBTU)]</f>
        <v>97.690346220448419</v>
      </c>
      <c r="P60" s="15"/>
      <c r="Q60" s="15">
        <f ca="1">DetailTable2[Unit Cost in $/MMBtu for column: kwh(MMBTU)]*DetailTable2[Energy Savings: kwh(MMBTU)]</f>
        <v>11277.879454545457</v>
      </c>
      <c r="R60" s="15">
        <f ca="1">DetailTable2[Unit Cost in $/MMBtu for column: TOTAL  (MMBtu)]*DetailTable2[Energy Savings: TOTAL  (MMBtu)]</f>
        <v>0</v>
      </c>
      <c r="S60" s="15"/>
      <c r="T60" s="15"/>
      <c r="U60" s="15"/>
      <c r="V60" s="15"/>
      <c r="W60" s="15"/>
      <c r="X60" s="15"/>
    </row>
    <row r="61" spans="1:24" x14ac:dyDescent="0.3">
      <c r="B61" s="15"/>
      <c r="C61" s="15"/>
      <c r="D61" s="15"/>
      <c r="E61" s="15"/>
      <c r="F61" s="16"/>
      <c r="G61" s="15"/>
      <c r="H61" s="15"/>
      <c r="I61" s="15"/>
      <c r="J61" s="15"/>
      <c r="K61" s="15"/>
      <c r="L61" s="15"/>
      <c r="M61" s="15"/>
      <c r="N61" s="15"/>
      <c r="O61" s="15"/>
      <c r="P61" s="15"/>
      <c r="Q61" s="15"/>
      <c r="R61" s="15"/>
      <c r="S61" s="15"/>
      <c r="T61" s="15"/>
      <c r="U61" s="15"/>
      <c r="V61" s="15"/>
      <c r="W61" s="15"/>
      <c r="X61" s="15"/>
    </row>
    <row r="62" spans="1:24" x14ac:dyDescent="0.3">
      <c r="B62" s="15"/>
      <c r="C62" s="15"/>
      <c r="D62" s="15"/>
      <c r="E62" s="15"/>
      <c r="F62" s="16"/>
      <c r="G62" s="15"/>
      <c r="H62" s="15"/>
      <c r="I62" s="15"/>
      <c r="J62" s="15"/>
      <c r="K62" s="15"/>
      <c r="L62" s="15"/>
      <c r="M62" s="15"/>
      <c r="N62" s="15"/>
      <c r="O62" s="15"/>
      <c r="P62" s="15"/>
      <c r="Q62" s="15"/>
      <c r="R62" s="15"/>
      <c r="S62" s="15"/>
      <c r="T62" s="15"/>
      <c r="U62" s="15"/>
      <c r="V62" s="15"/>
      <c r="W62" s="15"/>
      <c r="X62" s="15"/>
    </row>
    <row r="63" spans="1:24" x14ac:dyDescent="0.3">
      <c r="B63" s="15"/>
      <c r="C63" s="15"/>
      <c r="D63" s="15"/>
      <c r="E63" s="15"/>
      <c r="F63" s="16"/>
      <c r="G63" s="15"/>
      <c r="H63" s="15"/>
      <c r="I63" s="15"/>
      <c r="J63" s="15"/>
      <c r="K63" s="15"/>
      <c r="L63" s="15"/>
      <c r="M63" s="15"/>
      <c r="N63" s="15"/>
      <c r="O63" s="15"/>
      <c r="P63" s="15"/>
      <c r="Q63" s="15"/>
      <c r="R63" s="15"/>
      <c r="S63" s="15"/>
      <c r="T63" s="15"/>
      <c r="U63" s="15"/>
      <c r="V63" s="15"/>
      <c r="W63" s="15"/>
      <c r="X63" s="15"/>
    </row>
    <row r="64" spans="1:24" x14ac:dyDescent="0.3">
      <c r="B64" s="15"/>
      <c r="C64" s="15"/>
      <c r="D64" s="15"/>
      <c r="E64" s="15"/>
      <c r="F64" s="16"/>
      <c r="G64" s="15"/>
      <c r="H64" s="15"/>
      <c r="I64" s="15"/>
      <c r="J64" s="15"/>
      <c r="K64" s="15"/>
      <c r="L64" s="15"/>
      <c r="M64" s="15"/>
      <c r="N64" s="15"/>
      <c r="O64" s="15"/>
      <c r="P64" s="15"/>
      <c r="Q64" s="15"/>
      <c r="R64" s="15"/>
      <c r="S64" s="15"/>
      <c r="T64" s="15"/>
      <c r="U64" s="15"/>
      <c r="V64" s="15"/>
      <c r="W64" s="15"/>
      <c r="X64" s="15"/>
    </row>
    <row r="65" spans="2:24" x14ac:dyDescent="0.3">
      <c r="B65" s="15"/>
      <c r="C65" s="15"/>
      <c r="D65" s="15"/>
      <c r="E65" s="15"/>
      <c r="F65" s="16"/>
      <c r="G65" s="15"/>
      <c r="H65" s="15"/>
      <c r="I65" s="15"/>
      <c r="J65" s="15"/>
      <c r="K65" s="15"/>
      <c r="L65" s="15"/>
      <c r="M65" s="15"/>
      <c r="N65" s="15"/>
      <c r="O65" s="15"/>
      <c r="P65" s="15"/>
      <c r="Q65" s="15"/>
      <c r="R65" s="15"/>
      <c r="S65" s="15"/>
      <c r="T65" s="15"/>
      <c r="U65" s="15"/>
      <c r="V65" s="15"/>
      <c r="W65" s="15"/>
      <c r="X65" s="15"/>
    </row>
    <row r="66" spans="2:24" x14ac:dyDescent="0.3">
      <c r="B66" s="15"/>
      <c r="C66" s="15"/>
      <c r="D66" s="15"/>
      <c r="E66" s="15"/>
      <c r="F66" s="16"/>
      <c r="G66" s="15"/>
      <c r="H66" s="15"/>
      <c r="I66" s="15"/>
      <c r="J66" s="15"/>
      <c r="K66" s="15"/>
      <c r="L66" s="15"/>
      <c r="M66" s="15"/>
      <c r="N66" s="15"/>
      <c r="O66" s="15"/>
      <c r="P66" s="15"/>
      <c r="Q66" s="15"/>
      <c r="R66" s="15"/>
      <c r="S66" s="15"/>
      <c r="T66" s="15"/>
      <c r="U66" s="15"/>
      <c r="V66" s="15"/>
      <c r="W66" s="15"/>
      <c r="X66" s="15"/>
    </row>
    <row r="67" spans="2:24" x14ac:dyDescent="0.3">
      <c r="B67" s="15"/>
      <c r="C67" s="15"/>
      <c r="D67" s="15"/>
      <c r="E67" s="15"/>
      <c r="F67" s="16"/>
      <c r="G67" s="15"/>
      <c r="H67" s="15"/>
      <c r="I67" s="15"/>
      <c r="J67" s="15"/>
      <c r="K67" s="15"/>
      <c r="L67" s="15"/>
      <c r="M67" s="15"/>
      <c r="N67" s="15"/>
      <c r="O67" s="15"/>
      <c r="P67" s="15"/>
      <c r="Q67" s="15"/>
      <c r="R67" s="15"/>
      <c r="S67" s="15"/>
      <c r="T67" s="15"/>
      <c r="U67" s="15"/>
      <c r="V67" s="15"/>
      <c r="W67" s="15"/>
      <c r="X67" s="15"/>
    </row>
    <row r="68" spans="2:24" x14ac:dyDescent="0.3">
      <c r="B68" s="15"/>
      <c r="C68" s="15"/>
      <c r="D68" s="15"/>
      <c r="E68" s="15"/>
      <c r="F68" s="16"/>
      <c r="G68" s="15"/>
      <c r="H68" s="15"/>
      <c r="I68" s="15"/>
      <c r="J68" s="15"/>
      <c r="K68" s="15"/>
      <c r="L68" s="15"/>
      <c r="M68" s="15"/>
      <c r="N68" s="15"/>
      <c r="O68" s="15"/>
      <c r="P68" s="15"/>
      <c r="Q68" s="15"/>
      <c r="R68" s="15"/>
      <c r="S68" s="15"/>
      <c r="T68" s="15"/>
      <c r="U68" s="15"/>
      <c r="V68" s="15"/>
      <c r="W68" s="15"/>
      <c r="X68" s="15"/>
    </row>
    <row r="69" spans="2:24" x14ac:dyDescent="0.3">
      <c r="B69" s="15"/>
      <c r="C69" s="15"/>
      <c r="D69" s="15"/>
      <c r="E69" s="15"/>
      <c r="F69" s="16"/>
      <c r="G69" s="15"/>
      <c r="H69" s="15"/>
      <c r="I69" s="15"/>
      <c r="J69" s="15"/>
      <c r="K69" s="15"/>
      <c r="L69" s="15"/>
      <c r="M69" s="15"/>
      <c r="N69" s="15"/>
      <c r="O69" s="15"/>
      <c r="P69" s="15"/>
      <c r="Q69" s="15"/>
      <c r="R69" s="15"/>
      <c r="S69" s="15"/>
      <c r="T69" s="15"/>
      <c r="U69" s="15"/>
      <c r="V69" s="15"/>
      <c r="W69" s="15"/>
      <c r="X69" s="15"/>
    </row>
    <row r="70" spans="2:24" x14ac:dyDescent="0.3">
      <c r="B70" s="15"/>
      <c r="C70" s="15"/>
      <c r="D70" s="15"/>
      <c r="E70" s="15"/>
      <c r="F70" s="16"/>
      <c r="G70" s="15"/>
      <c r="H70" s="15"/>
      <c r="I70" s="15"/>
      <c r="J70" s="15"/>
      <c r="K70" s="15"/>
      <c r="L70" s="15"/>
      <c r="M70" s="15"/>
      <c r="N70" s="15"/>
      <c r="O70" s="15"/>
      <c r="P70" s="15"/>
      <c r="Q70" s="15"/>
      <c r="R70" s="15"/>
      <c r="S70" s="15"/>
      <c r="T70" s="15"/>
      <c r="U70" s="15"/>
      <c r="V70" s="15"/>
      <c r="W70" s="15"/>
      <c r="X70" s="15"/>
    </row>
    <row r="71" spans="2:24" x14ac:dyDescent="0.3">
      <c r="B71" s="15"/>
      <c r="C71" s="15"/>
      <c r="D71" s="15"/>
      <c r="E71" s="15"/>
      <c r="F71" s="16"/>
      <c r="G71" s="15"/>
      <c r="H71" s="15"/>
      <c r="I71" s="15"/>
      <c r="J71" s="15"/>
      <c r="K71" s="15"/>
      <c r="L71" s="15"/>
      <c r="M71" s="15"/>
      <c r="N71" s="15"/>
      <c r="O71" s="15"/>
      <c r="P71" s="15"/>
      <c r="Q71" s="15"/>
      <c r="R71" s="15"/>
      <c r="S71" s="15"/>
      <c r="T71" s="15"/>
      <c r="U71" s="15"/>
      <c r="V71" s="15"/>
      <c r="W71" s="15"/>
      <c r="X71" s="15"/>
    </row>
    <row r="72" spans="2:24" x14ac:dyDescent="0.3">
      <c r="B72" s="15"/>
      <c r="C72" s="15"/>
      <c r="D72" s="15"/>
      <c r="E72" s="15"/>
      <c r="F72" s="16"/>
      <c r="G72" s="15"/>
      <c r="H72" s="15"/>
      <c r="I72" s="15"/>
      <c r="J72" s="15"/>
      <c r="K72" s="15"/>
      <c r="L72" s="15"/>
      <c r="M72" s="15"/>
      <c r="N72" s="15"/>
      <c r="O72" s="15"/>
      <c r="P72" s="15"/>
      <c r="Q72" s="15"/>
      <c r="R72" s="15"/>
      <c r="S72" s="15"/>
      <c r="T72" s="15"/>
      <c r="U72" s="15"/>
      <c r="V72" s="15"/>
      <c r="W72" s="15"/>
      <c r="X72" s="15"/>
    </row>
    <row r="73" spans="2:24" x14ac:dyDescent="0.3">
      <c r="B73" s="15"/>
      <c r="C73" s="15"/>
      <c r="D73" s="15"/>
      <c r="E73" s="15"/>
      <c r="F73" s="16"/>
      <c r="G73" s="15"/>
      <c r="H73" s="15"/>
      <c r="I73" s="15"/>
      <c r="J73" s="15"/>
      <c r="K73" s="15"/>
      <c r="L73" s="15"/>
      <c r="M73" s="15"/>
      <c r="N73" s="15"/>
      <c r="O73" s="15"/>
      <c r="P73" s="15"/>
      <c r="Q73" s="15"/>
      <c r="R73" s="15"/>
      <c r="S73" s="15"/>
      <c r="T73" s="15"/>
      <c r="U73" s="15"/>
      <c r="V73" s="15"/>
      <c r="W73" s="15"/>
      <c r="X73" s="15"/>
    </row>
    <row r="74" spans="2:24" x14ac:dyDescent="0.3">
      <c r="B74" s="15"/>
      <c r="C74" s="15"/>
      <c r="D74" s="15"/>
      <c r="E74" s="15"/>
      <c r="F74" s="16"/>
      <c r="G74" s="15"/>
      <c r="H74" s="15"/>
      <c r="I74" s="15"/>
      <c r="J74" s="15"/>
      <c r="K74" s="15"/>
      <c r="L74" s="15"/>
      <c r="M74" s="15"/>
      <c r="N74" s="15"/>
      <c r="O74" s="15"/>
      <c r="P74" s="15"/>
      <c r="Q74" s="15"/>
      <c r="R74" s="15"/>
      <c r="S74" s="15"/>
      <c r="T74" s="15"/>
      <c r="U74" s="15"/>
      <c r="V74" s="15"/>
      <c r="W74" s="15"/>
      <c r="X74" s="15"/>
    </row>
    <row r="75" spans="2:24" x14ac:dyDescent="0.3">
      <c r="B75" s="15"/>
      <c r="C75" s="15"/>
      <c r="D75" s="15"/>
      <c r="E75" s="15"/>
      <c r="F75" s="16"/>
      <c r="G75" s="15"/>
      <c r="H75" s="15"/>
      <c r="I75" s="15"/>
      <c r="J75" s="15"/>
      <c r="K75" s="15"/>
      <c r="L75" s="15"/>
      <c r="M75" s="15"/>
      <c r="N75" s="15"/>
      <c r="O75" s="15"/>
      <c r="P75" s="15"/>
      <c r="Q75" s="15"/>
      <c r="R75" s="15"/>
      <c r="S75" s="15"/>
      <c r="T75" s="15"/>
      <c r="U75" s="15"/>
      <c r="V75" s="15"/>
      <c r="W75" s="15"/>
      <c r="X75" s="15"/>
    </row>
    <row r="76" spans="2:24" x14ac:dyDescent="0.3">
      <c r="B76" s="15"/>
      <c r="C76" s="15"/>
      <c r="D76" s="15"/>
      <c r="E76" s="15"/>
      <c r="F76" s="16"/>
      <c r="G76" s="15"/>
      <c r="H76" s="15"/>
      <c r="I76" s="15"/>
      <c r="J76" s="15"/>
      <c r="K76" s="15"/>
      <c r="L76" s="15"/>
      <c r="M76" s="15"/>
      <c r="N76" s="15"/>
      <c r="O76" s="15"/>
      <c r="P76" s="15"/>
      <c r="Q76" s="15"/>
      <c r="R76" s="15"/>
      <c r="S76" s="15"/>
      <c r="T76" s="15"/>
      <c r="U76" s="15"/>
      <c r="V76" s="15"/>
      <c r="W76" s="15"/>
      <c r="X76" s="15"/>
    </row>
    <row r="77" spans="2:24" x14ac:dyDescent="0.3">
      <c r="B77" s="15"/>
      <c r="C77" s="15"/>
      <c r="D77" s="15"/>
      <c r="E77" s="15"/>
      <c r="F77" s="16"/>
      <c r="G77" s="15"/>
      <c r="H77" s="15"/>
      <c r="I77" s="15"/>
      <c r="J77" s="15"/>
      <c r="K77" s="15"/>
      <c r="L77" s="15"/>
      <c r="M77" s="15"/>
      <c r="N77" s="15"/>
      <c r="O77" s="15"/>
      <c r="P77" s="15"/>
      <c r="Q77" s="15"/>
      <c r="R77" s="15"/>
      <c r="S77" s="15"/>
      <c r="T77" s="15"/>
      <c r="U77" s="15"/>
      <c r="V77" s="15"/>
      <c r="W77" s="15"/>
      <c r="X77" s="15"/>
    </row>
    <row r="78" spans="2:24" x14ac:dyDescent="0.3">
      <c r="B78" s="15"/>
      <c r="C78" s="15"/>
      <c r="D78" s="15"/>
      <c r="E78" s="15"/>
      <c r="F78" s="16"/>
      <c r="G78" s="15"/>
      <c r="H78" s="15"/>
      <c r="I78" s="15"/>
      <c r="J78" s="15"/>
      <c r="K78" s="15"/>
      <c r="L78" s="15"/>
      <c r="M78" s="15"/>
      <c r="N78" s="15"/>
      <c r="O78" s="15"/>
      <c r="P78" s="15"/>
      <c r="Q78" s="15"/>
      <c r="R78" s="15"/>
      <c r="S78" s="15"/>
      <c r="T78" s="15"/>
      <c r="U78" s="15"/>
      <c r="V78" s="15"/>
      <c r="W78" s="15"/>
      <c r="X78" s="15"/>
    </row>
    <row r="79" spans="2:24" x14ac:dyDescent="0.3">
      <c r="B79" s="15"/>
      <c r="C79" s="15"/>
      <c r="D79" s="15"/>
      <c r="E79" s="15"/>
      <c r="F79" s="16"/>
      <c r="G79" s="15"/>
      <c r="H79" s="15"/>
      <c r="I79" s="15"/>
      <c r="J79" s="15"/>
      <c r="K79" s="15"/>
      <c r="L79" s="15"/>
      <c r="M79" s="15"/>
      <c r="N79" s="15"/>
      <c r="O79" s="15"/>
      <c r="P79" s="15"/>
      <c r="Q79" s="15"/>
      <c r="R79" s="15"/>
      <c r="S79" s="15"/>
      <c r="T79" s="15"/>
      <c r="U79" s="15"/>
      <c r="V79" s="15"/>
      <c r="W79" s="15"/>
      <c r="X79" s="15"/>
    </row>
    <row r="80" spans="2:24" x14ac:dyDescent="0.3">
      <c r="B80" s="15"/>
      <c r="C80" s="15"/>
      <c r="D80" s="15"/>
      <c r="E80" s="15"/>
      <c r="F80" s="16"/>
      <c r="G80" s="15"/>
      <c r="H80" s="15"/>
      <c r="I80" s="15"/>
      <c r="J80" s="15"/>
      <c r="K80" s="15"/>
      <c r="L80" s="15"/>
      <c r="M80" s="15"/>
      <c r="N80" s="15"/>
      <c r="O80" s="15"/>
      <c r="P80" s="15"/>
      <c r="Q80" s="15"/>
      <c r="R80" s="15"/>
      <c r="S80" s="15"/>
      <c r="T80" s="15"/>
      <c r="U80" s="15"/>
      <c r="V80" s="15"/>
      <c r="W80" s="15"/>
      <c r="X80" s="15"/>
    </row>
    <row r="81" spans="2:24" x14ac:dyDescent="0.3">
      <c r="B81" s="15"/>
      <c r="C81" s="15"/>
      <c r="D81" s="15"/>
      <c r="E81" s="15"/>
      <c r="F81" s="16"/>
      <c r="G81" s="15"/>
      <c r="H81" s="15"/>
      <c r="I81" s="15"/>
      <c r="J81" s="15"/>
      <c r="K81" s="15"/>
      <c r="L81" s="15"/>
      <c r="M81" s="15"/>
      <c r="N81" s="15"/>
      <c r="O81" s="15"/>
      <c r="P81" s="15"/>
      <c r="Q81" s="15"/>
      <c r="R81" s="15"/>
      <c r="S81" s="15"/>
      <c r="T81" s="15"/>
      <c r="U81" s="15"/>
      <c r="V81" s="15"/>
      <c r="W81" s="15"/>
      <c r="X81" s="15"/>
    </row>
    <row r="82" spans="2:24" x14ac:dyDescent="0.3">
      <c r="B82" s="15"/>
      <c r="C82" s="15"/>
      <c r="D82" s="15"/>
      <c r="E82" s="15"/>
      <c r="F82" s="16"/>
      <c r="G82" s="15"/>
      <c r="H82" s="15"/>
      <c r="I82" s="15"/>
      <c r="J82" s="15"/>
      <c r="K82" s="15"/>
      <c r="L82" s="15"/>
      <c r="M82" s="15"/>
      <c r="N82" s="15"/>
      <c r="O82" s="15"/>
      <c r="P82" s="15"/>
      <c r="Q82" s="15"/>
      <c r="R82" s="15"/>
      <c r="S82" s="15"/>
      <c r="T82" s="15"/>
      <c r="U82" s="15"/>
      <c r="V82" s="15"/>
      <c r="W82" s="15"/>
      <c r="X82" s="15"/>
    </row>
    <row r="83" spans="2:24" x14ac:dyDescent="0.3">
      <c r="B83" s="15"/>
      <c r="C83" s="15"/>
      <c r="D83" s="15"/>
      <c r="E83" s="15"/>
      <c r="F83" s="16"/>
      <c r="G83" s="15"/>
      <c r="H83" s="15"/>
      <c r="I83" s="15"/>
      <c r="J83" s="15"/>
      <c r="K83" s="15"/>
      <c r="L83" s="15"/>
      <c r="M83" s="15"/>
      <c r="N83" s="15"/>
      <c r="O83" s="15"/>
      <c r="P83" s="15"/>
      <c r="Q83" s="15"/>
      <c r="R83" s="15"/>
      <c r="S83" s="15"/>
      <c r="T83" s="15"/>
      <c r="U83" s="15"/>
      <c r="V83" s="15"/>
      <c r="W83" s="15"/>
      <c r="X83" s="15"/>
    </row>
    <row r="84" spans="2:24" x14ac:dyDescent="0.3">
      <c r="B84" s="15"/>
      <c r="C84" s="15"/>
      <c r="D84" s="15"/>
      <c r="E84" s="15"/>
      <c r="F84" s="16"/>
      <c r="G84" s="15"/>
      <c r="H84" s="15"/>
      <c r="I84" s="15"/>
      <c r="J84" s="15"/>
      <c r="K84" s="15"/>
      <c r="L84" s="15"/>
      <c r="M84" s="15"/>
      <c r="N84" s="15"/>
      <c r="O84" s="15"/>
      <c r="P84" s="15"/>
      <c r="Q84" s="15"/>
      <c r="R84" s="15"/>
      <c r="S84" s="15"/>
      <c r="T84" s="15"/>
      <c r="U84" s="15"/>
      <c r="V84" s="15"/>
      <c r="W84" s="15"/>
      <c r="X84" s="15"/>
    </row>
    <row r="85" spans="2:24" x14ac:dyDescent="0.3">
      <c r="B85" s="15"/>
      <c r="C85" s="15"/>
      <c r="D85" s="15"/>
      <c r="E85" s="15"/>
      <c r="F85" s="16"/>
      <c r="G85" s="15"/>
      <c r="H85" s="15"/>
      <c r="I85" s="15"/>
      <c r="J85" s="15"/>
      <c r="K85" s="15"/>
      <c r="L85" s="15"/>
      <c r="M85" s="15"/>
      <c r="N85" s="15"/>
      <c r="O85" s="15"/>
      <c r="P85" s="15"/>
      <c r="Q85" s="15"/>
      <c r="R85" s="15"/>
      <c r="S85" s="15"/>
      <c r="T85" s="15"/>
      <c r="U85" s="15"/>
      <c r="V85" s="15"/>
      <c r="W85" s="15"/>
      <c r="X85" s="15"/>
    </row>
    <row r="86" spans="2:24" x14ac:dyDescent="0.3">
      <c r="B86" s="15"/>
      <c r="C86" s="15"/>
      <c r="D86" s="15"/>
      <c r="E86" s="15"/>
      <c r="F86" s="16"/>
      <c r="G86" s="15"/>
      <c r="H86" s="15"/>
      <c r="I86" s="15"/>
      <c r="J86" s="15"/>
      <c r="K86" s="15"/>
      <c r="L86" s="15"/>
      <c r="M86" s="15"/>
      <c r="N86" s="15"/>
      <c r="O86" s="15"/>
      <c r="P86" s="15"/>
      <c r="Q86" s="15"/>
      <c r="R86" s="15"/>
      <c r="S86" s="15"/>
      <c r="T86" s="15"/>
      <c r="U86" s="15"/>
      <c r="V86" s="15"/>
      <c r="W86" s="15"/>
      <c r="X86" s="15"/>
    </row>
    <row r="87" spans="2:24" x14ac:dyDescent="0.3">
      <c r="B87" s="15"/>
      <c r="C87" s="15"/>
      <c r="D87" s="15"/>
      <c r="E87" s="15"/>
      <c r="F87" s="16"/>
      <c r="G87" s="15"/>
      <c r="H87" s="15"/>
      <c r="I87" s="15"/>
      <c r="J87" s="15"/>
      <c r="K87" s="15"/>
      <c r="L87" s="15"/>
      <c r="M87" s="15"/>
      <c r="N87" s="15"/>
      <c r="O87" s="15"/>
      <c r="P87" s="15"/>
      <c r="Q87" s="15"/>
      <c r="R87" s="15"/>
      <c r="S87" s="15"/>
      <c r="T87" s="15"/>
      <c r="U87" s="15"/>
      <c r="V87" s="15"/>
      <c r="W87" s="15"/>
      <c r="X87" s="15"/>
    </row>
    <row r="88" spans="2:24" x14ac:dyDescent="0.3">
      <c r="B88" s="15"/>
      <c r="C88" s="15"/>
      <c r="D88" s="15"/>
      <c r="E88" s="15"/>
      <c r="F88" s="16"/>
      <c r="G88" s="15"/>
      <c r="H88" s="15"/>
      <c r="I88" s="15"/>
      <c r="J88" s="15"/>
      <c r="K88" s="15"/>
      <c r="L88" s="15"/>
      <c r="M88" s="15"/>
      <c r="N88" s="15"/>
      <c r="O88" s="15"/>
      <c r="P88" s="15"/>
      <c r="Q88" s="15"/>
      <c r="R88" s="15"/>
      <c r="S88" s="15"/>
      <c r="T88" s="15"/>
      <c r="U88" s="15"/>
      <c r="V88" s="15"/>
      <c r="W88" s="15"/>
      <c r="X88" s="15"/>
    </row>
    <row r="89" spans="2:24" x14ac:dyDescent="0.3">
      <c r="B89" s="15"/>
      <c r="C89" s="15"/>
      <c r="D89" s="15"/>
      <c r="E89" s="15"/>
      <c r="F89" s="16"/>
      <c r="G89" s="15"/>
      <c r="H89" s="15"/>
      <c r="I89" s="15"/>
      <c r="J89" s="15"/>
      <c r="K89" s="15"/>
      <c r="L89" s="15"/>
      <c r="M89" s="15"/>
      <c r="N89" s="15"/>
      <c r="O89" s="15"/>
      <c r="P89" s="15"/>
      <c r="Q89" s="15"/>
      <c r="R89" s="15"/>
      <c r="S89" s="15"/>
      <c r="T89" s="15"/>
      <c r="U89" s="15"/>
      <c r="V89" s="15"/>
      <c r="W89" s="15"/>
      <c r="X89" s="15"/>
    </row>
    <row r="90" spans="2:24" x14ac:dyDescent="0.3">
      <c r="B90" s="15"/>
      <c r="C90" s="15"/>
      <c r="D90" s="15"/>
      <c r="E90" s="15"/>
      <c r="F90" s="16"/>
      <c r="G90" s="15"/>
      <c r="H90" s="15"/>
      <c r="I90" s="15"/>
      <c r="J90" s="15"/>
      <c r="K90" s="15"/>
      <c r="L90" s="15"/>
      <c r="M90" s="15"/>
      <c r="N90" s="15"/>
      <c r="O90" s="15"/>
      <c r="P90" s="15"/>
      <c r="Q90" s="15"/>
      <c r="R90" s="15"/>
      <c r="S90" s="15"/>
      <c r="T90" s="15"/>
      <c r="U90" s="15"/>
      <c r="V90" s="15"/>
      <c r="W90" s="15"/>
      <c r="X90" s="15"/>
    </row>
    <row r="91" spans="2:24" x14ac:dyDescent="0.3">
      <c r="B91" s="15"/>
      <c r="C91" s="15"/>
      <c r="D91" s="15"/>
      <c r="E91" s="15"/>
      <c r="F91" s="16"/>
      <c r="G91" s="15"/>
      <c r="H91" s="15"/>
      <c r="I91" s="15"/>
      <c r="J91" s="15"/>
      <c r="K91" s="15"/>
      <c r="L91" s="15"/>
      <c r="M91" s="15"/>
      <c r="N91" s="15"/>
      <c r="O91" s="15"/>
      <c r="P91" s="15"/>
      <c r="Q91" s="15"/>
      <c r="R91" s="15"/>
      <c r="S91" s="15"/>
      <c r="T91" s="15"/>
      <c r="U91" s="15"/>
      <c r="V91" s="15"/>
      <c r="W91" s="15"/>
      <c r="X91" s="15"/>
    </row>
    <row r="92" spans="2:24" x14ac:dyDescent="0.3">
      <c r="B92" s="15"/>
      <c r="C92" s="15"/>
      <c r="D92" s="15"/>
      <c r="E92" s="15"/>
      <c r="F92" s="16"/>
      <c r="G92" s="15"/>
      <c r="H92" s="15"/>
      <c r="I92" s="15"/>
      <c r="J92" s="15"/>
      <c r="K92" s="15"/>
      <c r="L92" s="15"/>
      <c r="M92" s="15"/>
      <c r="N92" s="15"/>
      <c r="O92" s="15"/>
      <c r="P92" s="15"/>
      <c r="Q92" s="15"/>
      <c r="R92" s="15"/>
      <c r="S92" s="15"/>
      <c r="T92" s="15"/>
      <c r="U92" s="15"/>
      <c r="V92" s="15"/>
      <c r="W92" s="15"/>
      <c r="X92" s="15"/>
    </row>
    <row r="93" spans="2:24" x14ac:dyDescent="0.3">
      <c r="B93" s="15"/>
      <c r="C93" s="15"/>
      <c r="D93" s="15"/>
      <c r="E93" s="15"/>
      <c r="F93" s="16"/>
      <c r="G93" s="15"/>
      <c r="H93" s="15"/>
      <c r="I93" s="15"/>
      <c r="J93" s="15"/>
      <c r="K93" s="15"/>
      <c r="L93" s="15"/>
      <c r="M93" s="15"/>
      <c r="N93" s="15"/>
      <c r="O93" s="15"/>
      <c r="P93" s="15"/>
      <c r="Q93" s="15"/>
      <c r="R93" s="15"/>
      <c r="S93" s="15"/>
      <c r="T93" s="15"/>
      <c r="U93" s="15"/>
      <c r="V93" s="15"/>
      <c r="W93" s="15"/>
      <c r="X93" s="15"/>
    </row>
    <row r="94" spans="2:24" x14ac:dyDescent="0.3">
      <c r="B94" s="15"/>
      <c r="C94" s="15"/>
      <c r="D94" s="15"/>
      <c r="E94" s="15"/>
      <c r="F94" s="16"/>
      <c r="G94" s="15"/>
      <c r="H94" s="15"/>
      <c r="I94" s="15"/>
      <c r="J94" s="15"/>
      <c r="K94" s="15"/>
      <c r="L94" s="15"/>
      <c r="M94" s="15"/>
      <c r="N94" s="15"/>
      <c r="O94" s="15"/>
      <c r="P94" s="15"/>
      <c r="Q94" s="15"/>
      <c r="R94" s="15"/>
      <c r="S94" s="15"/>
      <c r="T94" s="15"/>
      <c r="U94" s="15"/>
      <c r="V94" s="15"/>
      <c r="W94" s="15"/>
      <c r="X94" s="15"/>
    </row>
    <row r="95" spans="2:24" x14ac:dyDescent="0.3">
      <c r="B95" s="15"/>
      <c r="C95" s="15"/>
      <c r="D95" s="15"/>
      <c r="E95" s="15"/>
      <c r="F95" s="16"/>
      <c r="G95" s="15"/>
      <c r="H95" s="15"/>
      <c r="I95" s="15"/>
      <c r="J95" s="15"/>
      <c r="K95" s="15"/>
      <c r="L95" s="15"/>
      <c r="M95" s="15"/>
      <c r="N95" s="15"/>
      <c r="O95" s="15"/>
      <c r="P95" s="15"/>
      <c r="Q95" s="15"/>
      <c r="R95" s="15"/>
      <c r="S95" s="15"/>
      <c r="T95" s="15"/>
      <c r="U95" s="15"/>
      <c r="V95" s="15"/>
      <c r="W95" s="15"/>
      <c r="X95" s="15"/>
    </row>
    <row r="96" spans="2:24" x14ac:dyDescent="0.3">
      <c r="B96" s="15"/>
      <c r="C96" s="15"/>
      <c r="D96" s="15"/>
      <c r="E96" s="15"/>
      <c r="F96" s="16"/>
      <c r="G96" s="15"/>
      <c r="H96" s="15"/>
      <c r="I96" s="15"/>
      <c r="J96" s="15"/>
      <c r="K96" s="15"/>
      <c r="L96" s="15"/>
      <c r="M96" s="15"/>
      <c r="N96" s="15"/>
      <c r="O96" s="15"/>
      <c r="P96" s="15"/>
      <c r="Q96" s="15"/>
      <c r="R96" s="15"/>
      <c r="S96" s="15"/>
      <c r="T96" s="15"/>
      <c r="U96" s="15"/>
      <c r="V96" s="15"/>
      <c r="W96" s="15"/>
      <c r="X96" s="15"/>
    </row>
    <row r="97" spans="2:24" x14ac:dyDescent="0.3">
      <c r="B97" s="15"/>
      <c r="C97" s="15"/>
      <c r="D97" s="15"/>
      <c r="E97" s="15"/>
      <c r="F97" s="16"/>
      <c r="G97" s="15"/>
      <c r="H97" s="15"/>
      <c r="I97" s="15"/>
      <c r="J97" s="15"/>
      <c r="K97" s="15"/>
      <c r="L97" s="15"/>
      <c r="M97" s="15"/>
      <c r="N97" s="15"/>
      <c r="O97" s="15"/>
      <c r="P97" s="15"/>
      <c r="Q97" s="15"/>
      <c r="R97" s="15"/>
      <c r="S97" s="15"/>
      <c r="T97" s="15"/>
      <c r="U97" s="15"/>
      <c r="V97" s="15"/>
      <c r="W97" s="15"/>
      <c r="X97" s="15"/>
    </row>
    <row r="98" spans="2:24" x14ac:dyDescent="0.3">
      <c r="B98" s="15"/>
      <c r="C98" s="15"/>
      <c r="D98" s="15"/>
      <c r="E98" s="15"/>
      <c r="F98" s="16"/>
      <c r="G98" s="15"/>
      <c r="H98" s="15"/>
      <c r="I98" s="15"/>
      <c r="J98" s="15"/>
      <c r="K98" s="15"/>
      <c r="L98" s="15"/>
      <c r="M98" s="15"/>
      <c r="N98" s="15"/>
      <c r="O98" s="15"/>
      <c r="P98" s="15"/>
      <c r="Q98" s="15"/>
      <c r="R98" s="15"/>
      <c r="S98" s="15"/>
      <c r="T98" s="15"/>
      <c r="U98" s="15"/>
      <c r="V98" s="15"/>
      <c r="W98" s="15"/>
      <c r="X98" s="15"/>
    </row>
    <row r="99" spans="2:24" x14ac:dyDescent="0.3">
      <c r="B99" s="15"/>
      <c r="C99" s="15"/>
      <c r="D99" s="15"/>
      <c r="E99" s="15"/>
      <c r="F99" s="16"/>
      <c r="G99" s="15"/>
      <c r="H99" s="15"/>
      <c r="I99" s="15"/>
      <c r="J99" s="15"/>
      <c r="K99" s="15"/>
      <c r="L99" s="15"/>
      <c r="M99" s="15"/>
      <c r="N99" s="15"/>
      <c r="O99" s="15"/>
      <c r="P99" s="15"/>
      <c r="Q99" s="15"/>
      <c r="R99" s="15"/>
      <c r="S99" s="15"/>
      <c r="T99" s="15"/>
      <c r="U99" s="15"/>
      <c r="V99" s="15"/>
      <c r="W99" s="15"/>
      <c r="X99" s="15"/>
    </row>
    <row r="100" spans="2:24" x14ac:dyDescent="0.3">
      <c r="B100" s="15"/>
      <c r="C100" s="15"/>
      <c r="D100" s="15"/>
      <c r="E100" s="15"/>
      <c r="F100" s="16"/>
      <c r="G100" s="15"/>
      <c r="H100" s="15"/>
      <c r="I100" s="15"/>
      <c r="J100" s="15"/>
      <c r="K100" s="15"/>
      <c r="L100" s="15"/>
      <c r="M100" s="15"/>
      <c r="N100" s="15"/>
      <c r="O100" s="15"/>
      <c r="P100" s="15"/>
      <c r="Q100" s="15"/>
      <c r="R100" s="15"/>
      <c r="S100" s="15"/>
      <c r="T100" s="15"/>
      <c r="U100" s="15"/>
      <c r="V100" s="15"/>
      <c r="W100" s="15"/>
      <c r="X100" s="15"/>
    </row>
    <row r="101" spans="2:24" x14ac:dyDescent="0.3">
      <c r="B101" s="15"/>
      <c r="C101" s="15"/>
      <c r="D101" s="15"/>
      <c r="E101" s="15"/>
      <c r="F101" s="16"/>
      <c r="G101" s="15"/>
      <c r="H101" s="15"/>
      <c r="I101" s="15"/>
      <c r="J101" s="15"/>
      <c r="K101" s="15"/>
      <c r="L101" s="15"/>
      <c r="M101" s="15"/>
      <c r="N101" s="15"/>
      <c r="O101" s="15"/>
      <c r="P101" s="15"/>
      <c r="Q101" s="15"/>
      <c r="R101" s="15"/>
      <c r="S101" s="15"/>
      <c r="T101" s="15"/>
      <c r="U101" s="15"/>
      <c r="V101" s="15"/>
      <c r="W101" s="15"/>
      <c r="X101" s="15"/>
    </row>
    <row r="102" spans="2:24" x14ac:dyDescent="0.3">
      <c r="B102" s="15"/>
      <c r="C102" s="15"/>
      <c r="D102" s="15"/>
      <c r="E102" s="15"/>
      <c r="F102" s="16"/>
      <c r="G102" s="15"/>
      <c r="H102" s="15"/>
      <c r="I102" s="15"/>
      <c r="J102" s="15"/>
      <c r="K102" s="15"/>
      <c r="L102" s="15"/>
      <c r="M102" s="15"/>
      <c r="N102" s="15"/>
      <c r="O102" s="15"/>
      <c r="P102" s="15"/>
      <c r="Q102" s="15"/>
      <c r="R102" s="15"/>
      <c r="S102" s="15"/>
      <c r="T102" s="15"/>
      <c r="U102" s="15"/>
      <c r="V102" s="15"/>
      <c r="W102" s="15"/>
      <c r="X102" s="15"/>
    </row>
    <row r="103" spans="2:24" x14ac:dyDescent="0.3">
      <c r="B103" s="15"/>
      <c r="C103" s="15"/>
      <c r="D103" s="15"/>
      <c r="E103" s="15"/>
      <c r="F103" s="16"/>
      <c r="G103" s="15"/>
      <c r="H103" s="15"/>
      <c r="I103" s="15"/>
      <c r="J103" s="15"/>
      <c r="K103" s="15"/>
      <c r="L103" s="15"/>
      <c r="M103" s="15"/>
      <c r="N103" s="15"/>
      <c r="O103" s="15"/>
      <c r="P103" s="15"/>
      <c r="Q103" s="15"/>
      <c r="R103" s="15"/>
      <c r="S103" s="15"/>
      <c r="T103" s="15"/>
      <c r="U103" s="15"/>
      <c r="V103" s="15"/>
      <c r="W103" s="15"/>
      <c r="X103" s="15"/>
    </row>
    <row r="104" spans="2:24" x14ac:dyDescent="0.3">
      <c r="B104" s="15"/>
      <c r="C104" s="15"/>
      <c r="D104" s="15"/>
      <c r="E104" s="15"/>
      <c r="F104" s="16"/>
      <c r="G104" s="15"/>
      <c r="H104" s="15"/>
      <c r="I104" s="15"/>
      <c r="J104" s="15"/>
      <c r="K104" s="15"/>
      <c r="L104" s="15"/>
      <c r="M104" s="15"/>
      <c r="N104" s="15"/>
      <c r="O104" s="15"/>
      <c r="P104" s="15"/>
      <c r="Q104" s="15"/>
      <c r="R104" s="15"/>
      <c r="S104" s="15"/>
      <c r="T104" s="15"/>
      <c r="U104" s="15"/>
      <c r="V104" s="15"/>
      <c r="W104" s="15"/>
      <c r="X104" s="15"/>
    </row>
    <row r="105" spans="2:24" x14ac:dyDescent="0.3">
      <c r="B105" s="15"/>
      <c r="C105" s="15"/>
      <c r="D105" s="15"/>
      <c r="E105" s="15"/>
      <c r="F105" s="16"/>
      <c r="G105" s="15"/>
      <c r="H105" s="15"/>
      <c r="I105" s="15"/>
      <c r="J105" s="15"/>
      <c r="K105" s="15"/>
      <c r="L105" s="15"/>
      <c r="M105" s="15"/>
      <c r="N105" s="15"/>
      <c r="O105" s="15"/>
      <c r="P105" s="15"/>
      <c r="Q105" s="15"/>
      <c r="R105" s="15"/>
      <c r="S105" s="15"/>
      <c r="T105" s="15"/>
      <c r="U105" s="15"/>
      <c r="V105" s="15"/>
      <c r="W105" s="15"/>
      <c r="X105" s="15"/>
    </row>
    <row r="106" spans="2:24" x14ac:dyDescent="0.3">
      <c r="B106" s="15"/>
      <c r="C106" s="15"/>
      <c r="D106" s="15"/>
      <c r="E106" s="15"/>
      <c r="F106" s="16"/>
      <c r="G106" s="15"/>
      <c r="H106" s="15"/>
      <c r="I106" s="15"/>
      <c r="J106" s="15"/>
      <c r="K106" s="15"/>
      <c r="L106" s="15"/>
      <c r="M106" s="15"/>
      <c r="N106" s="15"/>
      <c r="O106" s="15"/>
      <c r="P106" s="15"/>
      <c r="Q106" s="15"/>
      <c r="R106" s="15"/>
      <c r="S106" s="15"/>
      <c r="T106" s="15"/>
      <c r="U106" s="15"/>
      <c r="V106" s="15"/>
      <c r="W106" s="15"/>
      <c r="X106" s="15"/>
    </row>
    <row r="107" spans="2:24" x14ac:dyDescent="0.3">
      <c r="B107" s="15"/>
      <c r="C107" s="15"/>
      <c r="D107" s="15"/>
      <c r="E107" s="15"/>
      <c r="F107" s="16"/>
      <c r="G107" s="15"/>
      <c r="H107" s="15"/>
      <c r="I107" s="15"/>
      <c r="J107" s="15"/>
      <c r="K107" s="15"/>
      <c r="L107" s="15"/>
      <c r="M107" s="15"/>
      <c r="N107" s="15"/>
      <c r="O107" s="15"/>
      <c r="P107" s="15"/>
      <c r="Q107" s="15"/>
      <c r="R107" s="15"/>
      <c r="S107" s="15"/>
      <c r="T107" s="15"/>
      <c r="U107" s="15"/>
      <c r="V107" s="15"/>
      <c r="W107" s="15"/>
      <c r="X107" s="15"/>
    </row>
    <row r="108" spans="2:24" x14ac:dyDescent="0.3">
      <c r="B108" s="15"/>
      <c r="C108" s="15"/>
      <c r="D108" s="15"/>
      <c r="E108" s="15"/>
      <c r="F108" s="16"/>
      <c r="G108" s="15"/>
      <c r="H108" s="15"/>
      <c r="I108" s="15"/>
      <c r="J108" s="15"/>
      <c r="K108" s="15"/>
      <c r="L108" s="15"/>
      <c r="M108" s="15"/>
      <c r="N108" s="15"/>
      <c r="O108" s="15"/>
      <c r="P108" s="15"/>
      <c r="Q108" s="15"/>
      <c r="R108" s="15"/>
      <c r="S108" s="15"/>
      <c r="T108" s="15"/>
      <c r="U108" s="15"/>
      <c r="V108" s="15"/>
      <c r="W108" s="15"/>
      <c r="X108" s="15"/>
    </row>
  </sheetData>
  <pageMargins left="0.7" right="0.7" top="0.75" bottom="0.75" header="0.3" footer="0.3"/>
  <pageSetup orientation="portrait" horizontalDpi="4294967292" verticalDpi="0" r:id="rId1"/>
  <customProperties>
    <customPr name="HasEnPITables" r:id="rId2"/>
    <customPr name="SheetGUID" r:id="rId3"/>
  </customProperties>
  <drawing r:id="rId4"/>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A1:H18"/>
  <sheetViews>
    <sheetView topLeftCell="B6" workbookViewId="0">
      <selection activeCell="A16" sqref="A16:E16"/>
    </sheetView>
  </sheetViews>
  <sheetFormatPr defaultRowHeight="14.4" x14ac:dyDescent="0.3"/>
  <cols>
    <col min="1" max="1" width="47.5546875" bestFit="1" customWidth="1"/>
    <col min="2" max="2" width="8.33203125" bestFit="1" customWidth="1"/>
    <col min="3" max="3" width="11.109375" bestFit="1" customWidth="1"/>
    <col min="4" max="4" width="12.109375" bestFit="1" customWidth="1"/>
    <col min="5" max="5" width="11.109375" bestFit="1" customWidth="1"/>
  </cols>
  <sheetData>
    <row r="1" spans="1:8" ht="19.8" x14ac:dyDescent="0.4">
      <c r="A1" s="19" t="s">
        <v>23</v>
      </c>
      <c r="B1" s="19"/>
      <c r="C1" s="19"/>
      <c r="D1" s="19"/>
      <c r="E1" s="19"/>
      <c r="F1" s="19"/>
      <c r="G1" s="19"/>
      <c r="H1" s="19"/>
    </row>
    <row r="2" spans="1:8" hidden="1" x14ac:dyDescent="0.3">
      <c r="A2" s="21"/>
      <c r="B2" s="21"/>
      <c r="C2" s="21"/>
      <c r="D2" s="21"/>
      <c r="E2" s="21"/>
      <c r="F2" s="21"/>
      <c r="G2" s="21"/>
      <c r="H2" s="21"/>
    </row>
    <row r="4" spans="1:8" x14ac:dyDescent="0.3">
      <c r="A4" s="17" t="s">
        <v>24</v>
      </c>
      <c r="B4" s="17" t="s">
        <v>10</v>
      </c>
      <c r="C4" s="17" t="s">
        <v>7</v>
      </c>
      <c r="D4" s="17" t="s">
        <v>8</v>
      </c>
      <c r="E4" s="17" t="s">
        <v>9</v>
      </c>
    </row>
    <row r="5" spans="1:8" x14ac:dyDescent="0.3">
      <c r="A5" s="22" t="s">
        <v>5</v>
      </c>
      <c r="B5" s="23">
        <f>SUMIF(DetailTable2[Period],AnnualTable3[#Headers],DetailTable2[kwh(MMBTU)])</f>
        <v>11575.881760600123</v>
      </c>
      <c r="C5" s="23">
        <f>SUMIF(DetailTable2[Period],AnnualTable3[#Headers],DetailTable2[kwh(MMBTU)])</f>
        <v>11244.136657282877</v>
      </c>
      <c r="D5" s="23">
        <f>SUMIF(DetailTable2[Period],AnnualTable3[#Headers],DetailTable2[kwh(MMBTU)])</f>
        <v>8210.7685460541725</v>
      </c>
      <c r="E5" s="23">
        <f>SUMIF(DetailTable2[Period],AnnualTable3[#Headers],DetailTable2[kwh(MMBTU)])</f>
        <v>11005.249930979977</v>
      </c>
    </row>
    <row r="6" spans="1:8" x14ac:dyDescent="0.3">
      <c r="A6" s="22" t="s">
        <v>11</v>
      </c>
      <c r="B6" s="23">
        <f>SUMIF(DetailTable2[Period],AnnualTable3[#Headers],DetailTable2[TOTAL  (MMBtu)])</f>
        <v>11575.881760600123</v>
      </c>
      <c r="C6" s="23">
        <f>SUMIF(DetailTable2[Period],AnnualTable3[#Headers],DetailTable2[TOTAL  (MMBtu)])</f>
        <v>11244.136657282877</v>
      </c>
      <c r="D6" s="23">
        <f>SUMIF(DetailTable2[Period],AnnualTable3[#Headers],DetailTable2[TOTAL  (MMBtu)])</f>
        <v>8210.7685460541725</v>
      </c>
      <c r="E6" s="23">
        <f>SUMIF(DetailTable2[Period],AnnualTable3[#Headers],DetailTable2[TOTAL  (MMBtu)])</f>
        <v>11005.249930979977</v>
      </c>
    </row>
    <row r="7" spans="1:8" x14ac:dyDescent="0.3">
      <c r="A7" s="24" t="s">
        <v>25</v>
      </c>
      <c r="B7" s="23">
        <f>SUMIF(DetailTable2[Period],AnnualTable3[#Headers],DetailTable2[Energy Savings: kwh(MMBTU)])</f>
        <v>0</v>
      </c>
      <c r="C7" s="23">
        <f ca="1">SUMIF(DetailTable2[Period],AnnualTable3[#Headers],DetailTable2[Energy Savings: kwh(MMBTU)])</f>
        <v>331.745103317244</v>
      </c>
      <c r="D7" s="23">
        <f ca="1">SUMIF(DetailTable2[Period],AnnualTable3[#Headers],DetailTable2[Energy Savings: kwh(MMBTU)])</f>
        <v>3365.1132145459496</v>
      </c>
      <c r="E7" s="23">
        <f ca="1">SUMIF(DetailTable2[Period],AnnualTable3[#Headers],DetailTable2[Energy Savings: kwh(MMBTU)])</f>
        <v>570.63182962014503</v>
      </c>
    </row>
    <row r="8" spans="1:8" x14ac:dyDescent="0.3">
      <c r="A8" s="24" t="s">
        <v>26</v>
      </c>
      <c r="B8" s="25">
        <f>SUMIF(DetailTable2[Period],AnnualTable3[#Headers],DetailTable2[Cost Savings ($): kwh(MMBTU)])</f>
        <v>0</v>
      </c>
      <c r="C8" s="25">
        <f ca="1">SUMIF(DetailTable2[Period],AnnualTable3[#Headers],DetailTable2[Cost Savings ($): kwh(MMBTU)])</f>
        <v>32408.294000000005</v>
      </c>
      <c r="D8" s="25">
        <f ca="1">SUMIF(DetailTable2[Period],AnnualTable3[#Headers],DetailTable2[Cost Savings ($): kwh(MMBTU)])</f>
        <v>328739.07499999995</v>
      </c>
      <c r="E8" s="25">
        <f ca="1">SUMIF(DetailTable2[Period],AnnualTable3[#Headers],DetailTable2[Cost Savings ($): kwh(MMBTU)])</f>
        <v>55745.220999999896</v>
      </c>
    </row>
    <row r="9" spans="1:8" x14ac:dyDescent="0.3">
      <c r="A9" s="22" t="s">
        <v>27</v>
      </c>
      <c r="B9" s="23">
        <f>SUMIF(DetailTable2[Period],AnnualTable3[#Headers],DetailTable2[Avg Monthly Mean Temp])</f>
        <v>617.6</v>
      </c>
      <c r="C9" s="23">
        <f>SUMIF(DetailTable2[Period],AnnualTable3[#Headers],DetailTable2[Avg Monthly Mean Temp])</f>
        <v>624</v>
      </c>
      <c r="D9" s="23">
        <f>SUMIF(DetailTable2[Period],AnnualTable3[#Headers],DetailTable2[Avg Monthly Mean Temp])</f>
        <v>606.70000000000005</v>
      </c>
      <c r="E9" s="23">
        <f>SUMIF(DetailTable2[Period],AnnualTable3[#Headers],DetailTable2[Avg Monthly Mean Temp])</f>
        <v>598.1</v>
      </c>
    </row>
    <row r="10" spans="1:8" x14ac:dyDescent="0.3">
      <c r="A10" s="26" t="s">
        <v>28</v>
      </c>
      <c r="B10" s="27">
        <f ca="1">OFFSET(AnnualTable3[#Headers], MATCH("TOTAL  (MMBtu)",AnnualTable3[[#All],[ ]],0)-1,0)/OFFSET(AnnualTable3[#Headers], MATCH("Total Production Output",AnnualTable3[[#All],[ ]],0)-1,0)</f>
        <v>18.743331866256675</v>
      </c>
      <c r="C10" s="27">
        <f ca="1">OFFSET(AnnualTable3[#Headers], MATCH("TOTAL  (MMBtu)",AnnualTable3[[#All],[ ]],0)-1,0)/OFFSET(AnnualTable3[#Headers], MATCH("Total Production Output",AnnualTable3[[#All],[ ]],0)-1,0)</f>
        <v>18.019449771286663</v>
      </c>
      <c r="D10" s="27">
        <f ca="1">OFFSET(AnnualTable3[#Headers], MATCH("TOTAL  (MMBtu)",AnnualTable3[[#All],[ ]],0)-1,0)/OFFSET(AnnualTable3[#Headers], MATCH("Total Production Output",AnnualTable3[[#All],[ ]],0)-1,0)</f>
        <v>13.533490268755846</v>
      </c>
      <c r="E10" s="27">
        <f ca="1">OFFSET(AnnualTable3[#Headers], MATCH("TOTAL  (MMBtu)",AnnualTable3[[#All],[ ]],0)-1,0)/OFFSET(AnnualTable3[#Headers], MATCH("Total Production Output",AnnualTable3[[#All],[ ]],0)-1,0)</f>
        <v>18.400350996455401</v>
      </c>
    </row>
    <row r="11" spans="1:8" x14ac:dyDescent="0.3">
      <c r="A11" s="28" t="s">
        <v>29</v>
      </c>
      <c r="B11" s="29">
        <v>0</v>
      </c>
      <c r="C11" s="29">
        <f ca="1">(INDEX(AnnualTable3[],MATCH("Production Energy Intensity (MMBtu/unit production)",AnnualTable3[[ ]],0),2)-INDEX(AnnualTable3[],MATCH("Production Energy Intensity (MMBtu/unit production)",AnnualTable3[[ ]],0),COLUMN()))/(INDEX(AnnualTable3[],MATCH("Production Energy Intensity (MMBtu/unit production)",AnnualTable3[[ ]],0),2))</f>
        <v>3.8620779919775389E-2</v>
      </c>
      <c r="D11" s="29">
        <f ca="1">(INDEX(AnnualTable3[],MATCH("Production Energy Intensity (MMBtu/unit production)",AnnualTable3[[ ]],0),2)-INDEX(AnnualTable3[],MATCH("Production Energy Intensity (MMBtu/unit production)",AnnualTable3[[ ]],0),COLUMN()))/(INDEX(AnnualTable3[],MATCH("Production Energy Intensity (MMBtu/unit production)",AnnualTable3[[ ]],0),2))</f>
        <v>0.27795706946212823</v>
      </c>
      <c r="E11" s="29">
        <f ca="1">(INDEX(AnnualTable3[],MATCH("Production Energy Intensity (MMBtu/unit production)",AnnualTable3[[ ]],0),2)-INDEX(AnnualTable3[],MATCH("Production Energy Intensity (MMBtu/unit production)",AnnualTable3[[ ]],0),COLUMN()))/(INDEX(AnnualTable3[],MATCH("Production Energy Intensity (MMBtu/unit production)",AnnualTable3[[ ]],0),2))</f>
        <v>1.829882073521499E-2</v>
      </c>
    </row>
    <row r="12" spans="1:8" x14ac:dyDescent="0.3">
      <c r="A12" s="28" t="s">
        <v>30</v>
      </c>
      <c r="B12" s="29">
        <v>0</v>
      </c>
      <c r="C12" s="29">
        <f t="shared" ref="A12:E12" ca="1" si="0">OFFSET(INDIRECT(ADDRESS(ROW(), COLUMN())),-1,0,1,1)-OFFSET(INDIRECT(ADDRESS(ROW(), COLUMN())),-1,-1,1,1)</f>
        <v>3.8620779919775389E-2</v>
      </c>
      <c r="D12" s="29">
        <f t="shared" ca="1" si="0"/>
        <v>0.23933628954235284</v>
      </c>
      <c r="E12" s="29">
        <f t="shared" ca="1" si="0"/>
        <v>-0.25965824872691323</v>
      </c>
    </row>
    <row r="13" spans="1:8" x14ac:dyDescent="0.3">
      <c r="A13" s="22" t="s">
        <v>31</v>
      </c>
      <c r="B13" s="30">
        <v>0</v>
      </c>
      <c r="C13" s="30">
        <f>(INDEX(AnnualTable3[],MATCH("TOTAL  (MMBtu)",AnnualTable3[[ ]],0),2)-INDEX(AnnualTable3[],MATCH("TOTAL  (MMBtu)",AnnualTable3[[ ]],0),COLUMN()))</f>
        <v>331.74510331724559</v>
      </c>
      <c r="D13" s="30">
        <f>(INDEX(AnnualTable3[],MATCH("TOTAL  (MMBtu)",AnnualTable3[[ ]],0),2)-INDEX(AnnualTable3[],MATCH("TOTAL  (MMBtu)",AnnualTable3[[ ]],0),COLUMN()))</f>
        <v>3365.1132145459505</v>
      </c>
      <c r="E13" s="30">
        <f>(INDEX(AnnualTable3[],MATCH("TOTAL  (MMBtu)",AnnualTable3[[ ]],0),2)-INDEX(AnnualTable3[],MATCH("TOTAL  (MMBtu)",AnnualTable3[[ ]],0),COLUMN()))</f>
        <v>570.63182962014616</v>
      </c>
    </row>
    <row r="14" spans="1:8" x14ac:dyDescent="0.3">
      <c r="A14" s="22" t="s">
        <v>32</v>
      </c>
      <c r="B14" s="30">
        <v>0</v>
      </c>
      <c r="C14" s="30">
        <f t="shared" ref="A14:E14" ca="1" si="1">OFFSET(INDIRECT(ADDRESS(ROW(), COLUMN())),-1,0,1,1)-OFFSET(INDIRECT(ADDRESS(ROW(), COLUMN())),-1,-1,1,1)</f>
        <v>331.74510331724559</v>
      </c>
      <c r="D14" s="30">
        <f t="shared" ca="1" si="1"/>
        <v>3033.3681112287049</v>
      </c>
      <c r="E14" s="30">
        <f t="shared" ca="1" si="1"/>
        <v>-2794.4813849258044</v>
      </c>
    </row>
    <row r="15" spans="1:8" x14ac:dyDescent="0.3">
      <c r="A15" s="24" t="s">
        <v>33</v>
      </c>
      <c r="B15" s="31">
        <f>INDEX(AnnualTable3[],MATCH("kwh(MMBTU) Estimated Cost Savings ($)",AnnualTable3[[ ]],0),COLUMN())</f>
        <v>0</v>
      </c>
      <c r="C15" s="31">
        <f ca="1">INDEX(AnnualTable3[],MATCH("kwh(MMBTU) Estimated Cost Savings ($)",AnnualTable3[[ ]],0),COLUMN())</f>
        <v>32408.294000000005</v>
      </c>
      <c r="D15" s="31">
        <f ca="1">INDEX(AnnualTable3[],MATCH("kwh(MMBTU) Estimated Cost Savings ($)",AnnualTable3[[ ]],0),COLUMN())</f>
        <v>328739.07499999995</v>
      </c>
      <c r="E15" s="31">
        <f ca="1">INDEX(AnnualTable3[],MATCH("kwh(MMBTU) Estimated Cost Savings ($)",AnnualTable3[[ ]],0),COLUMN())</f>
        <v>55745.220999999896</v>
      </c>
    </row>
    <row r="16" spans="1:8" x14ac:dyDescent="0.3">
      <c r="A16" s="24" t="s">
        <v>34</v>
      </c>
      <c r="B16" s="23">
        <f>INDEX(AnnualTable3[],MATCH("kwh(MMBTU) Annual Savings",AnnualTable3[[ ]],0),COLUMN())*248.93/1000</f>
        <v>0</v>
      </c>
      <c r="C16" s="23">
        <f ca="1">INDEX(AnnualTable3[],MATCH("kwh(MMBTU) Annual Savings",AnnualTable3[[ ]],0),COLUMN())*248.93/1000</f>
        <v>82.581308568761557</v>
      </c>
      <c r="D16" s="23">
        <f ca="1">INDEX(AnnualTable3[],MATCH("kwh(MMBTU) Annual Savings",AnnualTable3[[ ]],0),COLUMN())*248.93/1000</f>
        <v>837.67763249692325</v>
      </c>
      <c r="E16" s="23">
        <f ca="1">INDEX(AnnualTable3[],MATCH("kwh(MMBTU) Annual Savings",AnnualTable3[[ ]],0),COLUMN())*248.93/1000</f>
        <v>142.04738134734271</v>
      </c>
    </row>
    <row r="18" ht="268.35000000000002" customHeight="1" x14ac:dyDescent="0.3"/>
  </sheetData>
  <mergeCells count="2">
    <mergeCell ref="A1:H1"/>
    <mergeCell ref="A2:H2"/>
  </mergeCells>
  <pageMargins left="0.7" right="0.7" top="0.75" bottom="0.75" header="0.3" footer="0.3"/>
  <customProperties>
    <customPr name="HasEnPITables" r:id="rId1"/>
    <customPr name="IsValidRollupSource" r:id="rId2"/>
    <customPr name="SheetGUID" r:id="rId3"/>
  </customProperties>
  <drawing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1CC50"/>
  </sheetPr>
  <dimension ref="A1:N11"/>
  <sheetViews>
    <sheetView topLeftCell="A4" workbookViewId="0"/>
  </sheetViews>
  <sheetFormatPr defaultRowHeight="14.4" x14ac:dyDescent="0.3"/>
  <cols>
    <col min="1" max="1" width="15.6640625" customWidth="1"/>
    <col min="2" max="2" width="27" customWidth="1"/>
    <col min="3" max="3" width="10.5546875" customWidth="1"/>
    <col min="4" max="4" width="12.77734375" hidden="1" customWidth="1"/>
    <col min="5" max="5" width="18.109375" hidden="1" customWidth="1"/>
    <col min="6" max="6" width="17.5546875" style="39" customWidth="1"/>
    <col min="7" max="7" width="8.88671875" style="39"/>
    <col min="8" max="8" width="13" style="39" customWidth="1"/>
    <col min="9" max="9" width="15.33203125" style="39" customWidth="1"/>
    <col min="10" max="10" width="10.88671875" hidden="1" customWidth="1"/>
    <col min="11" max="11" width="9.88671875" hidden="1" customWidth="1"/>
    <col min="12" max="12" width="0" hidden="1" customWidth="1"/>
    <col min="13" max="13" width="9.77734375" customWidth="1"/>
  </cols>
  <sheetData>
    <row r="1" spans="1:14" hidden="1" x14ac:dyDescent="0.3"/>
    <row r="2" spans="1:14" hidden="1" x14ac:dyDescent="0.3">
      <c r="A2" s="20" t="s">
        <v>35</v>
      </c>
      <c r="B2" s="20"/>
      <c r="C2" s="20"/>
      <c r="D2" s="20"/>
      <c r="E2" s="20"/>
    </row>
    <row r="3" spans="1:14" x14ac:dyDescent="0.3">
      <c r="A3" s="32" t="s">
        <v>36</v>
      </c>
      <c r="B3" s="32"/>
      <c r="C3" s="32"/>
      <c r="D3" s="32"/>
      <c r="E3" s="32"/>
      <c r="F3" s="32"/>
      <c r="G3" s="32"/>
    </row>
    <row r="4" spans="1:14" ht="105" customHeight="1" x14ac:dyDescent="0.3">
      <c r="A4" s="21" t="s">
        <v>37</v>
      </c>
      <c r="B4" s="21"/>
      <c r="C4" s="21"/>
      <c r="D4" s="21"/>
      <c r="E4" s="21"/>
      <c r="F4" s="21"/>
      <c r="G4" s="21"/>
    </row>
    <row r="6" spans="1:14" ht="15" thickBot="1" x14ac:dyDescent="0.35">
      <c r="A6" t="s">
        <v>38</v>
      </c>
      <c r="B6" t="s">
        <v>39</v>
      </c>
      <c r="C6" t="s">
        <v>40</v>
      </c>
      <c r="D6" t="s">
        <v>41</v>
      </c>
      <c r="E6" t="s">
        <v>42</v>
      </c>
      <c r="F6" s="39" t="s">
        <v>43</v>
      </c>
      <c r="G6" s="39" t="s">
        <v>44</v>
      </c>
      <c r="H6" s="39" t="s">
        <v>45</v>
      </c>
      <c r="I6" s="39" t="s">
        <v>46</v>
      </c>
      <c r="J6" t="s">
        <v>47</v>
      </c>
      <c r="K6" t="s">
        <v>48</v>
      </c>
      <c r="L6" t="s">
        <v>49</v>
      </c>
      <c r="M6" t="s">
        <v>50</v>
      </c>
    </row>
    <row r="7" spans="1:14" x14ac:dyDescent="0.3">
      <c r="A7" s="33">
        <v>1</v>
      </c>
      <c r="B7" s="34" t="b">
        <v>1</v>
      </c>
      <c r="C7" s="34" t="s">
        <v>2</v>
      </c>
      <c r="D7" s="34">
        <v>0.75443158388266607</v>
      </c>
      <c r="E7" s="34">
        <v>7.7027119823881024E-2</v>
      </c>
      <c r="F7" s="40">
        <v>1.922385544084193E-6</v>
      </c>
      <c r="G7" s="40">
        <v>0.90559763496043877</v>
      </c>
      <c r="H7" s="40">
        <v>0.89615739845648268</v>
      </c>
      <c r="I7" s="40">
        <v>1.9223855439973298E-6</v>
      </c>
      <c r="J7" s="34">
        <v>107.57541013454836</v>
      </c>
      <c r="K7" s="34">
        <v>138869.62638739549</v>
      </c>
      <c r="L7" s="34"/>
      <c r="M7" s="35" t="s">
        <v>51</v>
      </c>
    </row>
    <row r="8" spans="1:14" x14ac:dyDescent="0.3">
      <c r="A8" s="36"/>
      <c r="B8" s="37"/>
      <c r="C8" s="37"/>
      <c r="D8" s="37">
        <v>595.29968377412092</v>
      </c>
      <c r="E8" s="37"/>
      <c r="F8" s="41"/>
      <c r="G8" s="41"/>
      <c r="H8" s="41"/>
      <c r="I8" s="41"/>
      <c r="J8" s="37"/>
      <c r="K8" s="37"/>
      <c r="L8" s="37"/>
      <c r="M8" s="38"/>
    </row>
    <row r="10" spans="1:14" s="42" customFormat="1" ht="75" customHeight="1" x14ac:dyDescent="0.3">
      <c r="A10" s="32" t="s">
        <v>52</v>
      </c>
      <c r="B10" s="32"/>
      <c r="C10" s="32"/>
      <c r="F10" s="43"/>
      <c r="G10" s="44" t="s">
        <v>53</v>
      </c>
      <c r="H10" s="44"/>
      <c r="I10" s="44"/>
      <c r="J10" s="44"/>
      <c r="K10" s="44"/>
      <c r="L10" s="44"/>
      <c r="M10" s="44"/>
      <c r="N10" s="44"/>
    </row>
    <row r="11" spans="1:14" ht="268.35000000000002" customHeight="1" x14ac:dyDescent="0.3"/>
  </sheetData>
  <mergeCells count="5">
    <mergeCell ref="A2:E2"/>
    <mergeCell ref="A3:G3"/>
    <mergeCell ref="A4:G4"/>
    <mergeCell ref="A10:C10"/>
    <mergeCell ref="G10:N10"/>
  </mergeCells>
  <hyperlinks>
    <hyperlink ref="A7" location="$A$7" tooltip="Graph model 1" display="$A$7"/>
  </hyperlinks>
  <pageMargins left="0.7" right="0.7" top="0.75" bottom="0.75" header="0.3" footer="0.3"/>
  <customProperties>
    <customPr name="SheetGUID" r:id="rId1"/>
  </customProperties>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1CC50"/>
  </sheetPr>
  <dimension ref="A1:I7"/>
  <sheetViews>
    <sheetView workbookViewId="0"/>
  </sheetViews>
  <sheetFormatPr defaultRowHeight="14.4" x14ac:dyDescent="0.3"/>
  <cols>
    <col min="1" max="4" width="10.44140625" customWidth="1"/>
    <col min="6" max="9" width="10.44140625" customWidth="1"/>
  </cols>
  <sheetData>
    <row r="1" spans="1:9" x14ac:dyDescent="0.3">
      <c r="A1" t="s">
        <v>4</v>
      </c>
      <c r="B1" t="s">
        <v>70</v>
      </c>
      <c r="C1" t="s">
        <v>92</v>
      </c>
      <c r="D1" t="s">
        <v>93</v>
      </c>
      <c r="F1" t="s">
        <v>4</v>
      </c>
      <c r="G1" t="s">
        <v>70</v>
      </c>
      <c r="H1" t="s">
        <v>92</v>
      </c>
      <c r="I1" t="s">
        <v>93</v>
      </c>
    </row>
    <row r="2" spans="1:9" x14ac:dyDescent="0.3">
      <c r="A2" t="s">
        <v>85</v>
      </c>
      <c r="B2" t="s">
        <v>86</v>
      </c>
      <c r="C2" t="b">
        <v>0</v>
      </c>
      <c r="D2" t="b">
        <v>1</v>
      </c>
      <c r="F2" t="s">
        <v>94</v>
      </c>
      <c r="G2" t="s">
        <v>80</v>
      </c>
      <c r="H2" t="b">
        <v>0</v>
      </c>
      <c r="I2" t="b">
        <v>0</v>
      </c>
    </row>
    <row r="3" spans="1:9" x14ac:dyDescent="0.3">
      <c r="A3" t="s">
        <v>87</v>
      </c>
      <c r="B3" t="s">
        <v>88</v>
      </c>
      <c r="C3" t="b">
        <v>1</v>
      </c>
      <c r="D3" t="b">
        <v>0</v>
      </c>
      <c r="F3" t="s">
        <v>95</v>
      </c>
      <c r="G3" t="s">
        <v>96</v>
      </c>
      <c r="H3" t="b">
        <v>0</v>
      </c>
      <c r="I3" t="b">
        <v>1</v>
      </c>
    </row>
    <row r="4" spans="1:9" x14ac:dyDescent="0.3">
      <c r="A4" t="s">
        <v>89</v>
      </c>
      <c r="B4">
        <v>1</v>
      </c>
      <c r="F4" t="s">
        <v>97</v>
      </c>
      <c r="G4" t="s">
        <v>98</v>
      </c>
      <c r="H4" t="b">
        <v>1</v>
      </c>
      <c r="I4" t="b">
        <v>0</v>
      </c>
    </row>
    <row r="5" spans="1:9" x14ac:dyDescent="0.3">
      <c r="A5" t="s">
        <v>90</v>
      </c>
      <c r="B5" t="s">
        <v>91</v>
      </c>
      <c r="F5" t="s">
        <v>99</v>
      </c>
      <c r="G5" t="s">
        <v>100</v>
      </c>
      <c r="H5" t="b">
        <v>1</v>
      </c>
      <c r="I5" t="b">
        <v>0</v>
      </c>
    </row>
    <row r="6" spans="1:9" x14ac:dyDescent="0.3">
      <c r="F6" t="s">
        <v>89</v>
      </c>
      <c r="G6">
        <v>2</v>
      </c>
    </row>
    <row r="7" spans="1:9" x14ac:dyDescent="0.3">
      <c r="F7" t="s">
        <v>90</v>
      </c>
      <c r="G7" t="s">
        <v>91</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1CC50"/>
  </sheetPr>
  <dimension ref="A1:Y108"/>
  <sheetViews>
    <sheetView tabSelected="1" topLeftCell="A35" workbookViewId="0">
      <selection activeCell="W23" sqref="W23"/>
    </sheetView>
  </sheetViews>
  <sheetFormatPr defaultRowHeight="14.4" x14ac:dyDescent="0.3"/>
  <cols>
    <col min="1" max="1" width="10.44140625" customWidth="1"/>
    <col min="2" max="2" width="24.44140625" bestFit="1" customWidth="1"/>
    <col min="3" max="3" width="32.33203125" customWidth="1"/>
    <col min="4" max="4" width="24.33203125" customWidth="1"/>
    <col min="5" max="5" width="32.33203125" customWidth="1"/>
    <col min="7" max="7" width="9.109375" bestFit="1" customWidth="1"/>
    <col min="8" max="11" width="0" hidden="1" customWidth="1"/>
    <col min="12" max="12" width="20.77734375" customWidth="1"/>
    <col min="13" max="14" width="9.109375" bestFit="1" customWidth="1"/>
    <col min="15" max="15" width="0" hidden="1" customWidth="1"/>
    <col min="17" max="17" width="16.44140625" customWidth="1"/>
    <col min="18" max="18" width="11.88671875" customWidth="1"/>
    <col min="19" max="19" width="17.5546875" customWidth="1"/>
  </cols>
  <sheetData>
    <row r="1" spans="1:25" ht="211.35" customHeight="1" x14ac:dyDescent="0.3"/>
    <row r="2" spans="1:25" ht="18" hidden="1" x14ac:dyDescent="0.35">
      <c r="A2" s="51" t="s">
        <v>60</v>
      </c>
    </row>
    <row r="3" spans="1:25" ht="69" hidden="1" customHeight="1" x14ac:dyDescent="0.3">
      <c r="A3" s="52" t="s">
        <v>61</v>
      </c>
      <c r="B3" s="52"/>
      <c r="C3" s="52"/>
      <c r="D3" s="52"/>
      <c r="E3" s="52"/>
      <c r="F3" s="52"/>
      <c r="G3" s="52"/>
      <c r="H3" s="52"/>
      <c r="I3" s="52"/>
    </row>
    <row r="4" spans="1:25" ht="18" x14ac:dyDescent="0.35">
      <c r="A4" s="51" t="s">
        <v>62</v>
      </c>
    </row>
    <row r="5" spans="1:25" ht="130.05000000000001" customHeight="1" x14ac:dyDescent="0.3">
      <c r="A5" s="21" t="s">
        <v>63</v>
      </c>
      <c r="B5" s="20"/>
      <c r="C5" s="20"/>
      <c r="D5" s="20"/>
      <c r="E5" s="20"/>
      <c r="F5" s="20"/>
      <c r="G5" s="20"/>
    </row>
    <row r="6" spans="1:25" s="53" customFormat="1" x14ac:dyDescent="0.3">
      <c r="A6" s="55" t="s">
        <v>4</v>
      </c>
      <c r="B6" s="55" t="s">
        <v>70</v>
      </c>
      <c r="C6" s="54" t="s">
        <v>2</v>
      </c>
    </row>
    <row r="7" spans="1:25" s="53" customFormat="1" x14ac:dyDescent="0.3">
      <c r="A7" s="56" t="s">
        <v>64</v>
      </c>
      <c r="B7" s="56" t="s">
        <v>66</v>
      </c>
      <c r="C7" s="56"/>
    </row>
    <row r="8" spans="1:25" s="53" customFormat="1" x14ac:dyDescent="0.3">
      <c r="A8" s="56"/>
      <c r="B8" s="56" t="s">
        <v>67</v>
      </c>
      <c r="C8" s="56"/>
    </row>
    <row r="9" spans="1:25" s="53" customFormat="1" x14ac:dyDescent="0.3">
      <c r="A9" s="57" t="s">
        <v>65</v>
      </c>
      <c r="B9" s="57" t="s">
        <v>68</v>
      </c>
      <c r="C9" s="57"/>
    </row>
    <row r="10" spans="1:25" s="53" customFormat="1" x14ac:dyDescent="0.3">
      <c r="A10" s="57"/>
      <c r="B10" s="57" t="s">
        <v>69</v>
      </c>
      <c r="C10" s="57"/>
    </row>
    <row r="11" spans="1:25" s="53" customFormat="1" x14ac:dyDescent="0.3"/>
    <row r="12" spans="1:25" s="53" customFormat="1" ht="86.4" x14ac:dyDescent="0.3">
      <c r="A12" s="18" t="s">
        <v>3</v>
      </c>
      <c r="B12" s="18" t="s">
        <v>0</v>
      </c>
      <c r="C12" s="18" t="s">
        <v>5</v>
      </c>
      <c r="D12" s="18" t="s">
        <v>1</v>
      </c>
      <c r="E12" s="18" t="s">
        <v>2</v>
      </c>
      <c r="F12" s="18" t="s">
        <v>6</v>
      </c>
      <c r="G12" s="18" t="s">
        <v>11</v>
      </c>
      <c r="H12" s="18" t="s">
        <v>12</v>
      </c>
      <c r="I12" s="18" t="s">
        <v>13</v>
      </c>
      <c r="J12" s="18" t="s">
        <v>14</v>
      </c>
      <c r="K12" s="18" t="s">
        <v>54</v>
      </c>
      <c r="L12" s="18" t="s">
        <v>55</v>
      </c>
      <c r="M12" s="50" t="s">
        <v>56</v>
      </c>
      <c r="N12" s="50" t="s">
        <v>57</v>
      </c>
      <c r="O12" s="50" t="s">
        <v>58</v>
      </c>
      <c r="P12" s="50" t="s">
        <v>59</v>
      </c>
      <c r="Q12" s="50" t="s">
        <v>17</v>
      </c>
      <c r="R12" s="50" t="s">
        <v>19</v>
      </c>
      <c r="S12" s="50" t="s">
        <v>21</v>
      </c>
    </row>
    <row r="13" spans="1:25" x14ac:dyDescent="0.3">
      <c r="A13" s="49">
        <v>38231</v>
      </c>
      <c r="B13" s="46">
        <v>75002</v>
      </c>
      <c r="C13" s="46">
        <v>767.752422852</v>
      </c>
      <c r="D13" s="46">
        <v>66.5</v>
      </c>
      <c r="E13" s="46">
        <v>47</v>
      </c>
      <c r="F13" s="47" t="s">
        <v>10</v>
      </c>
      <c r="G13" s="46">
        <f>DetailTable5[kwh(MMBTU)]</f>
        <v>767.752422852</v>
      </c>
      <c r="H13" s="46">
        <f>SUM(SUMIFS(DetailTable5[Avg Monthly Mean Temp],DetailTable5[Period],DetailTable5[Period]))</f>
        <v>617.6</v>
      </c>
      <c r="I13" s="46" t="s">
        <v>10</v>
      </c>
      <c r="J13" s="46" t="s">
        <v>10</v>
      </c>
      <c r="K13" s="46" t="s">
        <v>9</v>
      </c>
      <c r="L13"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13" s="48">
        <f>(0.754431583882666 * DetailTable5[Heating Degree Days, Base 65 deg F]) + 595.299683774121</f>
        <v>630.75796821660629</v>
      </c>
      <c r="N13" s="48">
        <f>DetailTable5[Modeled kwh(MMBTU)]</f>
        <v>630.75796821660629</v>
      </c>
      <c r="O13"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13" s="48" t="str">
        <f>IF(DetailTable5[Period]=DetailTable5[Model Year],"",DetailTable5[CUSUMHidden])</f>
        <v/>
      </c>
      <c r="Q13"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-136.99445463539371</v>
      </c>
      <c r="R13" s="48">
        <f>DetailTable5[kwh]/DetailTable5[kwh(MMBTU)]</f>
        <v>97.690346220448433</v>
      </c>
      <c r="S13" s="48">
        <f ca="1">DetailTable5[Unit Cost in $/MMBtu for column: kwh(MMBTU)]*DetailTable5[Energy Savings: kwh(MMBTU)]</f>
        <v>-13383.035703613128</v>
      </c>
      <c r="T13" s="15"/>
      <c r="U13" s="15"/>
      <c r="V13" s="15"/>
      <c r="W13" s="15"/>
      <c r="X13" s="15"/>
      <c r="Y13" s="15"/>
    </row>
    <row r="14" spans="1:25" x14ac:dyDescent="0.3">
      <c r="A14" s="49">
        <v>38261</v>
      </c>
      <c r="B14" s="46">
        <v>78877.758000000002</v>
      </c>
      <c r="C14" s="46">
        <v>807.42633281290796</v>
      </c>
      <c r="D14" s="46">
        <v>53.9</v>
      </c>
      <c r="E14" s="46">
        <v>338</v>
      </c>
      <c r="F14" s="47" t="s">
        <v>10</v>
      </c>
      <c r="G14" s="46">
        <f>DetailTable5[kwh(MMBTU)]</f>
        <v>807.42633281290796</v>
      </c>
      <c r="H14" s="46">
        <f>SUM(SUMIFS(DetailTable5[Avg Monthly Mean Temp],DetailTable5[Period],DetailTable5[Period]))</f>
        <v>617.6</v>
      </c>
      <c r="I14" s="46" t="s">
        <v>10</v>
      </c>
      <c r="J14" s="46" t="s">
        <v>10</v>
      </c>
      <c r="K14" s="46" t="s">
        <v>9</v>
      </c>
      <c r="L14"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14" s="48">
        <f>(0.754431583882666 * DetailTable5[Heating Degree Days, Base 65 deg F]) + 595.299683774121</f>
        <v>850.29755912646215</v>
      </c>
      <c r="N14" s="48">
        <f>DetailTable5[Modeled kwh(MMBTU)]</f>
        <v>850.29755912646215</v>
      </c>
      <c r="O14"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14" s="48" t="str">
        <f>IF(DetailTable5[Period]=DetailTable5[Model Year],"",DetailTable5[CUSUMHidden])</f>
        <v/>
      </c>
      <c r="Q14"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42.871226313554189</v>
      </c>
      <c r="R14" s="48">
        <f>DetailTable5[kwh]/DetailTable5[kwh(MMBTU)]</f>
        <v>97.690346220448433</v>
      </c>
      <c r="S14" s="48">
        <f ca="1">DetailTable5[Unit Cost in $/MMBtu for column: kwh(MMBTU)]*DetailTable5[Energy Savings: kwh(MMBTU)]</f>
        <v>4188.1049414663075</v>
      </c>
      <c r="T14" s="15"/>
      <c r="U14" s="15"/>
      <c r="V14" s="15"/>
      <c r="W14" s="15"/>
      <c r="X14" s="15"/>
      <c r="Y14" s="15"/>
    </row>
    <row r="15" spans="1:25" x14ac:dyDescent="0.3">
      <c r="A15" s="49">
        <v>38292</v>
      </c>
      <c r="B15" s="46">
        <v>84836.364000000001</v>
      </c>
      <c r="C15" s="46">
        <v>868.42116219506397</v>
      </c>
      <c r="D15" s="46">
        <v>43.7</v>
      </c>
      <c r="E15" s="46">
        <v>632</v>
      </c>
      <c r="F15" s="47" t="s">
        <v>10</v>
      </c>
      <c r="G15" s="46">
        <f>DetailTable5[kwh(MMBTU)]</f>
        <v>868.42116219506397</v>
      </c>
      <c r="H15" s="46">
        <f>SUM(SUMIFS(DetailTable5[Avg Monthly Mean Temp],DetailTable5[Period],DetailTable5[Period]))</f>
        <v>617.6</v>
      </c>
      <c r="I15" s="46" t="s">
        <v>10</v>
      </c>
      <c r="J15" s="46" t="s">
        <v>10</v>
      </c>
      <c r="K15" s="46" t="s">
        <v>9</v>
      </c>
      <c r="L15"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15" s="48">
        <f>(0.754431583882666 * DetailTable5[Heating Degree Days, Base 65 deg F]) + 595.299683774121</f>
        <v>1072.1004447879659</v>
      </c>
      <c r="N15" s="48">
        <f>DetailTable5[Modeled kwh(MMBTU)]</f>
        <v>1072.1004447879659</v>
      </c>
      <c r="O15"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15" s="48" t="str">
        <f>IF(DetailTable5[Period]=DetailTable5[Model Year],"",DetailTable5[CUSUMHidden])</f>
        <v/>
      </c>
      <c r="Q15"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203.67928259290193</v>
      </c>
      <c r="R15" s="48">
        <f>DetailTable5[kwh]/DetailTable5[kwh(MMBTU)]</f>
        <v>97.690346220448433</v>
      </c>
      <c r="S15" s="48">
        <f ca="1">DetailTable5[Unit Cost in $/MMBtu for column: kwh(MMBTU)]*DetailTable5[Energy Savings: kwh(MMBTU)]</f>
        <v>19897.499634433145</v>
      </c>
      <c r="T15" s="15"/>
      <c r="U15" s="15"/>
      <c r="V15" s="15"/>
      <c r="W15" s="15"/>
      <c r="X15" s="15"/>
      <c r="Y15" s="15"/>
    </row>
    <row r="16" spans="1:25" x14ac:dyDescent="0.3">
      <c r="A16" s="49">
        <v>38322</v>
      </c>
      <c r="B16" s="46">
        <v>145552.87899999999</v>
      </c>
      <c r="C16" s="46">
        <v>1489.9412749704538</v>
      </c>
      <c r="D16" s="46">
        <v>28.9</v>
      </c>
      <c r="E16" s="46">
        <v>1113</v>
      </c>
      <c r="F16" s="47" t="s">
        <v>10</v>
      </c>
      <c r="G16" s="46">
        <f>DetailTable5[kwh(MMBTU)]</f>
        <v>1489.9412749704538</v>
      </c>
      <c r="H16" s="46">
        <f>SUM(SUMIFS(DetailTable5[Avg Monthly Mean Temp],DetailTable5[Period],DetailTable5[Period]))</f>
        <v>617.6</v>
      </c>
      <c r="I16" s="46" t="s">
        <v>10</v>
      </c>
      <c r="J16" s="46" t="s">
        <v>10</v>
      </c>
      <c r="K16" s="46" t="s">
        <v>9</v>
      </c>
      <c r="L16"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16" s="48">
        <f>(0.754431583882666 * DetailTable5[Heating Degree Days, Base 65 deg F]) + 595.299683774121</f>
        <v>1434.9820366355284</v>
      </c>
      <c r="N16" s="48">
        <f>DetailTable5[Modeled kwh(MMBTU)]</f>
        <v>1434.9820366355284</v>
      </c>
      <c r="O16"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16" s="48" t="str">
        <f>IF(DetailTable5[Period]=DetailTable5[Model Year],"",DetailTable5[CUSUMHidden])</f>
        <v/>
      </c>
      <c r="Q16"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-54.959238334925431</v>
      </c>
      <c r="R16" s="48">
        <f>DetailTable5[kwh]/DetailTable5[kwh(MMBTU)]</f>
        <v>97.690346220448433</v>
      </c>
      <c r="S16" s="48">
        <f ca="1">DetailTable5[Unit Cost in $/MMBtu for column: kwh(MMBTU)]*DetailTable5[Energy Savings: kwh(MMBTU)]</f>
        <v>-5368.9870209510073</v>
      </c>
      <c r="T16" s="15"/>
      <c r="U16" s="15"/>
      <c r="V16" s="15"/>
      <c r="W16" s="15"/>
      <c r="X16" s="15"/>
      <c r="Y16" s="15"/>
    </row>
    <row r="17" spans="1:25" x14ac:dyDescent="0.3">
      <c r="A17" s="49">
        <v>38353</v>
      </c>
      <c r="B17" s="46">
        <v>169309.3</v>
      </c>
      <c r="C17" s="46">
        <v>1733.1221205617999</v>
      </c>
      <c r="D17" s="46">
        <v>24.5</v>
      </c>
      <c r="E17" s="46">
        <v>1248</v>
      </c>
      <c r="F17" s="47" t="s">
        <v>10</v>
      </c>
      <c r="G17" s="46">
        <f>DetailTable5[kwh(MMBTU)]</f>
        <v>1733.1221205617999</v>
      </c>
      <c r="H17" s="46">
        <f>SUM(SUMIFS(DetailTable5[Avg Monthly Mean Temp],DetailTable5[Period],DetailTable5[Period]))</f>
        <v>617.6</v>
      </c>
      <c r="I17" s="46" t="s">
        <v>10</v>
      </c>
      <c r="J17" s="46" t="s">
        <v>10</v>
      </c>
      <c r="K17" s="46" t="s">
        <v>9</v>
      </c>
      <c r="L17"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17" s="48">
        <f>(0.754431583882666 * DetailTable5[Heating Degree Days, Base 65 deg F]) + 595.299683774121</f>
        <v>1536.8303004596883</v>
      </c>
      <c r="N17" s="48">
        <f>DetailTable5[Modeled kwh(MMBTU)]</f>
        <v>1536.8303004596883</v>
      </c>
      <c r="O17"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17" s="48" t="str">
        <f>IF(DetailTable5[Period]=DetailTable5[Model Year],"",DetailTable5[CUSUMHidden])</f>
        <v/>
      </c>
      <c r="Q17"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-196.29182010211161</v>
      </c>
      <c r="R17" s="48">
        <f>DetailTable5[kwh]/DetailTable5[kwh(MMBTU)]</f>
        <v>97.690346220448433</v>
      </c>
      <c r="S17" s="48">
        <f ca="1">DetailTable5[Unit Cost in $/MMBtu for column: kwh(MMBTU)]*DetailTable5[Energy Savings: kwh(MMBTU)]</f>
        <v>-19175.815866017263</v>
      </c>
      <c r="T17" s="15"/>
      <c r="U17" s="15"/>
      <c r="V17" s="15"/>
      <c r="W17" s="15"/>
      <c r="X17" s="15"/>
      <c r="Y17" s="15"/>
    </row>
    <row r="18" spans="1:25" x14ac:dyDescent="0.3">
      <c r="A18" s="49">
        <v>38384</v>
      </c>
      <c r="B18" s="46">
        <v>122422.7</v>
      </c>
      <c r="C18" s="46">
        <v>1253.1709092701999</v>
      </c>
      <c r="D18" s="46">
        <v>32.4</v>
      </c>
      <c r="E18" s="46">
        <v>906</v>
      </c>
      <c r="F18" s="47" t="s">
        <v>10</v>
      </c>
      <c r="G18" s="46">
        <f>DetailTable5[kwh(MMBTU)]</f>
        <v>1253.1709092701999</v>
      </c>
      <c r="H18" s="46">
        <f>SUM(SUMIFS(DetailTable5[Avg Monthly Mean Temp],DetailTable5[Period],DetailTable5[Period]))</f>
        <v>617.6</v>
      </c>
      <c r="I18" s="46" t="s">
        <v>10</v>
      </c>
      <c r="J18" s="46" t="s">
        <v>10</v>
      </c>
      <c r="K18" s="46" t="s">
        <v>9</v>
      </c>
      <c r="L18"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18" s="48">
        <f>(0.754431583882666 * DetailTable5[Heating Degree Days, Base 65 deg F]) + 595.299683774121</f>
        <v>1278.8146987718164</v>
      </c>
      <c r="N18" s="48">
        <f>DetailTable5[Modeled kwh(MMBTU)]</f>
        <v>1278.8146987718164</v>
      </c>
      <c r="O18"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18" s="48" t="str">
        <f>IF(DetailTable5[Period]=DetailTable5[Model Year],"",DetailTable5[CUSUMHidden])</f>
        <v/>
      </c>
      <c r="Q18"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25.643789501616538</v>
      </c>
      <c r="R18" s="48">
        <f>DetailTable5[kwh]/DetailTable5[kwh(MMBTU)]</f>
        <v>97.690346220448433</v>
      </c>
      <c r="S18" s="48">
        <f ca="1">DetailTable5[Unit Cost in $/MMBtu for column: kwh(MMBTU)]*DetailTable5[Energy Savings: kwh(MMBTU)]</f>
        <v>2505.1506748172205</v>
      </c>
      <c r="T18" s="15"/>
      <c r="U18" s="15"/>
      <c r="V18" s="15"/>
      <c r="W18" s="15"/>
      <c r="X18" s="15"/>
      <c r="Y18" s="15"/>
    </row>
    <row r="19" spans="1:25" x14ac:dyDescent="0.3">
      <c r="A19" s="49">
        <v>38412</v>
      </c>
      <c r="B19" s="46">
        <v>116321</v>
      </c>
      <c r="C19" s="46">
        <v>1190.711308746</v>
      </c>
      <c r="D19" s="46">
        <v>35</v>
      </c>
      <c r="E19" s="46">
        <v>926</v>
      </c>
      <c r="F19" s="47" t="s">
        <v>10</v>
      </c>
      <c r="G19" s="46">
        <f>DetailTable5[kwh(MMBTU)]</f>
        <v>1190.711308746</v>
      </c>
      <c r="H19" s="46">
        <f>SUM(SUMIFS(DetailTable5[Avg Monthly Mean Temp],DetailTable5[Period],DetailTable5[Period]))</f>
        <v>617.6</v>
      </c>
      <c r="I19" s="46" t="s">
        <v>10</v>
      </c>
      <c r="J19" s="46" t="s">
        <v>10</v>
      </c>
      <c r="K19" s="46" t="s">
        <v>9</v>
      </c>
      <c r="L19"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19" s="48">
        <f>(0.754431583882666 * DetailTable5[Heating Degree Days, Base 65 deg F]) + 595.299683774121</f>
        <v>1293.9033304494696</v>
      </c>
      <c r="N19" s="48">
        <f>DetailTable5[Modeled kwh(MMBTU)]</f>
        <v>1293.9033304494696</v>
      </c>
      <c r="O19"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19" s="48" t="str">
        <f>IF(DetailTable5[Period]=DetailTable5[Model Year],"",DetailTable5[CUSUMHidden])</f>
        <v/>
      </c>
      <c r="Q19"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103.19202170346966</v>
      </c>
      <c r="R19" s="48">
        <f>DetailTable5[kwh]/DetailTable5[kwh(MMBTU)]</f>
        <v>97.690346220448433</v>
      </c>
      <c r="S19" s="48">
        <f ca="1">DetailTable5[Unit Cost in $/MMBtu for column: kwh(MMBTU)]*DetailTable5[Energy Savings: kwh(MMBTU)]</f>
        <v>10080.864327399981</v>
      </c>
      <c r="T19" s="15"/>
      <c r="U19" s="15"/>
      <c r="V19" s="15"/>
      <c r="W19" s="15"/>
      <c r="X19" s="15"/>
      <c r="Y19" s="15"/>
    </row>
    <row r="20" spans="1:25" x14ac:dyDescent="0.3">
      <c r="A20" s="49">
        <v>38443</v>
      </c>
      <c r="B20" s="46">
        <v>78528.241999999998</v>
      </c>
      <c r="C20" s="46">
        <v>803.84853814309201</v>
      </c>
      <c r="D20" s="46">
        <v>51.5</v>
      </c>
      <c r="E20" s="46">
        <v>401</v>
      </c>
      <c r="F20" s="47" t="s">
        <v>10</v>
      </c>
      <c r="G20" s="46">
        <f>DetailTable5[kwh(MMBTU)]</f>
        <v>803.84853814309201</v>
      </c>
      <c r="H20" s="46">
        <f>SUM(SUMIFS(DetailTable5[Avg Monthly Mean Temp],DetailTable5[Period],DetailTable5[Period]))</f>
        <v>617.6</v>
      </c>
      <c r="I20" s="46" t="s">
        <v>10</v>
      </c>
      <c r="J20" s="46" t="s">
        <v>10</v>
      </c>
      <c r="K20" s="46" t="s">
        <v>9</v>
      </c>
      <c r="L20"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20" s="48">
        <f>(0.754431583882666 * DetailTable5[Heating Degree Days, Base 65 deg F]) + 595.299683774121</f>
        <v>897.82674891107013</v>
      </c>
      <c r="N20" s="48">
        <f>DetailTable5[Modeled kwh(MMBTU)]</f>
        <v>897.82674891107013</v>
      </c>
      <c r="O20"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20" s="48" t="str">
        <f>IF(DetailTable5[Period]=DetailTable5[Model Year],"",DetailTable5[CUSUMHidden])</f>
        <v/>
      </c>
      <c r="Q20"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93.978210767978112</v>
      </c>
      <c r="R20" s="48">
        <f>DetailTable5[kwh]/DetailTable5[kwh(MMBTU)]</f>
        <v>97.690346220448419</v>
      </c>
      <c r="S20" s="48">
        <f ca="1">DetailTable5[Unit Cost in $/MMBtu for column: kwh(MMBTU)]*DetailTable5[Energy Savings: kwh(MMBTU)]</f>
        <v>9180.7639471020557</v>
      </c>
      <c r="T20" s="15"/>
      <c r="U20" s="15"/>
      <c r="V20" s="15"/>
      <c r="W20" s="15"/>
      <c r="X20" s="15"/>
      <c r="Y20" s="15"/>
    </row>
    <row r="21" spans="1:25" x14ac:dyDescent="0.3">
      <c r="A21" s="49">
        <v>38473</v>
      </c>
      <c r="B21" s="46">
        <v>71772.514999999999</v>
      </c>
      <c r="C21" s="46">
        <v>734.69403863138996</v>
      </c>
      <c r="D21" s="46">
        <v>57.1</v>
      </c>
      <c r="E21" s="46">
        <v>256</v>
      </c>
      <c r="F21" s="47" t="s">
        <v>10</v>
      </c>
      <c r="G21" s="46">
        <f>DetailTable5[kwh(MMBTU)]</f>
        <v>734.69403863138996</v>
      </c>
      <c r="H21" s="46">
        <f>SUM(SUMIFS(DetailTable5[Avg Monthly Mean Temp],DetailTable5[Period],DetailTable5[Period]))</f>
        <v>617.6</v>
      </c>
      <c r="I21" s="46" t="s">
        <v>10</v>
      </c>
      <c r="J21" s="46" t="s">
        <v>10</v>
      </c>
      <c r="K21" s="46" t="s">
        <v>9</v>
      </c>
      <c r="L21"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21" s="48">
        <f>(0.754431583882666 * DetailTable5[Heating Degree Days, Base 65 deg F]) + 595.299683774121</f>
        <v>788.43416924808355</v>
      </c>
      <c r="N21" s="48">
        <f>DetailTable5[Modeled kwh(MMBTU)]</f>
        <v>788.43416924808355</v>
      </c>
      <c r="O21"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21" s="48" t="str">
        <f>IF(DetailTable5[Period]=DetailTable5[Model Year],"",DetailTable5[CUSUMHidden])</f>
        <v/>
      </c>
      <c r="Q21"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53.740130616693591</v>
      </c>
      <c r="R21" s="48">
        <f>DetailTable5[kwh]/DetailTable5[kwh(MMBTU)]</f>
        <v>97.690346220448433</v>
      </c>
      <c r="S21" s="48">
        <f ca="1">DetailTable5[Unit Cost in $/MMBtu for column: kwh(MMBTU)]*DetailTable5[Energy Savings: kwh(MMBTU)]</f>
        <v>5249.8919658769182</v>
      </c>
      <c r="T21" s="15"/>
      <c r="U21" s="15"/>
      <c r="V21" s="15"/>
      <c r="W21" s="15"/>
      <c r="X21" s="15"/>
      <c r="Y21" s="15"/>
    </row>
    <row r="22" spans="1:25" x14ac:dyDescent="0.3">
      <c r="A22" s="49">
        <v>38504</v>
      </c>
      <c r="B22" s="46">
        <v>69332.308999999994</v>
      </c>
      <c r="C22" s="46">
        <v>709.7150504876339</v>
      </c>
      <c r="D22" s="46">
        <v>74.2</v>
      </c>
      <c r="E22" s="46">
        <v>8</v>
      </c>
      <c r="F22" s="47" t="s">
        <v>10</v>
      </c>
      <c r="G22" s="46">
        <f>DetailTable5[kwh(MMBTU)]</f>
        <v>709.7150504876339</v>
      </c>
      <c r="H22" s="46">
        <f>SUM(SUMIFS(DetailTable5[Avg Monthly Mean Temp],DetailTable5[Period],DetailTable5[Period]))</f>
        <v>617.6</v>
      </c>
      <c r="I22" s="46" t="s">
        <v>10</v>
      </c>
      <c r="J22" s="46" t="s">
        <v>10</v>
      </c>
      <c r="K22" s="46" t="s">
        <v>9</v>
      </c>
      <c r="L22"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22" s="48">
        <f>(0.754431583882666 * DetailTable5[Heating Degree Days, Base 65 deg F]) + 595.299683774121</f>
        <v>601.33513644518234</v>
      </c>
      <c r="N22" s="48">
        <f>DetailTable5[Modeled kwh(MMBTU)]</f>
        <v>601.33513644518234</v>
      </c>
      <c r="O22"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22" s="48" t="str">
        <f>IF(DetailTable5[Period]=DetailTable5[Model Year],"",DetailTable5[CUSUMHidden])</f>
        <v/>
      </c>
      <c r="Q22"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-108.37991404245156</v>
      </c>
      <c r="R22" s="48">
        <f>DetailTable5[kwh]/DetailTable5[kwh(MMBTU)]</f>
        <v>97.690346220448433</v>
      </c>
      <c r="S22" s="48">
        <f ca="1">DetailTable5[Unit Cost in $/MMBtu for column: kwh(MMBTU)]*DetailTable5[Energy Savings: kwh(MMBTU)]</f>
        <v>-10587.671326149533</v>
      </c>
      <c r="T22" s="15"/>
      <c r="U22" s="15"/>
      <c r="V22" s="15"/>
      <c r="W22" s="15"/>
      <c r="X22" s="15"/>
      <c r="Y22" s="15"/>
    </row>
    <row r="23" spans="1:25" x14ac:dyDescent="0.3">
      <c r="A23" s="49">
        <v>38534</v>
      </c>
      <c r="B23" s="46">
        <v>60156.495999999999</v>
      </c>
      <c r="C23" s="46">
        <v>615.78751972329599</v>
      </c>
      <c r="D23" s="46">
        <v>75.599999999999994</v>
      </c>
      <c r="E23" s="46">
        <v>0</v>
      </c>
      <c r="F23" s="47" t="s">
        <v>10</v>
      </c>
      <c r="G23" s="46">
        <f>DetailTable5[kwh(MMBTU)]</f>
        <v>615.78751972329599</v>
      </c>
      <c r="H23" s="46">
        <f>SUM(SUMIFS(DetailTable5[Avg Monthly Mean Temp],DetailTable5[Period],DetailTable5[Period]))</f>
        <v>617.6</v>
      </c>
      <c r="I23" s="46" t="s">
        <v>10</v>
      </c>
      <c r="J23" s="46" t="s">
        <v>10</v>
      </c>
      <c r="K23" s="46" t="s">
        <v>9</v>
      </c>
      <c r="L23"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23" s="48">
        <f>(0.754431583882666 * DetailTable5[Heating Degree Days, Base 65 deg F]) + 595.299683774121</f>
        <v>595.29968377412104</v>
      </c>
      <c r="N23" s="48">
        <f>DetailTable5[Modeled kwh(MMBTU)]</f>
        <v>595.29968377412104</v>
      </c>
      <c r="O23"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23" s="48" t="str">
        <f>IF(DetailTable5[Period]=DetailTable5[Model Year],"",DetailTable5[CUSUMHidden])</f>
        <v/>
      </c>
      <c r="Q23"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-20.487835949174951</v>
      </c>
      <c r="R23" s="48">
        <f>DetailTable5[kwh]/DetailTable5[kwh(MMBTU)]</f>
        <v>97.690346220448433</v>
      </c>
      <c r="S23" s="48">
        <f ca="1">DetailTable5[Unit Cost in $/MMBtu for column: kwh(MMBTU)]*DetailTable5[Energy Savings: kwh(MMBTU)]</f>
        <v>-2001.4637871826508</v>
      </c>
      <c r="T23" s="15"/>
      <c r="U23" s="15"/>
      <c r="V23" s="15"/>
      <c r="W23" s="15"/>
      <c r="X23" s="15"/>
      <c r="Y23" s="15"/>
    </row>
    <row r="24" spans="1:25" x14ac:dyDescent="0.3">
      <c r="A24" s="49">
        <v>38565</v>
      </c>
      <c r="B24" s="46">
        <v>58740.334000000003</v>
      </c>
      <c r="C24" s="46">
        <v>601.29108220628405</v>
      </c>
      <c r="D24" s="46">
        <v>74.3</v>
      </c>
      <c r="E24" s="46">
        <v>0</v>
      </c>
      <c r="F24" s="47" t="s">
        <v>10</v>
      </c>
      <c r="G24" s="46">
        <f>DetailTable5[kwh(MMBTU)]</f>
        <v>601.29108220628405</v>
      </c>
      <c r="H24" s="46">
        <f>SUM(SUMIFS(DetailTable5[Avg Monthly Mean Temp],DetailTable5[Period],DetailTable5[Period]))</f>
        <v>617.6</v>
      </c>
      <c r="I24" s="46" t="s">
        <v>10</v>
      </c>
      <c r="J24" s="46" t="s">
        <v>10</v>
      </c>
      <c r="K24" s="46" t="s">
        <v>9</v>
      </c>
      <c r="L24" s="46"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Model Year</v>
      </c>
      <c r="M24" s="48">
        <f>(0.754431583882666 * DetailTable5[Heating Degree Days, Base 65 deg F]) + 595.299683774121</f>
        <v>595.29968377412104</v>
      </c>
      <c r="N24" s="48">
        <f>DetailTable5[Modeled kwh(MMBTU)]</f>
        <v>595.29968377412104</v>
      </c>
      <c r="O24" s="48">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0</v>
      </c>
      <c r="P24" s="48" t="str">
        <f>IF(DetailTable5[Period]=DetailTable5[Model Year],"",DetailTable5[CUSUMHidden])</f>
        <v/>
      </c>
      <c r="Q24" s="48">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-5.9913984321630096</v>
      </c>
      <c r="R24" s="48">
        <f>DetailTable5[kwh]/DetailTable5[kwh(MMBTU)]</f>
        <v>97.690346220448419</v>
      </c>
      <c r="S24" s="48">
        <f ca="1">DetailTable5[Unit Cost in $/MMBtu for column: kwh(MMBTU)]*DetailTable5[Energy Savings: kwh(MMBTU)]</f>
        <v>-585.3017871826562</v>
      </c>
      <c r="T24" s="15"/>
      <c r="U24" s="15"/>
      <c r="V24" s="15"/>
      <c r="W24" s="15"/>
      <c r="X24" s="15"/>
      <c r="Y24" s="15"/>
    </row>
    <row r="25" spans="1:25" x14ac:dyDescent="0.3">
      <c r="A25" s="1">
        <v>38596</v>
      </c>
      <c r="B25" s="15">
        <v>74584.069000000003</v>
      </c>
      <c r="C25" s="15">
        <v>763.474303097394</v>
      </c>
      <c r="D25" s="15">
        <v>69.400000000000006</v>
      </c>
      <c r="E25" s="15">
        <v>37</v>
      </c>
      <c r="F25" s="16" t="s">
        <v>7</v>
      </c>
      <c r="G25" s="15">
        <f>DetailTable5[kwh(MMBTU)]</f>
        <v>763.474303097394</v>
      </c>
      <c r="H25" s="15">
        <f>SUM(SUMIFS(DetailTable5[Avg Monthly Mean Temp],DetailTable5[Period],DetailTable5[Period]))</f>
        <v>624</v>
      </c>
      <c r="I25" s="15" t="s">
        <v>10</v>
      </c>
      <c r="J25" s="15" t="s">
        <v>10</v>
      </c>
      <c r="K25" s="15" t="s">
        <v>9</v>
      </c>
      <c r="L25"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25" s="45">
        <f>(0.754431583882666 * DetailTable5[Heating Degree Days, Base 65 deg F]) + 595.299683774121</f>
        <v>623.21365237777968</v>
      </c>
      <c r="N25" s="45">
        <f>DetailTable5[Modeled kwh(MMBTU)]</f>
        <v>623.21365237777968</v>
      </c>
      <c r="O25"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140.26065071961432</v>
      </c>
      <c r="P25" s="45">
        <f ca="1">IF(DetailTable5[Period]=DetailTable5[Model Year],"",DetailTable5[CUSUMHidden])</f>
        <v>140.26065071961432</v>
      </c>
      <c r="Q25"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-140.26065071961432</v>
      </c>
      <c r="R25" s="45">
        <f>DetailTable5[kwh]/DetailTable5[kwh(MMBTU)]</f>
        <v>97.690346220448433</v>
      </c>
      <c r="S25" s="45">
        <f ca="1">DetailTable5[Unit Cost in $/MMBtu for column: kwh(MMBTU)]*DetailTable5[Energy Savings: kwh(MMBTU)]</f>
        <v>-13702.111529904512</v>
      </c>
      <c r="T25" s="15"/>
      <c r="U25" s="15"/>
      <c r="V25" s="15"/>
      <c r="W25" s="15"/>
      <c r="X25" s="15"/>
      <c r="Y25" s="15"/>
    </row>
    <row r="26" spans="1:25" x14ac:dyDescent="0.3">
      <c r="A26" s="1">
        <v>38626</v>
      </c>
      <c r="B26" s="15">
        <v>74307.731</v>
      </c>
      <c r="C26" s="15">
        <v>760.64558960940599</v>
      </c>
      <c r="D26" s="15">
        <v>55.2</v>
      </c>
      <c r="E26" s="15">
        <v>340</v>
      </c>
      <c r="F26" s="16" t="s">
        <v>7</v>
      </c>
      <c r="G26" s="15">
        <f>DetailTable5[kwh(MMBTU)]</f>
        <v>760.64558960940599</v>
      </c>
      <c r="H26" s="15">
        <f>SUM(SUMIFS(DetailTable5[Avg Monthly Mean Temp],DetailTable5[Period],DetailTable5[Period]))</f>
        <v>624</v>
      </c>
      <c r="I26" s="15" t="s">
        <v>10</v>
      </c>
      <c r="J26" s="15" t="s">
        <v>10</v>
      </c>
      <c r="K26" s="15" t="s">
        <v>9</v>
      </c>
      <c r="L26"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26" s="45">
        <f>(0.754431583882666 * DetailTable5[Heating Degree Days, Base 65 deg F]) + 595.299683774121</f>
        <v>851.80642229422745</v>
      </c>
      <c r="N26" s="45">
        <f>DetailTable5[Modeled kwh(MMBTU)]</f>
        <v>851.80642229422745</v>
      </c>
      <c r="O26"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49.099818034792861</v>
      </c>
      <c r="P26" s="45">
        <f ca="1">IF(DetailTable5[Period]=DetailTable5[Model Year],"",DetailTable5[CUSUMHidden])</f>
        <v>49.099818034792861</v>
      </c>
      <c r="Q26"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91.160832684821457</v>
      </c>
      <c r="R26" s="45">
        <f>DetailTable5[kwh]/DetailTable5[kwh(MMBTU)]</f>
        <v>97.690346220448433</v>
      </c>
      <c r="S26" s="45">
        <f ca="1">DetailTable5[Unit Cost in $/MMBtu for column: kwh(MMBTU)]*DetailTable5[Energy Savings: kwh(MMBTU)]</f>
        <v>8905.5333067245792</v>
      </c>
      <c r="T26" s="15"/>
      <c r="U26" s="15"/>
      <c r="V26" s="15"/>
      <c r="W26" s="15"/>
      <c r="X26" s="15"/>
      <c r="Y26" s="15"/>
    </row>
    <row r="27" spans="1:25" x14ac:dyDescent="0.3">
      <c r="A27" s="1">
        <v>38657</v>
      </c>
      <c r="B27" s="15">
        <v>86853.206000000006</v>
      </c>
      <c r="C27" s="15">
        <v>889.06641608175596</v>
      </c>
      <c r="D27" s="15">
        <v>42</v>
      </c>
      <c r="E27" s="15">
        <v>681</v>
      </c>
      <c r="F27" s="16" t="s">
        <v>7</v>
      </c>
      <c r="G27" s="15">
        <f>DetailTable5[kwh(MMBTU)]</f>
        <v>889.06641608175596</v>
      </c>
      <c r="H27" s="15">
        <f>SUM(SUMIFS(DetailTable5[Avg Monthly Mean Temp],DetailTable5[Period],DetailTable5[Period]))</f>
        <v>624</v>
      </c>
      <c r="I27" s="15" t="s">
        <v>10</v>
      </c>
      <c r="J27" s="15" t="s">
        <v>10</v>
      </c>
      <c r="K27" s="15" t="s">
        <v>9</v>
      </c>
      <c r="L27"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27" s="45">
        <f>(0.754431583882666 * DetailTable5[Heating Degree Days, Base 65 deg F]) + 595.299683774121</f>
        <v>1109.0675923982167</v>
      </c>
      <c r="N27" s="45">
        <f>DetailTable5[Modeled kwh(MMBTU)]</f>
        <v>1109.0675923982167</v>
      </c>
      <c r="O27"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-170.90135828166785</v>
      </c>
      <c r="P27" s="45">
        <f ca="1">IF(DetailTable5[Period]=DetailTable5[Model Year],"",DetailTable5[CUSUMHidden])</f>
        <v>-170.90135828166785</v>
      </c>
      <c r="Q27"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220.00117631646071</v>
      </c>
      <c r="R27" s="45">
        <f>DetailTable5[kwh]/DetailTable5[kwh(MMBTU)]</f>
        <v>97.690346220448433</v>
      </c>
      <c r="S27" s="45">
        <f ca="1">DetailTable5[Unit Cost in $/MMBtu for column: kwh(MMBTU)]*DetailTable5[Energy Savings: kwh(MMBTU)]</f>
        <v>21491.991083260968</v>
      </c>
      <c r="T27" s="15"/>
      <c r="U27" s="15"/>
      <c r="V27" s="15"/>
      <c r="W27" s="15"/>
      <c r="X27" s="15"/>
      <c r="Y27" s="15"/>
    </row>
    <row r="28" spans="1:25" x14ac:dyDescent="0.3">
      <c r="A28" s="1">
        <v>38687</v>
      </c>
      <c r="B28" s="15">
        <v>162894.78400000001</v>
      </c>
      <c r="C28" s="15">
        <v>1667.4604022019839</v>
      </c>
      <c r="D28" s="15">
        <v>23.3</v>
      </c>
      <c r="E28" s="15">
        <v>1281</v>
      </c>
      <c r="F28" s="16" t="s">
        <v>7</v>
      </c>
      <c r="G28" s="15">
        <f>DetailTable5[kwh(MMBTU)]</f>
        <v>1667.4604022019839</v>
      </c>
      <c r="H28" s="15">
        <f>SUM(SUMIFS(DetailTable5[Avg Monthly Mean Temp],DetailTable5[Period],DetailTable5[Period]))</f>
        <v>624</v>
      </c>
      <c r="I28" s="15" t="s">
        <v>10</v>
      </c>
      <c r="J28" s="15" t="s">
        <v>10</v>
      </c>
      <c r="K28" s="15" t="s">
        <v>9</v>
      </c>
      <c r="L28"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28" s="45">
        <f>(0.754431583882666 * DetailTable5[Heating Degree Days, Base 65 deg F]) + 595.299683774121</f>
        <v>1561.7265427278162</v>
      </c>
      <c r="N28" s="45">
        <f>DetailTable5[Modeled kwh(MMBTU)]</f>
        <v>1561.7265427278162</v>
      </c>
      <c r="O28"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-65.167498807500124</v>
      </c>
      <c r="P28" s="45">
        <f ca="1">IF(DetailTable5[Period]=DetailTable5[Model Year],"",DetailTable5[CUSUMHidden])</f>
        <v>-65.167498807500124</v>
      </c>
      <c r="Q28"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-105.73385947416773</v>
      </c>
      <c r="R28" s="45">
        <f>DetailTable5[kwh]/DetailTable5[kwh(MMBTU)]</f>
        <v>97.690346220448433</v>
      </c>
      <c r="S28" s="45">
        <f ca="1">DetailTable5[Unit Cost in $/MMBtu for column: kwh(MMBTU)]*DetailTable5[Energy Savings: kwh(MMBTU)]</f>
        <v>-10329.177339255688</v>
      </c>
      <c r="T28" s="15"/>
      <c r="U28" s="15"/>
      <c r="V28" s="15"/>
      <c r="W28" s="15"/>
      <c r="X28" s="15"/>
      <c r="Y28" s="15"/>
    </row>
    <row r="29" spans="1:25" x14ac:dyDescent="0.3">
      <c r="A29" s="1">
        <v>38718</v>
      </c>
      <c r="B29" s="15">
        <v>127338.31299999999</v>
      </c>
      <c r="C29" s="15">
        <v>1303.4892179893379</v>
      </c>
      <c r="D29" s="15">
        <v>35.799999999999997</v>
      </c>
      <c r="E29" s="15">
        <v>896</v>
      </c>
      <c r="F29" s="16" t="s">
        <v>7</v>
      </c>
      <c r="G29" s="15">
        <f>DetailTable5[kwh(MMBTU)]</f>
        <v>1303.4892179893379</v>
      </c>
      <c r="H29" s="15">
        <f>SUM(SUMIFS(DetailTable5[Avg Monthly Mean Temp],DetailTable5[Period],DetailTable5[Period]))</f>
        <v>624</v>
      </c>
      <c r="I29" s="15" t="s">
        <v>10</v>
      </c>
      <c r="J29" s="15" t="s">
        <v>10</v>
      </c>
      <c r="K29" s="15" t="s">
        <v>9</v>
      </c>
      <c r="L29"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29" s="45">
        <f>(0.754431583882666 * DetailTable5[Heating Degree Days, Base 65 deg F]) + 595.299683774121</f>
        <v>1271.2703829329898</v>
      </c>
      <c r="N29" s="45">
        <f>DetailTable5[Modeled kwh(MMBTU)]</f>
        <v>1271.2703829329898</v>
      </c>
      <c r="O29"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-32.948663751152026</v>
      </c>
      <c r="P29" s="45">
        <f ca="1">IF(DetailTable5[Period]=DetailTable5[Model Year],"",DetailTable5[CUSUMHidden])</f>
        <v>-32.948663751152026</v>
      </c>
      <c r="Q29"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-32.218835056348098</v>
      </c>
      <c r="R29" s="45">
        <f>DetailTable5[kwh]/DetailTable5[kwh(MMBTU)]</f>
        <v>97.690346220448433</v>
      </c>
      <c r="S29" s="45">
        <f ca="1">DetailTable5[Unit Cost in $/MMBtu for column: kwh(MMBTU)]*DetailTable5[Energy Savings: kwh(MMBTU)]</f>
        <v>-3147.4691514741667</v>
      </c>
      <c r="T29" s="15"/>
      <c r="U29" s="15"/>
      <c r="V29" s="15"/>
      <c r="W29" s="15"/>
      <c r="X29" s="15"/>
      <c r="Y29" s="15"/>
    </row>
    <row r="30" spans="1:25" x14ac:dyDescent="0.3">
      <c r="A30" s="1">
        <v>38749</v>
      </c>
      <c r="B30" s="15">
        <v>135658.06899999999</v>
      </c>
      <c r="C30" s="15">
        <v>1388.6537846213937</v>
      </c>
      <c r="D30" s="15">
        <v>28.2</v>
      </c>
      <c r="E30" s="15">
        <v>1024</v>
      </c>
      <c r="F30" s="16" t="s">
        <v>7</v>
      </c>
      <c r="G30" s="15">
        <f>DetailTable5[kwh(MMBTU)]</f>
        <v>1388.6537846213937</v>
      </c>
      <c r="H30" s="15">
        <f>SUM(SUMIFS(DetailTable5[Avg Monthly Mean Temp],DetailTable5[Period],DetailTable5[Period]))</f>
        <v>624</v>
      </c>
      <c r="I30" s="15" t="s">
        <v>10</v>
      </c>
      <c r="J30" s="15" t="s">
        <v>10</v>
      </c>
      <c r="K30" s="15" t="s">
        <v>9</v>
      </c>
      <c r="L30"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30" s="45">
        <f>(0.754431583882666 * DetailTable5[Heating Degree Days, Base 65 deg F]) + 595.299683774121</f>
        <v>1367.837625669971</v>
      </c>
      <c r="N30" s="45">
        <f>DetailTable5[Modeled kwh(MMBTU)]</f>
        <v>1367.837625669971</v>
      </c>
      <c r="O30"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-12.132504799729304</v>
      </c>
      <c r="P30" s="45">
        <f ca="1">IF(DetailTable5[Period]=DetailTable5[Model Year],"",DetailTable5[CUSUMHidden])</f>
        <v>-12.132504799729304</v>
      </c>
      <c r="Q30"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-20.816158951422722</v>
      </c>
      <c r="R30" s="45">
        <f>DetailTable5[kwh]/DetailTable5[kwh(MMBTU)]</f>
        <v>97.690346220448433</v>
      </c>
      <c r="S30" s="45">
        <f ca="1">DetailTable5[Unit Cost in $/MMBtu for column: kwh(MMBTU)]*DetailTable5[Energy Savings: kwh(MMBTU)]</f>
        <v>-2033.5377749443726</v>
      </c>
      <c r="T30" s="15"/>
      <c r="U30" s="15"/>
      <c r="V30" s="15"/>
      <c r="W30" s="15"/>
      <c r="X30" s="15"/>
      <c r="Y30" s="15"/>
    </row>
    <row r="31" spans="1:25" x14ac:dyDescent="0.3">
      <c r="A31" s="1">
        <v>38777</v>
      </c>
      <c r="B31" s="15">
        <v>121766.552</v>
      </c>
      <c r="C31" s="15">
        <v>1246.4542988231519</v>
      </c>
      <c r="D31" s="15">
        <v>38.299999999999997</v>
      </c>
      <c r="E31" s="15">
        <v>821</v>
      </c>
      <c r="F31" s="16" t="s">
        <v>7</v>
      </c>
      <c r="G31" s="15">
        <f>DetailTable5[kwh(MMBTU)]</f>
        <v>1246.4542988231519</v>
      </c>
      <c r="H31" s="15">
        <f>SUM(SUMIFS(DetailTable5[Avg Monthly Mean Temp],DetailTable5[Period],DetailTable5[Period]))</f>
        <v>624</v>
      </c>
      <c r="I31" s="15" t="s">
        <v>10</v>
      </c>
      <c r="J31" s="15" t="s">
        <v>10</v>
      </c>
      <c r="K31" s="15" t="s">
        <v>9</v>
      </c>
      <c r="L31"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31" s="45">
        <f>(0.754431583882666 * DetailTable5[Heating Degree Days, Base 65 deg F]) + 595.299683774121</f>
        <v>1214.6880141417898</v>
      </c>
      <c r="N31" s="45">
        <f>DetailTable5[Modeled kwh(MMBTU)]</f>
        <v>1214.6880141417898</v>
      </c>
      <c r="O31"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19.63377988163279</v>
      </c>
      <c r="P31" s="45">
        <f ca="1">IF(DetailTable5[Period]=DetailTable5[Model Year],"",DetailTable5[CUSUMHidden])</f>
        <v>19.63377988163279</v>
      </c>
      <c r="Q31"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-31.766284681362094</v>
      </c>
      <c r="R31" s="45">
        <f>DetailTable5[kwh]/DetailTable5[kwh(MMBTU)]</f>
        <v>97.690346220448433</v>
      </c>
      <c r="S31" s="45">
        <f ca="1">DetailTable5[Unit Cost in $/MMBtu for column: kwh(MMBTU)]*DetailTable5[Energy Savings: kwh(MMBTU)]</f>
        <v>-3103.2593486595906</v>
      </c>
      <c r="T31" s="15"/>
      <c r="U31" s="15"/>
      <c r="V31" s="15"/>
      <c r="W31" s="15"/>
      <c r="X31" s="15"/>
      <c r="Y31" s="15"/>
    </row>
    <row r="32" spans="1:25" x14ac:dyDescent="0.3">
      <c r="A32" s="1">
        <v>38808</v>
      </c>
      <c r="B32" s="15">
        <v>72690.066999999995</v>
      </c>
      <c r="C32" s="15">
        <v>744.08649178054202</v>
      </c>
      <c r="D32" s="15">
        <v>53.1</v>
      </c>
      <c r="E32" s="15">
        <v>358</v>
      </c>
      <c r="F32" s="16" t="s">
        <v>7</v>
      </c>
      <c r="G32" s="15">
        <f>DetailTable5[kwh(MMBTU)]</f>
        <v>744.08649178054202</v>
      </c>
      <c r="H32" s="15">
        <f>SUM(SUMIFS(DetailTable5[Avg Monthly Mean Temp],DetailTable5[Period],DetailTable5[Period]))</f>
        <v>624</v>
      </c>
      <c r="I32" s="15" t="s">
        <v>10</v>
      </c>
      <c r="J32" s="15" t="s">
        <v>10</v>
      </c>
      <c r="K32" s="15" t="s">
        <v>9</v>
      </c>
      <c r="L32"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32" s="45">
        <f>(0.754431583882666 * DetailTable5[Heating Degree Days, Base 65 deg F]) + 595.299683774121</f>
        <v>865.38619080411547</v>
      </c>
      <c r="N32" s="45">
        <f>DetailTable5[Modeled kwh(MMBTU)]</f>
        <v>865.38619080411547</v>
      </c>
      <c r="O32"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-101.66591914194066</v>
      </c>
      <c r="P32" s="45">
        <f ca="1">IF(DetailTable5[Period]=DetailTable5[Model Year],"",DetailTable5[CUSUMHidden])</f>
        <v>-101.66591914194066</v>
      </c>
      <c r="Q32"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121.29969902357345</v>
      </c>
      <c r="R32" s="45">
        <f>DetailTable5[kwh]/DetailTable5[kwh(MMBTU)]</f>
        <v>97.690346220448419</v>
      </c>
      <c r="S32" s="45">
        <f ca="1">DetailTable5[Unit Cost in $/MMBtu for column: kwh(MMBTU)]*DetailTable5[Energy Savings: kwh(MMBTU)]</f>
        <v>11849.80959404908</v>
      </c>
      <c r="T32" s="15"/>
      <c r="U32" s="15"/>
      <c r="V32" s="15"/>
      <c r="W32" s="15"/>
      <c r="X32" s="15"/>
      <c r="Y32" s="15"/>
    </row>
    <row r="33" spans="1:25" x14ac:dyDescent="0.3">
      <c r="A33" s="1">
        <v>38838</v>
      </c>
      <c r="B33" s="15">
        <v>68997.106</v>
      </c>
      <c r="C33" s="15">
        <v>706.283769783156</v>
      </c>
      <c r="D33" s="15">
        <v>59.6</v>
      </c>
      <c r="E33" s="15">
        <v>231</v>
      </c>
      <c r="F33" s="16" t="s">
        <v>7</v>
      </c>
      <c r="G33" s="15">
        <f>DetailTable5[kwh(MMBTU)]</f>
        <v>706.283769783156</v>
      </c>
      <c r="H33" s="15">
        <f>SUM(SUMIFS(DetailTable5[Avg Monthly Mean Temp],DetailTable5[Period],DetailTable5[Period]))</f>
        <v>624</v>
      </c>
      <c r="I33" s="15" t="s">
        <v>10</v>
      </c>
      <c r="J33" s="15" t="s">
        <v>10</v>
      </c>
      <c r="K33" s="15" t="s">
        <v>9</v>
      </c>
      <c r="L33"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33" s="45">
        <f>(0.754431583882666 * DetailTable5[Heating Degree Days, Base 65 deg F]) + 595.299683774121</f>
        <v>769.57337965101692</v>
      </c>
      <c r="N33" s="45">
        <f>DetailTable5[Modeled kwh(MMBTU)]</f>
        <v>769.57337965101692</v>
      </c>
      <c r="O33"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-164.95552900980158</v>
      </c>
      <c r="P33" s="45">
        <f ca="1">IF(DetailTable5[Period]=DetailTable5[Model Year],"",DetailTable5[CUSUMHidden])</f>
        <v>-164.95552900980158</v>
      </c>
      <c r="Q33"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63.289609867860918</v>
      </c>
      <c r="R33" s="45">
        <f>DetailTable5[kwh]/DetailTable5[kwh(MMBTU)]</f>
        <v>97.690346220448419</v>
      </c>
      <c r="S33" s="45">
        <f ca="1">DetailTable5[Unit Cost in $/MMBtu for column: kwh(MMBTU)]*DetailTable5[Energy Savings: kwh(MMBTU)]</f>
        <v>6182.7839001484417</v>
      </c>
      <c r="T33" s="15"/>
      <c r="U33" s="15"/>
      <c r="V33" s="15"/>
      <c r="W33" s="15"/>
      <c r="X33" s="15"/>
      <c r="Y33" s="15"/>
    </row>
    <row r="34" spans="1:25" x14ac:dyDescent="0.3">
      <c r="A34" s="1">
        <v>38869</v>
      </c>
      <c r="B34" s="15">
        <v>60499.94</v>
      </c>
      <c r="C34" s="15">
        <v>619.30315881444005</v>
      </c>
      <c r="D34" s="15">
        <v>68.3</v>
      </c>
      <c r="E34" s="15">
        <v>28</v>
      </c>
      <c r="F34" s="16" t="s">
        <v>7</v>
      </c>
      <c r="G34" s="15">
        <f>DetailTable5[kwh(MMBTU)]</f>
        <v>619.30315881444005</v>
      </c>
      <c r="H34" s="15">
        <f>SUM(SUMIFS(DetailTable5[Avg Monthly Mean Temp],DetailTable5[Period],DetailTable5[Period]))</f>
        <v>624</v>
      </c>
      <c r="I34" s="15" t="s">
        <v>10</v>
      </c>
      <c r="J34" s="15" t="s">
        <v>10</v>
      </c>
      <c r="K34" s="15" t="s">
        <v>9</v>
      </c>
      <c r="L34"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34" s="45">
        <f>(0.754431583882666 * DetailTable5[Heating Degree Days, Base 65 deg F]) + 595.299683774121</f>
        <v>616.42376812283567</v>
      </c>
      <c r="N34" s="45">
        <f>DetailTable5[Modeled kwh(MMBTU)]</f>
        <v>616.42376812283567</v>
      </c>
      <c r="O34"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-162.0761383181972</v>
      </c>
      <c r="P34" s="45">
        <f ca="1">IF(DetailTable5[Period]=DetailTable5[Model Year],"",DetailTable5[CUSUMHidden])</f>
        <v>-162.0761383181972</v>
      </c>
      <c r="Q34"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-2.8793906916043852</v>
      </c>
      <c r="R34" s="45">
        <f>DetailTable5[kwh]/DetailTable5[kwh(MMBTU)]</f>
        <v>97.690346220448419</v>
      </c>
      <c r="S34" s="45">
        <f ca="1">DetailTable5[Unit Cost in $/MMBtu for column: kwh(MMBTU)]*DetailTable5[Energy Savings: kwh(MMBTU)]</f>
        <v>-281.28867356676881</v>
      </c>
      <c r="T34" s="15"/>
      <c r="U34" s="15"/>
      <c r="V34" s="15"/>
      <c r="W34" s="15"/>
      <c r="X34" s="15"/>
      <c r="Y34" s="15"/>
    </row>
    <row r="35" spans="1:25" x14ac:dyDescent="0.3">
      <c r="A35" s="1">
        <v>38899</v>
      </c>
      <c r="B35" s="15">
        <v>57798.330999999998</v>
      </c>
      <c r="C35" s="15">
        <v>591.64833820500598</v>
      </c>
      <c r="D35" s="15">
        <v>76.5</v>
      </c>
      <c r="E35" s="15">
        <v>0</v>
      </c>
      <c r="F35" s="16" t="s">
        <v>7</v>
      </c>
      <c r="G35" s="15">
        <f>DetailTable5[kwh(MMBTU)]</f>
        <v>591.64833820500598</v>
      </c>
      <c r="H35" s="15">
        <f>SUM(SUMIFS(DetailTable5[Avg Monthly Mean Temp],DetailTable5[Period],DetailTable5[Period]))</f>
        <v>624</v>
      </c>
      <c r="I35" s="15" t="s">
        <v>10</v>
      </c>
      <c r="J35" s="15" t="s">
        <v>10</v>
      </c>
      <c r="K35" s="15" t="s">
        <v>9</v>
      </c>
      <c r="L35"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35" s="45">
        <f>(0.754431583882666 * DetailTable5[Heating Degree Days, Base 65 deg F]) + 595.299683774121</f>
        <v>595.29968377412104</v>
      </c>
      <c r="N35" s="45">
        <f>DetailTable5[Modeled kwh(MMBTU)]</f>
        <v>595.29968377412104</v>
      </c>
      <c r="O35"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-165.72748388731225</v>
      </c>
      <c r="P35" s="45">
        <f ca="1">IF(DetailTable5[Period]=DetailTable5[Model Year],"",DetailTable5[CUSUMHidden])</f>
        <v>-165.72748388731225</v>
      </c>
      <c r="Q35"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3.6513455691150511</v>
      </c>
      <c r="R35" s="45">
        <f>DetailTable5[kwh]/DetailTable5[kwh(MMBTU)]</f>
        <v>97.690346220448433</v>
      </c>
      <c r="S35" s="45">
        <f ca="1">DetailTable5[Unit Cost in $/MMBtu for column: kwh(MMBTU)]*DetailTable5[Energy Savings: kwh(MMBTU)]</f>
        <v>356.70121281734964</v>
      </c>
      <c r="T35" s="15"/>
      <c r="U35" s="15"/>
      <c r="V35" s="15"/>
      <c r="W35" s="15"/>
      <c r="X35" s="15"/>
      <c r="Y35" s="15"/>
    </row>
    <row r="36" spans="1:25" x14ac:dyDescent="0.3">
      <c r="A36" s="1">
        <v>38930</v>
      </c>
      <c r="B36" s="15">
        <v>55055.434999999998</v>
      </c>
      <c r="C36" s="15">
        <v>563.57088627530993</v>
      </c>
      <c r="D36" s="15">
        <v>74.3</v>
      </c>
      <c r="E36" s="15">
        <v>0</v>
      </c>
      <c r="F36" s="16" t="s">
        <v>7</v>
      </c>
      <c r="G36" s="15">
        <f>DetailTable5[kwh(MMBTU)]</f>
        <v>563.57088627530993</v>
      </c>
      <c r="H36" s="15">
        <f>SUM(SUMIFS(DetailTable5[Avg Monthly Mean Temp],DetailTable5[Period],DetailTable5[Period]))</f>
        <v>624</v>
      </c>
      <c r="I36" s="15" t="s">
        <v>10</v>
      </c>
      <c r="J36" s="15" t="s">
        <v>10</v>
      </c>
      <c r="K36" s="15" t="s">
        <v>9</v>
      </c>
      <c r="L36"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36" s="45">
        <f>(0.754431583882666 * DetailTable5[Heating Degree Days, Base 65 deg F]) + 595.299683774121</f>
        <v>595.29968377412104</v>
      </c>
      <c r="N36" s="45">
        <f>DetailTable5[Modeled kwh(MMBTU)]</f>
        <v>595.29968377412104</v>
      </c>
      <c r="O36"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-197.45628138612335</v>
      </c>
      <c r="P36" s="45">
        <f ca="1">IF(DetailTable5[Period]=DetailTable5[Model Year],"",DetailTable5[CUSUMHidden])</f>
        <v>-197.45628138612335</v>
      </c>
      <c r="Q36"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31.728797498811105</v>
      </c>
      <c r="R36" s="45">
        <f>DetailTable5[kwh]/DetailTable5[kwh(MMBTU)]</f>
        <v>97.690346220448433</v>
      </c>
      <c r="S36" s="45">
        <f ca="1">DetailTable5[Unit Cost in $/MMBtu for column: kwh(MMBTU)]*DetailTable5[Energy Savings: kwh(MMBTU)]</f>
        <v>3099.5972128173553</v>
      </c>
      <c r="T36" s="15"/>
      <c r="U36" s="15"/>
      <c r="V36" s="15"/>
      <c r="W36" s="15"/>
      <c r="X36" s="15"/>
      <c r="Y36" s="15"/>
    </row>
    <row r="37" spans="1:25" x14ac:dyDescent="0.3">
      <c r="A37" s="1">
        <v>38961</v>
      </c>
      <c r="B37" s="15">
        <v>55335.671999999999</v>
      </c>
      <c r="C37" s="15">
        <v>566.4395115882719</v>
      </c>
      <c r="D37" s="15">
        <v>62.4</v>
      </c>
      <c r="E37" s="15">
        <v>115</v>
      </c>
      <c r="F37" s="16" t="s">
        <v>8</v>
      </c>
      <c r="G37" s="15">
        <f>DetailTable5[kwh(MMBTU)]</f>
        <v>566.4395115882719</v>
      </c>
      <c r="H37" s="15">
        <f>SUM(SUMIFS(DetailTable5[Avg Monthly Mean Temp],DetailTable5[Period],DetailTable5[Period]))</f>
        <v>606.70000000000005</v>
      </c>
      <c r="I37" s="15" t="s">
        <v>10</v>
      </c>
      <c r="J37" s="15" t="s">
        <v>10</v>
      </c>
      <c r="K37" s="15" t="s">
        <v>9</v>
      </c>
      <c r="L37"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37" s="45">
        <f>(0.754431583882666 * DetailTable5[Heating Degree Days, Base 65 deg F]) + 595.299683774121</f>
        <v>682.05931592062757</v>
      </c>
      <c r="N37" s="45">
        <f>DetailTable5[Modeled kwh(MMBTU)]</f>
        <v>682.05931592062757</v>
      </c>
      <c r="O37"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-313.07608571847902</v>
      </c>
      <c r="P37" s="45">
        <f ca="1">IF(DetailTable5[Period]=DetailTable5[Model Year],"",DetailTable5[CUSUMHidden])</f>
        <v>-313.07608571847902</v>
      </c>
      <c r="Q37"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115.61980433235567</v>
      </c>
      <c r="R37" s="45">
        <f>DetailTable5[kwh]/DetailTable5[kwh(MMBTU)]</f>
        <v>97.690346220448447</v>
      </c>
      <c r="S37" s="45">
        <f ca="1">DetailTable5[Unit Cost in $/MMBtu for column: kwh(MMBTU)]*DetailTable5[Energy Savings: kwh(MMBTU)]</f>
        <v>11294.938715168331</v>
      </c>
      <c r="T37" s="15"/>
      <c r="U37" s="15"/>
      <c r="V37" s="15"/>
      <c r="W37" s="15"/>
      <c r="X37" s="15"/>
      <c r="Y37" s="15"/>
    </row>
    <row r="38" spans="1:25" x14ac:dyDescent="0.3">
      <c r="A38" s="1">
        <v>38991</v>
      </c>
      <c r="B38" s="15">
        <v>55653.917999999998</v>
      </c>
      <c r="C38" s="15">
        <v>569.69721321706788</v>
      </c>
      <c r="D38" s="15">
        <v>49</v>
      </c>
      <c r="E38" s="15">
        <v>497</v>
      </c>
      <c r="F38" s="16" t="s">
        <v>8</v>
      </c>
      <c r="G38" s="15">
        <f>DetailTable5[kwh(MMBTU)]</f>
        <v>569.69721321706788</v>
      </c>
      <c r="H38" s="15">
        <f>SUM(SUMIFS(DetailTable5[Avg Monthly Mean Temp],DetailTable5[Period],DetailTable5[Period]))</f>
        <v>606.70000000000005</v>
      </c>
      <c r="I38" s="15" t="s">
        <v>10</v>
      </c>
      <c r="J38" s="15" t="s">
        <v>10</v>
      </c>
      <c r="K38" s="15" t="s">
        <v>9</v>
      </c>
      <c r="L38"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38" s="45">
        <f>(0.754431583882666 * DetailTable5[Heating Degree Days, Base 65 deg F]) + 595.299683774121</f>
        <v>970.25218096380604</v>
      </c>
      <c r="N38" s="45">
        <f>DetailTable5[Modeled kwh(MMBTU)]</f>
        <v>970.25218096380604</v>
      </c>
      <c r="O38"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-713.63105346521718</v>
      </c>
      <c r="P38" s="45">
        <f ca="1">IF(DetailTable5[Period]=DetailTable5[Model Year],"",DetailTable5[CUSUMHidden])</f>
        <v>-713.63105346521718</v>
      </c>
      <c r="Q38"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400.55496774673816</v>
      </c>
      <c r="R38" s="45">
        <f>DetailTable5[kwh]/DetailTable5[kwh(MMBTU)]</f>
        <v>97.690346220448447</v>
      </c>
      <c r="S38" s="45">
        <f ca="1">DetailTable5[Unit Cost in $/MMBtu for column: kwh(MMBTU)]*DetailTable5[Energy Savings: kwh(MMBTU)]</f>
        <v>39130.353479499412</v>
      </c>
      <c r="T38" s="15"/>
      <c r="U38" s="15"/>
      <c r="V38" s="15"/>
      <c r="W38" s="15"/>
      <c r="X38" s="15"/>
      <c r="Y38" s="15"/>
    </row>
    <row r="39" spans="1:25" x14ac:dyDescent="0.3">
      <c r="A39" s="1">
        <v>39022</v>
      </c>
      <c r="B39" s="15">
        <v>61117.366000000002</v>
      </c>
      <c r="C39" s="15">
        <v>625.62339437391597</v>
      </c>
      <c r="D39" s="15">
        <v>42.8</v>
      </c>
      <c r="E39" s="15">
        <v>659</v>
      </c>
      <c r="F39" s="16" t="s">
        <v>8</v>
      </c>
      <c r="G39" s="15">
        <f>DetailTable5[kwh(MMBTU)]</f>
        <v>625.62339437391597</v>
      </c>
      <c r="H39" s="15">
        <f>SUM(SUMIFS(DetailTable5[Avg Monthly Mean Temp],DetailTable5[Period],DetailTable5[Period]))</f>
        <v>606.70000000000005</v>
      </c>
      <c r="I39" s="15" t="s">
        <v>10</v>
      </c>
      <c r="J39" s="15" t="s">
        <v>10</v>
      </c>
      <c r="K39" s="15" t="s">
        <v>9</v>
      </c>
      <c r="L39"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39" s="45">
        <f>(0.754431583882666 * DetailTable5[Heating Degree Days, Base 65 deg F]) + 595.299683774121</f>
        <v>1092.4700975527978</v>
      </c>
      <c r="N39" s="45">
        <f>DetailTable5[Modeled kwh(MMBTU)]</f>
        <v>1092.4700975527978</v>
      </c>
      <c r="O39"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-1180.4777566440989</v>
      </c>
      <c r="P39" s="45">
        <f ca="1">IF(DetailTable5[Period]=DetailTable5[Model Year],"",DetailTable5[CUSUMHidden])</f>
        <v>-1180.4777566440989</v>
      </c>
      <c r="Q39"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466.84670317888185</v>
      </c>
      <c r="R39" s="45">
        <f>DetailTable5[kwh]/DetailTable5[kwh(MMBTU)]</f>
        <v>97.690346220448433</v>
      </c>
      <c r="S39" s="45">
        <f ca="1">DetailTable5[Unit Cost in $/MMBtu for column: kwh(MMBTU)]*DetailTable5[Energy Savings: kwh(MMBTU)]</f>
        <v>45606.416065419893</v>
      </c>
      <c r="T39" s="15"/>
      <c r="U39" s="15"/>
      <c r="V39" s="15"/>
      <c r="W39" s="15"/>
      <c r="X39" s="15"/>
      <c r="Y39" s="15"/>
    </row>
    <row r="40" spans="1:25" x14ac:dyDescent="0.3">
      <c r="A40" s="1">
        <v>39052</v>
      </c>
      <c r="B40" s="15">
        <v>35998.086000000003</v>
      </c>
      <c r="C40" s="15">
        <v>368.49174348063605</v>
      </c>
      <c r="D40" s="15">
        <v>33.799999999999997</v>
      </c>
      <c r="E40" s="15">
        <v>960</v>
      </c>
      <c r="F40" s="16" t="s">
        <v>8</v>
      </c>
      <c r="G40" s="15">
        <f>DetailTable5[kwh(MMBTU)]</f>
        <v>368.49174348063605</v>
      </c>
      <c r="H40" s="15">
        <f>SUM(SUMIFS(DetailTable5[Avg Monthly Mean Temp],DetailTable5[Period],DetailTable5[Period]))</f>
        <v>606.70000000000005</v>
      </c>
      <c r="I40" s="15" t="s">
        <v>10</v>
      </c>
      <c r="J40" s="15" t="s">
        <v>10</v>
      </c>
      <c r="K40" s="15" t="s">
        <v>9</v>
      </c>
      <c r="L40"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40" s="45">
        <f>(0.754431583882666 * DetailTable5[Heating Degree Days, Base 65 deg F]) + 595.299683774121</f>
        <v>1319.5540043014803</v>
      </c>
      <c r="N40" s="45">
        <f>DetailTable5[Modeled kwh(MMBTU)]</f>
        <v>1319.5540043014803</v>
      </c>
      <c r="O40"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-2131.540017464943</v>
      </c>
      <c r="P40" s="45">
        <f ca="1">IF(DetailTable5[Period]=DetailTable5[Model Year],"",DetailTable5[CUSUMHidden])</f>
        <v>-2131.540017464943</v>
      </c>
      <c r="Q40"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951.06226082084424</v>
      </c>
      <c r="R40" s="45">
        <f>DetailTable5[kwh]/DetailTable5[kwh(MMBTU)]</f>
        <v>97.690346220448419</v>
      </c>
      <c r="S40" s="45">
        <f ca="1">DetailTable5[Unit Cost in $/MMBtu for column: kwh(MMBTU)]*DetailTable5[Energy Savings: kwh(MMBTU)]</f>
        <v>92909.601536790695</v>
      </c>
      <c r="T40" s="15"/>
      <c r="U40" s="15"/>
      <c r="V40" s="15"/>
      <c r="W40" s="15"/>
      <c r="X40" s="15"/>
      <c r="Y40" s="15"/>
    </row>
    <row r="41" spans="1:25" x14ac:dyDescent="0.3">
      <c r="A41" s="1">
        <v>39083</v>
      </c>
      <c r="B41" s="15">
        <v>95477.224000000002</v>
      </c>
      <c r="C41" s="15">
        <v>977.34553816142397</v>
      </c>
      <c r="D41" s="15">
        <v>27.9</v>
      </c>
      <c r="E41" s="15">
        <v>1141</v>
      </c>
      <c r="F41" s="16" t="s">
        <v>8</v>
      </c>
      <c r="G41" s="15">
        <f>DetailTable5[kwh(MMBTU)]</f>
        <v>977.34553816142397</v>
      </c>
      <c r="H41" s="15">
        <f>SUM(SUMIFS(DetailTable5[Avg Monthly Mean Temp],DetailTable5[Period],DetailTable5[Period]))</f>
        <v>606.70000000000005</v>
      </c>
      <c r="I41" s="15" t="s">
        <v>10</v>
      </c>
      <c r="J41" s="15" t="s">
        <v>10</v>
      </c>
      <c r="K41" s="15" t="s">
        <v>9</v>
      </c>
      <c r="L41"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41" s="45">
        <f>(0.754431583882666 * DetailTable5[Heating Degree Days, Base 65 deg F]) + 595.299683774121</f>
        <v>1456.1061209842428</v>
      </c>
      <c r="N41" s="45">
        <f>DetailTable5[Modeled kwh(MMBTU)]</f>
        <v>1456.1061209842428</v>
      </c>
      <c r="O41"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-2610.3006002877619</v>
      </c>
      <c r="P41" s="45">
        <f ca="1">IF(DetailTable5[Period]=DetailTable5[Model Year],"",DetailTable5[CUSUMHidden])</f>
        <v>-2610.3006002877619</v>
      </c>
      <c r="Q41"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478.76058282281883</v>
      </c>
      <c r="R41" s="45">
        <f>DetailTable5[kwh]/DetailTable5[kwh(MMBTU)]</f>
        <v>97.690346220448433</v>
      </c>
      <c r="S41" s="45">
        <f ca="1">DetailTable5[Unit Cost in $/MMBtu for column: kwh(MMBTU)]*DetailTable5[Energy Savings: kwh(MMBTU)]</f>
        <v>46770.287092664847</v>
      </c>
      <c r="T41" s="15"/>
      <c r="U41" s="15"/>
      <c r="V41" s="15"/>
      <c r="W41" s="15"/>
      <c r="X41" s="15"/>
      <c r="Y41" s="15"/>
    </row>
    <row r="42" spans="1:25" x14ac:dyDescent="0.3">
      <c r="A42" s="1">
        <v>39114</v>
      </c>
      <c r="B42" s="15">
        <v>108316.48299999999</v>
      </c>
      <c r="C42" s="15">
        <v>1108.7736628097578</v>
      </c>
      <c r="D42" s="15">
        <v>17.899999999999999</v>
      </c>
      <c r="E42" s="15">
        <v>1310</v>
      </c>
      <c r="F42" s="16" t="s">
        <v>8</v>
      </c>
      <c r="G42" s="15">
        <f>DetailTable5[kwh(MMBTU)]</f>
        <v>1108.7736628097578</v>
      </c>
      <c r="H42" s="15">
        <f>SUM(SUMIFS(DetailTable5[Avg Monthly Mean Temp],DetailTable5[Period],DetailTable5[Period]))</f>
        <v>606.70000000000005</v>
      </c>
      <c r="I42" s="15" t="s">
        <v>10</v>
      </c>
      <c r="J42" s="15" t="s">
        <v>10</v>
      </c>
      <c r="K42" s="15" t="s">
        <v>9</v>
      </c>
      <c r="L42"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42" s="45">
        <f>(0.754431583882666 * DetailTable5[Heating Degree Days, Base 65 deg F]) + 595.299683774121</f>
        <v>1583.6050586604133</v>
      </c>
      <c r="N42" s="45">
        <f>DetailTable5[Modeled kwh(MMBTU)]</f>
        <v>1583.6050586604133</v>
      </c>
      <c r="O42"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-3085.1319961384174</v>
      </c>
      <c r="P42" s="45">
        <f ca="1">IF(DetailTable5[Period]=DetailTable5[Model Year],"",DetailTable5[CUSUMHidden])</f>
        <v>-3085.1319961384174</v>
      </c>
      <c r="Q42"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474.83139585065555</v>
      </c>
      <c r="R42" s="45">
        <f>DetailTable5[kwh]/DetailTable5[kwh(MMBTU)]</f>
        <v>97.690346220448447</v>
      </c>
      <c r="S42" s="45">
        <f ca="1">DetailTable5[Unit Cost in $/MMBtu for column: kwh(MMBTU)]*DetailTable5[Energy Savings: kwh(MMBTU)]</f>
        <v>46386.443456989349</v>
      </c>
      <c r="T42" s="15"/>
      <c r="U42" s="15"/>
      <c r="V42" s="15"/>
      <c r="W42" s="15"/>
      <c r="X42" s="15"/>
      <c r="Y42" s="15"/>
    </row>
    <row r="43" spans="1:25" x14ac:dyDescent="0.3">
      <c r="A43" s="1">
        <v>39142</v>
      </c>
      <c r="B43" s="15">
        <v>78690.017000000007</v>
      </c>
      <c r="C43" s="15">
        <v>805.50453595924205</v>
      </c>
      <c r="D43" s="15">
        <v>42.5</v>
      </c>
      <c r="E43" s="15">
        <v>697</v>
      </c>
      <c r="F43" s="16" t="s">
        <v>8</v>
      </c>
      <c r="G43" s="15">
        <f>DetailTable5[kwh(MMBTU)]</f>
        <v>805.50453595924205</v>
      </c>
      <c r="H43" s="15">
        <f>SUM(SUMIFS(DetailTable5[Avg Monthly Mean Temp],DetailTable5[Period],DetailTable5[Period]))</f>
        <v>606.70000000000005</v>
      </c>
      <c r="I43" s="15" t="s">
        <v>10</v>
      </c>
      <c r="J43" s="15" t="s">
        <v>10</v>
      </c>
      <c r="K43" s="15" t="s">
        <v>9</v>
      </c>
      <c r="L43"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43" s="45">
        <f>(0.754431583882666 * DetailTable5[Heating Degree Days, Base 65 deg F]) + 595.299683774121</f>
        <v>1121.1384977403391</v>
      </c>
      <c r="N43" s="45">
        <f>DetailTable5[Modeled kwh(MMBTU)]</f>
        <v>1121.1384977403391</v>
      </c>
      <c r="O43"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-3400.7659579195142</v>
      </c>
      <c r="P43" s="45">
        <f ca="1">IF(DetailTable5[Period]=DetailTable5[Model Year],"",DetailTable5[CUSUMHidden])</f>
        <v>-3400.7659579195142</v>
      </c>
      <c r="Q43"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315.63396178109701</v>
      </c>
      <c r="R43" s="45">
        <f>DetailTable5[kwh]/DetailTable5[kwh(MMBTU)]</f>
        <v>97.690346220448433</v>
      </c>
      <c r="S43" s="45">
        <f ca="1">DetailTable5[Unit Cost in $/MMBtu for column: kwh(MMBTU)]*DetailTable5[Energy Savings: kwh(MMBTU)]</f>
        <v>30834.391005327157</v>
      </c>
      <c r="T43" s="15"/>
      <c r="U43" s="15"/>
      <c r="V43" s="15"/>
      <c r="W43" s="15"/>
      <c r="X43" s="15"/>
      <c r="Y43" s="15"/>
    </row>
    <row r="44" spans="1:25" x14ac:dyDescent="0.3">
      <c r="A44" s="1">
        <v>39173</v>
      </c>
      <c r="B44" s="15">
        <v>61287.457000000002</v>
      </c>
      <c r="C44" s="15">
        <v>627.36451830868202</v>
      </c>
      <c r="D44" s="15">
        <v>46.8</v>
      </c>
      <c r="E44" s="15">
        <v>543</v>
      </c>
      <c r="F44" s="16" t="s">
        <v>8</v>
      </c>
      <c r="G44" s="15">
        <f>DetailTable5[kwh(MMBTU)]</f>
        <v>627.36451830868202</v>
      </c>
      <c r="H44" s="15">
        <f>SUM(SUMIFS(DetailTable5[Avg Monthly Mean Temp],DetailTable5[Period],DetailTable5[Period]))</f>
        <v>606.70000000000005</v>
      </c>
      <c r="I44" s="15" t="s">
        <v>10</v>
      </c>
      <c r="J44" s="15" t="s">
        <v>10</v>
      </c>
      <c r="K44" s="15" t="s">
        <v>9</v>
      </c>
      <c r="L44"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44" s="45">
        <f>(0.754431583882666 * DetailTable5[Heating Degree Days, Base 65 deg F]) + 595.299683774121</f>
        <v>1004.9560338224087</v>
      </c>
      <c r="N44" s="45">
        <f>DetailTable5[Modeled kwh(MMBTU)]</f>
        <v>1004.9560338224087</v>
      </c>
      <c r="O44"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-3778.357473433241</v>
      </c>
      <c r="P44" s="45">
        <f ca="1">IF(DetailTable5[Period]=DetailTable5[Model Year],"",DetailTable5[CUSUMHidden])</f>
        <v>-3778.357473433241</v>
      </c>
      <c r="Q44"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377.59151551372668</v>
      </c>
      <c r="R44" s="45">
        <f>DetailTable5[kwh]/DetailTable5[kwh(MMBTU)]</f>
        <v>97.690346220448433</v>
      </c>
      <c r="S44" s="45">
        <f ca="1">DetailTable5[Unit Cost in $/MMBtu for column: kwh(MMBTU)]*DetailTable5[Energy Savings: kwh(MMBTU)]</f>
        <v>36887.045880439786</v>
      </c>
      <c r="T44" s="15"/>
      <c r="U44" s="15"/>
      <c r="V44" s="15"/>
      <c r="W44" s="15"/>
      <c r="X44" s="15"/>
      <c r="Y44" s="15"/>
    </row>
    <row r="45" spans="1:25" x14ac:dyDescent="0.3">
      <c r="A45" s="1">
        <v>39203</v>
      </c>
      <c r="B45" s="15">
        <v>72827.31</v>
      </c>
      <c r="C45" s="15">
        <v>745.49136959405996</v>
      </c>
      <c r="D45" s="15">
        <v>63.8</v>
      </c>
      <c r="E45" s="15">
        <v>116</v>
      </c>
      <c r="F45" s="16" t="s">
        <v>8</v>
      </c>
      <c r="G45" s="15">
        <f>DetailTable5[kwh(MMBTU)]</f>
        <v>745.49136959405996</v>
      </c>
      <c r="H45" s="15">
        <f>SUM(SUMIFS(DetailTable5[Avg Monthly Mean Temp],DetailTable5[Period],DetailTable5[Period]))</f>
        <v>606.70000000000005</v>
      </c>
      <c r="I45" s="15" t="s">
        <v>10</v>
      </c>
      <c r="J45" s="15" t="s">
        <v>10</v>
      </c>
      <c r="K45" s="15" t="s">
        <v>9</v>
      </c>
      <c r="L45"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45" s="45">
        <f>(0.754431583882666 * DetailTable5[Heating Degree Days, Base 65 deg F]) + 595.299683774121</f>
        <v>682.81374750451027</v>
      </c>
      <c r="N45" s="45">
        <f>DetailTable5[Modeled kwh(MMBTU)]</f>
        <v>682.81374750451027</v>
      </c>
      <c r="O45"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-3715.6798513436916</v>
      </c>
      <c r="P45" s="45">
        <f ca="1">IF(DetailTable5[Period]=DetailTable5[Model Year],"",DetailTable5[CUSUMHidden])</f>
        <v>-3715.6798513436916</v>
      </c>
      <c r="Q45"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-62.677622089549686</v>
      </c>
      <c r="R45" s="45">
        <f>DetailTable5[kwh]/DetailTable5[kwh(MMBTU)]</f>
        <v>97.690346220448433</v>
      </c>
      <c r="S45" s="45">
        <f ca="1">DetailTable5[Unit Cost in $/MMBtu for column: kwh(MMBTU)]*DetailTable5[Energy Savings: kwh(MMBTU)]</f>
        <v>-6122.998602202535</v>
      </c>
      <c r="T45" s="15"/>
      <c r="U45" s="15"/>
      <c r="V45" s="15"/>
      <c r="W45" s="15"/>
      <c r="X45" s="15"/>
      <c r="Y45" s="15"/>
    </row>
    <row r="46" spans="1:25" x14ac:dyDescent="0.3">
      <c r="A46" s="1">
        <v>39234</v>
      </c>
      <c r="B46" s="15">
        <v>71971.907000000007</v>
      </c>
      <c r="C46" s="15">
        <v>736.73510008438211</v>
      </c>
      <c r="D46" s="15">
        <v>71.3</v>
      </c>
      <c r="E46" s="15">
        <v>18</v>
      </c>
      <c r="F46" s="16" t="s">
        <v>8</v>
      </c>
      <c r="G46" s="15">
        <f>DetailTable5[kwh(MMBTU)]</f>
        <v>736.73510008438211</v>
      </c>
      <c r="H46" s="15">
        <f>SUM(SUMIFS(DetailTable5[Avg Monthly Mean Temp],DetailTable5[Period],DetailTable5[Period]))</f>
        <v>606.70000000000005</v>
      </c>
      <c r="I46" s="15" t="s">
        <v>10</v>
      </c>
      <c r="J46" s="15" t="s">
        <v>10</v>
      </c>
      <c r="K46" s="15" t="s">
        <v>9</v>
      </c>
      <c r="L46"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46" s="45">
        <f>(0.754431583882666 * DetailTable5[Heating Degree Days, Base 65 deg F]) + 595.299683774121</f>
        <v>608.87945228400906</v>
      </c>
      <c r="N46" s="45">
        <f>DetailTable5[Modeled kwh(MMBTU)]</f>
        <v>608.87945228400906</v>
      </c>
      <c r="O46"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-3587.8242035433186</v>
      </c>
      <c r="P46" s="45">
        <f ca="1">IF(DetailTable5[Period]=DetailTable5[Model Year],"",DetailTable5[CUSUMHidden])</f>
        <v>-3587.8242035433186</v>
      </c>
      <c r="Q46"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-127.85564780037305</v>
      </c>
      <c r="R46" s="45">
        <f>DetailTable5[kwh]/DetailTable5[kwh(MMBTU)]</f>
        <v>97.690346220448419</v>
      </c>
      <c r="S46" s="45">
        <f ca="1">DetailTable5[Unit Cost in $/MMBtu for column: kwh(MMBTU)]*DetailTable5[Energy Savings: kwh(MMBTU)]</f>
        <v>-12490.262499858158</v>
      </c>
      <c r="T46" s="15"/>
      <c r="U46" s="15"/>
      <c r="V46" s="15"/>
      <c r="W46" s="15"/>
      <c r="X46" s="15"/>
      <c r="Y46" s="15"/>
    </row>
    <row r="47" spans="1:25" x14ac:dyDescent="0.3">
      <c r="A47" s="1">
        <v>39264</v>
      </c>
      <c r="B47" s="15">
        <v>51908.588000000003</v>
      </c>
      <c r="C47" s="15">
        <v>531.35841982648799</v>
      </c>
      <c r="D47" s="15">
        <v>73.7</v>
      </c>
      <c r="E47" s="15">
        <v>0</v>
      </c>
      <c r="F47" s="16" t="s">
        <v>8</v>
      </c>
      <c r="G47" s="15">
        <f>DetailTable5[kwh(MMBTU)]</f>
        <v>531.35841982648799</v>
      </c>
      <c r="H47" s="15">
        <f>SUM(SUMIFS(DetailTable5[Avg Monthly Mean Temp],DetailTable5[Period],DetailTable5[Period]))</f>
        <v>606.70000000000005</v>
      </c>
      <c r="I47" s="15" t="s">
        <v>10</v>
      </c>
      <c r="J47" s="15" t="s">
        <v>10</v>
      </c>
      <c r="K47" s="15" t="s">
        <v>9</v>
      </c>
      <c r="L47"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47" s="45">
        <f>(0.754431583882666 * DetailTable5[Heating Degree Days, Base 65 deg F]) + 595.299683774121</f>
        <v>595.29968377412104</v>
      </c>
      <c r="N47" s="45">
        <f>DetailTable5[Modeled kwh(MMBTU)]</f>
        <v>595.29968377412104</v>
      </c>
      <c r="O47"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-3651.7654674909518</v>
      </c>
      <c r="P47" s="45">
        <f ca="1">IF(DetailTable5[Period]=DetailTable5[Model Year],"",DetailTable5[CUSUMHidden])</f>
        <v>-3651.7654674909518</v>
      </c>
      <c r="Q47"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63.941263947633047</v>
      </c>
      <c r="R47" s="45">
        <f>DetailTable5[kwh]/DetailTable5[kwh(MMBTU)]</f>
        <v>97.690346220448433</v>
      </c>
      <c r="S47" s="45">
        <f ca="1">DetailTable5[Unit Cost in $/MMBtu for column: kwh(MMBTU)]*DetailTable5[Energy Savings: kwh(MMBTU)]</f>
        <v>6246.4442128173496</v>
      </c>
      <c r="T47" s="15"/>
      <c r="U47" s="15"/>
      <c r="V47" s="15"/>
      <c r="W47" s="15"/>
      <c r="X47" s="15"/>
      <c r="Y47" s="15"/>
    </row>
    <row r="48" spans="1:25" x14ac:dyDescent="0.3">
      <c r="A48" s="1">
        <v>39295</v>
      </c>
      <c r="B48" s="15">
        <v>53528.794000000002</v>
      </c>
      <c r="C48" s="15">
        <v>547.94353865024402</v>
      </c>
      <c r="D48" s="15">
        <v>74.8</v>
      </c>
      <c r="E48" s="15">
        <v>1</v>
      </c>
      <c r="F48" s="16" t="s">
        <v>8</v>
      </c>
      <c r="G48" s="15">
        <f>DetailTable5[kwh(MMBTU)]</f>
        <v>547.94353865024402</v>
      </c>
      <c r="H48" s="15">
        <f>SUM(SUMIFS(DetailTable5[Avg Monthly Mean Temp],DetailTable5[Period],DetailTable5[Period]))</f>
        <v>606.70000000000005</v>
      </c>
      <c r="I48" s="15" t="s">
        <v>10</v>
      </c>
      <c r="J48" s="15" t="s">
        <v>10</v>
      </c>
      <c r="K48" s="15" t="s">
        <v>9</v>
      </c>
      <c r="L48"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48" s="45">
        <f>(0.754431583882666 * DetailTable5[Heating Degree Days, Base 65 deg F]) + 595.299683774121</f>
        <v>596.05411535800374</v>
      </c>
      <c r="N48" s="45">
        <f>DetailTable5[Modeled kwh(MMBTU)]</f>
        <v>596.05411535800374</v>
      </c>
      <c r="O48"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-3699.8760441987115</v>
      </c>
      <c r="P48" s="45">
        <f ca="1">IF(DetailTable5[Period]=DetailTable5[Model Year],"",DetailTable5[CUSUMHidden])</f>
        <v>-3699.8760441987115</v>
      </c>
      <c r="Q48"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48.110576707759719</v>
      </c>
      <c r="R48" s="45">
        <f>DetailTable5[kwh]/DetailTable5[kwh(MMBTU)]</f>
        <v>97.690346220448419</v>
      </c>
      <c r="S48" s="45">
        <f ca="1">DetailTable5[Unit Cost in $/MMBtu for column: kwh(MMBTU)]*DetailTable5[Energy Savings: kwh(MMBTU)]</f>
        <v>4699.9388954464885</v>
      </c>
      <c r="T48" s="15"/>
      <c r="U48" s="15"/>
      <c r="V48" s="15"/>
      <c r="W48" s="15"/>
      <c r="X48" s="15"/>
      <c r="Y48" s="15"/>
    </row>
    <row r="49" spans="1:25" x14ac:dyDescent="0.3">
      <c r="A49" s="1">
        <v>39326</v>
      </c>
      <c r="B49" s="15">
        <v>68773.235000000001</v>
      </c>
      <c r="C49" s="15">
        <v>703.99213085811004</v>
      </c>
      <c r="D49" s="15">
        <v>68.099999999999994</v>
      </c>
      <c r="E49" s="15">
        <v>56</v>
      </c>
      <c r="F49" s="16" t="s">
        <v>9</v>
      </c>
      <c r="G49" s="15">
        <f>DetailTable5[kwh(MMBTU)]</f>
        <v>703.99213085811004</v>
      </c>
      <c r="H49" s="15">
        <f>SUM(SUMIFS(DetailTable5[Avg Monthly Mean Temp],DetailTable5[Period],DetailTable5[Period]))</f>
        <v>598.1</v>
      </c>
      <c r="I49" s="15" t="s">
        <v>10</v>
      </c>
      <c r="J49" s="15" t="s">
        <v>10</v>
      </c>
      <c r="K49" s="15" t="s">
        <v>9</v>
      </c>
      <c r="L49"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49" s="45">
        <f>(0.754431583882666 * DetailTable5[Heating Degree Days, Base 65 deg F]) + 595.299683774121</f>
        <v>637.5478524715503</v>
      </c>
      <c r="N49" s="45">
        <f>DetailTable5[Modeled kwh(MMBTU)]</f>
        <v>637.5478524715503</v>
      </c>
      <c r="O49"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-3633.4317658121518</v>
      </c>
      <c r="P49" s="45">
        <f ca="1">IF(DetailTable5[Period]=DetailTable5[Model Year],"",DetailTable5[CUSUMHidden])</f>
        <v>-3633.4317658121518</v>
      </c>
      <c r="Q49"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-66.444278386559745</v>
      </c>
      <c r="R49" s="45">
        <f>DetailTable5[kwh]/DetailTable5[kwh(MMBTU)]</f>
        <v>97.690346220448419</v>
      </c>
      <c r="S49" s="45">
        <f ca="1">DetailTable5[Unit Cost in $/MMBtu for column: kwh(MMBTU)]*DetailTable5[Energy Savings: kwh(MMBTU)]</f>
        <v>-6490.9645599508794</v>
      </c>
      <c r="T49" s="15"/>
      <c r="U49" s="15"/>
      <c r="V49" s="15"/>
      <c r="W49" s="15"/>
      <c r="X49" s="15"/>
      <c r="Y49" s="15"/>
    </row>
    <row r="50" spans="1:25" x14ac:dyDescent="0.3">
      <c r="A50" s="1">
        <v>39356</v>
      </c>
      <c r="B50" s="15">
        <v>70664.047000000006</v>
      </c>
      <c r="C50" s="15">
        <v>723.34728797602202</v>
      </c>
      <c r="D50" s="15">
        <v>59</v>
      </c>
      <c r="E50" s="15">
        <v>234</v>
      </c>
      <c r="F50" s="16" t="s">
        <v>9</v>
      </c>
      <c r="G50" s="15">
        <f>DetailTable5[kwh(MMBTU)]</f>
        <v>723.34728797602202</v>
      </c>
      <c r="H50" s="15">
        <f>SUM(SUMIFS(DetailTable5[Avg Monthly Mean Temp],DetailTable5[Period],DetailTable5[Period]))</f>
        <v>598.1</v>
      </c>
      <c r="I50" s="15" t="s">
        <v>10</v>
      </c>
      <c r="J50" s="15" t="s">
        <v>10</v>
      </c>
      <c r="K50" s="15" t="s">
        <v>9</v>
      </c>
      <c r="L50"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50" s="45">
        <f>(0.754431583882666 * DetailTable5[Heating Degree Days, Base 65 deg F]) + 595.299683774121</f>
        <v>771.83667440266481</v>
      </c>
      <c r="N50" s="45">
        <f>DetailTable5[Modeled kwh(MMBTU)]</f>
        <v>771.83667440266481</v>
      </c>
      <c r="O50"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-3681.9211522387945</v>
      </c>
      <c r="P50" s="45">
        <f ca="1">IF(DetailTable5[Period]=DetailTable5[Model Year],"",DetailTable5[CUSUMHidden])</f>
        <v>-3681.9211522387945</v>
      </c>
      <c r="Q50"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48.489386426642795</v>
      </c>
      <c r="R50" s="45">
        <f>DetailTable5[kwh]/DetailTable5[kwh(MMBTU)]</f>
        <v>97.690346220448433</v>
      </c>
      <c r="S50" s="45">
        <f ca="1">DetailTable5[Unit Cost in $/MMBtu for column: kwh(MMBTU)]*DetailTable5[Energy Savings: kwh(MMBTU)]</f>
        <v>4736.9449480358471</v>
      </c>
      <c r="T50" s="15"/>
      <c r="U50" s="15"/>
      <c r="V50" s="15"/>
      <c r="W50" s="15"/>
      <c r="X50" s="15"/>
      <c r="Y50" s="15"/>
    </row>
    <row r="51" spans="1:25" x14ac:dyDescent="0.3">
      <c r="A51" s="1">
        <v>39387</v>
      </c>
      <c r="B51" s="15">
        <v>85165.061000000002</v>
      </c>
      <c r="C51" s="15">
        <v>871.78584471198599</v>
      </c>
      <c r="D51" s="15">
        <v>39.4</v>
      </c>
      <c r="E51" s="15">
        <v>763</v>
      </c>
      <c r="F51" s="16" t="s">
        <v>9</v>
      </c>
      <c r="G51" s="15">
        <f>DetailTable5[kwh(MMBTU)]</f>
        <v>871.78584471198599</v>
      </c>
      <c r="H51" s="15">
        <f>SUM(SUMIFS(DetailTable5[Avg Monthly Mean Temp],DetailTable5[Period],DetailTable5[Period]))</f>
        <v>598.1</v>
      </c>
      <c r="I51" s="15" t="s">
        <v>10</v>
      </c>
      <c r="J51" s="15" t="s">
        <v>10</v>
      </c>
      <c r="K51" s="15" t="s">
        <v>9</v>
      </c>
      <c r="L51"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51" s="45">
        <f>(0.754431583882666 * DetailTable5[Heating Degree Days, Base 65 deg F]) + 595.299683774121</f>
        <v>1170.9309822765952</v>
      </c>
      <c r="N51" s="45">
        <f>DetailTable5[Modeled kwh(MMBTU)]</f>
        <v>1170.9309822765952</v>
      </c>
      <c r="O51"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-3981.0662898034038</v>
      </c>
      <c r="P51" s="45">
        <f ca="1">IF(DetailTable5[Period]=DetailTable5[Model Year],"",DetailTable5[CUSUMHidden])</f>
        <v>-3981.0662898034038</v>
      </c>
      <c r="Q51"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299.14513756460917</v>
      </c>
      <c r="R51" s="45">
        <f>DetailTable5[kwh]/DetailTable5[kwh(MMBTU)]</f>
        <v>97.690346220448433</v>
      </c>
      <c r="S51" s="45">
        <f ca="1">DetailTable5[Unit Cost in $/MMBtu for column: kwh(MMBTU)]*DetailTable5[Energy Savings: kwh(MMBTU)]</f>
        <v>29223.592058850343</v>
      </c>
      <c r="T51" s="15"/>
      <c r="U51" s="15"/>
      <c r="V51" s="15"/>
      <c r="W51" s="15"/>
      <c r="X51" s="15"/>
      <c r="Y51" s="15"/>
    </row>
    <row r="52" spans="1:25" x14ac:dyDescent="0.3">
      <c r="A52" s="1">
        <v>39417</v>
      </c>
      <c r="B52" s="15">
        <v>127807.833</v>
      </c>
      <c r="C52" s="15">
        <v>1308.2954247248581</v>
      </c>
      <c r="D52" s="15">
        <v>27.8</v>
      </c>
      <c r="E52" s="15">
        <v>1146</v>
      </c>
      <c r="F52" s="16" t="s">
        <v>9</v>
      </c>
      <c r="G52" s="15">
        <f>DetailTable5[kwh(MMBTU)]</f>
        <v>1308.2954247248581</v>
      </c>
      <c r="H52" s="15">
        <f>SUM(SUMIFS(DetailTable5[Avg Monthly Mean Temp],DetailTable5[Period],DetailTable5[Period]))</f>
        <v>598.1</v>
      </c>
      <c r="I52" s="15" t="s">
        <v>10</v>
      </c>
      <c r="J52" s="15" t="s">
        <v>10</v>
      </c>
      <c r="K52" s="15" t="s">
        <v>9</v>
      </c>
      <c r="L52"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52" s="45">
        <f>(0.754431583882666 * DetailTable5[Heating Degree Days, Base 65 deg F]) + 595.299683774121</f>
        <v>1459.8782789036563</v>
      </c>
      <c r="N52" s="45">
        <f>DetailTable5[Modeled kwh(MMBTU)]</f>
        <v>1459.8782789036563</v>
      </c>
      <c r="O52"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-4132.6491439822021</v>
      </c>
      <c r="P52" s="45">
        <f ca="1">IF(DetailTable5[Period]=DetailTable5[Model Year],"",DetailTable5[CUSUMHidden])</f>
        <v>-4132.6491439822021</v>
      </c>
      <c r="Q52"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151.58285417879824</v>
      </c>
      <c r="R52" s="45">
        <f>DetailTable5[kwh]/DetailTable5[kwh(MMBTU)]</f>
        <v>97.690346220448419</v>
      </c>
      <c r="S52" s="45">
        <f ca="1">DetailTable5[Unit Cost in $/MMBtu for column: kwh(MMBTU)]*DetailTable5[Energy Savings: kwh(MMBTU)]</f>
        <v>14808.181505810548</v>
      </c>
      <c r="T52" s="15"/>
      <c r="U52" s="15"/>
      <c r="V52" s="15"/>
      <c r="W52" s="15"/>
      <c r="X52" s="15"/>
      <c r="Y52" s="15"/>
    </row>
    <row r="53" spans="1:25" x14ac:dyDescent="0.3">
      <c r="A53" s="1">
        <v>39448</v>
      </c>
      <c r="B53" s="15">
        <v>146646.845</v>
      </c>
      <c r="C53" s="15">
        <v>1501.1395769759699</v>
      </c>
      <c r="D53" s="15">
        <v>23.5</v>
      </c>
      <c r="E53" s="15">
        <v>1280</v>
      </c>
      <c r="F53" s="16" t="s">
        <v>9</v>
      </c>
      <c r="G53" s="15">
        <f>DetailTable5[kwh(MMBTU)]</f>
        <v>1501.1395769759699</v>
      </c>
      <c r="H53" s="15">
        <f>SUM(SUMIFS(DetailTable5[Avg Monthly Mean Temp],DetailTable5[Period],DetailTable5[Period]))</f>
        <v>598.1</v>
      </c>
      <c r="I53" s="15" t="s">
        <v>10</v>
      </c>
      <c r="J53" s="15" t="s">
        <v>10</v>
      </c>
      <c r="K53" s="15" t="s">
        <v>9</v>
      </c>
      <c r="L53"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53" s="45">
        <f>(0.754431583882666 * DetailTable5[Heating Degree Days, Base 65 deg F]) + 595.299683774121</f>
        <v>1560.9721111439335</v>
      </c>
      <c r="N53" s="45">
        <f>DetailTable5[Modeled kwh(MMBTU)]</f>
        <v>1560.9721111439335</v>
      </c>
      <c r="O53"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-4192.4816781501659</v>
      </c>
      <c r="P53" s="45">
        <f ca="1">IF(DetailTable5[Period]=DetailTable5[Model Year],"",DetailTable5[CUSUMHidden])</f>
        <v>-4192.4816781501659</v>
      </c>
      <c r="Q53"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59.832534167963559</v>
      </c>
      <c r="R53" s="45">
        <f>DetailTable5[kwh]/DetailTable5[kwh(MMBTU)]</f>
        <v>97.690346220448433</v>
      </c>
      <c r="S53" s="45">
        <f ca="1">DetailTable5[Unit Cost in $/MMBtu for column: kwh(MMBTU)]*DetailTable5[Energy Savings: kwh(MMBTU)]</f>
        <v>5845.0609781151707</v>
      </c>
      <c r="T53" s="15"/>
      <c r="U53" s="15"/>
      <c r="V53" s="15"/>
      <c r="W53" s="15"/>
      <c r="X53" s="15"/>
      <c r="Y53" s="15"/>
    </row>
    <row r="54" spans="1:25" x14ac:dyDescent="0.3">
      <c r="A54" s="1">
        <v>39479</v>
      </c>
      <c r="B54" s="15">
        <v>137421.155</v>
      </c>
      <c r="C54" s="15">
        <v>1406.70148399203</v>
      </c>
      <c r="D54" s="15">
        <v>23</v>
      </c>
      <c r="E54" s="15">
        <v>1211</v>
      </c>
      <c r="F54" s="16" t="s">
        <v>9</v>
      </c>
      <c r="G54" s="15">
        <f>DetailTable5[kwh(MMBTU)]</f>
        <v>1406.70148399203</v>
      </c>
      <c r="H54" s="15">
        <f>SUM(SUMIFS(DetailTable5[Avg Monthly Mean Temp],DetailTable5[Period],DetailTable5[Period]))</f>
        <v>598.1</v>
      </c>
      <c r="I54" s="15" t="s">
        <v>10</v>
      </c>
      <c r="J54" s="15" t="s">
        <v>10</v>
      </c>
      <c r="K54" s="15" t="s">
        <v>9</v>
      </c>
      <c r="L54"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54" s="45">
        <f>(0.754431583882666 * DetailTable5[Heating Degree Days, Base 65 deg F]) + 595.299683774121</f>
        <v>1508.9163318560295</v>
      </c>
      <c r="N54" s="45">
        <f>DetailTable5[Modeled kwh(MMBTU)]</f>
        <v>1508.9163318560295</v>
      </c>
      <c r="O54"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-4294.6965260141651</v>
      </c>
      <c r="P54" s="45">
        <f ca="1">IF(DetailTable5[Period]=DetailTable5[Model Year],"",DetailTable5[CUSUMHidden])</f>
        <v>-4294.6965260141651</v>
      </c>
      <c r="Q54"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102.21484786399947</v>
      </c>
      <c r="R54" s="45">
        <f>DetailTable5[kwh]/DetailTable5[kwh(MMBTU)]</f>
        <v>97.690346220448419</v>
      </c>
      <c r="S54" s="45">
        <f ca="1">DetailTable5[Unit Cost in $/MMBtu for column: kwh(MMBTU)]*DetailTable5[Energy Savings: kwh(MMBTU)]</f>
        <v>9985.4038767045695</v>
      </c>
      <c r="T54" s="15"/>
      <c r="U54" s="15"/>
      <c r="V54" s="15"/>
      <c r="W54" s="15"/>
      <c r="X54" s="15"/>
      <c r="Y54" s="15"/>
    </row>
    <row r="55" spans="1:25" x14ac:dyDescent="0.3">
      <c r="A55" s="1">
        <v>39508</v>
      </c>
      <c r="B55" s="15">
        <v>118909.81034482759</v>
      </c>
      <c r="C55" s="15">
        <v>1217.2114742688623</v>
      </c>
      <c r="D55" s="15">
        <v>34.9</v>
      </c>
      <c r="E55" s="15">
        <v>926</v>
      </c>
      <c r="F55" s="16" t="s">
        <v>9</v>
      </c>
      <c r="G55" s="15">
        <f>DetailTable5[kwh(MMBTU)]</f>
        <v>1217.2114742688623</v>
      </c>
      <c r="H55" s="15">
        <f>SUM(SUMIFS(DetailTable5[Avg Monthly Mean Temp],DetailTable5[Period],DetailTable5[Period]))</f>
        <v>598.1</v>
      </c>
      <c r="I55" s="15" t="s">
        <v>10</v>
      </c>
      <c r="J55" s="15" t="s">
        <v>10</v>
      </c>
      <c r="K55" s="15" t="s">
        <v>9</v>
      </c>
      <c r="L55"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55" s="45">
        <f>(0.754431583882666 * DetailTable5[Heating Degree Days, Base 65 deg F]) + 595.299683774121</f>
        <v>1293.9033304494696</v>
      </c>
      <c r="N55" s="45">
        <f>DetailTable5[Modeled kwh(MMBTU)]</f>
        <v>1293.9033304494696</v>
      </c>
      <c r="O55"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-4371.3883821947729</v>
      </c>
      <c r="P55" s="45">
        <f ca="1">IF(DetailTable5[Period]=DetailTable5[Model Year],"",DetailTable5[CUSUMHidden])</f>
        <v>-4371.3883821947729</v>
      </c>
      <c r="Q55"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76.691856180607374</v>
      </c>
      <c r="R55" s="45">
        <f>DetailTable5[kwh]/DetailTable5[kwh(MMBTU)]</f>
        <v>97.690346220448419</v>
      </c>
      <c r="S55" s="45">
        <f ca="1">DetailTable5[Unit Cost in $/MMBtu for column: kwh(MMBTU)]*DetailTable5[Energy Savings: kwh(MMBTU)]</f>
        <v>7492.0539825723708</v>
      </c>
      <c r="T55" s="15"/>
      <c r="U55" s="15"/>
      <c r="V55" s="15"/>
      <c r="W55" s="15"/>
      <c r="X55" s="15"/>
      <c r="Y55" s="15"/>
    </row>
    <row r="56" spans="1:25" x14ac:dyDescent="0.3">
      <c r="A56" s="1">
        <v>39539</v>
      </c>
      <c r="B56" s="15">
        <v>90214.206896551739</v>
      </c>
      <c r="C56" s="15">
        <v>923.47105304524155</v>
      </c>
      <c r="D56" s="15">
        <v>49.4</v>
      </c>
      <c r="E56" s="15">
        <v>461</v>
      </c>
      <c r="F56" s="16" t="s">
        <v>9</v>
      </c>
      <c r="G56" s="15">
        <f>DetailTable5[kwh(MMBTU)]</f>
        <v>923.47105304524155</v>
      </c>
      <c r="H56" s="15">
        <f>SUM(SUMIFS(DetailTable5[Avg Monthly Mean Temp],DetailTable5[Period],DetailTable5[Period]))</f>
        <v>598.1</v>
      </c>
      <c r="I56" s="15" t="s">
        <v>10</v>
      </c>
      <c r="J56" s="15" t="s">
        <v>10</v>
      </c>
      <c r="K56" s="15" t="s">
        <v>9</v>
      </c>
      <c r="L56"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56" s="45">
        <f>(0.754431583882666 * DetailTable5[Heating Degree Days, Base 65 deg F]) + 595.299683774121</f>
        <v>943.09264394402999</v>
      </c>
      <c r="N56" s="45">
        <f>DetailTable5[Modeled kwh(MMBTU)]</f>
        <v>943.09264394402999</v>
      </c>
      <c r="O56"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-4391.0099730935617</v>
      </c>
      <c r="P56" s="45">
        <f ca="1">IF(DetailTable5[Period]=DetailTable5[Model Year],"",DetailTable5[CUSUMHidden])</f>
        <v>-4391.0099730935617</v>
      </c>
      <c r="Q56"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19.62159089878844</v>
      </c>
      <c r="R56" s="45">
        <f>DetailTable5[kwh]/DetailTable5[kwh(MMBTU)]</f>
        <v>97.690346220448419</v>
      </c>
      <c r="S56" s="45">
        <f ca="1">DetailTable5[Unit Cost in $/MMBtu for column: kwh(MMBTU)]*DetailTable5[Energy Savings: kwh(MMBTU)]</f>
        <v>1916.8400082986425</v>
      </c>
      <c r="T56" s="15"/>
      <c r="U56" s="15"/>
      <c r="V56" s="15"/>
      <c r="W56" s="15"/>
      <c r="X56" s="15"/>
      <c r="Y56" s="15"/>
    </row>
    <row r="57" spans="1:25" x14ac:dyDescent="0.3">
      <c r="A57" s="1">
        <v>39569</v>
      </c>
      <c r="B57" s="15">
        <v>74594.755485893431</v>
      </c>
      <c r="C57" s="15">
        <v>763.58369451944213</v>
      </c>
      <c r="D57" s="15">
        <v>55.5</v>
      </c>
      <c r="E57" s="15">
        <v>290</v>
      </c>
      <c r="F57" s="16" t="s">
        <v>9</v>
      </c>
      <c r="G57" s="15">
        <f>DetailTable5[kwh(MMBTU)]</f>
        <v>763.58369451944213</v>
      </c>
      <c r="H57" s="15">
        <f>SUM(SUMIFS(DetailTable5[Avg Monthly Mean Temp],DetailTable5[Period],DetailTable5[Period]))</f>
        <v>598.1</v>
      </c>
      <c r="I57" s="15" t="s">
        <v>10</v>
      </c>
      <c r="J57" s="15" t="s">
        <v>10</v>
      </c>
      <c r="K57" s="15" t="s">
        <v>9</v>
      </c>
      <c r="L57"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57" s="45">
        <f>(0.754431583882666 * DetailTable5[Heating Degree Days, Base 65 deg F]) + 595.299683774121</f>
        <v>814.08484310009419</v>
      </c>
      <c r="N57" s="45">
        <f>DetailTable5[Modeled kwh(MMBTU)]</f>
        <v>814.08484310009419</v>
      </c>
      <c r="O57"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-4441.5111216742134</v>
      </c>
      <c r="P57" s="45">
        <f ca="1">IF(DetailTable5[Period]=DetailTable5[Model Year],"",DetailTable5[CUSUMHidden])</f>
        <v>-4441.5111216742134</v>
      </c>
      <c r="Q57"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50.501148580652057</v>
      </c>
      <c r="R57" s="45">
        <f>DetailTable5[kwh]/DetailTable5[kwh(MMBTU)]</f>
        <v>97.690346220448433</v>
      </c>
      <c r="S57" s="45">
        <f ca="1">DetailTable5[Unit Cost in $/MMBtu for column: kwh(MMBTU)]*DetailTable5[Energy Savings: kwh(MMBTU)]</f>
        <v>4933.4746893742076</v>
      </c>
      <c r="T57" s="15"/>
      <c r="U57" s="15"/>
      <c r="V57" s="15"/>
      <c r="W57" s="15"/>
      <c r="X57" s="15"/>
      <c r="Y57" s="15"/>
    </row>
    <row r="58" spans="1:25" x14ac:dyDescent="0.3">
      <c r="A58" s="1">
        <v>39600</v>
      </c>
      <c r="B58" s="15">
        <v>55944.347962382446</v>
      </c>
      <c r="C58" s="15">
        <v>572.67017803517865</v>
      </c>
      <c r="D58" s="15">
        <v>70.8</v>
      </c>
      <c r="E58" s="15">
        <v>4</v>
      </c>
      <c r="F58" s="16" t="s">
        <v>9</v>
      </c>
      <c r="G58" s="15">
        <f>DetailTable5[kwh(MMBTU)]</f>
        <v>572.67017803517865</v>
      </c>
      <c r="H58" s="15">
        <f>SUM(SUMIFS(DetailTable5[Avg Monthly Mean Temp],DetailTable5[Period],DetailTable5[Period]))</f>
        <v>598.1</v>
      </c>
      <c r="I58" s="15" t="s">
        <v>10</v>
      </c>
      <c r="J58" s="15" t="s">
        <v>10</v>
      </c>
      <c r="K58" s="15" t="s">
        <v>9</v>
      </c>
      <c r="L58"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58" s="45">
        <f>(0.754431583882666 * DetailTable5[Heating Degree Days, Base 65 deg F]) + 595.299683774121</f>
        <v>598.31741010965175</v>
      </c>
      <c r="N58" s="45">
        <f>DetailTable5[Modeled kwh(MMBTU)]</f>
        <v>598.31741010965175</v>
      </c>
      <c r="O58"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-4467.1583537486867</v>
      </c>
      <c r="P58" s="45">
        <f ca="1">IF(DetailTable5[Period]=DetailTable5[Model Year],"",DetailTable5[CUSUMHidden])</f>
        <v>-4467.1583537486867</v>
      </c>
      <c r="Q58"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25.647232074473095</v>
      </c>
      <c r="R58" s="45">
        <f>DetailTable5[kwh]/DetailTable5[kwh(MMBTU)]</f>
        <v>97.690346220448433</v>
      </c>
      <c r="S58" s="45">
        <f ca="1">DetailTable5[Unit Cost in $/MMBtu for column: kwh(MMBTU)]*DetailTable5[Energy Savings: kwh(MMBTU)]</f>
        <v>2505.4869809514666</v>
      </c>
      <c r="T58" s="15"/>
      <c r="U58" s="15"/>
      <c r="V58" s="15"/>
      <c r="W58" s="15"/>
      <c r="X58" s="15"/>
      <c r="Y58" s="15"/>
    </row>
    <row r="59" spans="1:25" x14ac:dyDescent="0.3">
      <c r="A59" s="1">
        <v>39630</v>
      </c>
      <c r="B59" s="15">
        <v>51502.924764890275</v>
      </c>
      <c r="C59" s="15">
        <v>527.20587813936663</v>
      </c>
      <c r="D59" s="15">
        <v>74</v>
      </c>
      <c r="E59" s="15">
        <v>3</v>
      </c>
      <c r="F59" s="16" t="s">
        <v>9</v>
      </c>
      <c r="G59" s="15">
        <f>DetailTable5[kwh(MMBTU)]</f>
        <v>527.20587813936663</v>
      </c>
      <c r="H59" s="15">
        <f>SUM(SUMIFS(DetailTable5[Avg Monthly Mean Temp],DetailTable5[Period],DetailTable5[Period]))</f>
        <v>598.1</v>
      </c>
      <c r="I59" s="15" t="s">
        <v>10</v>
      </c>
      <c r="J59" s="15" t="s">
        <v>10</v>
      </c>
      <c r="K59" s="15" t="s">
        <v>9</v>
      </c>
      <c r="L59"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59" s="45">
        <f>(0.754431583882666 * DetailTable5[Heating Degree Days, Base 65 deg F]) + 595.299683774121</f>
        <v>597.56297852576904</v>
      </c>
      <c r="N59" s="45">
        <f>DetailTable5[Modeled kwh(MMBTU)]</f>
        <v>597.56297852576904</v>
      </c>
      <c r="O59"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-4537.5154541350894</v>
      </c>
      <c r="P59" s="45">
        <f ca="1">IF(DetailTable5[Period]=DetailTable5[Model Year],"",DetailTable5[CUSUMHidden])</f>
        <v>-4537.5154541350894</v>
      </c>
      <c r="Q59"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70.357100386402408</v>
      </c>
      <c r="R59" s="45">
        <f>DetailTable5[kwh]/DetailTable5[kwh(MMBTU)]</f>
        <v>97.690346220448433</v>
      </c>
      <c r="S59" s="45">
        <f ca="1">DetailTable5[Unit Cost in $/MMBtu for column: kwh(MMBTU)]*DetailTable5[Energy Savings: kwh(MMBTU)]</f>
        <v>6873.2094958144971</v>
      </c>
      <c r="T59" s="15"/>
      <c r="U59" s="15"/>
      <c r="V59" s="15"/>
      <c r="W59" s="15"/>
      <c r="X59" s="15"/>
      <c r="Y59" s="15"/>
    </row>
    <row r="60" spans="1:25" x14ac:dyDescent="0.3">
      <c r="A60" s="1">
        <v>39661</v>
      </c>
      <c r="B60" s="15">
        <v>47462.454545454544</v>
      </c>
      <c r="C60" s="15">
        <v>485.84590373290911</v>
      </c>
      <c r="D60" s="15">
        <v>72.7</v>
      </c>
      <c r="E60" s="15">
        <v>0</v>
      </c>
      <c r="F60" s="16" t="s">
        <v>9</v>
      </c>
      <c r="G60" s="15">
        <f>DetailTable5[kwh(MMBTU)]</f>
        <v>485.84590373290911</v>
      </c>
      <c r="H60" s="15">
        <f>SUM(SUMIFS(DetailTable5[Avg Monthly Mean Temp],DetailTable5[Period],DetailTable5[Period]))</f>
        <v>598.1</v>
      </c>
      <c r="I60" s="15" t="s">
        <v>10</v>
      </c>
      <c r="J60" s="15" t="s">
        <v>10</v>
      </c>
      <c r="K60" s="15" t="s">
        <v>9</v>
      </c>
      <c r="L60" s="15" t="str">
        <f>IF(DetailTable5[Baseline Year]=DetailTable5[Model Year],IF(DetailTable5[Period]=DetailTable5[Model Year],"Model Year","Forecast"),IF(DetailTable5[Period]=DetailTable5[Model Year],"Model Year",IF(DetailTable5[Last Year]=DetailTable5[Model Year],"Backcast",IF(DetailTable5[Baseline Year]=DetailTable5[Model Year],"Forecast","Chaining"))))</f>
        <v>Forecast</v>
      </c>
      <c r="M60" s="45">
        <f>(0.754431583882666 * DetailTable5[Heating Degree Days, Base 65 deg F]) + 595.299683774121</f>
        <v>595.29968377412104</v>
      </c>
      <c r="N60" s="45">
        <f>DetailTable5[Modeled kwh(MMBTU)]</f>
        <v>595.29968377412104</v>
      </c>
      <c r="O60" s="45">
        <f ca="1">IF(DetailTable5[Period]=DetailTable5[Model Year],IF(ISNUMBER(OFFSET(INDIRECT(ADDRESS(ROW(),COLUMN())),-1,0,1,1))=TRUE,OFFSET(INDIRECT(ADDRESS(ROW(),COLUMN())),-1,0,1,1),0),DetailTable5[TOTAL  (MMBtu)]-DetailTable5[Total Modeled Energy Consumption (MMBtu)]+IF(ISNUMBER(OFFSET(INDIRECT(ADDRESS(ROW(),COLUMN())),-1,0,1,1))=TRUE,OFFSET(INDIRECT(ADDRESS(ROW(),COLUMN())),-1,0,1,1),0))</f>
        <v>-4646.9692341763011</v>
      </c>
      <c r="P60" s="45">
        <f ca="1">IF(DetailTable5[Period]=DetailTable5[Model Year],"",DetailTable5[CUSUMHidden])</f>
        <v>-4646.9692341763011</v>
      </c>
      <c r="Q60" s="45">
        <f ca="1">IF(DetailTable5[Baseline Year]=DetailTable5[Model Year],DetailTable5[Modeled kwh(MMBTU)]-DetailTable5[kwh(MMBTU)],IF(DetailTable5[Period]=DetailTable5[Model Year],IFERROR((OFFSET(INDIRECT(ADDRESS(ROW(),COLUMN())),-1,0,1,1)+((OFFSET(INDIRECT(ADDRESS(ROW(),COLUMN(DetailTable5[kwh(MMBTU)]))),-1,0,1,1)-OFFSET(INDIRECT(ADDRESS(ROW(),COLUMN(DetailTable5[Modeled kwh(MMBTU)]))),-1,0,1,1))-(DetailTable5[kwh(MMBTU)]-DetailTable5[Modeled kwh(MMBTU)]))),0),IF(DetailTable5[Last Year]=DetailTable5[Model Year],IFERROR((OFFSET(INDIRECT(ADDRESS(ROW(),COLUMN())),-1,0,1,1)+((OFFSET(INDIRECT(ADDRESS(ROW(),COLUMN(DetailTable5[kwh(MMBTU)]))),-1,0,1,1)-OFFSET(INDIRECT(ADDRESS(ROW(),COLUMN(DetailTable5[Modeled kwh(MMBTU)]))),-1,0,1,1))-(DetailTable5[kwh(MMBTU)]-DetailTable5[Modeled kwh(MMBTU)]))),0),IF(DetailTable5[Baseline Year]=DetailTable5[Model Year],DetailTable5[Modeled kwh(MMBTU)]-DetailTable5[kwh(MMBTU)],IF(DetailTable5[Period]&lt;DetailTable5[Model Year],IFERROR((OFFSET(INDIRECT(ADDRESS(ROW(),COLUMN())),-1,0,1,1)+((OFFSET(INDIRECT(ADDRESS(ROW(),COLUMN(DetailTable5[kwh(MMBTU)]))),-1,0,1,1)-OFFSET(INDIRECT(ADDRESS(ROW(),COLUMN(DetailTable5[Modeled kwh(MMBTU)]))),-1,0,1,1))-(DetailTable5[kwh(MMBTU)]-DetailTable5[Modeled kwh(MMBTU)]))),0),DetailTable5[Modeled kwh(MMBTU)] - DetailTable5[kwh(MMBTU)])))))</f>
        <v>109.45378004121193</v>
      </c>
      <c r="R60" s="45">
        <f>DetailTable5[kwh]/DetailTable5[kwh(MMBTU)]</f>
        <v>97.690346220448419</v>
      </c>
      <c r="S60" s="45">
        <f ca="1">DetailTable5[Unit Cost in $/MMBtu for column: kwh(MMBTU)]*DetailTable5[Energy Savings: kwh(MMBTU)]</f>
        <v>10692.577667362801</v>
      </c>
      <c r="T60" s="15"/>
      <c r="U60" s="15"/>
      <c r="V60" s="15"/>
      <c r="W60" s="15"/>
      <c r="X60" s="15"/>
      <c r="Y60" s="15"/>
    </row>
    <row r="61" spans="1:25" x14ac:dyDescent="0.3">
      <c r="B61" s="15"/>
      <c r="C61" s="15"/>
      <c r="D61" s="15"/>
      <c r="E61" s="15"/>
      <c r="F61" s="16"/>
      <c r="G61" s="15"/>
      <c r="H61" s="15"/>
      <c r="I61" s="15"/>
      <c r="J61" s="15"/>
      <c r="K61" s="15"/>
      <c r="L61" s="15"/>
      <c r="M61" s="15"/>
      <c r="N61" s="15"/>
      <c r="O61" s="15"/>
      <c r="P61" s="15"/>
      <c r="Q61" s="15"/>
      <c r="R61" s="15"/>
      <c r="S61" s="15"/>
      <c r="T61" s="15"/>
      <c r="U61" s="15"/>
      <c r="V61" s="15"/>
      <c r="W61" s="15"/>
      <c r="X61" s="15"/>
      <c r="Y61" s="15"/>
    </row>
    <row r="62" spans="1:25" x14ac:dyDescent="0.3">
      <c r="B62" s="15"/>
      <c r="C62" s="15"/>
      <c r="D62" s="15"/>
      <c r="E62" s="15"/>
      <c r="F62" s="16"/>
      <c r="G62" s="15"/>
      <c r="H62" s="15"/>
      <c r="I62" s="15"/>
      <c r="J62" s="15"/>
      <c r="K62" s="15"/>
      <c r="L62" s="15"/>
      <c r="M62" s="15"/>
      <c r="N62" s="15"/>
      <c r="O62" s="15"/>
      <c r="P62" s="15"/>
      <c r="Q62" s="15"/>
      <c r="R62" s="15"/>
      <c r="S62" s="15"/>
      <c r="T62" s="15"/>
      <c r="U62" s="15"/>
      <c r="V62" s="15"/>
      <c r="W62" s="15"/>
      <c r="X62" s="15"/>
      <c r="Y62" s="15"/>
    </row>
    <row r="63" spans="1:25" x14ac:dyDescent="0.3">
      <c r="B63" s="15"/>
      <c r="C63" s="15"/>
      <c r="D63" s="15"/>
      <c r="E63" s="15"/>
      <c r="F63" s="16"/>
      <c r="G63" s="15"/>
      <c r="H63" s="15"/>
      <c r="I63" s="15"/>
      <c r="J63" s="15"/>
      <c r="K63" s="15"/>
      <c r="L63" s="15"/>
      <c r="M63" s="15"/>
      <c r="N63" s="15"/>
      <c r="O63" s="15"/>
      <c r="P63" s="15"/>
      <c r="Q63" s="15"/>
      <c r="R63" s="15"/>
      <c r="S63" s="15"/>
      <c r="T63" s="15"/>
      <c r="U63" s="15"/>
      <c r="V63" s="15"/>
      <c r="W63" s="15"/>
      <c r="X63" s="15"/>
      <c r="Y63" s="15"/>
    </row>
    <row r="64" spans="1:25" x14ac:dyDescent="0.3">
      <c r="B64" s="15"/>
      <c r="C64" s="15"/>
      <c r="D64" s="15"/>
      <c r="E64" s="15"/>
      <c r="F64" s="16"/>
      <c r="G64" s="15"/>
      <c r="H64" s="15"/>
      <c r="I64" s="15"/>
      <c r="J64" s="15"/>
      <c r="K64" s="15"/>
      <c r="L64" s="15"/>
      <c r="M64" s="15"/>
      <c r="N64" s="15"/>
      <c r="O64" s="15"/>
      <c r="P64" s="15"/>
      <c r="Q64" s="15"/>
      <c r="R64" s="15"/>
      <c r="S64" s="15"/>
      <c r="T64" s="15"/>
      <c r="U64" s="15"/>
      <c r="V64" s="15"/>
      <c r="W64" s="15"/>
      <c r="X64" s="15"/>
      <c r="Y64" s="15"/>
    </row>
    <row r="65" spans="2:25" x14ac:dyDescent="0.3">
      <c r="B65" s="15"/>
      <c r="C65" s="15"/>
      <c r="D65" s="15"/>
      <c r="E65" s="15"/>
      <c r="F65" s="16"/>
      <c r="G65" s="15"/>
      <c r="H65" s="15"/>
      <c r="I65" s="15"/>
      <c r="J65" s="15"/>
      <c r="K65" s="15"/>
      <c r="L65" s="15"/>
      <c r="M65" s="15"/>
      <c r="N65" s="15"/>
      <c r="O65" s="15"/>
      <c r="P65" s="15"/>
      <c r="Q65" s="15"/>
      <c r="R65" s="15"/>
      <c r="S65" s="15"/>
      <c r="T65" s="15"/>
      <c r="U65" s="15"/>
      <c r="V65" s="15"/>
      <c r="W65" s="15"/>
      <c r="X65" s="15"/>
      <c r="Y65" s="15"/>
    </row>
    <row r="66" spans="2:25" x14ac:dyDescent="0.3">
      <c r="B66" s="15"/>
      <c r="C66" s="15"/>
      <c r="D66" s="15"/>
      <c r="E66" s="15"/>
      <c r="F66" s="16"/>
      <c r="G66" s="15"/>
      <c r="H66" s="15"/>
      <c r="I66" s="15"/>
      <c r="J66" s="15"/>
      <c r="K66" s="15"/>
      <c r="L66" s="15"/>
      <c r="M66" s="15"/>
      <c r="N66" s="15"/>
      <c r="O66" s="15"/>
      <c r="P66" s="15"/>
      <c r="Q66" s="15"/>
      <c r="R66" s="15"/>
      <c r="S66" s="15"/>
      <c r="T66" s="15"/>
      <c r="U66" s="15"/>
      <c r="V66" s="15"/>
      <c r="W66" s="15"/>
      <c r="X66" s="15"/>
      <c r="Y66" s="15"/>
    </row>
    <row r="67" spans="2:25" x14ac:dyDescent="0.3">
      <c r="B67" s="15"/>
      <c r="C67" s="15"/>
      <c r="D67" s="15"/>
      <c r="E67" s="15"/>
      <c r="F67" s="16"/>
      <c r="G67" s="15"/>
      <c r="H67" s="15"/>
      <c r="I67" s="15"/>
      <c r="J67" s="15"/>
      <c r="K67" s="15"/>
      <c r="L67" s="15"/>
      <c r="M67" s="15"/>
      <c r="N67" s="15"/>
      <c r="O67" s="15"/>
      <c r="P67" s="15"/>
      <c r="Q67" s="15"/>
      <c r="R67" s="15"/>
      <c r="S67" s="15"/>
      <c r="T67" s="15"/>
      <c r="U67" s="15"/>
      <c r="V67" s="15"/>
      <c r="W67" s="15"/>
      <c r="X67" s="15"/>
      <c r="Y67" s="15"/>
    </row>
    <row r="68" spans="2:25" x14ac:dyDescent="0.3">
      <c r="B68" s="15"/>
      <c r="C68" s="15"/>
      <c r="D68" s="15"/>
      <c r="E68" s="15"/>
      <c r="F68" s="16"/>
      <c r="G68" s="15"/>
      <c r="H68" s="15"/>
      <c r="I68" s="15"/>
      <c r="J68" s="15"/>
      <c r="K68" s="15"/>
      <c r="L68" s="15"/>
      <c r="M68" s="15"/>
      <c r="N68" s="15"/>
      <c r="O68" s="15"/>
      <c r="P68" s="15"/>
      <c r="Q68" s="15"/>
      <c r="R68" s="15"/>
      <c r="S68" s="15"/>
      <c r="T68" s="15"/>
      <c r="U68" s="15"/>
      <c r="V68" s="15"/>
      <c r="W68" s="15"/>
      <c r="X68" s="15"/>
      <c r="Y68" s="15"/>
    </row>
    <row r="69" spans="2:25" x14ac:dyDescent="0.3">
      <c r="B69" s="15"/>
      <c r="C69" s="15"/>
      <c r="D69" s="15"/>
      <c r="E69" s="15"/>
      <c r="F69" s="16"/>
      <c r="G69" s="15"/>
      <c r="H69" s="15"/>
      <c r="I69" s="15"/>
      <c r="J69" s="15"/>
      <c r="K69" s="15"/>
      <c r="L69" s="15"/>
      <c r="M69" s="15"/>
      <c r="N69" s="15"/>
      <c r="O69" s="15"/>
      <c r="P69" s="15"/>
      <c r="Q69" s="15"/>
      <c r="R69" s="15"/>
      <c r="S69" s="15"/>
      <c r="T69" s="15"/>
      <c r="U69" s="15"/>
      <c r="V69" s="15"/>
      <c r="W69" s="15"/>
      <c r="X69" s="15"/>
      <c r="Y69" s="15"/>
    </row>
    <row r="70" spans="2:25" x14ac:dyDescent="0.3">
      <c r="B70" s="15"/>
      <c r="C70" s="15"/>
      <c r="D70" s="15"/>
      <c r="E70" s="15"/>
      <c r="F70" s="16"/>
      <c r="G70" s="15"/>
      <c r="H70" s="15"/>
      <c r="I70" s="15"/>
      <c r="J70" s="15"/>
      <c r="K70" s="15"/>
      <c r="L70" s="15"/>
      <c r="M70" s="15"/>
      <c r="N70" s="15"/>
      <c r="O70" s="15"/>
      <c r="P70" s="15"/>
      <c r="Q70" s="15"/>
      <c r="R70" s="15"/>
      <c r="S70" s="15"/>
      <c r="T70" s="15"/>
      <c r="U70" s="15"/>
      <c r="V70" s="15"/>
      <c r="W70" s="15"/>
      <c r="X70" s="15"/>
      <c r="Y70" s="15"/>
    </row>
    <row r="71" spans="2:25" x14ac:dyDescent="0.3">
      <c r="B71" s="15"/>
      <c r="C71" s="15"/>
      <c r="D71" s="15"/>
      <c r="E71" s="15"/>
      <c r="F71" s="16"/>
      <c r="G71" s="15"/>
      <c r="H71" s="15"/>
      <c r="I71" s="15"/>
      <c r="J71" s="15"/>
      <c r="K71" s="15"/>
      <c r="L71" s="15"/>
      <c r="M71" s="15"/>
      <c r="N71" s="15"/>
      <c r="O71" s="15"/>
      <c r="P71" s="15"/>
      <c r="Q71" s="15"/>
      <c r="R71" s="15"/>
      <c r="S71" s="15"/>
      <c r="T71" s="15"/>
      <c r="U71" s="15"/>
      <c r="V71" s="15"/>
      <c r="W71" s="15"/>
      <c r="X71" s="15"/>
      <c r="Y71" s="15"/>
    </row>
    <row r="72" spans="2:25" x14ac:dyDescent="0.3">
      <c r="B72" s="15"/>
      <c r="C72" s="15"/>
      <c r="D72" s="15"/>
      <c r="E72" s="15"/>
      <c r="F72" s="16"/>
      <c r="G72" s="15"/>
      <c r="H72" s="15"/>
      <c r="I72" s="15"/>
      <c r="J72" s="15"/>
      <c r="K72" s="15"/>
      <c r="L72" s="15"/>
      <c r="M72" s="15"/>
      <c r="N72" s="15"/>
      <c r="O72" s="15"/>
      <c r="P72" s="15"/>
      <c r="Q72" s="15"/>
      <c r="R72" s="15"/>
      <c r="S72" s="15"/>
      <c r="T72" s="15"/>
      <c r="U72" s="15"/>
      <c r="V72" s="15"/>
      <c r="W72" s="15"/>
      <c r="X72" s="15"/>
      <c r="Y72" s="15"/>
    </row>
    <row r="73" spans="2:25" x14ac:dyDescent="0.3">
      <c r="B73" s="15"/>
      <c r="C73" s="15"/>
      <c r="D73" s="15"/>
      <c r="E73" s="15"/>
      <c r="F73" s="16"/>
      <c r="G73" s="15"/>
      <c r="H73" s="15"/>
      <c r="I73" s="15"/>
      <c r="J73" s="15"/>
      <c r="K73" s="15"/>
      <c r="L73" s="15"/>
      <c r="M73" s="15"/>
      <c r="N73" s="15"/>
      <c r="O73" s="15"/>
      <c r="P73" s="15"/>
      <c r="Q73" s="15"/>
      <c r="R73" s="15"/>
      <c r="S73" s="15"/>
      <c r="T73" s="15"/>
      <c r="U73" s="15"/>
      <c r="V73" s="15"/>
      <c r="W73" s="15"/>
      <c r="X73" s="15"/>
      <c r="Y73" s="15"/>
    </row>
    <row r="74" spans="2:25" x14ac:dyDescent="0.3">
      <c r="B74" s="15"/>
      <c r="C74" s="15"/>
      <c r="D74" s="15"/>
      <c r="E74" s="15"/>
      <c r="F74" s="16"/>
      <c r="G74" s="15"/>
      <c r="H74" s="15"/>
      <c r="I74" s="15"/>
      <c r="J74" s="15"/>
      <c r="K74" s="15"/>
      <c r="L74" s="15"/>
      <c r="M74" s="15"/>
      <c r="N74" s="15"/>
      <c r="O74" s="15"/>
      <c r="P74" s="15"/>
      <c r="Q74" s="15"/>
      <c r="R74" s="15"/>
      <c r="S74" s="15"/>
      <c r="T74" s="15"/>
      <c r="U74" s="15"/>
      <c r="V74" s="15"/>
      <c r="W74" s="15"/>
      <c r="X74" s="15"/>
      <c r="Y74" s="15"/>
    </row>
    <row r="75" spans="2:25" x14ac:dyDescent="0.3">
      <c r="B75" s="15"/>
      <c r="C75" s="15"/>
      <c r="D75" s="15"/>
      <c r="E75" s="15"/>
      <c r="F75" s="16"/>
      <c r="G75" s="15"/>
      <c r="H75" s="15"/>
      <c r="I75" s="15"/>
      <c r="J75" s="15"/>
      <c r="K75" s="15"/>
      <c r="L75" s="15"/>
      <c r="M75" s="15"/>
      <c r="N75" s="15"/>
      <c r="O75" s="15"/>
      <c r="P75" s="15"/>
      <c r="Q75" s="15"/>
      <c r="R75" s="15"/>
      <c r="S75" s="15"/>
      <c r="T75" s="15"/>
      <c r="U75" s="15"/>
      <c r="V75" s="15"/>
      <c r="W75" s="15"/>
      <c r="X75" s="15"/>
      <c r="Y75" s="15"/>
    </row>
    <row r="76" spans="2:25" x14ac:dyDescent="0.3">
      <c r="B76" s="15"/>
      <c r="C76" s="15"/>
      <c r="D76" s="15"/>
      <c r="E76" s="15"/>
      <c r="F76" s="16"/>
      <c r="G76" s="15"/>
      <c r="H76" s="15"/>
      <c r="I76" s="15"/>
      <c r="J76" s="15"/>
      <c r="K76" s="15"/>
      <c r="L76" s="15"/>
      <c r="M76" s="15"/>
      <c r="N76" s="15"/>
      <c r="O76" s="15"/>
      <c r="P76" s="15"/>
      <c r="Q76" s="15"/>
      <c r="R76" s="15"/>
      <c r="S76" s="15"/>
      <c r="T76" s="15"/>
      <c r="U76" s="15"/>
      <c r="V76" s="15"/>
      <c r="W76" s="15"/>
      <c r="X76" s="15"/>
      <c r="Y76" s="15"/>
    </row>
    <row r="77" spans="2:25" x14ac:dyDescent="0.3">
      <c r="B77" s="15"/>
      <c r="C77" s="15"/>
      <c r="D77" s="15"/>
      <c r="E77" s="15"/>
      <c r="F77" s="16"/>
      <c r="G77" s="15"/>
      <c r="H77" s="15"/>
      <c r="I77" s="15"/>
      <c r="J77" s="15"/>
      <c r="K77" s="15"/>
      <c r="L77" s="15"/>
      <c r="M77" s="15"/>
      <c r="N77" s="15"/>
      <c r="O77" s="15"/>
      <c r="P77" s="15"/>
      <c r="Q77" s="15"/>
      <c r="R77" s="15"/>
      <c r="S77" s="15"/>
      <c r="T77" s="15"/>
      <c r="U77" s="15"/>
      <c r="V77" s="15"/>
      <c r="W77" s="15"/>
      <c r="X77" s="15"/>
      <c r="Y77" s="15"/>
    </row>
    <row r="78" spans="2:25" x14ac:dyDescent="0.3">
      <c r="B78" s="15"/>
      <c r="C78" s="15"/>
      <c r="D78" s="15"/>
      <c r="E78" s="15"/>
      <c r="F78" s="16"/>
      <c r="G78" s="15"/>
      <c r="H78" s="15"/>
      <c r="I78" s="15"/>
      <c r="J78" s="15"/>
      <c r="K78" s="15"/>
      <c r="L78" s="15"/>
      <c r="M78" s="15"/>
      <c r="N78" s="15"/>
      <c r="O78" s="15"/>
      <c r="P78" s="15"/>
      <c r="Q78" s="15"/>
      <c r="R78" s="15"/>
      <c r="S78" s="15"/>
      <c r="T78" s="15"/>
      <c r="U78" s="15"/>
      <c r="V78" s="15"/>
      <c r="W78" s="15"/>
      <c r="X78" s="15"/>
      <c r="Y78" s="15"/>
    </row>
    <row r="79" spans="2:25" x14ac:dyDescent="0.3">
      <c r="B79" s="15"/>
      <c r="C79" s="15"/>
      <c r="D79" s="15"/>
      <c r="E79" s="15"/>
      <c r="F79" s="16"/>
      <c r="G79" s="15"/>
      <c r="H79" s="15"/>
      <c r="I79" s="15"/>
      <c r="J79" s="15"/>
      <c r="K79" s="15"/>
      <c r="L79" s="15"/>
      <c r="M79" s="15"/>
      <c r="N79" s="15"/>
      <c r="O79" s="15"/>
      <c r="P79" s="15"/>
      <c r="Q79" s="15"/>
      <c r="R79" s="15"/>
      <c r="S79" s="15"/>
      <c r="T79" s="15"/>
      <c r="U79" s="15"/>
      <c r="V79" s="15"/>
      <c r="W79" s="15"/>
      <c r="X79" s="15"/>
      <c r="Y79" s="15"/>
    </row>
    <row r="80" spans="2:25" x14ac:dyDescent="0.3">
      <c r="B80" s="15"/>
      <c r="C80" s="15"/>
      <c r="D80" s="15"/>
      <c r="E80" s="15"/>
      <c r="F80" s="16"/>
      <c r="G80" s="15"/>
      <c r="H80" s="15"/>
      <c r="I80" s="15"/>
      <c r="J80" s="15"/>
      <c r="K80" s="15"/>
      <c r="L80" s="15"/>
      <c r="M80" s="15"/>
      <c r="N80" s="15"/>
      <c r="O80" s="15"/>
      <c r="P80" s="15"/>
      <c r="Q80" s="15"/>
      <c r="R80" s="15"/>
      <c r="S80" s="15"/>
      <c r="T80" s="15"/>
      <c r="U80" s="15"/>
      <c r="V80" s="15"/>
      <c r="W80" s="15"/>
      <c r="X80" s="15"/>
      <c r="Y80" s="15"/>
    </row>
    <row r="81" spans="2:25" x14ac:dyDescent="0.3">
      <c r="B81" s="15"/>
      <c r="C81" s="15"/>
      <c r="D81" s="15"/>
      <c r="E81" s="15"/>
      <c r="F81" s="16"/>
      <c r="G81" s="15"/>
      <c r="H81" s="15"/>
      <c r="I81" s="15"/>
      <c r="J81" s="15"/>
      <c r="K81" s="15"/>
      <c r="L81" s="15"/>
      <c r="M81" s="15"/>
      <c r="N81" s="15"/>
      <c r="O81" s="15"/>
      <c r="P81" s="15"/>
      <c r="Q81" s="15"/>
      <c r="R81" s="15"/>
      <c r="S81" s="15"/>
      <c r="T81" s="15"/>
      <c r="U81" s="15"/>
      <c r="V81" s="15"/>
      <c r="W81" s="15"/>
      <c r="X81" s="15"/>
      <c r="Y81" s="15"/>
    </row>
    <row r="82" spans="2:25" x14ac:dyDescent="0.3">
      <c r="B82" s="15"/>
      <c r="C82" s="15"/>
      <c r="D82" s="15"/>
      <c r="E82" s="15"/>
      <c r="F82" s="16"/>
      <c r="G82" s="15"/>
      <c r="H82" s="15"/>
      <c r="I82" s="15"/>
      <c r="J82" s="15"/>
      <c r="K82" s="15"/>
      <c r="L82" s="15"/>
      <c r="M82" s="15"/>
      <c r="N82" s="15"/>
      <c r="O82" s="15"/>
      <c r="P82" s="15"/>
      <c r="Q82" s="15"/>
      <c r="R82" s="15"/>
      <c r="S82" s="15"/>
      <c r="T82" s="15"/>
      <c r="U82" s="15"/>
      <c r="V82" s="15"/>
      <c r="W82" s="15"/>
      <c r="X82" s="15"/>
      <c r="Y82" s="15"/>
    </row>
    <row r="83" spans="2:25" x14ac:dyDescent="0.3">
      <c r="B83" s="15"/>
      <c r="C83" s="15"/>
      <c r="D83" s="15"/>
      <c r="E83" s="15"/>
      <c r="F83" s="16"/>
      <c r="G83" s="15"/>
      <c r="H83" s="15"/>
      <c r="I83" s="15"/>
      <c r="J83" s="15"/>
      <c r="K83" s="15"/>
      <c r="L83" s="15"/>
      <c r="M83" s="15"/>
      <c r="N83" s="15"/>
      <c r="O83" s="15"/>
      <c r="P83" s="15"/>
      <c r="Q83" s="15"/>
      <c r="R83" s="15"/>
      <c r="S83" s="15"/>
      <c r="T83" s="15"/>
      <c r="U83" s="15"/>
      <c r="V83" s="15"/>
      <c r="W83" s="15"/>
      <c r="X83" s="15"/>
      <c r="Y83" s="15"/>
    </row>
    <row r="84" spans="2:25" x14ac:dyDescent="0.3">
      <c r="B84" s="15"/>
      <c r="C84" s="15"/>
      <c r="D84" s="15"/>
      <c r="E84" s="15"/>
      <c r="F84" s="16"/>
      <c r="G84" s="15"/>
      <c r="H84" s="15"/>
      <c r="I84" s="15"/>
      <c r="J84" s="15"/>
      <c r="K84" s="15"/>
      <c r="L84" s="15"/>
      <c r="M84" s="15"/>
      <c r="N84" s="15"/>
      <c r="O84" s="15"/>
      <c r="P84" s="15"/>
      <c r="Q84" s="15"/>
      <c r="R84" s="15"/>
      <c r="S84" s="15"/>
      <c r="T84" s="15"/>
      <c r="U84" s="15"/>
      <c r="V84" s="15"/>
      <c r="W84" s="15"/>
      <c r="X84" s="15"/>
      <c r="Y84" s="15"/>
    </row>
    <row r="85" spans="2:25" x14ac:dyDescent="0.3">
      <c r="B85" s="15"/>
      <c r="C85" s="15"/>
      <c r="D85" s="15"/>
      <c r="E85" s="15"/>
      <c r="F85" s="16"/>
      <c r="G85" s="15"/>
      <c r="H85" s="15"/>
      <c r="I85" s="15"/>
      <c r="J85" s="15"/>
      <c r="K85" s="15"/>
      <c r="L85" s="15"/>
      <c r="M85" s="15"/>
      <c r="N85" s="15"/>
      <c r="O85" s="15"/>
      <c r="P85" s="15"/>
      <c r="Q85" s="15"/>
      <c r="R85" s="15"/>
      <c r="S85" s="15"/>
      <c r="T85" s="15"/>
      <c r="U85" s="15"/>
      <c r="V85" s="15"/>
      <c r="W85" s="15"/>
      <c r="X85" s="15"/>
      <c r="Y85" s="15"/>
    </row>
    <row r="86" spans="2:25" x14ac:dyDescent="0.3">
      <c r="B86" s="15"/>
      <c r="C86" s="15"/>
      <c r="D86" s="15"/>
      <c r="E86" s="15"/>
      <c r="F86" s="16"/>
      <c r="G86" s="15"/>
      <c r="H86" s="15"/>
      <c r="I86" s="15"/>
      <c r="J86" s="15"/>
      <c r="K86" s="15"/>
      <c r="L86" s="15"/>
      <c r="M86" s="15"/>
      <c r="N86" s="15"/>
      <c r="O86" s="15"/>
      <c r="P86" s="15"/>
      <c r="Q86" s="15"/>
      <c r="R86" s="15"/>
      <c r="S86" s="15"/>
      <c r="T86" s="15"/>
      <c r="U86" s="15"/>
      <c r="V86" s="15"/>
      <c r="W86" s="15"/>
      <c r="X86" s="15"/>
      <c r="Y86" s="15"/>
    </row>
    <row r="87" spans="2:25" x14ac:dyDescent="0.3">
      <c r="B87" s="15"/>
      <c r="C87" s="15"/>
      <c r="D87" s="15"/>
      <c r="E87" s="15"/>
      <c r="F87" s="16"/>
      <c r="G87" s="15"/>
      <c r="H87" s="15"/>
      <c r="I87" s="15"/>
      <c r="J87" s="15"/>
      <c r="K87" s="15"/>
      <c r="L87" s="15"/>
      <c r="M87" s="15"/>
      <c r="N87" s="15"/>
      <c r="O87" s="15"/>
      <c r="P87" s="15"/>
      <c r="Q87" s="15"/>
      <c r="R87" s="15"/>
      <c r="S87" s="15"/>
      <c r="T87" s="15"/>
      <c r="U87" s="15"/>
      <c r="V87" s="15"/>
      <c r="W87" s="15"/>
      <c r="X87" s="15"/>
      <c r="Y87" s="15"/>
    </row>
    <row r="88" spans="2:25" x14ac:dyDescent="0.3">
      <c r="B88" s="15"/>
      <c r="C88" s="15"/>
      <c r="D88" s="15"/>
      <c r="E88" s="15"/>
      <c r="F88" s="16"/>
      <c r="G88" s="15"/>
      <c r="H88" s="15"/>
      <c r="I88" s="15"/>
      <c r="J88" s="15"/>
      <c r="K88" s="15"/>
      <c r="L88" s="15"/>
      <c r="M88" s="15"/>
      <c r="N88" s="15"/>
      <c r="O88" s="15"/>
      <c r="P88" s="15"/>
      <c r="Q88" s="15"/>
      <c r="R88" s="15"/>
      <c r="S88" s="15"/>
      <c r="T88" s="15"/>
      <c r="U88" s="15"/>
      <c r="V88" s="15"/>
      <c r="W88" s="15"/>
      <c r="X88" s="15"/>
      <c r="Y88" s="15"/>
    </row>
    <row r="89" spans="2:25" x14ac:dyDescent="0.3">
      <c r="B89" s="15"/>
      <c r="C89" s="15"/>
      <c r="D89" s="15"/>
      <c r="E89" s="15"/>
      <c r="F89" s="16"/>
      <c r="G89" s="15"/>
      <c r="H89" s="15"/>
      <c r="I89" s="15"/>
      <c r="J89" s="15"/>
      <c r="K89" s="15"/>
      <c r="L89" s="15"/>
      <c r="M89" s="15"/>
      <c r="N89" s="15"/>
      <c r="O89" s="15"/>
      <c r="P89" s="15"/>
      <c r="Q89" s="15"/>
      <c r="R89" s="15"/>
      <c r="S89" s="15"/>
      <c r="T89" s="15"/>
      <c r="U89" s="15"/>
      <c r="V89" s="15"/>
      <c r="W89" s="15"/>
      <c r="X89" s="15"/>
      <c r="Y89" s="15"/>
    </row>
    <row r="90" spans="2:25" x14ac:dyDescent="0.3">
      <c r="B90" s="15"/>
      <c r="C90" s="15"/>
      <c r="D90" s="15"/>
      <c r="E90" s="15"/>
      <c r="F90" s="16"/>
      <c r="G90" s="15"/>
      <c r="H90" s="15"/>
      <c r="I90" s="15"/>
      <c r="J90" s="15"/>
      <c r="K90" s="15"/>
      <c r="L90" s="15"/>
      <c r="M90" s="15"/>
      <c r="N90" s="15"/>
      <c r="O90" s="15"/>
      <c r="P90" s="15"/>
      <c r="Q90" s="15"/>
      <c r="R90" s="15"/>
      <c r="S90" s="15"/>
      <c r="T90" s="15"/>
      <c r="U90" s="15"/>
      <c r="V90" s="15"/>
      <c r="W90" s="15"/>
      <c r="X90" s="15"/>
      <c r="Y90" s="15"/>
    </row>
    <row r="91" spans="2:25" x14ac:dyDescent="0.3">
      <c r="B91" s="15"/>
      <c r="C91" s="15"/>
      <c r="D91" s="15"/>
      <c r="E91" s="15"/>
      <c r="F91" s="16"/>
      <c r="G91" s="15"/>
      <c r="H91" s="15"/>
      <c r="I91" s="15"/>
      <c r="J91" s="15"/>
      <c r="K91" s="15"/>
      <c r="L91" s="15"/>
      <c r="M91" s="15"/>
      <c r="N91" s="15"/>
      <c r="O91" s="15"/>
      <c r="P91" s="15"/>
      <c r="Q91" s="15"/>
      <c r="R91" s="15"/>
      <c r="S91" s="15"/>
      <c r="T91" s="15"/>
      <c r="U91" s="15"/>
      <c r="V91" s="15"/>
      <c r="W91" s="15"/>
      <c r="X91" s="15"/>
      <c r="Y91" s="15"/>
    </row>
    <row r="92" spans="2:25" x14ac:dyDescent="0.3">
      <c r="B92" s="15"/>
      <c r="C92" s="15"/>
      <c r="D92" s="15"/>
      <c r="E92" s="15"/>
      <c r="F92" s="16"/>
      <c r="G92" s="15"/>
      <c r="H92" s="15"/>
      <c r="I92" s="15"/>
      <c r="J92" s="15"/>
      <c r="K92" s="15"/>
      <c r="L92" s="15"/>
      <c r="M92" s="15"/>
      <c r="N92" s="15"/>
      <c r="O92" s="15"/>
      <c r="P92" s="15"/>
      <c r="Q92" s="15"/>
      <c r="R92" s="15"/>
      <c r="S92" s="15"/>
      <c r="T92" s="15"/>
      <c r="U92" s="15"/>
      <c r="V92" s="15"/>
      <c r="W92" s="15"/>
      <c r="X92" s="15"/>
      <c r="Y92" s="15"/>
    </row>
    <row r="93" spans="2:25" x14ac:dyDescent="0.3">
      <c r="B93" s="15"/>
      <c r="C93" s="15"/>
      <c r="D93" s="15"/>
      <c r="E93" s="15"/>
      <c r="F93" s="16"/>
      <c r="G93" s="15"/>
      <c r="H93" s="15"/>
      <c r="I93" s="15"/>
      <c r="J93" s="15"/>
      <c r="K93" s="15"/>
      <c r="L93" s="15"/>
      <c r="M93" s="15"/>
      <c r="N93" s="15"/>
      <c r="O93" s="15"/>
      <c r="P93" s="15"/>
      <c r="Q93" s="15"/>
      <c r="R93" s="15"/>
      <c r="S93" s="15"/>
      <c r="T93" s="15"/>
      <c r="U93" s="15"/>
      <c r="V93" s="15"/>
      <c r="W93" s="15"/>
      <c r="X93" s="15"/>
      <c r="Y93" s="15"/>
    </row>
    <row r="94" spans="2:25" x14ac:dyDescent="0.3">
      <c r="B94" s="15"/>
      <c r="C94" s="15"/>
      <c r="D94" s="15"/>
      <c r="E94" s="15"/>
      <c r="F94" s="16"/>
      <c r="G94" s="15"/>
      <c r="H94" s="15"/>
      <c r="I94" s="15"/>
      <c r="J94" s="15"/>
      <c r="K94" s="15"/>
      <c r="L94" s="15"/>
      <c r="M94" s="15"/>
      <c r="N94" s="15"/>
      <c r="O94" s="15"/>
      <c r="P94" s="15"/>
      <c r="Q94" s="15"/>
      <c r="R94" s="15"/>
      <c r="S94" s="15"/>
      <c r="T94" s="15"/>
      <c r="U94" s="15"/>
      <c r="V94" s="15"/>
      <c r="W94" s="15"/>
      <c r="X94" s="15"/>
      <c r="Y94" s="15"/>
    </row>
    <row r="95" spans="2:25" x14ac:dyDescent="0.3">
      <c r="B95" s="15"/>
      <c r="C95" s="15"/>
      <c r="D95" s="15"/>
      <c r="E95" s="15"/>
      <c r="F95" s="16"/>
      <c r="G95" s="15"/>
      <c r="H95" s="15"/>
      <c r="I95" s="15"/>
      <c r="J95" s="15"/>
      <c r="K95" s="15"/>
      <c r="L95" s="15"/>
      <c r="M95" s="15"/>
      <c r="N95" s="15"/>
      <c r="O95" s="15"/>
      <c r="P95" s="15"/>
      <c r="Q95" s="15"/>
      <c r="R95" s="15"/>
      <c r="S95" s="15"/>
      <c r="T95" s="15"/>
      <c r="U95" s="15"/>
      <c r="V95" s="15"/>
      <c r="W95" s="15"/>
      <c r="X95" s="15"/>
      <c r="Y95" s="15"/>
    </row>
    <row r="96" spans="2:25" x14ac:dyDescent="0.3">
      <c r="B96" s="15"/>
      <c r="C96" s="15"/>
      <c r="D96" s="15"/>
      <c r="E96" s="15"/>
      <c r="F96" s="16"/>
      <c r="G96" s="15"/>
      <c r="H96" s="15"/>
      <c r="I96" s="15"/>
      <c r="J96" s="15"/>
      <c r="K96" s="15"/>
      <c r="L96" s="15"/>
      <c r="M96" s="15"/>
      <c r="N96" s="15"/>
      <c r="O96" s="15"/>
      <c r="P96" s="15"/>
      <c r="Q96" s="15"/>
      <c r="R96" s="15"/>
      <c r="S96" s="15"/>
      <c r="T96" s="15"/>
      <c r="U96" s="15"/>
      <c r="V96" s="15"/>
      <c r="W96" s="15"/>
      <c r="X96" s="15"/>
      <c r="Y96" s="15"/>
    </row>
    <row r="97" spans="2:25" x14ac:dyDescent="0.3">
      <c r="B97" s="15"/>
      <c r="C97" s="15"/>
      <c r="D97" s="15"/>
      <c r="E97" s="15"/>
      <c r="F97" s="16"/>
      <c r="G97" s="15"/>
      <c r="H97" s="15"/>
      <c r="I97" s="15"/>
      <c r="J97" s="15"/>
      <c r="K97" s="15"/>
      <c r="L97" s="15"/>
      <c r="M97" s="15"/>
      <c r="N97" s="15"/>
      <c r="O97" s="15"/>
      <c r="P97" s="15"/>
      <c r="Q97" s="15"/>
      <c r="R97" s="15"/>
      <c r="S97" s="15"/>
      <c r="T97" s="15"/>
      <c r="U97" s="15"/>
      <c r="V97" s="15"/>
      <c r="W97" s="15"/>
      <c r="X97" s="15"/>
      <c r="Y97" s="15"/>
    </row>
    <row r="98" spans="2:25" x14ac:dyDescent="0.3">
      <c r="B98" s="15"/>
      <c r="C98" s="15"/>
      <c r="D98" s="15"/>
      <c r="E98" s="15"/>
      <c r="F98" s="16"/>
      <c r="G98" s="15"/>
      <c r="H98" s="15"/>
      <c r="I98" s="15"/>
      <c r="J98" s="15"/>
      <c r="K98" s="15"/>
      <c r="L98" s="15"/>
      <c r="M98" s="15"/>
      <c r="N98" s="15"/>
      <c r="O98" s="15"/>
      <c r="P98" s="15"/>
      <c r="Q98" s="15"/>
      <c r="R98" s="15"/>
      <c r="S98" s="15"/>
      <c r="T98" s="15"/>
      <c r="U98" s="15"/>
      <c r="V98" s="15"/>
      <c r="W98" s="15"/>
      <c r="X98" s="15"/>
      <c r="Y98" s="15"/>
    </row>
    <row r="99" spans="2:25" x14ac:dyDescent="0.3">
      <c r="B99" s="15"/>
      <c r="C99" s="15"/>
      <c r="D99" s="15"/>
      <c r="E99" s="15"/>
      <c r="F99" s="16"/>
      <c r="G99" s="15"/>
      <c r="H99" s="15"/>
      <c r="I99" s="15"/>
      <c r="J99" s="15"/>
      <c r="K99" s="15"/>
      <c r="L99" s="15"/>
      <c r="M99" s="15"/>
      <c r="N99" s="15"/>
      <c r="O99" s="15"/>
      <c r="P99" s="15"/>
      <c r="Q99" s="15"/>
      <c r="R99" s="15"/>
      <c r="S99" s="15"/>
      <c r="T99" s="15"/>
      <c r="U99" s="15"/>
      <c r="V99" s="15"/>
      <c r="W99" s="15"/>
      <c r="X99" s="15"/>
      <c r="Y99" s="15"/>
    </row>
    <row r="100" spans="2:25" x14ac:dyDescent="0.3">
      <c r="B100" s="15"/>
      <c r="C100" s="15"/>
      <c r="D100" s="15"/>
      <c r="E100" s="15"/>
      <c r="F100" s="16"/>
      <c r="G100" s="15"/>
      <c r="H100" s="15"/>
      <c r="I100" s="15"/>
      <c r="J100" s="15"/>
      <c r="K100" s="15"/>
      <c r="L100" s="15"/>
      <c r="M100" s="15"/>
      <c r="N100" s="15"/>
      <c r="O100" s="15"/>
      <c r="P100" s="15"/>
      <c r="Q100" s="15"/>
      <c r="R100" s="15"/>
      <c r="S100" s="15"/>
      <c r="T100" s="15"/>
      <c r="U100" s="15"/>
      <c r="V100" s="15"/>
      <c r="W100" s="15"/>
      <c r="X100" s="15"/>
      <c r="Y100" s="15"/>
    </row>
    <row r="101" spans="2:25" x14ac:dyDescent="0.3">
      <c r="B101" s="15"/>
      <c r="C101" s="15"/>
      <c r="D101" s="15"/>
      <c r="E101" s="15"/>
      <c r="F101" s="16"/>
      <c r="G101" s="15"/>
      <c r="H101" s="15"/>
      <c r="I101" s="15"/>
      <c r="J101" s="15"/>
      <c r="K101" s="15"/>
      <c r="L101" s="15"/>
      <c r="M101" s="15"/>
      <c r="N101" s="15"/>
      <c r="O101" s="15"/>
      <c r="P101" s="15"/>
      <c r="Q101" s="15"/>
      <c r="R101" s="15"/>
      <c r="S101" s="15"/>
      <c r="T101" s="15"/>
      <c r="U101" s="15"/>
      <c r="V101" s="15"/>
      <c r="W101" s="15"/>
      <c r="X101" s="15"/>
      <c r="Y101" s="15"/>
    </row>
    <row r="102" spans="2:25" x14ac:dyDescent="0.3">
      <c r="B102" s="15"/>
      <c r="C102" s="15"/>
      <c r="D102" s="15"/>
      <c r="E102" s="15"/>
      <c r="F102" s="16"/>
      <c r="G102" s="15"/>
      <c r="H102" s="15"/>
      <c r="I102" s="15"/>
      <c r="J102" s="15"/>
      <c r="K102" s="15"/>
      <c r="L102" s="15"/>
      <c r="M102" s="15"/>
      <c r="N102" s="15"/>
      <c r="O102" s="15"/>
      <c r="P102" s="15"/>
      <c r="Q102" s="15"/>
      <c r="R102" s="15"/>
      <c r="S102" s="15"/>
      <c r="T102" s="15"/>
      <c r="U102" s="15"/>
      <c r="V102" s="15"/>
      <c r="W102" s="15"/>
      <c r="X102" s="15"/>
      <c r="Y102" s="15"/>
    </row>
    <row r="103" spans="2:25" x14ac:dyDescent="0.3">
      <c r="B103" s="15"/>
      <c r="C103" s="15"/>
      <c r="D103" s="15"/>
      <c r="E103" s="15"/>
      <c r="F103" s="16"/>
      <c r="G103" s="15"/>
      <c r="H103" s="15"/>
      <c r="I103" s="15"/>
      <c r="J103" s="15"/>
      <c r="K103" s="15"/>
      <c r="L103" s="15"/>
      <c r="M103" s="15"/>
      <c r="N103" s="15"/>
      <c r="O103" s="15"/>
      <c r="P103" s="15"/>
      <c r="Q103" s="15"/>
      <c r="R103" s="15"/>
      <c r="S103" s="15"/>
      <c r="T103" s="15"/>
      <c r="U103" s="15"/>
      <c r="V103" s="15"/>
      <c r="W103" s="15"/>
      <c r="X103" s="15"/>
      <c r="Y103" s="15"/>
    </row>
    <row r="104" spans="2:25" x14ac:dyDescent="0.3">
      <c r="B104" s="15"/>
      <c r="C104" s="15"/>
      <c r="D104" s="15"/>
      <c r="E104" s="15"/>
      <c r="F104" s="16"/>
      <c r="G104" s="15"/>
      <c r="H104" s="15"/>
      <c r="I104" s="15"/>
      <c r="J104" s="15"/>
      <c r="K104" s="15"/>
      <c r="L104" s="15"/>
      <c r="M104" s="15"/>
      <c r="N104" s="15"/>
      <c r="O104" s="15"/>
      <c r="P104" s="15"/>
      <c r="Q104" s="15"/>
      <c r="R104" s="15"/>
      <c r="S104" s="15"/>
      <c r="T104" s="15"/>
      <c r="U104" s="15"/>
      <c r="V104" s="15"/>
      <c r="W104" s="15"/>
      <c r="X104" s="15"/>
      <c r="Y104" s="15"/>
    </row>
    <row r="105" spans="2:25" x14ac:dyDescent="0.3">
      <c r="B105" s="15"/>
      <c r="C105" s="15"/>
      <c r="D105" s="15"/>
      <c r="E105" s="15"/>
      <c r="F105" s="16"/>
      <c r="G105" s="15"/>
      <c r="H105" s="15"/>
      <c r="I105" s="15"/>
      <c r="J105" s="15"/>
      <c r="K105" s="15"/>
      <c r="L105" s="15"/>
      <c r="M105" s="15"/>
      <c r="N105" s="15"/>
      <c r="O105" s="15"/>
      <c r="P105" s="15"/>
      <c r="Q105" s="15"/>
      <c r="R105" s="15"/>
      <c r="S105" s="15"/>
      <c r="T105" s="15"/>
      <c r="U105" s="15"/>
      <c r="V105" s="15"/>
      <c r="W105" s="15"/>
      <c r="X105" s="15"/>
      <c r="Y105" s="15"/>
    </row>
    <row r="106" spans="2:25" x14ac:dyDescent="0.3">
      <c r="B106" s="15"/>
      <c r="C106" s="15"/>
      <c r="D106" s="15"/>
      <c r="E106" s="15"/>
      <c r="F106" s="16"/>
      <c r="G106" s="15"/>
      <c r="H106" s="15"/>
      <c r="I106" s="15"/>
      <c r="J106" s="15"/>
      <c r="K106" s="15"/>
      <c r="L106" s="15"/>
      <c r="M106" s="15"/>
      <c r="N106" s="15"/>
      <c r="O106" s="15"/>
      <c r="P106" s="15"/>
      <c r="Q106" s="15"/>
      <c r="R106" s="15"/>
      <c r="S106" s="15"/>
      <c r="T106" s="15"/>
      <c r="U106" s="15"/>
      <c r="V106" s="15"/>
      <c r="W106" s="15"/>
      <c r="X106" s="15"/>
      <c r="Y106" s="15"/>
    </row>
    <row r="107" spans="2:25" x14ac:dyDescent="0.3">
      <c r="B107" s="15"/>
      <c r="C107" s="15"/>
      <c r="D107" s="15"/>
      <c r="E107" s="15"/>
      <c r="F107" s="16"/>
      <c r="G107" s="15"/>
      <c r="H107" s="15"/>
      <c r="I107" s="15"/>
      <c r="J107" s="15"/>
      <c r="K107" s="15"/>
      <c r="L107" s="15"/>
      <c r="M107" s="15"/>
      <c r="N107" s="15"/>
      <c r="O107" s="15"/>
      <c r="P107" s="15"/>
      <c r="Q107" s="15"/>
      <c r="R107" s="15"/>
      <c r="S107" s="15"/>
      <c r="T107" s="15"/>
      <c r="U107" s="15"/>
      <c r="V107" s="15"/>
      <c r="W107" s="15"/>
      <c r="X107" s="15"/>
      <c r="Y107" s="15"/>
    </row>
    <row r="108" spans="2:25" x14ac:dyDescent="0.3">
      <c r="B108" s="15"/>
      <c r="C108" s="15"/>
      <c r="D108" s="15"/>
      <c r="E108" s="15"/>
      <c r="F108" s="16"/>
      <c r="G108" s="15"/>
      <c r="H108" s="15"/>
      <c r="I108" s="15"/>
      <c r="J108" s="15"/>
      <c r="K108" s="15"/>
      <c r="L108" s="15"/>
      <c r="M108" s="15"/>
      <c r="N108" s="15"/>
      <c r="O108" s="15"/>
      <c r="P108" s="15"/>
      <c r="Q108" s="15"/>
      <c r="R108" s="15"/>
      <c r="S108" s="15"/>
      <c r="T108" s="15"/>
      <c r="U108" s="15"/>
      <c r="V108" s="15"/>
      <c r="W108" s="15"/>
      <c r="X108" s="15"/>
      <c r="Y108" s="15"/>
    </row>
  </sheetData>
  <mergeCells count="2">
    <mergeCell ref="A3:I3"/>
    <mergeCell ref="A5:G5"/>
  </mergeCells>
  <pageMargins left="0.7" right="0.7" top="0.75" bottom="0.75" header="0.3" footer="0.3"/>
  <customProperties>
    <customPr name="HasEnPITables" r:id="rId1"/>
    <customPr name="SheetGUID" r:id="rId2"/>
  </customProperties>
  <drawing r:id="rId3"/>
  <tableParts count="2">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A1:M30"/>
  <sheetViews>
    <sheetView workbookViewId="0">
      <selection activeCell="A20" sqref="A20:E20"/>
    </sheetView>
  </sheetViews>
  <sheetFormatPr defaultRowHeight="14.4" x14ac:dyDescent="0.3"/>
  <cols>
    <col min="1" max="1" width="51.77734375" bestFit="1" customWidth="1"/>
    <col min="2" max="2" width="10.5546875" bestFit="1" customWidth="1"/>
    <col min="3" max="3" width="8.5546875" bestFit="1" customWidth="1"/>
    <col min="4" max="4" width="9.5546875" bestFit="1" customWidth="1"/>
    <col min="5" max="5" width="8.5546875" bestFit="1" customWidth="1"/>
  </cols>
  <sheetData>
    <row r="1" spans="1:8" ht="19.8" x14ac:dyDescent="0.4">
      <c r="A1" s="19" t="s">
        <v>23</v>
      </c>
      <c r="B1" s="19"/>
      <c r="C1" s="19"/>
      <c r="D1" s="19"/>
      <c r="E1" s="19"/>
      <c r="F1" s="19"/>
      <c r="G1" s="19"/>
      <c r="H1" s="19"/>
    </row>
    <row r="2" spans="1:8" ht="60" customHeight="1" x14ac:dyDescent="0.3">
      <c r="A2" s="21" t="s">
        <v>71</v>
      </c>
      <c r="B2" s="21"/>
      <c r="C2" s="21"/>
      <c r="D2" s="21"/>
      <c r="E2" s="21"/>
      <c r="F2" s="21"/>
      <c r="G2" s="21"/>
      <c r="H2" s="21"/>
    </row>
    <row r="4" spans="1:8" x14ac:dyDescent="0.3">
      <c r="A4" s="17" t="s">
        <v>24</v>
      </c>
      <c r="B4" s="17" t="s">
        <v>10</v>
      </c>
      <c r="C4" s="17" t="s">
        <v>7</v>
      </c>
      <c r="D4" s="17" t="s">
        <v>8</v>
      </c>
      <c r="E4" s="17" t="s">
        <v>9</v>
      </c>
    </row>
    <row r="5" spans="1:8" x14ac:dyDescent="0.3">
      <c r="A5" s="22" t="s">
        <v>72</v>
      </c>
      <c r="B5" s="23">
        <f>SUMIF(DetailTable5[Period],AnnualTable7[#Headers],DetailTable5[kwh(MMBTU)])</f>
        <v>11575.881760600123</v>
      </c>
      <c r="C5" s="23">
        <f>SUMIF(DetailTable5[Period],AnnualTable7[#Headers],DetailTable5[kwh(MMBTU)])</f>
        <v>11244.136657282877</v>
      </c>
      <c r="D5" s="23">
        <f>SUMIF(DetailTable5[Period],AnnualTable7[#Headers],DetailTable5[kwh(MMBTU)])</f>
        <v>8210.7685460541725</v>
      </c>
      <c r="E5" s="23">
        <f>SUMIF(DetailTable5[Period],AnnualTable7[#Headers],DetailTable5[kwh(MMBTU)])</f>
        <v>11005.249930979977</v>
      </c>
    </row>
    <row r="6" spans="1:8" x14ac:dyDescent="0.3">
      <c r="A6" s="22" t="s">
        <v>11</v>
      </c>
      <c r="B6" s="23">
        <f>SUMIF(DetailTable5[Period],AnnualTable7[#Headers],DetailTable5[TOTAL  (MMBtu)])</f>
        <v>11575.881760600123</v>
      </c>
      <c r="C6" s="23">
        <f>SUMIF(DetailTable5[Period],AnnualTable7[#Headers],DetailTable5[TOTAL  (MMBtu)])</f>
        <v>11244.136657282877</v>
      </c>
      <c r="D6" s="23">
        <f>SUMIF(DetailTable5[Period],AnnualTable7[#Headers],DetailTable5[TOTAL  (MMBtu)])</f>
        <v>8210.7685460541725</v>
      </c>
      <c r="E6" s="23">
        <f>SUMIF(DetailTable5[Period],AnnualTable7[#Headers],DetailTable5[TOTAL  (MMBtu)])</f>
        <v>11005.249930979977</v>
      </c>
    </row>
    <row r="7" spans="1:8" x14ac:dyDescent="0.3">
      <c r="A7" s="58" t="s">
        <v>24</v>
      </c>
      <c r="B7" s="59" t="s">
        <v>24</v>
      </c>
      <c r="C7" s="59" t="s">
        <v>24</v>
      </c>
      <c r="D7" s="59" t="s">
        <v>24</v>
      </c>
      <c r="E7" s="59" t="s">
        <v>24</v>
      </c>
    </row>
    <row r="8" spans="1:8" x14ac:dyDescent="0.3">
      <c r="A8" s="22" t="s">
        <v>55</v>
      </c>
      <c r="B8" s="60" t="s">
        <v>14</v>
      </c>
      <c r="C8" s="60" t="s">
        <v>73</v>
      </c>
      <c r="D8" s="60" t="s">
        <v>73</v>
      </c>
      <c r="E8" s="60" t="s">
        <v>73</v>
      </c>
    </row>
    <row r="9" spans="1:8" x14ac:dyDescent="0.3">
      <c r="A9" s="22" t="s">
        <v>56</v>
      </c>
      <c r="B9" s="30">
        <f>SUMIF(DetailTable5[Period],AnnualTable7[#Headers],DetailTable5[Modeled kwh(MMBTU)])</f>
        <v>11575.881760600116</v>
      </c>
      <c r="C9" s="30">
        <f>SUMIF(DetailTable5[Period],AnnualTable7[#Headers],DetailTable5[Modeled kwh(MMBTU)])</f>
        <v>11441.592938669</v>
      </c>
      <c r="D9" s="30">
        <f>SUMIF(DetailTable5[Period],AnnualTable7[#Headers],DetailTable5[Modeled kwh(MMBTU)])</f>
        <v>11713.188308866758</v>
      </c>
      <c r="E9" s="30">
        <f>SUMIF(DetailTable5[Period],AnnualTable7[#Headers],DetailTable5[Modeled kwh(MMBTU)])</f>
        <v>11952.343120957566</v>
      </c>
    </row>
    <row r="10" spans="1:8" x14ac:dyDescent="0.3">
      <c r="A10" s="22" t="s">
        <v>25</v>
      </c>
      <c r="B10" s="30">
        <f>INDEX(AnnualTable7[], MATCH("Modeled kwh(MMBTU)",AnnualTable7[[ ]],0),) - INDEX(AnnualTable7[], MATCH("Actual kwh(MMBTU)",AnnualTable7[[ ]],0),)</f>
        <v>0</v>
      </c>
      <c r="C10" s="30">
        <f>INDEX(AnnualTable7[], MATCH("Modeled kwh(MMBTU)",AnnualTable7[[ ]],0),) - INDEX(AnnualTable7[], MATCH("Actual kwh(MMBTU)",AnnualTable7[[ ]],0),)</f>
        <v>197.45628138612301</v>
      </c>
      <c r="D10" s="30">
        <f>INDEX(AnnualTable7[], MATCH("Modeled kwh(MMBTU)",AnnualTable7[[ ]],0),) - INDEX(AnnualTable7[], MATCH("Actual kwh(MMBTU)",AnnualTable7[[ ]],0),)</f>
        <v>3502.4197628125858</v>
      </c>
      <c r="E10" s="30">
        <f>INDEX(AnnualTable7[], MATCH("Modeled kwh(MMBTU)",AnnualTable7[[ ]],0),) - INDEX(AnnualTable7[], MATCH("Actual kwh(MMBTU)",AnnualTable7[[ ]],0),)</f>
        <v>947.09318997758965</v>
      </c>
    </row>
    <row r="11" spans="1:8" x14ac:dyDescent="0.3">
      <c r="A11" s="61" t="s">
        <v>26</v>
      </c>
      <c r="B11" s="62">
        <f ca="1">SUMIF(DetailTable5[Period],AnnualTable7[#Headers],DetailTable5[Cost Savings ($): kwh(MMBTU)])</f>
        <v>-6.1140781326685101E-10</v>
      </c>
      <c r="C11" s="62">
        <f ca="1">SUMIF(DetailTable5[Period],AnnualTable7[#Headers],DetailTable5[Cost Savings ($): kwh(MMBTU)])</f>
        <v>19289.572492012678</v>
      </c>
      <c r="D11" s="62">
        <f ca="1">SUMIF(DetailTable5[Period],AnnualTable7[#Headers],DetailTable5[Cost Savings ($): kwh(MMBTU)])</f>
        <v>342152.59923850268</v>
      </c>
      <c r="E11" s="62">
        <f ca="1">SUMIF(DetailTable5[Period],AnnualTable7[#Headers],DetailTable5[Cost Savings ($): kwh(MMBTU)])</f>
        <v>92521.861631939595</v>
      </c>
    </row>
    <row r="12" spans="1:8" x14ac:dyDescent="0.3">
      <c r="A12" s="22" t="s">
        <v>57</v>
      </c>
      <c r="B12" s="30">
        <f>SUMIF(DetailTable5[Period],AnnualTable7[#Headers],DetailTable5[Total Modeled Energy Consumption (MMBtu)])</f>
        <v>11575.881760600116</v>
      </c>
      <c r="C12" s="30">
        <f>SUMIF(DetailTable5[Period],AnnualTable7[#Headers],DetailTable5[Total Modeled Energy Consumption (MMBtu)])</f>
        <v>11441.592938669</v>
      </c>
      <c r="D12" s="30">
        <f>SUMIF(DetailTable5[Period],AnnualTable7[#Headers],DetailTable5[Total Modeled Energy Consumption (MMBtu)])</f>
        <v>11713.188308866758</v>
      </c>
      <c r="E12" s="30">
        <f>SUMIF(DetailTable5[Period],AnnualTable7[#Headers],DetailTable5[Total Modeled Energy Consumption (MMBtu)])</f>
        <v>11952.343120957566</v>
      </c>
    </row>
    <row r="13" spans="1:8" hidden="1" x14ac:dyDescent="0.3">
      <c r="A13" s="63" t="s">
        <v>74</v>
      </c>
      <c r="B13" s="64">
        <f xml:space="preserve"> 1</f>
        <v>1</v>
      </c>
      <c r="C13" s="64">
        <f>IFERROR((INDEX(AnnualTable7[],MATCH("TOTAL  (MMBtu)",AnnualTable7[[ ]],0),)/1)*(1/INDEX(AnnualTable7[],MATCH("Total Modeled Energy Consumption (MMBtu)",AnnualTable7[[ ]],0),)),1)</f>
        <v>0.98274223856375953</v>
      </c>
      <c r="D13" s="64">
        <f>IFERROR((INDEX(AnnualTable7[],MATCH("TOTAL  (MMBtu)",AnnualTable7[[ ]],0),)/1)*(1/INDEX(AnnualTable7[],MATCH("Total Modeled Energy Consumption (MMBtu)",AnnualTable7[[ ]],0),)),1)</f>
        <v>0.70098493506150739</v>
      </c>
      <c r="E13" s="64">
        <f>IFERROR((INDEX(AnnualTable7[],MATCH("TOTAL  (MMBtu)",AnnualTable7[[ ]],0),)/1)*(1/INDEX(AnnualTable7[],MATCH("Total Modeled Energy Consumption (MMBtu)",AnnualTable7[[ ]],0),)),1)</f>
        <v>0.92076087672575846</v>
      </c>
    </row>
    <row r="14" spans="1:8" x14ac:dyDescent="0.3">
      <c r="A14" s="28" t="s">
        <v>29</v>
      </c>
      <c r="B14" s="29">
        <v>0</v>
      </c>
      <c r="C14" s="29">
        <f t="shared" ref="A14:E14" ca="1" si="0">(1 - OFFSET(INDIRECT(ADDRESS(ROW(), COLUMN())),-1,0,1,1))</f>
        <v>1.7257761436240471E-2</v>
      </c>
      <c r="D14" s="29">
        <f t="shared" ca="1" si="0"/>
        <v>0.29901506493849261</v>
      </c>
      <c r="E14" s="29">
        <f t="shared" ca="1" si="0"/>
        <v>7.9239123274241541E-2</v>
      </c>
    </row>
    <row r="15" spans="1:8" x14ac:dyDescent="0.3">
      <c r="A15" s="28" t="s">
        <v>30</v>
      </c>
      <c r="B15" s="29">
        <v>0</v>
      </c>
      <c r="C15" s="29">
        <f t="shared" ref="A15:E15" ca="1" si="1">OFFSET(INDIRECT(ADDRESS(ROW(), COLUMN())),-1,0,1,1) - OFFSET(INDIRECT(ADDRESS(ROW(), COLUMN())),-1,-1,1,1)</f>
        <v>1.7257761436240471E-2</v>
      </c>
      <c r="D15" s="29">
        <f t="shared" ca="1" si="1"/>
        <v>0.28175730350225214</v>
      </c>
      <c r="E15" s="29">
        <f t="shared" ca="1" si="1"/>
        <v>-0.21977594166425107</v>
      </c>
    </row>
    <row r="16" spans="1:8" x14ac:dyDescent="0.3">
      <c r="A16" s="22" t="s">
        <v>75</v>
      </c>
      <c r="B16" s="30">
        <v>0</v>
      </c>
      <c r="C16" s="30">
        <f>INDEX(AnnualTable7[],MATCH("Total Modeled Energy Consumption (MMBtu)",AnnualTable7[[ ]],0),)-INDEX(AnnualTable7[],MATCH("TOTAL  (MMBtu)",AnnualTable7[[ ]],0),)</f>
        <v>197.45628138612301</v>
      </c>
      <c r="D16" s="30">
        <f>INDEX(AnnualTable7[],MATCH("Total Modeled Energy Consumption (MMBtu)",AnnualTable7[[ ]],0),)-INDEX(AnnualTable7[],MATCH("TOTAL  (MMBtu)",AnnualTable7[[ ]],0),)</f>
        <v>3502.4197628125858</v>
      </c>
      <c r="E16" s="30">
        <f>INDEX(AnnualTable7[],MATCH("Total Modeled Energy Consumption (MMBtu)",AnnualTable7[[ ]],0),)-INDEX(AnnualTable7[],MATCH("TOTAL  (MMBtu)",AnnualTable7[[ ]],0),)</f>
        <v>947.09318997758965</v>
      </c>
    </row>
    <row r="17" spans="1:13" hidden="1" x14ac:dyDescent="0.3">
      <c r="A17" s="22" t="s">
        <v>76</v>
      </c>
      <c r="B17" s="30">
        <v>0</v>
      </c>
      <c r="C17" s="30">
        <f t="shared" ref="A17:E17" ca="1" si="2">OFFSET(INDIRECT(ADDRESS(ROW(), COLUMN())),0,-1,1,1) + OFFSET(INDIRECT(ADDRESS(ROW(), COLUMN())),-1,0,1,1)</f>
        <v>197.45628138612301</v>
      </c>
      <c r="D17" s="30">
        <f t="shared" ca="1" si="2"/>
        <v>3699.8760441987088</v>
      </c>
      <c r="E17" s="30">
        <f t="shared" ca="1" si="2"/>
        <v>4646.9692341762984</v>
      </c>
    </row>
    <row r="18" spans="1:13" x14ac:dyDescent="0.3">
      <c r="A18" s="22" t="s">
        <v>32</v>
      </c>
      <c r="B18" s="30">
        <v>0</v>
      </c>
      <c r="C18" s="30">
        <f t="shared" ref="A18:E18" ca="1" si="3">OFFSET(INDIRECT(ADDRESS(ROW(), COLUMN())),-2,0,1,1) - OFFSET(INDIRECT(ADDRESS(ROW(), COLUMN())),-2,-1,1,1)</f>
        <v>197.45628138612301</v>
      </c>
      <c r="D18" s="30">
        <f t="shared" ca="1" si="3"/>
        <v>3304.9634814264627</v>
      </c>
      <c r="E18" s="30">
        <f t="shared" ca="1" si="3"/>
        <v>-2555.3265728349961</v>
      </c>
    </row>
    <row r="19" spans="1:13" x14ac:dyDescent="0.3">
      <c r="A19" s="22" t="s">
        <v>77</v>
      </c>
      <c r="B19" s="30">
        <v>0</v>
      </c>
      <c r="C19" s="30">
        <f ca="1">(INDEX(AnnualTable7[],MATCH("TOTAL  (MMBtu)",AnnualTable7[[ ]],0),) + OFFSET(INDIRECT(ADDRESS(ROW(),COLUMN())),-3,0,1,1)) - (INDEX(AnnualTable7[],MATCH("TOTAL  (MMBtu)",AnnualTable7[[ ]],0),2))</f>
        <v>-134.28882193112258</v>
      </c>
      <c r="D19" s="30">
        <f ca="1">(INDEX(AnnualTable7[],MATCH("TOTAL  (MMBtu)",AnnualTable7[[ ]],0),) + OFFSET(INDIRECT(ADDRESS(ROW(),COLUMN())),-3,0,1,1)) - (INDEX(AnnualTable7[],MATCH("TOTAL  (MMBtu)",AnnualTable7[[ ]],0),2))</f>
        <v>137.30654826663522</v>
      </c>
      <c r="E19" s="30">
        <f ca="1">(INDEX(AnnualTable7[],MATCH("TOTAL  (MMBtu)",AnnualTable7[[ ]],0),) + OFFSET(INDIRECT(ADDRESS(ROW(),COLUMN())),-3,0,1,1)) - (INDEX(AnnualTable7[],MATCH("TOTAL  (MMBtu)",AnnualTable7[[ ]],0),2))</f>
        <v>376.46136035744348</v>
      </c>
    </row>
    <row r="20" spans="1:13" x14ac:dyDescent="0.3">
      <c r="A20" s="24" t="s">
        <v>33</v>
      </c>
      <c r="B20" s="31">
        <f ca="1">INDEX(AnnualTable7[],MATCH("kwh(MMBTU) Estimated Cost Savings ($)",AnnualTable7[[ ]],0),COLUMN())</f>
        <v>-6.1140781326685101E-10</v>
      </c>
      <c r="C20" s="31">
        <f ca="1">INDEX(AnnualTable7[],MATCH("kwh(MMBTU) Estimated Cost Savings ($)",AnnualTable7[[ ]],0),COLUMN())</f>
        <v>19289.572492012678</v>
      </c>
      <c r="D20" s="31">
        <f ca="1">INDEX(AnnualTable7[],MATCH("kwh(MMBTU) Estimated Cost Savings ($)",AnnualTable7[[ ]],0),COLUMN())</f>
        <v>342152.59923850268</v>
      </c>
      <c r="E20" s="31">
        <f ca="1">INDEX(AnnualTable7[],MATCH("kwh(MMBTU) Estimated Cost Savings ($)",AnnualTable7[[ ]],0),COLUMN())</f>
        <v>92521.861631939595</v>
      </c>
    </row>
    <row r="21" spans="1:13" x14ac:dyDescent="0.3">
      <c r="A21" s="24" t="s">
        <v>34</v>
      </c>
      <c r="B21" s="23">
        <f>INDEX(AnnualTable7[],MATCH("kwh(MMBTU) Annual Savings",AnnualTable7[[ ]],0),COLUMN())*232.29/1000</f>
        <v>0</v>
      </c>
      <c r="C21" s="23">
        <f>INDEX(AnnualTable7[],MATCH("kwh(MMBTU) Annual Savings",AnnualTable7[[ ]],0),COLUMN())*232.29/1000</f>
        <v>45.867119603182509</v>
      </c>
      <c r="D21" s="23">
        <f>INDEX(AnnualTable7[],MATCH("kwh(MMBTU) Annual Savings",AnnualTable7[[ ]],0),COLUMN())*232.29/1000</f>
        <v>813.57708670373552</v>
      </c>
      <c r="E21" s="23">
        <f>INDEX(AnnualTable7[],MATCH("kwh(MMBTU) Annual Savings",AnnualTable7[[ ]],0),COLUMN())*232.29/1000</f>
        <v>220.0002770998943</v>
      </c>
    </row>
    <row r="23" spans="1:13" ht="268.35000000000002" customHeight="1" x14ac:dyDescent="0.3"/>
    <row r="25" spans="1:13" hidden="1" x14ac:dyDescent="0.3">
      <c r="A25" s="65" t="s">
        <v>78</v>
      </c>
      <c r="B25" s="20"/>
      <c r="C25" s="20"/>
      <c r="D25" s="20"/>
      <c r="E25" s="20"/>
      <c r="F25" s="20"/>
      <c r="G25" s="20"/>
      <c r="H25" s="20"/>
      <c r="I25" s="20"/>
      <c r="J25" s="20"/>
      <c r="K25" s="20"/>
      <c r="L25" s="20"/>
    </row>
    <row r="27" spans="1:13" x14ac:dyDescent="0.3">
      <c r="A27" t="s">
        <v>79</v>
      </c>
      <c r="B27" t="s">
        <v>39</v>
      </c>
      <c r="C27" t="s">
        <v>40</v>
      </c>
      <c r="D27" t="s">
        <v>43</v>
      </c>
      <c r="E27" t="s">
        <v>44</v>
      </c>
      <c r="F27" t="s">
        <v>45</v>
      </c>
      <c r="G27" t="s">
        <v>46</v>
      </c>
      <c r="H27" t="s">
        <v>50</v>
      </c>
    </row>
    <row r="29" spans="1:13" x14ac:dyDescent="0.3">
      <c r="A29" s="66" t="s">
        <v>80</v>
      </c>
      <c r="B29" s="66" t="b">
        <v>1</v>
      </c>
      <c r="C29" s="66" t="s">
        <v>2</v>
      </c>
      <c r="D29" s="67">
        <v>1.9223855440841901E-6</v>
      </c>
      <c r="E29" s="66">
        <v>0.90559763496043899</v>
      </c>
      <c r="F29" s="66">
        <v>0.89615739845648301</v>
      </c>
      <c r="G29" s="67">
        <v>1.9223855439973298E-6</v>
      </c>
      <c r="H29" s="66" t="s">
        <v>51</v>
      </c>
      <c r="I29" s="66"/>
      <c r="J29" s="66"/>
      <c r="K29" s="66"/>
      <c r="L29" s="66"/>
      <c r="M29" s="66"/>
    </row>
    <row r="30" spans="1:13" x14ac:dyDescent="0.3">
      <c r="A30" s="66"/>
      <c r="B30" s="66"/>
      <c r="C30" s="66"/>
      <c r="D30" s="66"/>
      <c r="E30" s="66"/>
      <c r="F30" s="66"/>
      <c r="G30" s="66"/>
      <c r="H30" s="66"/>
      <c r="I30" s="66"/>
      <c r="J30" s="66"/>
      <c r="K30" s="66"/>
      <c r="L30" s="66"/>
      <c r="M30" s="66"/>
    </row>
  </sheetData>
  <mergeCells count="3">
    <mergeCell ref="A1:H1"/>
    <mergeCell ref="A2:H2"/>
    <mergeCell ref="A25:L25"/>
  </mergeCells>
  <pageMargins left="0.7" right="0.7" top="0.75" bottom="0.75" header="0.3" footer="0.3"/>
  <customProperties>
    <customPr name="HasEnPITables" r:id="rId1"/>
    <customPr name="IsValidRollupSource" r:id="rId2"/>
    <customPr name="SheetGUID" r:id="rId3"/>
  </customProperties>
  <drawing r:id="rId4"/>
  <tableParts count="2">
    <tablePart r:id="rId5"/>
    <tablePart r:id="rId6"/>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A1:M30"/>
  <sheetViews>
    <sheetView workbookViewId="0">
      <selection activeCell="A21" sqref="A21:E21"/>
    </sheetView>
  </sheetViews>
  <sheetFormatPr defaultRowHeight="14.4" x14ac:dyDescent="0.3"/>
  <cols>
    <col min="1" max="1" width="51.77734375" bestFit="1" customWidth="1"/>
    <col min="2" max="2" width="10.5546875" bestFit="1" customWidth="1"/>
    <col min="3" max="3" width="8.5546875" bestFit="1" customWidth="1"/>
    <col min="4" max="4" width="9.5546875" bestFit="1" customWidth="1"/>
    <col min="5" max="5" width="8.5546875" bestFit="1" customWidth="1"/>
  </cols>
  <sheetData>
    <row r="1" spans="1:8" ht="19.8" x14ac:dyDescent="0.4">
      <c r="A1" s="19" t="s">
        <v>81</v>
      </c>
      <c r="B1" s="19"/>
      <c r="C1" s="19"/>
      <c r="D1" s="19"/>
      <c r="E1" s="19"/>
      <c r="F1" s="19"/>
      <c r="G1" s="19"/>
      <c r="H1" s="19"/>
    </row>
    <row r="2" spans="1:8" ht="60" customHeight="1" x14ac:dyDescent="0.3">
      <c r="A2" s="21" t="s">
        <v>71</v>
      </c>
      <c r="B2" s="21"/>
      <c r="C2" s="21"/>
      <c r="D2" s="21"/>
      <c r="E2" s="21"/>
      <c r="F2" s="21"/>
      <c r="G2" s="21"/>
      <c r="H2" s="21"/>
    </row>
    <row r="4" spans="1:8" x14ac:dyDescent="0.3">
      <c r="A4" s="17" t="s">
        <v>24</v>
      </c>
      <c r="B4" s="17" t="s">
        <v>10</v>
      </c>
      <c r="C4" s="17" t="s">
        <v>7</v>
      </c>
      <c r="D4" s="17" t="s">
        <v>8</v>
      </c>
      <c r="E4" s="17" t="s">
        <v>9</v>
      </c>
    </row>
    <row r="5" spans="1:8" x14ac:dyDescent="0.3">
      <c r="A5" s="22" t="s">
        <v>72</v>
      </c>
      <c r="B5" s="23">
        <f>SUMIF(DetailTable5[Period],AnnualTable9[#Headers],DetailTable5[kwh(MMBTU)])</f>
        <v>11575.881760600123</v>
      </c>
      <c r="C5" s="23">
        <f>SUMIF(DetailTable5[Period],AnnualTable9[#Headers],DetailTable5[kwh(MMBTU)])</f>
        <v>11244.136657282877</v>
      </c>
      <c r="D5" s="23">
        <f>SUMIF(DetailTable5[Period],AnnualTable9[#Headers],DetailTable5[kwh(MMBTU)])</f>
        <v>8210.7685460541725</v>
      </c>
      <c r="E5" s="23">
        <f>SUMIF(DetailTable5[Period],AnnualTable9[#Headers],DetailTable5[kwh(MMBTU)])</f>
        <v>11005.249930979977</v>
      </c>
    </row>
    <row r="6" spans="1:8" x14ac:dyDescent="0.3">
      <c r="A6" s="22" t="s">
        <v>11</v>
      </c>
      <c r="B6" s="23">
        <f>SUMIF(DetailTable5[Period],AnnualTable9[#Headers],DetailTable5[TOTAL  (MMBtu)])</f>
        <v>11575.881760600123</v>
      </c>
      <c r="C6" s="23">
        <f>SUMIF(DetailTable5[Period],AnnualTable9[#Headers],DetailTable5[TOTAL  (MMBtu)])</f>
        <v>11244.136657282877</v>
      </c>
      <c r="D6" s="23">
        <f>SUMIF(DetailTable5[Period],AnnualTable9[#Headers],DetailTable5[TOTAL  (MMBtu)])</f>
        <v>8210.7685460541725</v>
      </c>
      <c r="E6" s="23">
        <f>SUMIF(DetailTable5[Period],AnnualTable9[#Headers],DetailTable5[TOTAL  (MMBtu)])</f>
        <v>11005.249930979977</v>
      </c>
    </row>
    <row r="7" spans="1:8" x14ac:dyDescent="0.3">
      <c r="A7" s="58" t="s">
        <v>24</v>
      </c>
      <c r="B7" s="59" t="s">
        <v>24</v>
      </c>
      <c r="C7" s="59" t="s">
        <v>24</v>
      </c>
      <c r="D7" s="59" t="s">
        <v>24</v>
      </c>
      <c r="E7" s="59" t="s">
        <v>24</v>
      </c>
    </row>
    <row r="8" spans="1:8" x14ac:dyDescent="0.3">
      <c r="A8" s="22" t="s">
        <v>55</v>
      </c>
      <c r="B8" s="60" t="s">
        <v>14</v>
      </c>
      <c r="C8" s="60" t="s">
        <v>73</v>
      </c>
      <c r="D8" s="60" t="s">
        <v>73</v>
      </c>
      <c r="E8" s="60" t="s">
        <v>73</v>
      </c>
    </row>
    <row r="9" spans="1:8" x14ac:dyDescent="0.3">
      <c r="A9" s="22" t="s">
        <v>56</v>
      </c>
      <c r="B9" s="30">
        <f>SUMIF(DetailTable5[Period],AnnualTable9[#Headers],DetailTable5[Modeled kwh(MMBTU)])</f>
        <v>11575.881760600116</v>
      </c>
      <c r="C9" s="30">
        <f>SUMIF(DetailTable5[Period],AnnualTable9[#Headers],DetailTable5[Modeled kwh(MMBTU)])</f>
        <v>11441.592938669</v>
      </c>
      <c r="D9" s="30">
        <f>SUMIF(DetailTable5[Period],AnnualTable9[#Headers],DetailTable5[Modeled kwh(MMBTU)])</f>
        <v>11713.188308866758</v>
      </c>
      <c r="E9" s="30">
        <f>SUMIF(DetailTable5[Period],AnnualTable9[#Headers],DetailTable5[Modeled kwh(MMBTU)])</f>
        <v>11952.343120957566</v>
      </c>
    </row>
    <row r="10" spans="1:8" x14ac:dyDescent="0.3">
      <c r="A10" s="22" t="s">
        <v>25</v>
      </c>
      <c r="B10" s="30">
        <f>INDEX(AnnualTable9[], MATCH("Modeled kwh(MMBTU)",AnnualTable9[[ ]],0),) - INDEX(AnnualTable9[], MATCH("Actual kwh(MMBTU)",AnnualTable9[[ ]],0),)</f>
        <v>0</v>
      </c>
      <c r="C10" s="30">
        <f>INDEX(AnnualTable9[], MATCH("Modeled kwh(MMBTU)",AnnualTable9[[ ]],0),) - INDEX(AnnualTable9[], MATCH("Actual kwh(MMBTU)",AnnualTable9[[ ]],0),)</f>
        <v>197.45628138612301</v>
      </c>
      <c r="D10" s="30">
        <f>INDEX(AnnualTable9[], MATCH("Modeled kwh(MMBTU)",AnnualTable9[[ ]],0),) - INDEX(AnnualTable9[], MATCH("Actual kwh(MMBTU)",AnnualTable9[[ ]],0),)</f>
        <v>3502.4197628125858</v>
      </c>
      <c r="E10" s="30">
        <f>INDEX(AnnualTable9[], MATCH("Modeled kwh(MMBTU)",AnnualTable9[[ ]],0),) - INDEX(AnnualTable9[], MATCH("Actual kwh(MMBTU)",AnnualTable9[[ ]],0),)</f>
        <v>947.09318997758965</v>
      </c>
    </row>
    <row r="11" spans="1:8" x14ac:dyDescent="0.3">
      <c r="A11" s="61" t="s">
        <v>26</v>
      </c>
      <c r="B11" s="62">
        <f ca="1">SUMIF(DetailTable5[Period],AnnualTable9[#Headers],DetailTable5[Cost Savings ($): kwh(MMBTU)])</f>
        <v>-6.1140781326685101E-10</v>
      </c>
      <c r="C11" s="62">
        <f ca="1">SUMIF(DetailTable5[Period],AnnualTable9[#Headers],DetailTable5[Cost Savings ($): kwh(MMBTU)])</f>
        <v>19289.572492012678</v>
      </c>
      <c r="D11" s="62">
        <f ca="1">SUMIF(DetailTable5[Period],AnnualTable9[#Headers],DetailTable5[Cost Savings ($): kwh(MMBTU)])</f>
        <v>342152.59923850268</v>
      </c>
      <c r="E11" s="62">
        <f ca="1">SUMIF(DetailTable5[Period],AnnualTable9[#Headers],DetailTable5[Cost Savings ($): kwh(MMBTU)])</f>
        <v>92521.861631939595</v>
      </c>
    </row>
    <row r="12" spans="1:8" x14ac:dyDescent="0.3">
      <c r="A12" s="22" t="s">
        <v>57</v>
      </c>
      <c r="B12" s="30">
        <f>SUMIF(DetailTable5[Period],AnnualTable9[#Headers],DetailTable5[Total Modeled Energy Consumption (MMBtu)])</f>
        <v>11575.881760600116</v>
      </c>
      <c r="C12" s="30">
        <f>SUMIF(DetailTable5[Period],AnnualTable9[#Headers],DetailTable5[Total Modeled Energy Consumption (MMBtu)])</f>
        <v>11441.592938669</v>
      </c>
      <c r="D12" s="30">
        <f>SUMIF(DetailTable5[Period],AnnualTable9[#Headers],DetailTable5[Total Modeled Energy Consumption (MMBtu)])</f>
        <v>11713.188308866758</v>
      </c>
      <c r="E12" s="30">
        <f>SUMIF(DetailTable5[Period],AnnualTable9[#Headers],DetailTable5[Total Modeled Energy Consumption (MMBtu)])</f>
        <v>11952.343120957566</v>
      </c>
    </row>
    <row r="13" spans="1:8" x14ac:dyDescent="0.3">
      <c r="A13" s="63" t="s">
        <v>74</v>
      </c>
      <c r="B13" s="64">
        <f xml:space="preserve"> 1</f>
        <v>1</v>
      </c>
      <c r="C13" s="64">
        <f>IFERROR((INDEX(AnnualTable9[],MATCH("TOTAL  (MMBtu)",AnnualTable9[[ ]],0),)/1)*(1/INDEX(AnnualTable9[],MATCH("Total Modeled Energy Consumption (MMBtu)",AnnualTable9[[ ]],0),)),1)</f>
        <v>0.98274223856375953</v>
      </c>
      <c r="D13" s="64">
        <f>IFERROR((INDEX(AnnualTable9[],MATCH("TOTAL  (MMBtu)",AnnualTable9[[ ]],0),)/1)*(1/INDEX(AnnualTable9[],MATCH("Total Modeled Energy Consumption (MMBtu)",AnnualTable9[[ ]],0),)),1)</f>
        <v>0.70098493506150739</v>
      </c>
      <c r="E13" s="64">
        <f>IFERROR((INDEX(AnnualTable9[],MATCH("TOTAL  (MMBtu)",AnnualTable9[[ ]],0),)/1)*(1/INDEX(AnnualTable9[],MATCH("Total Modeled Energy Consumption (MMBtu)",AnnualTable9[[ ]],0),)),1)</f>
        <v>0.92076087672575846</v>
      </c>
    </row>
    <row r="14" spans="1:8" x14ac:dyDescent="0.3">
      <c r="A14" s="28" t="s">
        <v>82</v>
      </c>
      <c r="B14" s="29">
        <v>0</v>
      </c>
      <c r="C14" s="29">
        <f t="shared" ref="A14:E14" ca="1" si="0">(1 - OFFSET(INDIRECT(ADDRESS(ROW(), COLUMN())),-1,0,1,1))</f>
        <v>1.7257761436240471E-2</v>
      </c>
      <c r="D14" s="29">
        <f t="shared" ca="1" si="0"/>
        <v>0.29901506493849261</v>
      </c>
      <c r="E14" s="29">
        <f t="shared" ca="1" si="0"/>
        <v>7.9239123274241541E-2</v>
      </c>
    </row>
    <row r="15" spans="1:8" x14ac:dyDescent="0.3">
      <c r="A15" s="28" t="s">
        <v>83</v>
      </c>
      <c r="B15" s="29">
        <v>0</v>
      </c>
      <c r="C15" s="29">
        <f t="shared" ref="A15:E15" ca="1" si="1">OFFSET(INDIRECT(ADDRESS(ROW(), COLUMN())),-1,0,1,1) - OFFSET(INDIRECT(ADDRESS(ROW(), COLUMN())),-1,-1,1,1)</f>
        <v>1.7257761436240471E-2</v>
      </c>
      <c r="D15" s="29">
        <f t="shared" ca="1" si="1"/>
        <v>0.28175730350225214</v>
      </c>
      <c r="E15" s="29">
        <f t="shared" ca="1" si="1"/>
        <v>-0.21977594166425107</v>
      </c>
    </row>
    <row r="16" spans="1:8" x14ac:dyDescent="0.3">
      <c r="A16" s="22" t="s">
        <v>84</v>
      </c>
      <c r="B16" s="30">
        <v>0</v>
      </c>
      <c r="C16" s="30">
        <f>INDEX(AnnualTable9[],MATCH("Total Modeled Energy Consumption (MMBtu)",AnnualTable9[[ ]],0),)-INDEX(AnnualTable9[],MATCH("TOTAL  (MMBtu)",AnnualTable9[[ ]],0),)</f>
        <v>197.45628138612301</v>
      </c>
      <c r="D16" s="30">
        <f>INDEX(AnnualTable9[],MATCH("Total Modeled Energy Consumption (MMBtu)",AnnualTable9[[ ]],0),)-INDEX(AnnualTable9[],MATCH("TOTAL  (MMBtu)",AnnualTable9[[ ]],0),)</f>
        <v>3502.4197628125858</v>
      </c>
      <c r="E16" s="30">
        <f>INDEX(AnnualTable9[],MATCH("Total Modeled Energy Consumption (MMBtu)",AnnualTable9[[ ]],0),)-INDEX(AnnualTable9[],MATCH("TOTAL  (MMBtu)",AnnualTable9[[ ]],0),)</f>
        <v>947.09318997758965</v>
      </c>
    </row>
    <row r="17" spans="1:13" x14ac:dyDescent="0.3">
      <c r="A17" s="22" t="s">
        <v>76</v>
      </c>
      <c r="B17" s="30">
        <v>0</v>
      </c>
      <c r="C17" s="30">
        <f t="shared" ref="A17:E17" ca="1" si="2">OFFSET(INDIRECT(ADDRESS(ROW(), COLUMN())),0,-1,1,1) + OFFSET(INDIRECT(ADDRESS(ROW(), COLUMN())),-1,0,1,1)</f>
        <v>197.45628138612301</v>
      </c>
      <c r="D17" s="30">
        <f t="shared" ca="1" si="2"/>
        <v>3699.8760441987088</v>
      </c>
      <c r="E17" s="30">
        <f t="shared" ca="1" si="2"/>
        <v>4646.9692341762984</v>
      </c>
    </row>
    <row r="18" spans="1:13" hidden="1" x14ac:dyDescent="0.3">
      <c r="A18" s="22" t="s">
        <v>32</v>
      </c>
      <c r="B18" s="30">
        <v>0</v>
      </c>
      <c r="C18" s="30">
        <f t="shared" ref="A18:E18" ca="1" si="3">OFFSET(INDIRECT(ADDRESS(ROW(), COLUMN())),-2,0,1,1) - OFFSET(INDIRECT(ADDRESS(ROW(), COLUMN())),-2,-1,1,1)</f>
        <v>197.45628138612301</v>
      </c>
      <c r="D18" s="30">
        <f t="shared" ca="1" si="3"/>
        <v>3304.9634814264627</v>
      </c>
      <c r="E18" s="30">
        <f t="shared" ca="1" si="3"/>
        <v>-2555.3265728349961</v>
      </c>
    </row>
    <row r="19" spans="1:13" hidden="1" x14ac:dyDescent="0.3">
      <c r="A19" s="22" t="s">
        <v>77</v>
      </c>
      <c r="B19" s="30">
        <v>0</v>
      </c>
      <c r="C19" s="30">
        <f ca="1">(INDEX(AnnualTable9[],MATCH("TOTAL  (MMBtu)",AnnualTable9[[ ]],0),) + OFFSET(INDIRECT(ADDRESS(ROW(),COLUMN())),-3,0,1,1)) - (INDEX(AnnualTable9[],MATCH("TOTAL  (MMBtu)",AnnualTable9[[ ]],0),2))</f>
        <v>-134.28882193112258</v>
      </c>
      <c r="D19" s="30">
        <f ca="1">(INDEX(AnnualTable9[],MATCH("TOTAL  (MMBtu)",AnnualTable9[[ ]],0),) + OFFSET(INDIRECT(ADDRESS(ROW(),COLUMN())),-3,0,1,1)) - (INDEX(AnnualTable9[],MATCH("TOTAL  (MMBtu)",AnnualTable9[[ ]],0),2))</f>
        <v>137.30654826663522</v>
      </c>
      <c r="E19" s="30">
        <f ca="1">(INDEX(AnnualTable9[],MATCH("TOTAL  (MMBtu)",AnnualTable9[[ ]],0),) + OFFSET(INDIRECT(ADDRESS(ROW(),COLUMN())),-3,0,1,1)) - (INDEX(AnnualTable9[],MATCH("TOTAL  (MMBtu)",AnnualTable9[[ ]],0),2))</f>
        <v>376.46136035744348</v>
      </c>
    </row>
    <row r="20" spans="1:13" x14ac:dyDescent="0.3">
      <c r="A20" s="24" t="s">
        <v>33</v>
      </c>
      <c r="B20" s="31">
        <f ca="1">INDEX(AnnualTable9[],MATCH("kwh(MMBTU) Estimated Cost Savings ($)",AnnualTable9[[ ]],0),COLUMN())</f>
        <v>-6.1140781326685101E-10</v>
      </c>
      <c r="C20" s="31">
        <f ca="1">INDEX(AnnualTable9[],MATCH("kwh(MMBTU) Estimated Cost Savings ($)",AnnualTable9[[ ]],0),COLUMN())</f>
        <v>19289.572492012678</v>
      </c>
      <c r="D20" s="31">
        <f ca="1">INDEX(AnnualTable9[],MATCH("kwh(MMBTU) Estimated Cost Savings ($)",AnnualTable9[[ ]],0),COLUMN())</f>
        <v>342152.59923850268</v>
      </c>
      <c r="E20" s="31">
        <f ca="1">INDEX(AnnualTable9[],MATCH("kwh(MMBTU) Estimated Cost Savings ($)",AnnualTable9[[ ]],0),COLUMN())</f>
        <v>92521.861631939595</v>
      </c>
    </row>
    <row r="21" spans="1:13" x14ac:dyDescent="0.3">
      <c r="A21" s="24" t="s">
        <v>34</v>
      </c>
      <c r="B21" s="23">
        <f>INDEX(AnnualTable9[],MATCH("kwh(MMBTU) Annual Savings",AnnualTable9[[ ]],0),COLUMN())*232.29/1000</f>
        <v>0</v>
      </c>
      <c r="C21" s="23">
        <f>INDEX(AnnualTable9[],MATCH("kwh(MMBTU) Annual Savings",AnnualTable9[[ ]],0),COLUMN())*232.29/1000</f>
        <v>45.867119603182509</v>
      </c>
      <c r="D21" s="23">
        <f>INDEX(AnnualTable9[],MATCH("kwh(MMBTU) Annual Savings",AnnualTable9[[ ]],0),COLUMN())*232.29/1000</f>
        <v>813.57708670373552</v>
      </c>
      <c r="E21" s="23">
        <f>INDEX(AnnualTable9[],MATCH("kwh(MMBTU) Annual Savings",AnnualTable9[[ ]],0),COLUMN())*232.29/1000</f>
        <v>220.0002770998943</v>
      </c>
    </row>
    <row r="23" spans="1:13" ht="268.35000000000002" customHeight="1" x14ac:dyDescent="0.3"/>
    <row r="25" spans="1:13" hidden="1" x14ac:dyDescent="0.3">
      <c r="A25" s="65" t="s">
        <v>78</v>
      </c>
      <c r="B25" s="20"/>
      <c r="C25" s="20"/>
      <c r="D25" s="20"/>
      <c r="E25" s="20"/>
      <c r="F25" s="20"/>
      <c r="G25" s="20"/>
      <c r="H25" s="20"/>
      <c r="I25" s="20"/>
      <c r="J25" s="20"/>
      <c r="K25" s="20"/>
      <c r="L25" s="20"/>
    </row>
    <row r="27" spans="1:13" x14ac:dyDescent="0.3">
      <c r="A27" t="s">
        <v>79</v>
      </c>
      <c r="B27" t="s">
        <v>39</v>
      </c>
      <c r="C27" t="s">
        <v>40</v>
      </c>
      <c r="D27" t="s">
        <v>43</v>
      </c>
      <c r="E27" t="s">
        <v>44</v>
      </c>
      <c r="F27" t="s">
        <v>45</v>
      </c>
      <c r="G27" t="s">
        <v>46</v>
      </c>
      <c r="H27" t="s">
        <v>50</v>
      </c>
    </row>
    <row r="29" spans="1:13" x14ac:dyDescent="0.3">
      <c r="A29" s="66" t="s">
        <v>80</v>
      </c>
      <c r="B29" s="66" t="b">
        <v>1</v>
      </c>
      <c r="C29" s="66" t="s">
        <v>2</v>
      </c>
      <c r="D29" s="67">
        <v>1.9223855440841901E-6</v>
      </c>
      <c r="E29" s="66">
        <v>0.90559763496043899</v>
      </c>
      <c r="F29" s="66">
        <v>0.89615739845648301</v>
      </c>
      <c r="G29" s="67">
        <v>1.9223855439973298E-6</v>
      </c>
      <c r="H29" s="66" t="s">
        <v>51</v>
      </c>
      <c r="I29" s="66"/>
      <c r="J29" s="66"/>
      <c r="K29" s="66"/>
      <c r="L29" s="66"/>
      <c r="M29" s="66"/>
    </row>
    <row r="30" spans="1:13" x14ac:dyDescent="0.3">
      <c r="A30" s="66"/>
      <c r="B30" s="66"/>
      <c r="C30" s="66"/>
      <c r="D30" s="66"/>
      <c r="E30" s="66"/>
      <c r="F30" s="66"/>
      <c r="G30" s="66"/>
      <c r="H30" s="66"/>
      <c r="I30" s="66"/>
      <c r="J30" s="66"/>
      <c r="K30" s="66"/>
      <c r="L30" s="66"/>
      <c r="M30" s="66"/>
    </row>
  </sheetData>
  <mergeCells count="3">
    <mergeCell ref="A1:H1"/>
    <mergeCell ref="A2:H2"/>
    <mergeCell ref="A25:L25"/>
  </mergeCells>
  <pageMargins left="0.7" right="0.7" top="0.75" bottom="0.75" header="0.3" footer="0.3"/>
  <customProperties>
    <customPr name="HasEnPITables" r:id="rId1"/>
    <customPr name="SheetGUID" r:id="rId2"/>
  </customProperties>
  <drawing r:id="rId3"/>
  <tableParts count="2">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Background</vt:lpstr>
      <vt:lpstr>Data Table</vt:lpstr>
      <vt:lpstr>Sheet3</vt:lpstr>
      <vt:lpstr>1 Detail Data</vt:lpstr>
      <vt:lpstr>1 EnPI Actual Results</vt:lpstr>
      <vt:lpstr>2 kwh(MMBTU)</vt:lpstr>
      <vt:lpstr>2 Model Data</vt:lpstr>
      <vt:lpstr>2 EnPI Results</vt:lpstr>
      <vt:lpstr>2 SEnPIResults</vt:lpstr>
      <vt:lpstr>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Little</dc:creator>
  <cp:lastModifiedBy>Kevin Little</cp:lastModifiedBy>
  <dcterms:created xsi:type="dcterms:W3CDTF">2014-03-09T20:28:54Z</dcterms:created>
  <dcterms:modified xsi:type="dcterms:W3CDTF">2015-03-06T03:13:16Z</dcterms:modified>
</cp:coreProperties>
</file>