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Users\Kloniphani Maluleke\Projects\Exocoetidae\Project Wing\Model\"/>
    </mc:Choice>
  </mc:AlternateContent>
  <xr:revisionPtr revIDLastSave="0" documentId="13_ncr:1_{EFF4A368-AA6A-440F-A7C1-A5083BC5070E}" xr6:coauthVersionLast="45" xr6:coauthVersionMax="45" xr10:uidLastSave="{00000000-0000-0000-0000-000000000000}"/>
  <bookViews>
    <workbookView xWindow="-120" yWindow="-120" windowWidth="29040" windowHeight="15990" activeTab="1" xr2:uid="{00000000-000D-0000-FFFF-FFFF00000000}"/>
  </bookViews>
  <sheets>
    <sheet name="TABLE" sheetId="1" r:id="rId1"/>
    <sheet name="DATA" sheetId="2" r:id="rId2"/>
    <sheet name="TOPOLOGY"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9" i="2" l="1"/>
  <c r="F19" i="2"/>
  <c r="G19" i="2"/>
  <c r="H19" i="2"/>
  <c r="I19" i="2"/>
  <c r="J19" i="2"/>
  <c r="K19" i="2"/>
  <c r="L19" i="2"/>
  <c r="M19" i="2"/>
  <c r="N19" i="2"/>
  <c r="O19" i="2"/>
  <c r="P19" i="2"/>
  <c r="E18" i="2"/>
  <c r="F18" i="2"/>
  <c r="G18" i="2"/>
  <c r="H18" i="2"/>
  <c r="I18" i="2"/>
  <c r="J18" i="2"/>
  <c r="K18" i="2"/>
  <c r="L18" i="2"/>
  <c r="M18" i="2"/>
  <c r="N18" i="2"/>
  <c r="O18" i="2"/>
  <c r="P18" i="2"/>
  <c r="E17" i="2"/>
  <c r="F17" i="2"/>
  <c r="G17" i="2"/>
  <c r="H17" i="2"/>
  <c r="I17" i="2"/>
  <c r="J17" i="2"/>
  <c r="K17" i="2"/>
  <c r="L17" i="2"/>
  <c r="M17" i="2"/>
  <c r="N17" i="2"/>
  <c r="O17" i="2"/>
  <c r="P17" i="2"/>
  <c r="D19" i="2"/>
  <c r="D18" i="2"/>
  <c r="D17" i="2"/>
  <c r="D26" i="2" l="1"/>
  <c r="F158" i="2" l="1"/>
  <c r="F159" i="2"/>
  <c r="F160" i="2"/>
  <c r="F161" i="2"/>
  <c r="F162" i="2"/>
  <c r="F163" i="2"/>
  <c r="F164" i="2"/>
  <c r="F165" i="2"/>
  <c r="F166" i="2"/>
  <c r="F167" i="2"/>
  <c r="F168" i="2"/>
  <c r="F169" i="2"/>
  <c r="F170" i="2"/>
  <c r="F171" i="2"/>
  <c r="F172" i="2"/>
  <c r="F173" i="2"/>
  <c r="F174" i="2"/>
  <c r="F175" i="2"/>
  <c r="F176" i="2"/>
  <c r="F177" i="2"/>
  <c r="F178" i="2"/>
  <c r="F179" i="2"/>
  <c r="F180" i="2"/>
  <c r="F181" i="2"/>
  <c r="F157" i="2"/>
  <c r="E107" i="2"/>
  <c r="F107" i="2"/>
  <c r="G107" i="2"/>
  <c r="H107" i="2"/>
  <c r="I107" i="2"/>
  <c r="J107" i="2"/>
  <c r="K107" i="2"/>
  <c r="L107" i="2"/>
  <c r="M107" i="2"/>
  <c r="N107" i="2"/>
  <c r="O107" i="2"/>
  <c r="P107" i="2"/>
  <c r="D107" i="2"/>
  <c r="D99" i="2"/>
  <c r="E79" i="2"/>
  <c r="F79" i="2"/>
  <c r="G79" i="2"/>
  <c r="H79" i="2"/>
  <c r="I79" i="2"/>
  <c r="J79" i="2"/>
  <c r="K79" i="2"/>
  <c r="L79" i="2"/>
  <c r="M79" i="2"/>
  <c r="N79" i="2"/>
  <c r="O79" i="2"/>
  <c r="P79" i="2"/>
  <c r="D79" i="2"/>
  <c r="D69" i="2"/>
  <c r="D94" i="2" l="1"/>
  <c r="D144" i="2" s="1"/>
  <c r="D55" i="2"/>
  <c r="D54" i="2"/>
  <c r="D53" i="2"/>
  <c r="D52" i="2"/>
  <c r="D51" i="2"/>
  <c r="E55" i="2"/>
  <c r="F55" i="2"/>
  <c r="G94" i="2"/>
  <c r="G144" i="2" s="1"/>
  <c r="H94" i="2"/>
  <c r="H144" i="2" s="1"/>
  <c r="I94" i="2"/>
  <c r="I144" i="2" s="1"/>
  <c r="J94" i="2"/>
  <c r="J144" i="2" s="1"/>
  <c r="K94" i="2"/>
  <c r="K144" i="2" s="1"/>
  <c r="L94" i="2"/>
  <c r="L144" i="2" s="1"/>
  <c r="M94" i="2"/>
  <c r="M144" i="2" s="1"/>
  <c r="N94" i="2"/>
  <c r="N144" i="2" s="1"/>
  <c r="O94" i="2"/>
  <c r="O144" i="2" s="1"/>
  <c r="P94" i="2"/>
  <c r="P144" i="2" s="1"/>
  <c r="D41" i="2"/>
  <c r="H53" i="2" l="1"/>
  <c r="H54" i="2"/>
  <c r="H55" i="2"/>
  <c r="P52" i="2"/>
  <c r="I52" i="2"/>
  <c r="N52" i="2"/>
  <c r="P53" i="2"/>
  <c r="P55" i="2"/>
  <c r="M52" i="2"/>
  <c r="O53" i="2"/>
  <c r="O55" i="2"/>
  <c r="J52" i="2"/>
  <c r="L53" i="2"/>
  <c r="L55" i="2"/>
  <c r="H52" i="2"/>
  <c r="G53" i="2"/>
  <c r="G55" i="2"/>
  <c r="P54" i="2"/>
  <c r="L54" i="2"/>
  <c r="K54" i="2"/>
  <c r="N53" i="2"/>
  <c r="F53" i="2"/>
  <c r="J54" i="2"/>
  <c r="N55" i="2"/>
  <c r="O52" i="2"/>
  <c r="G52" i="2"/>
  <c r="M53" i="2"/>
  <c r="E53" i="2"/>
  <c r="I54" i="2"/>
  <c r="M55" i="2"/>
  <c r="F52" i="2"/>
  <c r="F94" i="2"/>
  <c r="F144" i="2" s="1"/>
  <c r="K55" i="2"/>
  <c r="E94" i="2"/>
  <c r="E144" i="2" s="1"/>
  <c r="E52" i="2"/>
  <c r="L52" i="2"/>
  <c r="J53" i="2"/>
  <c r="N54" i="2"/>
  <c r="F54" i="2"/>
  <c r="J55" i="2"/>
  <c r="K53" i="2"/>
  <c r="O54" i="2"/>
  <c r="G54" i="2"/>
  <c r="K52" i="2"/>
  <c r="I53" i="2"/>
  <c r="M54" i="2"/>
  <c r="E54" i="2"/>
  <c r="I55" i="2"/>
  <c r="D56" i="2"/>
  <c r="D143" i="2" s="1"/>
  <c r="E51" i="2"/>
  <c r="F51" i="2"/>
  <c r="G51" i="2"/>
  <c r="H51" i="2"/>
  <c r="I51" i="2"/>
  <c r="J51" i="2"/>
  <c r="K51" i="2"/>
  <c r="L51" i="2"/>
  <c r="M51" i="2"/>
  <c r="N51" i="2"/>
  <c r="O51" i="2"/>
  <c r="P51" i="2"/>
  <c r="O56" i="2" l="1"/>
  <c r="O143" i="2" s="1"/>
  <c r="H56" i="2"/>
  <c r="H143" i="2" s="1"/>
  <c r="K56" i="2"/>
  <c r="K143" i="2" s="1"/>
  <c r="P56" i="2"/>
  <c r="P143" i="2" s="1"/>
  <c r="F56" i="2"/>
  <c r="F143" i="2" s="1"/>
  <c r="G56" i="2"/>
  <c r="G143" i="2" s="1"/>
  <c r="L56" i="2"/>
  <c r="L143" i="2" s="1"/>
  <c r="M56" i="2"/>
  <c r="M143" i="2" s="1"/>
  <c r="J56" i="2"/>
  <c r="J143" i="2" s="1"/>
  <c r="E56" i="2"/>
  <c r="E143" i="2" s="1"/>
  <c r="N56" i="2"/>
  <c r="N143" i="2" s="1"/>
  <c r="I56" i="2"/>
  <c r="I143" i="2" s="1"/>
  <c r="D74" i="6"/>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P74" i="6"/>
  <c r="O74" i="6"/>
  <c r="N74" i="6"/>
  <c r="M74" i="6"/>
  <c r="L74" i="6"/>
  <c r="K74" i="6"/>
  <c r="J74" i="6"/>
  <c r="I74" i="6"/>
  <c r="H74" i="6"/>
  <c r="G74" i="6"/>
  <c r="F74" i="6"/>
  <c r="E74" i="6"/>
  <c r="P70" i="6"/>
  <c r="O70" i="6"/>
  <c r="N70" i="6"/>
  <c r="M70" i="6"/>
  <c r="L70" i="6"/>
  <c r="K70" i="6"/>
  <c r="J70" i="6"/>
  <c r="I70" i="6"/>
  <c r="H70" i="6"/>
  <c r="G70" i="6"/>
  <c r="F70" i="6"/>
  <c r="E70" i="6"/>
  <c r="D70" i="6"/>
  <c r="P56" i="6"/>
  <c r="O56" i="6"/>
  <c r="N56" i="6"/>
  <c r="M56" i="6"/>
  <c r="L56" i="6"/>
  <c r="K56" i="6"/>
  <c r="J56" i="6"/>
  <c r="I56" i="6"/>
  <c r="H56" i="6"/>
  <c r="G56" i="6"/>
  <c r="F56" i="6"/>
  <c r="E56" i="6"/>
  <c r="D56" i="6"/>
  <c r="P51" i="6"/>
  <c r="O51" i="6"/>
  <c r="N51" i="6"/>
  <c r="M51" i="6"/>
  <c r="L51" i="6"/>
  <c r="K51" i="6"/>
  <c r="J51" i="6"/>
  <c r="I51" i="6"/>
  <c r="H51" i="6"/>
  <c r="G51" i="6"/>
  <c r="F51" i="6"/>
  <c r="E51" i="6"/>
  <c r="D51" i="6"/>
  <c r="D31" i="6"/>
  <c r="E30" i="6"/>
  <c r="D30" i="6"/>
  <c r="E29" i="6"/>
  <c r="G27" i="6"/>
  <c r="D27" i="6"/>
  <c r="E26" i="6"/>
  <c r="D26" i="6"/>
  <c r="P16" i="6"/>
  <c r="P41" i="6" s="1"/>
  <c r="O16" i="6"/>
  <c r="O66" i="6" s="1"/>
  <c r="N16" i="6"/>
  <c r="M16" i="6"/>
  <c r="M37" i="6" s="1"/>
  <c r="L16" i="6"/>
  <c r="L40" i="6" s="1"/>
  <c r="K16" i="6"/>
  <c r="K66" i="6" s="1"/>
  <c r="J16" i="6"/>
  <c r="J40" i="6" s="1"/>
  <c r="I16" i="6"/>
  <c r="H16" i="6"/>
  <c r="H41" i="6" s="1"/>
  <c r="G16" i="6"/>
  <c r="G66" i="6" s="1"/>
  <c r="F16" i="6"/>
  <c r="E16" i="6"/>
  <c r="E37" i="6" s="1"/>
  <c r="D16" i="6"/>
  <c r="D40" i="6" s="1"/>
  <c r="P15" i="6"/>
  <c r="P62" i="6" s="1"/>
  <c r="O15" i="6"/>
  <c r="O27" i="6" s="1"/>
  <c r="N15" i="6"/>
  <c r="N28" i="6" s="1"/>
  <c r="M15" i="6"/>
  <c r="M31" i="6" s="1"/>
  <c r="L15" i="6"/>
  <c r="L62" i="6" s="1"/>
  <c r="K15" i="6"/>
  <c r="K31" i="6" s="1"/>
  <c r="J15" i="6"/>
  <c r="I15" i="6"/>
  <c r="I31" i="6" s="1"/>
  <c r="H15" i="6"/>
  <c r="H62" i="6" s="1"/>
  <c r="F28" i="6"/>
  <c r="E31" i="6"/>
  <c r="D62" i="6"/>
  <c r="H31" i="6" l="1"/>
  <c r="D39" i="6"/>
  <c r="H27" i="6"/>
  <c r="G39" i="6"/>
  <c r="K40" i="6"/>
  <c r="G93" i="6"/>
  <c r="G94" i="6" s="1"/>
  <c r="G95" i="6" s="1"/>
  <c r="G96" i="6" s="1"/>
  <c r="G97" i="6" s="1"/>
  <c r="G98" i="6" s="1"/>
  <c r="G99" i="6" s="1"/>
  <c r="G100" i="6" s="1"/>
  <c r="G101" i="6" s="1"/>
  <c r="G102" i="6" s="1"/>
  <c r="O93" i="6"/>
  <c r="O94" i="6" s="1"/>
  <c r="O95" i="6" s="1"/>
  <c r="O96" i="6" s="1"/>
  <c r="O97" i="6" s="1"/>
  <c r="O98" i="6" s="1"/>
  <c r="O99" i="6" s="1"/>
  <c r="O100" i="6" s="1"/>
  <c r="O101" i="6" s="1"/>
  <c r="O102" i="6" s="1"/>
  <c r="H26" i="6"/>
  <c r="L27" i="6"/>
  <c r="H30" i="6"/>
  <c r="L31" i="6"/>
  <c r="H39" i="6"/>
  <c r="O40" i="6"/>
  <c r="L80" i="6"/>
  <c r="L81" i="6" s="1"/>
  <c r="L82" i="6" s="1"/>
  <c r="L83" i="6" s="1"/>
  <c r="L84" i="6" s="1"/>
  <c r="I26" i="6"/>
  <c r="I30" i="6"/>
  <c r="P31" i="6"/>
  <c r="K39" i="6"/>
  <c r="G41" i="6"/>
  <c r="L26" i="6"/>
  <c r="P27" i="6"/>
  <c r="L30" i="6"/>
  <c r="D38" i="6"/>
  <c r="L39" i="6"/>
  <c r="L41" i="6"/>
  <c r="M26" i="6"/>
  <c r="M30" i="6"/>
  <c r="H38" i="6"/>
  <c r="O39" i="6"/>
  <c r="O41" i="6"/>
  <c r="K93" i="6"/>
  <c r="K94" i="6" s="1"/>
  <c r="K95" i="6" s="1"/>
  <c r="K96" i="6" s="1"/>
  <c r="K97" i="6" s="1"/>
  <c r="K98" i="6" s="1"/>
  <c r="K99" i="6" s="1"/>
  <c r="K100" i="6" s="1"/>
  <c r="K101" i="6" s="1"/>
  <c r="K102" i="6" s="1"/>
  <c r="P26" i="6"/>
  <c r="I29" i="6"/>
  <c r="P30" i="6"/>
  <c r="L38" i="6"/>
  <c r="P39" i="6"/>
  <c r="G42" i="6"/>
  <c r="H80" i="6"/>
  <c r="H81" i="6" s="1"/>
  <c r="H82" i="6" s="1"/>
  <c r="H83" i="6" s="1"/>
  <c r="H84" i="6" s="1"/>
  <c r="P80" i="6"/>
  <c r="P81" i="6" s="1"/>
  <c r="P82" i="6" s="1"/>
  <c r="P83" i="6" s="1"/>
  <c r="P84" i="6" s="1"/>
  <c r="M29" i="6"/>
  <c r="P38" i="6"/>
  <c r="G40" i="6"/>
  <c r="O42" i="6"/>
  <c r="D80" i="6"/>
  <c r="D81" i="6" s="1"/>
  <c r="D82" i="6" s="1"/>
  <c r="D83" i="6" s="1"/>
  <c r="D84" i="6" s="1"/>
  <c r="J62" i="6"/>
  <c r="J80" i="6" s="1"/>
  <c r="J81" i="6" s="1"/>
  <c r="J82" i="6" s="1"/>
  <c r="J83" i="6" s="1"/>
  <c r="J84" i="6" s="1"/>
  <c r="J31" i="6"/>
  <c r="J27" i="6"/>
  <c r="J30" i="6"/>
  <c r="J26" i="6"/>
  <c r="I42" i="6"/>
  <c r="I41" i="6"/>
  <c r="I40" i="6"/>
  <c r="I39" i="6"/>
  <c r="G30" i="6"/>
  <c r="G26" i="6"/>
  <c r="G62" i="6"/>
  <c r="G80" i="6" s="1"/>
  <c r="G81" i="6" s="1"/>
  <c r="G82" i="6" s="1"/>
  <c r="G83" i="6" s="1"/>
  <c r="G84" i="6" s="1"/>
  <c r="G29" i="6"/>
  <c r="K62" i="6"/>
  <c r="K30" i="6"/>
  <c r="K26" i="6"/>
  <c r="K29" i="6"/>
  <c r="O30" i="6"/>
  <c r="O26" i="6"/>
  <c r="O62" i="6"/>
  <c r="O29" i="6"/>
  <c r="F41" i="6"/>
  <c r="F66" i="6"/>
  <c r="F93" i="6" s="1"/>
  <c r="F94" i="6" s="1"/>
  <c r="F95" i="6" s="1"/>
  <c r="F96" i="6" s="1"/>
  <c r="F97" i="6" s="1"/>
  <c r="F98" i="6" s="1"/>
  <c r="F99" i="6" s="1"/>
  <c r="F100" i="6" s="1"/>
  <c r="F101" i="6" s="1"/>
  <c r="F102" i="6" s="1"/>
  <c r="F42" i="6"/>
  <c r="F39" i="6"/>
  <c r="F38" i="6"/>
  <c r="J41" i="6"/>
  <c r="J39" i="6"/>
  <c r="J66" i="6"/>
  <c r="J93" i="6" s="1"/>
  <c r="J94" i="6" s="1"/>
  <c r="J95" i="6" s="1"/>
  <c r="J96" i="6" s="1"/>
  <c r="J97" i="6" s="1"/>
  <c r="J98" i="6" s="1"/>
  <c r="J99" i="6" s="1"/>
  <c r="J100" i="6" s="1"/>
  <c r="J101" i="6" s="1"/>
  <c r="J102" i="6" s="1"/>
  <c r="J38" i="6"/>
  <c r="N41" i="6"/>
  <c r="N66" i="6"/>
  <c r="N93" i="6" s="1"/>
  <c r="N94" i="6" s="1"/>
  <c r="N95" i="6" s="1"/>
  <c r="N96" i="6" s="1"/>
  <c r="N97" i="6" s="1"/>
  <c r="N98" i="6" s="1"/>
  <c r="N99" i="6" s="1"/>
  <c r="N100" i="6" s="1"/>
  <c r="N101" i="6" s="1"/>
  <c r="N102" i="6" s="1"/>
  <c r="N42" i="6"/>
  <c r="N39" i="6"/>
  <c r="N38" i="6"/>
  <c r="K28" i="6"/>
  <c r="F29" i="6"/>
  <c r="N29" i="6"/>
  <c r="J37" i="6"/>
  <c r="E38" i="6"/>
  <c r="M38" i="6"/>
  <c r="J42" i="6"/>
  <c r="N62" i="6"/>
  <c r="N80" i="6" s="1"/>
  <c r="N81" i="6" s="1"/>
  <c r="N82" i="6" s="1"/>
  <c r="N83" i="6" s="1"/>
  <c r="N84" i="6" s="1"/>
  <c r="H32" i="6"/>
  <c r="H79" i="6" s="1"/>
  <c r="K27" i="6"/>
  <c r="G31" i="6"/>
  <c r="O31" i="6"/>
  <c r="F40" i="6"/>
  <c r="N40" i="6"/>
  <c r="I66" i="6"/>
  <c r="I93" i="6" s="1"/>
  <c r="I94" i="6" s="1"/>
  <c r="I95" i="6" s="1"/>
  <c r="I96" i="6" s="1"/>
  <c r="I97" i="6" s="1"/>
  <c r="I98" i="6" s="1"/>
  <c r="I99" i="6" s="1"/>
  <c r="I100" i="6" s="1"/>
  <c r="I101" i="6" s="1"/>
  <c r="I102" i="6" s="1"/>
  <c r="F31" i="6"/>
  <c r="F27" i="6"/>
  <c r="F30" i="6"/>
  <c r="F26" i="6"/>
  <c r="N31" i="6"/>
  <c r="N27" i="6"/>
  <c r="N30" i="6"/>
  <c r="N26" i="6"/>
  <c r="M42" i="6"/>
  <c r="M41" i="6"/>
  <c r="M66" i="6"/>
  <c r="M93" i="6" s="1"/>
  <c r="M94" i="6" s="1"/>
  <c r="M95" i="6" s="1"/>
  <c r="M96" i="6" s="1"/>
  <c r="M97" i="6" s="1"/>
  <c r="M98" i="6" s="1"/>
  <c r="M99" i="6" s="1"/>
  <c r="M100" i="6" s="1"/>
  <c r="M101" i="6" s="1"/>
  <c r="M102" i="6" s="1"/>
  <c r="M40" i="6"/>
  <c r="M39" i="6"/>
  <c r="J28" i="6"/>
  <c r="I37" i="6"/>
  <c r="G28" i="6"/>
  <c r="O28" i="6"/>
  <c r="J29" i="6"/>
  <c r="F37" i="6"/>
  <c r="N37" i="6"/>
  <c r="I38" i="6"/>
  <c r="E42" i="6"/>
  <c r="E66" i="6"/>
  <c r="E93" i="6" s="1"/>
  <c r="E94" i="6" s="1"/>
  <c r="E95" i="6" s="1"/>
  <c r="E96" i="6" s="1"/>
  <c r="E97" i="6" s="1"/>
  <c r="E98" i="6" s="1"/>
  <c r="E99" i="6" s="1"/>
  <c r="E100" i="6" s="1"/>
  <c r="E101" i="6" s="1"/>
  <c r="E102" i="6" s="1"/>
  <c r="E40" i="6"/>
  <c r="E39" i="6"/>
  <c r="E41" i="6"/>
  <c r="F62" i="6"/>
  <c r="F80" i="6" s="1"/>
  <c r="F81" i="6" s="1"/>
  <c r="F82" i="6" s="1"/>
  <c r="F83" i="6" s="1"/>
  <c r="F84" i="6" s="1"/>
  <c r="E27" i="6"/>
  <c r="I27" i="6"/>
  <c r="M27" i="6"/>
  <c r="D28" i="6"/>
  <c r="H28" i="6"/>
  <c r="L28" i="6"/>
  <c r="P28" i="6"/>
  <c r="G37" i="6"/>
  <c r="K37" i="6"/>
  <c r="O37" i="6"/>
  <c r="H40" i="6"/>
  <c r="P40" i="6"/>
  <c r="K42" i="6"/>
  <c r="D93" i="6"/>
  <c r="D94" i="6" s="1"/>
  <c r="D95" i="6" s="1"/>
  <c r="D96" i="6" s="1"/>
  <c r="D97" i="6" s="1"/>
  <c r="D98" i="6" s="1"/>
  <c r="D99" i="6" s="1"/>
  <c r="D100" i="6" s="1"/>
  <c r="D101" i="6" s="1"/>
  <c r="D102" i="6" s="1"/>
  <c r="E62" i="6"/>
  <c r="E80" i="6" s="1"/>
  <c r="E81" i="6" s="1"/>
  <c r="E82" i="6" s="1"/>
  <c r="E83" i="6" s="1"/>
  <c r="E84" i="6" s="1"/>
  <c r="I62" i="6"/>
  <c r="I80" i="6" s="1"/>
  <c r="I81" i="6" s="1"/>
  <c r="I82" i="6" s="1"/>
  <c r="I83" i="6" s="1"/>
  <c r="I84" i="6" s="1"/>
  <c r="M62" i="6"/>
  <c r="M80" i="6" s="1"/>
  <c r="M81" i="6" s="1"/>
  <c r="M82" i="6" s="1"/>
  <c r="M83" i="6" s="1"/>
  <c r="M84" i="6" s="1"/>
  <c r="D66" i="6"/>
  <c r="D42" i="6"/>
  <c r="H66" i="6"/>
  <c r="H93" i="6" s="1"/>
  <c r="H94" i="6" s="1"/>
  <c r="H95" i="6" s="1"/>
  <c r="H96" i="6" s="1"/>
  <c r="H97" i="6" s="1"/>
  <c r="H98" i="6" s="1"/>
  <c r="H99" i="6" s="1"/>
  <c r="H100" i="6" s="1"/>
  <c r="H101" i="6" s="1"/>
  <c r="H102" i="6" s="1"/>
  <c r="H42" i="6"/>
  <c r="L66" i="6"/>
  <c r="L93" i="6" s="1"/>
  <c r="L94" i="6" s="1"/>
  <c r="L95" i="6" s="1"/>
  <c r="L96" i="6" s="1"/>
  <c r="L97" i="6" s="1"/>
  <c r="L98" i="6" s="1"/>
  <c r="L99" i="6" s="1"/>
  <c r="L100" i="6" s="1"/>
  <c r="L101" i="6" s="1"/>
  <c r="L102" i="6" s="1"/>
  <c r="L42" i="6"/>
  <c r="P66" i="6"/>
  <c r="P93" i="6" s="1"/>
  <c r="P94" i="6" s="1"/>
  <c r="P95" i="6" s="1"/>
  <c r="P96" i="6" s="1"/>
  <c r="P97" i="6" s="1"/>
  <c r="P98" i="6" s="1"/>
  <c r="P99" i="6" s="1"/>
  <c r="P100" i="6" s="1"/>
  <c r="P101" i="6" s="1"/>
  <c r="P102" i="6" s="1"/>
  <c r="P42" i="6"/>
  <c r="E28" i="6"/>
  <c r="I28" i="6"/>
  <c r="M28" i="6"/>
  <c r="D29" i="6"/>
  <c r="H29" i="6"/>
  <c r="L29" i="6"/>
  <c r="P29" i="6"/>
  <c r="D37" i="6"/>
  <c r="H37" i="6"/>
  <c r="L37" i="6"/>
  <c r="P37" i="6"/>
  <c r="P43" i="6" s="1"/>
  <c r="P92" i="6" s="1"/>
  <c r="G38" i="6"/>
  <c r="K38" i="6"/>
  <c r="O38" i="6"/>
  <c r="D41" i="6"/>
  <c r="K41" i="6"/>
  <c r="K80" i="6"/>
  <c r="K81" i="6" s="1"/>
  <c r="K82" i="6" s="1"/>
  <c r="K83" i="6" s="1"/>
  <c r="K84" i="6" s="1"/>
  <c r="O80" i="6"/>
  <c r="O81" i="6" s="1"/>
  <c r="O82" i="6" s="1"/>
  <c r="O83" i="6" s="1"/>
  <c r="O84" i="6" s="1"/>
  <c r="E69" i="2"/>
  <c r="F69" i="2"/>
  <c r="G69" i="2"/>
  <c r="H69" i="2"/>
  <c r="I69" i="2"/>
  <c r="J69" i="2"/>
  <c r="K69" i="2"/>
  <c r="L69" i="2"/>
  <c r="M69" i="2"/>
  <c r="N69" i="2"/>
  <c r="O69" i="2"/>
  <c r="P69" i="2"/>
  <c r="E74" i="2"/>
  <c r="F74" i="2"/>
  <c r="G74" i="2"/>
  <c r="H74" i="2"/>
  <c r="I74" i="2"/>
  <c r="J74" i="2"/>
  <c r="K74" i="2"/>
  <c r="L74" i="2"/>
  <c r="M74" i="2"/>
  <c r="N74" i="2"/>
  <c r="O74" i="2"/>
  <c r="P74" i="2"/>
  <c r="D74" i="2"/>
  <c r="P32" i="6" l="1"/>
  <c r="P79" i="6" s="1"/>
  <c r="L32" i="6"/>
  <c r="L79" i="6" s="1"/>
  <c r="M32" i="6"/>
  <c r="M79" i="6" s="1"/>
  <c r="E43" i="6"/>
  <c r="E92" i="6" s="1"/>
  <c r="I32" i="6"/>
  <c r="I79" i="6" s="1"/>
  <c r="M43" i="6"/>
  <c r="M92" i="6" s="1"/>
  <c r="N43" i="6"/>
  <c r="N92" i="6" s="1"/>
  <c r="L43" i="6"/>
  <c r="L92" i="6" s="1"/>
  <c r="F43" i="6"/>
  <c r="F92" i="6" s="1"/>
  <c r="E32" i="6"/>
  <c r="E79" i="6" s="1"/>
  <c r="E85" i="6" s="1"/>
  <c r="D32" i="6"/>
  <c r="D79" i="6" s="1"/>
  <c r="P85" i="6"/>
  <c r="P86" i="6"/>
  <c r="L86" i="6"/>
  <c r="L85" i="6"/>
  <c r="M104" i="6"/>
  <c r="M103" i="6"/>
  <c r="E86" i="6"/>
  <c r="M86" i="6"/>
  <c r="M85" i="6"/>
  <c r="E104" i="6"/>
  <c r="E103" i="6"/>
  <c r="I86" i="6"/>
  <c r="I85" i="6"/>
  <c r="D86" i="6"/>
  <c r="D85" i="6"/>
  <c r="K43" i="6"/>
  <c r="K92" i="6" s="1"/>
  <c r="I43" i="6"/>
  <c r="I92" i="6" s="1"/>
  <c r="K32" i="6"/>
  <c r="K79" i="6" s="1"/>
  <c r="J32" i="6"/>
  <c r="J79" i="6" s="1"/>
  <c r="L104" i="6"/>
  <c r="L103" i="6"/>
  <c r="O43" i="6"/>
  <c r="O92" i="6" s="1"/>
  <c r="F103" i="6"/>
  <c r="F104" i="6"/>
  <c r="N32" i="6"/>
  <c r="N79" i="6" s="1"/>
  <c r="F32" i="6"/>
  <c r="F79" i="6" s="1"/>
  <c r="J43" i="6"/>
  <c r="J92" i="6" s="1"/>
  <c r="H43" i="6"/>
  <c r="H92" i="6" s="1"/>
  <c r="D43" i="6"/>
  <c r="D92" i="6" s="1"/>
  <c r="G43" i="6"/>
  <c r="G92" i="6" s="1"/>
  <c r="O32" i="6"/>
  <c r="O79" i="6" s="1"/>
  <c r="G32" i="6"/>
  <c r="G79" i="6" s="1"/>
  <c r="P104" i="6"/>
  <c r="P103" i="6"/>
  <c r="N103" i="6"/>
  <c r="N104" i="6"/>
  <c r="H85" i="6"/>
  <c r="H86" i="6"/>
  <c r="E158" i="2"/>
  <c r="E159" i="2"/>
  <c r="E160" i="2"/>
  <c r="E161" i="2"/>
  <c r="E162" i="2"/>
  <c r="E163" i="2"/>
  <c r="E164" i="2"/>
  <c r="E165" i="2"/>
  <c r="E166" i="2"/>
  <c r="E167" i="2"/>
  <c r="E168" i="2"/>
  <c r="E169" i="2"/>
  <c r="E170" i="2"/>
  <c r="E171" i="2"/>
  <c r="E172" i="2"/>
  <c r="E173" i="2"/>
  <c r="E174" i="2"/>
  <c r="E175" i="2"/>
  <c r="E176" i="2"/>
  <c r="E177" i="2"/>
  <c r="E178" i="2"/>
  <c r="E179" i="2"/>
  <c r="E180" i="2"/>
  <c r="E181" i="2"/>
  <c r="E157" i="2"/>
  <c r="D158" i="2"/>
  <c r="D159" i="2"/>
  <c r="D160" i="2"/>
  <c r="D161" i="2"/>
  <c r="D162" i="2"/>
  <c r="D163" i="2"/>
  <c r="D164" i="2"/>
  <c r="D165" i="2"/>
  <c r="D166" i="2"/>
  <c r="D167" i="2"/>
  <c r="D168" i="2"/>
  <c r="D169" i="2"/>
  <c r="D170" i="2"/>
  <c r="D171" i="2"/>
  <c r="D172" i="2"/>
  <c r="D173" i="2"/>
  <c r="D174" i="2"/>
  <c r="D175" i="2"/>
  <c r="D176" i="2"/>
  <c r="D177" i="2"/>
  <c r="D178" i="2"/>
  <c r="D179" i="2"/>
  <c r="D180" i="2"/>
  <c r="D181" i="2"/>
  <c r="D157" i="2"/>
  <c r="O85" i="6" l="1"/>
  <c r="O86" i="6"/>
  <c r="J86" i="6"/>
  <c r="J85" i="6"/>
  <c r="G103" i="6"/>
  <c r="G104" i="6"/>
  <c r="F86" i="6"/>
  <c r="F85" i="6"/>
  <c r="O103" i="6"/>
  <c r="O104" i="6"/>
  <c r="K85" i="6"/>
  <c r="K86" i="6"/>
  <c r="G85" i="6"/>
  <c r="G86" i="6"/>
  <c r="H104" i="6"/>
  <c r="H103" i="6"/>
  <c r="J103" i="6"/>
  <c r="J104" i="6"/>
  <c r="D104" i="6"/>
  <c r="D103" i="6"/>
  <c r="N86" i="6"/>
  <c r="N85" i="6"/>
  <c r="I104" i="6"/>
  <c r="I103" i="6"/>
  <c r="K104" i="6"/>
  <c r="K103" i="6"/>
  <c r="E103" i="2"/>
  <c r="D103" i="2"/>
  <c r="F103" i="2"/>
  <c r="G103" i="2"/>
  <c r="H103" i="2"/>
  <c r="I103" i="2"/>
  <c r="J103" i="2"/>
  <c r="K103" i="2"/>
  <c r="L103" i="2"/>
  <c r="M103" i="2"/>
  <c r="N103" i="2"/>
  <c r="O103" i="2"/>
  <c r="P103" i="2"/>
  <c r="E99" i="2"/>
  <c r="F99" i="2"/>
  <c r="G99" i="2"/>
  <c r="H99" i="2"/>
  <c r="I99" i="2"/>
  <c r="J99" i="2"/>
  <c r="K99" i="2"/>
  <c r="L99" i="2"/>
  <c r="M99" i="2"/>
  <c r="N99" i="2"/>
  <c r="O99" i="2"/>
  <c r="P99" i="2"/>
  <c r="E90" i="2" l="1"/>
  <c r="E126" i="2" s="1"/>
  <c r="F90" i="2"/>
  <c r="F126" i="2" s="1"/>
  <c r="G90" i="2"/>
  <c r="G126" i="2" s="1"/>
  <c r="H90" i="2"/>
  <c r="H126" i="2" s="1"/>
  <c r="I90" i="2"/>
  <c r="I126" i="2" s="1"/>
  <c r="I127" i="2" s="1"/>
  <c r="I128" i="2" s="1"/>
  <c r="I129" i="2" s="1"/>
  <c r="I130" i="2" s="1"/>
  <c r="I131" i="2" s="1"/>
  <c r="I132" i="2" s="1"/>
  <c r="I133" i="2" s="1"/>
  <c r="I134" i="2" s="1"/>
  <c r="J90" i="2"/>
  <c r="J126" i="2" s="1"/>
  <c r="K90" i="2"/>
  <c r="K126" i="2" s="1"/>
  <c r="L90" i="2"/>
  <c r="L126" i="2" s="1"/>
  <c r="M90" i="2"/>
  <c r="M126" i="2" s="1"/>
  <c r="M127" i="2" s="1"/>
  <c r="M128" i="2" s="1"/>
  <c r="M129" i="2" s="1"/>
  <c r="M130" i="2" s="1"/>
  <c r="M131" i="2" s="1"/>
  <c r="M132" i="2" s="1"/>
  <c r="M133" i="2" s="1"/>
  <c r="M134" i="2" s="1"/>
  <c r="N90" i="2"/>
  <c r="N126" i="2" s="1"/>
  <c r="O90" i="2"/>
  <c r="O126" i="2" s="1"/>
  <c r="P90" i="2"/>
  <c r="P126" i="2" s="1"/>
  <c r="P86" i="2"/>
  <c r="P113" i="2" s="1"/>
  <c r="E86" i="2"/>
  <c r="E113" i="2" s="1"/>
  <c r="F86" i="2"/>
  <c r="F113" i="2" s="1"/>
  <c r="G86" i="2"/>
  <c r="G113" i="2" s="1"/>
  <c r="H86" i="2"/>
  <c r="H113" i="2" s="1"/>
  <c r="I86" i="2"/>
  <c r="I113" i="2" s="1"/>
  <c r="J86" i="2"/>
  <c r="J113" i="2" s="1"/>
  <c r="K86" i="2"/>
  <c r="K113" i="2" s="1"/>
  <c r="L86" i="2"/>
  <c r="L113" i="2" s="1"/>
  <c r="M86" i="2"/>
  <c r="M113" i="2" s="1"/>
  <c r="N86" i="2"/>
  <c r="N113" i="2" s="1"/>
  <c r="O86" i="2"/>
  <c r="O113" i="2" s="1"/>
  <c r="D22" i="1"/>
  <c r="P34" i="1"/>
  <c r="O34" i="1"/>
  <c r="N34" i="1"/>
  <c r="M34" i="1"/>
  <c r="L34" i="1"/>
  <c r="K34" i="1"/>
  <c r="J34" i="1"/>
  <c r="I34" i="1"/>
  <c r="H34" i="1"/>
  <c r="G34" i="1"/>
  <c r="F34" i="1"/>
  <c r="E34" i="1"/>
  <c r="D34" i="1"/>
  <c r="P33" i="1"/>
  <c r="O33" i="1"/>
  <c r="N33" i="1"/>
  <c r="M33" i="1"/>
  <c r="L33" i="1"/>
  <c r="K33" i="1"/>
  <c r="J33" i="1"/>
  <c r="I33" i="1"/>
  <c r="H33" i="1"/>
  <c r="G33" i="1"/>
  <c r="F33" i="1"/>
  <c r="E33" i="1"/>
  <c r="D33" i="1"/>
  <c r="F3" i="1"/>
  <c r="F2" i="1"/>
  <c r="D86" i="2" l="1"/>
  <c r="D113" i="2" s="1"/>
  <c r="D114" i="2" s="1"/>
  <c r="D115" i="2" s="1"/>
  <c r="D116" i="2" s="1"/>
  <c r="D117" i="2" s="1"/>
  <c r="D34" i="2"/>
  <c r="D30" i="2"/>
  <c r="I135" i="2"/>
  <c r="M135" i="2"/>
  <c r="D90" i="2"/>
  <c r="N127" i="2"/>
  <c r="N128" i="2" s="1"/>
  <c r="N129" i="2" s="1"/>
  <c r="N130" i="2" s="1"/>
  <c r="N131" i="2" s="1"/>
  <c r="N132" i="2" s="1"/>
  <c r="N133" i="2" s="1"/>
  <c r="N134" i="2" s="1"/>
  <c r="P114" i="2"/>
  <c r="P115" i="2" s="1"/>
  <c r="P116" i="2" s="1"/>
  <c r="P117" i="2" s="1"/>
  <c r="O114" i="2"/>
  <c r="O115" i="2" s="1"/>
  <c r="O116" i="2" s="1"/>
  <c r="O117" i="2" s="1"/>
  <c r="N114" i="2"/>
  <c r="N115" i="2" s="1"/>
  <c r="N116" i="2" s="1"/>
  <c r="N117" i="2" s="1"/>
  <c r="J114" i="2"/>
  <c r="J115" i="2" s="1"/>
  <c r="J116" i="2" s="1"/>
  <c r="J117" i="2" s="1"/>
  <c r="F114" i="2"/>
  <c r="F115" i="2" s="1"/>
  <c r="F116" i="2" s="1"/>
  <c r="F117" i="2" s="1"/>
  <c r="M114" i="2"/>
  <c r="M115" i="2" s="1"/>
  <c r="M116" i="2" s="1"/>
  <c r="M117" i="2" s="1"/>
  <c r="E114" i="2"/>
  <c r="E115" i="2" s="1"/>
  <c r="E116" i="2" s="1"/>
  <c r="E117" i="2" s="1"/>
  <c r="I114" i="2"/>
  <c r="L114" i="2"/>
  <c r="H114" i="2"/>
  <c r="H115" i="2" s="1"/>
  <c r="H116" i="2" s="1"/>
  <c r="H117" i="2" s="1"/>
  <c r="G114" i="2"/>
  <c r="G115" i="2" s="1"/>
  <c r="G116" i="2" s="1"/>
  <c r="G117" i="2" s="1"/>
  <c r="K114" i="2"/>
  <c r="O127" i="2"/>
  <c r="O128" i="2" s="1"/>
  <c r="O129" i="2" s="1"/>
  <c r="O130" i="2" s="1"/>
  <c r="O131" i="2" s="1"/>
  <c r="O132" i="2" s="1"/>
  <c r="O133" i="2" s="1"/>
  <c r="O134" i="2" s="1"/>
  <c r="K127" i="2"/>
  <c r="K128" i="2" s="1"/>
  <c r="K129" i="2" s="1"/>
  <c r="K130" i="2" s="1"/>
  <c r="K131" i="2" s="1"/>
  <c r="K132" i="2" s="1"/>
  <c r="K133" i="2" s="1"/>
  <c r="K134" i="2" s="1"/>
  <c r="G127" i="2"/>
  <c r="G128" i="2" s="1"/>
  <c r="G129" i="2" s="1"/>
  <c r="G130" i="2" s="1"/>
  <c r="G131" i="2" s="1"/>
  <c r="G132" i="2" s="1"/>
  <c r="G133" i="2" s="1"/>
  <c r="G134" i="2" s="1"/>
  <c r="J127" i="2"/>
  <c r="J128" i="2" s="1"/>
  <c r="J129" i="2" s="1"/>
  <c r="J130" i="2" s="1"/>
  <c r="J131" i="2" s="1"/>
  <c r="J132" i="2" s="1"/>
  <c r="J133" i="2" s="1"/>
  <c r="J134" i="2" s="1"/>
  <c r="F127" i="2"/>
  <c r="F128" i="2" s="1"/>
  <c r="F129" i="2" s="1"/>
  <c r="F130" i="2" s="1"/>
  <c r="F131" i="2" s="1"/>
  <c r="F132" i="2" s="1"/>
  <c r="F133" i="2" s="1"/>
  <c r="F134" i="2" s="1"/>
  <c r="E127" i="2"/>
  <c r="E128" i="2" s="1"/>
  <c r="E129" i="2" s="1"/>
  <c r="E130" i="2" s="1"/>
  <c r="E131" i="2" s="1"/>
  <c r="E132" i="2" s="1"/>
  <c r="E133" i="2" s="1"/>
  <c r="E134" i="2" s="1"/>
  <c r="P127" i="2"/>
  <c r="P128" i="2" s="1"/>
  <c r="P129" i="2" s="1"/>
  <c r="P130" i="2" s="1"/>
  <c r="P131" i="2" s="1"/>
  <c r="P132" i="2" s="1"/>
  <c r="P133" i="2" s="1"/>
  <c r="P134" i="2" s="1"/>
  <c r="L127" i="2"/>
  <c r="L128" i="2" s="1"/>
  <c r="L129" i="2" s="1"/>
  <c r="L130" i="2" s="1"/>
  <c r="L131" i="2" s="1"/>
  <c r="L132" i="2" s="1"/>
  <c r="L133" i="2" s="1"/>
  <c r="L134" i="2" s="1"/>
  <c r="H127" i="2"/>
  <c r="H128" i="2" s="1"/>
  <c r="H129" i="2" s="1"/>
  <c r="H130" i="2" s="1"/>
  <c r="H131" i="2" s="1"/>
  <c r="H132" i="2" s="1"/>
  <c r="H133" i="2" s="1"/>
  <c r="H134" i="2" s="1"/>
  <c r="H45" i="2"/>
  <c r="H44" i="2"/>
  <c r="H43" i="2"/>
  <c r="H42" i="2"/>
  <c r="H41" i="2"/>
  <c r="O30" i="2"/>
  <c r="O35" i="2"/>
  <c r="O34" i="2"/>
  <c r="O33" i="2"/>
  <c r="O32" i="2"/>
  <c r="O31" i="2"/>
  <c r="G30" i="2"/>
  <c r="G35" i="2"/>
  <c r="G34" i="2"/>
  <c r="G33" i="2"/>
  <c r="G32" i="2"/>
  <c r="G31" i="2"/>
  <c r="M45" i="2"/>
  <c r="M44" i="2"/>
  <c r="M43" i="2"/>
  <c r="M42" i="2"/>
  <c r="M41" i="2"/>
  <c r="N35" i="2"/>
  <c r="N34" i="2"/>
  <c r="N33" i="2"/>
  <c r="N32" i="2"/>
  <c r="N31" i="2"/>
  <c r="N30" i="2"/>
  <c r="F35" i="2"/>
  <c r="F34" i="2"/>
  <c r="F33" i="2"/>
  <c r="F32" i="2"/>
  <c r="F31" i="2"/>
  <c r="F30" i="2"/>
  <c r="L45" i="2"/>
  <c r="L44" i="2"/>
  <c r="L43" i="2"/>
  <c r="L42" i="2"/>
  <c r="L41" i="2"/>
  <c r="M35" i="2"/>
  <c r="M34" i="2"/>
  <c r="M33" i="2"/>
  <c r="M32" i="2"/>
  <c r="M31" i="2"/>
  <c r="M30" i="2"/>
  <c r="I35" i="2"/>
  <c r="I34" i="2"/>
  <c r="I33" i="2"/>
  <c r="I32" i="2"/>
  <c r="I31" i="2"/>
  <c r="I30" i="2"/>
  <c r="E35" i="2"/>
  <c r="E34" i="2"/>
  <c r="E33" i="2"/>
  <c r="E32" i="2"/>
  <c r="E31" i="2"/>
  <c r="E30" i="2"/>
  <c r="O45" i="2"/>
  <c r="O44" i="2"/>
  <c r="O43" i="2"/>
  <c r="O42" i="2"/>
  <c r="O41" i="2"/>
  <c r="K45" i="2"/>
  <c r="K44" i="2"/>
  <c r="K43" i="2"/>
  <c r="K42" i="2"/>
  <c r="K41" i="2"/>
  <c r="G45" i="2"/>
  <c r="G44" i="2"/>
  <c r="G43" i="2"/>
  <c r="G42" i="2"/>
  <c r="G41" i="2"/>
  <c r="K35" i="2"/>
  <c r="K34" i="2"/>
  <c r="K33" i="2"/>
  <c r="K32" i="2"/>
  <c r="K31" i="2"/>
  <c r="K30" i="2"/>
  <c r="D44" i="2"/>
  <c r="D43" i="2"/>
  <c r="D45" i="2"/>
  <c r="D42" i="2"/>
  <c r="I45" i="2"/>
  <c r="I44" i="2"/>
  <c r="I43" i="2"/>
  <c r="I42" i="2"/>
  <c r="I41" i="2"/>
  <c r="J35" i="2"/>
  <c r="J34" i="2"/>
  <c r="J33" i="2"/>
  <c r="J32" i="2"/>
  <c r="J31" i="2"/>
  <c r="J30" i="2"/>
  <c r="P45" i="2"/>
  <c r="P44" i="2"/>
  <c r="P43" i="2"/>
  <c r="P42" i="2"/>
  <c r="P41" i="2"/>
  <c r="D35" i="2"/>
  <c r="D31" i="2"/>
  <c r="D33" i="2"/>
  <c r="D32" i="2"/>
  <c r="L35" i="2"/>
  <c r="L33" i="2"/>
  <c r="L34" i="2"/>
  <c r="L32" i="2"/>
  <c r="L31" i="2"/>
  <c r="L30" i="2"/>
  <c r="H30" i="2"/>
  <c r="H34" i="2"/>
  <c r="H32" i="2"/>
  <c r="H31" i="2"/>
  <c r="H35" i="2"/>
  <c r="H33" i="2"/>
  <c r="P34" i="2"/>
  <c r="P31" i="2"/>
  <c r="P30" i="2"/>
  <c r="P35" i="2"/>
  <c r="P33" i="2"/>
  <c r="P32" i="2"/>
  <c r="N45" i="2"/>
  <c r="N44" i="2"/>
  <c r="N42" i="2"/>
  <c r="N41" i="2"/>
  <c r="N43" i="2"/>
  <c r="J43" i="2"/>
  <c r="J45" i="2"/>
  <c r="J44" i="2"/>
  <c r="J42" i="2"/>
  <c r="J41" i="2"/>
  <c r="F45" i="2"/>
  <c r="F44" i="2"/>
  <c r="F42" i="2"/>
  <c r="F41" i="2"/>
  <c r="F43" i="2"/>
  <c r="E45" i="2"/>
  <c r="E44" i="2"/>
  <c r="E43" i="2"/>
  <c r="E42" i="2"/>
  <c r="E41" i="2"/>
  <c r="D36" i="2" l="1"/>
  <c r="D112" i="2" s="1"/>
  <c r="D118" i="2" s="1"/>
  <c r="D126" i="2"/>
  <c r="D127" i="2" s="1"/>
  <c r="D128" i="2" s="1"/>
  <c r="D129" i="2" s="1"/>
  <c r="D130" i="2" s="1"/>
  <c r="D131" i="2" s="1"/>
  <c r="D132" i="2" s="1"/>
  <c r="D133" i="2" s="1"/>
  <c r="D134" i="2" s="1"/>
  <c r="D135" i="2" s="1"/>
  <c r="F135" i="2"/>
  <c r="E135" i="2"/>
  <c r="J135" i="2"/>
  <c r="N135" i="2"/>
  <c r="G135" i="2"/>
  <c r="K135" i="2"/>
  <c r="M145" i="2"/>
  <c r="M146" i="2" s="1"/>
  <c r="M147" i="2" s="1"/>
  <c r="M148" i="2" s="1"/>
  <c r="H135" i="2"/>
  <c r="O135" i="2"/>
  <c r="L135" i="2"/>
  <c r="I145" i="2"/>
  <c r="I146" i="2" s="1"/>
  <c r="I147" i="2" s="1"/>
  <c r="I148" i="2" s="1"/>
  <c r="P135" i="2"/>
  <c r="L115" i="2"/>
  <c r="L116" i="2" s="1"/>
  <c r="L117" i="2" s="1"/>
  <c r="K115" i="2"/>
  <c r="I115" i="2"/>
  <c r="P36" i="2"/>
  <c r="P112" i="2" s="1"/>
  <c r="P119" i="2" s="1"/>
  <c r="H36" i="2"/>
  <c r="H112" i="2" s="1"/>
  <c r="H118" i="2" s="1"/>
  <c r="G36" i="2"/>
  <c r="G112" i="2" s="1"/>
  <c r="G119" i="2" s="1"/>
  <c r="E46" i="2"/>
  <c r="E125" i="2" s="1"/>
  <c r="F46" i="2"/>
  <c r="F125" i="2" s="1"/>
  <c r="J46" i="2"/>
  <c r="J125" i="2" s="1"/>
  <c r="N46" i="2"/>
  <c r="N125" i="2" s="1"/>
  <c r="L36" i="2"/>
  <c r="L112" i="2" s="1"/>
  <c r="P46" i="2"/>
  <c r="P125" i="2" s="1"/>
  <c r="I46" i="2"/>
  <c r="I125" i="2" s="1"/>
  <c r="K36" i="2"/>
  <c r="K112" i="2" s="1"/>
  <c r="K46" i="2"/>
  <c r="K125" i="2" s="1"/>
  <c r="E36" i="2"/>
  <c r="E112" i="2" s="1"/>
  <c r="E118" i="2" s="1"/>
  <c r="M36" i="2"/>
  <c r="M112" i="2" s="1"/>
  <c r="M118" i="2" s="1"/>
  <c r="F36" i="2"/>
  <c r="F112" i="2" s="1"/>
  <c r="F118" i="2" s="1"/>
  <c r="M46" i="2"/>
  <c r="M125" i="2" s="1"/>
  <c r="D46" i="2"/>
  <c r="D125" i="2" s="1"/>
  <c r="O36" i="2"/>
  <c r="O112" i="2" s="1"/>
  <c r="O118" i="2" s="1"/>
  <c r="J36" i="2"/>
  <c r="J112" i="2" s="1"/>
  <c r="J119" i="2" s="1"/>
  <c r="G46" i="2"/>
  <c r="G125" i="2" s="1"/>
  <c r="O46" i="2"/>
  <c r="O125" i="2" s="1"/>
  <c r="I36" i="2"/>
  <c r="I112" i="2" s="1"/>
  <c r="L46" i="2"/>
  <c r="L125" i="2" s="1"/>
  <c r="N36" i="2"/>
  <c r="N112" i="2" s="1"/>
  <c r="N118" i="2" s="1"/>
  <c r="H46" i="2"/>
  <c r="H125" i="2" s="1"/>
  <c r="O136" i="2" l="1"/>
  <c r="D119" i="2"/>
  <c r="G136" i="2"/>
  <c r="E136" i="2"/>
  <c r="I150" i="2"/>
  <c r="I149" i="2"/>
  <c r="J137" i="2"/>
  <c r="K136" i="2"/>
  <c r="D137" i="2"/>
  <c r="P137" i="2"/>
  <c r="L136" i="2"/>
  <c r="F137" i="2"/>
  <c r="M150" i="2"/>
  <c r="M149" i="2"/>
  <c r="H136" i="2"/>
  <c r="J145" i="2"/>
  <c r="J146" i="2" s="1"/>
  <c r="J147" i="2" s="1"/>
  <c r="J148" i="2" s="1"/>
  <c r="N145" i="2"/>
  <c r="N146" i="2" s="1"/>
  <c r="N147" i="2" s="1"/>
  <c r="N148" i="2" s="1"/>
  <c r="K145" i="2"/>
  <c r="K146" i="2" s="1"/>
  <c r="K147" i="2" s="1"/>
  <c r="K148" i="2" s="1"/>
  <c r="E145" i="2"/>
  <c r="E146" i="2" s="1"/>
  <c r="E147" i="2" s="1"/>
  <c r="E148" i="2" s="1"/>
  <c r="L145" i="2"/>
  <c r="L146" i="2" s="1"/>
  <c r="L147" i="2" s="1"/>
  <c r="L148" i="2" s="1"/>
  <c r="O145" i="2"/>
  <c r="O146" i="2" s="1"/>
  <c r="O147" i="2" s="1"/>
  <c r="O148" i="2" s="1"/>
  <c r="P145" i="2"/>
  <c r="P146" i="2" s="1"/>
  <c r="P147" i="2" s="1"/>
  <c r="P148" i="2" s="1"/>
  <c r="G145" i="2"/>
  <c r="G146" i="2" s="1"/>
  <c r="G147" i="2" s="1"/>
  <c r="G148" i="2" s="1"/>
  <c r="F145" i="2"/>
  <c r="F146" i="2" s="1"/>
  <c r="F147" i="2" s="1"/>
  <c r="F148" i="2" s="1"/>
  <c r="F149" i="2" s="1"/>
  <c r="H145" i="2"/>
  <c r="H146" i="2" s="1"/>
  <c r="H147" i="2" s="1"/>
  <c r="H148" i="2" s="1"/>
  <c r="D145" i="2"/>
  <c r="P118" i="2"/>
  <c r="F119" i="2"/>
  <c r="P136" i="2"/>
  <c r="O119" i="2"/>
  <c r="M119" i="2"/>
  <c r="F136" i="2"/>
  <c r="E119" i="2"/>
  <c r="H137" i="2"/>
  <c r="J136" i="2"/>
  <c r="M136" i="2"/>
  <c r="M137" i="2"/>
  <c r="N137" i="2"/>
  <c r="N136" i="2"/>
  <c r="K137" i="2"/>
  <c r="I137" i="2"/>
  <c r="I136" i="2"/>
  <c r="G137" i="2"/>
  <c r="E137" i="2"/>
  <c r="O137" i="2"/>
  <c r="D136" i="2"/>
  <c r="N119" i="2"/>
  <c r="L137" i="2"/>
  <c r="G118" i="2"/>
  <c r="J118" i="2"/>
  <c r="H119" i="2"/>
  <c r="L119" i="2"/>
  <c r="L118" i="2"/>
  <c r="I116" i="2"/>
  <c r="K116" i="2"/>
  <c r="G149" i="2" l="1"/>
  <c r="J149" i="2"/>
  <c r="D146" i="2"/>
  <c r="D147" i="2" s="1"/>
  <c r="D148" i="2" s="1"/>
  <c r="D150" i="2"/>
  <c r="F150" i="2"/>
  <c r="G150" i="2"/>
  <c r="J150" i="2"/>
  <c r="H150" i="2"/>
  <c r="N150" i="2"/>
  <c r="H149" i="2"/>
  <c r="P149" i="2"/>
  <c r="N149" i="2"/>
  <c r="O149" i="2"/>
  <c r="K149" i="2"/>
  <c r="L150" i="2"/>
  <c r="L149" i="2"/>
  <c r="P150" i="2"/>
  <c r="E150" i="2"/>
  <c r="E149" i="2"/>
  <c r="O150" i="2"/>
  <c r="K150" i="2"/>
  <c r="K117" i="2"/>
  <c r="K118" i="2" s="1"/>
  <c r="I117" i="2"/>
  <c r="I118" i="2" s="1"/>
  <c r="D149" i="2" l="1"/>
  <c r="K119" i="2"/>
  <c r="I119" i="2"/>
</calcChain>
</file>

<file path=xl/sharedStrings.xml><?xml version="1.0" encoding="utf-8"?>
<sst xmlns="http://schemas.openxmlformats.org/spreadsheetml/2006/main" count="1012" uniqueCount="279">
  <si>
    <t>γ</t>
  </si>
  <si>
    <t>Nu</t>
  </si>
  <si>
    <t>α</t>
  </si>
  <si>
    <t>T</t>
  </si>
  <si>
    <t>Nc</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</si>
  <si>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</si>
  <si>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</si>
  <si>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</si>
  <si>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</si>
  <si>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</si>
  <si>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</si>
  <si>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</si>
  <si>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</si>
  <si>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</si>
  <si>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</si>
  <si>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</si>
  <si>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</si>
  <si>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</si>
  <si>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</si>
  <si>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</si>
  <si>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</si>
  <si>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</si>
  <si>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</si>
  <si>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1 092 507</t>
  </si>
  <si>
    <t>1 294 722</t>
  </si>
  <si>
    <t>679 336</t>
  </si>
  <si>
    <t>795 461</t>
  </si>
  <si>
    <t>1 271 628</t>
  </si>
  <si>
    <t>391 749</t>
  </si>
  <si>
    <t>14 464</t>
  </si>
  <si>
    <t>UAV - Based</t>
  </si>
  <si>
    <t>LC - Based</t>
  </si>
  <si>
    <t>Site Acquisition Costs</t>
  </si>
  <si>
    <r>
      <t>N</t>
    </r>
    <r>
      <rPr>
        <i/>
        <vertAlign val="subscript"/>
        <sz val="10"/>
        <color theme="1"/>
        <rFont val="Times New Roman"/>
        <family val="1"/>
      </rPr>
      <t>U</t>
    </r>
  </si>
  <si>
    <r>
      <t>C</t>
    </r>
    <r>
      <rPr>
        <i/>
        <vertAlign val="subscript"/>
        <sz val="10"/>
        <color theme="1"/>
        <rFont val="Times New Roman"/>
        <family val="1"/>
      </rPr>
      <t>E</t>
    </r>
  </si>
  <si>
    <r>
      <t>P</t>
    </r>
    <r>
      <rPr>
        <i/>
        <vertAlign val="subscript"/>
        <sz val="10"/>
        <color theme="1"/>
        <rFont val="Times New Roman"/>
        <family val="1"/>
      </rPr>
      <t>SP</t>
    </r>
  </si>
  <si>
    <r>
      <t>N</t>
    </r>
    <r>
      <rPr>
        <i/>
        <vertAlign val="subscript"/>
        <sz val="10"/>
        <color theme="1"/>
        <rFont val="Times New Roman"/>
        <family val="1"/>
      </rPr>
      <t>B</t>
    </r>
  </si>
  <si>
    <r>
      <t>N</t>
    </r>
    <r>
      <rPr>
        <i/>
        <vertAlign val="subscript"/>
        <sz val="10"/>
        <color theme="1"/>
        <rFont val="Times New Roman"/>
        <family val="1"/>
      </rPr>
      <t>C</t>
    </r>
  </si>
  <si>
    <r>
      <t>C</t>
    </r>
    <r>
      <rPr>
        <i/>
        <vertAlign val="subscript"/>
        <sz val="10"/>
        <color theme="1"/>
        <rFont val="Times New Roman"/>
        <family val="1"/>
      </rPr>
      <t>SA</t>
    </r>
  </si>
  <si>
    <t xml:space="preserve">6 400 </t>
  </si>
  <si>
    <t xml:space="preserve">10 000 </t>
  </si>
  <si>
    <t xml:space="preserve">2 200 </t>
  </si>
  <si>
    <t xml:space="preserve">- </t>
  </si>
  <si>
    <t xml:space="preserve">20 011 </t>
  </si>
  <si>
    <t xml:space="preserve">25 596 </t>
  </si>
  <si>
    <t xml:space="preserve">44 913 </t>
  </si>
  <si>
    <t xml:space="preserve">36 407 </t>
  </si>
  <si>
    <t xml:space="preserve">12 836 </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</si>
  <si>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</si>
  <si>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</si>
  <si>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</si>
  <si>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</si>
  <si>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</si>
  <si>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</si>
  <si>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</si>
  <si>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</si>
  <si>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</si>
  <si>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</si>
  <si>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</si>
  <si>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</si>
  <si>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</si>
  <si>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</si>
  <si>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</si>
  <si>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</si>
  <si>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</si>
  <si>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</si>
  <si>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</si>
  <si>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r>
      <t>P</t>
    </r>
    <r>
      <rPr>
        <i/>
        <vertAlign val="superscript"/>
        <sz val="10"/>
        <color theme="1"/>
        <rFont val="Times New Roman"/>
        <family val="1"/>
      </rPr>
      <t>MAX</t>
    </r>
  </si>
  <si>
    <r>
      <t>P</t>
    </r>
    <r>
      <rPr>
        <i/>
        <vertAlign val="superscript"/>
        <sz val="10"/>
        <color theme="1"/>
        <rFont val="Times New Roman"/>
        <family val="1"/>
      </rPr>
      <t>MIN</t>
    </r>
  </si>
  <si>
    <r>
      <t>C</t>
    </r>
    <r>
      <rPr>
        <i/>
        <vertAlign val="subscript"/>
        <sz val="10"/>
        <color theme="1"/>
        <rFont val="Times New Roman"/>
        <family val="1"/>
      </rPr>
      <t>B</t>
    </r>
  </si>
  <si>
    <r>
      <t>C</t>
    </r>
    <r>
      <rPr>
        <i/>
        <vertAlign val="subscript"/>
        <sz val="10"/>
        <color theme="1"/>
        <rFont val="Times New Roman"/>
        <family val="1"/>
      </rPr>
      <t>SP</t>
    </r>
  </si>
  <si>
    <r>
      <t>C</t>
    </r>
    <r>
      <rPr>
        <i/>
        <vertAlign val="subscript"/>
        <sz val="10"/>
        <color theme="1"/>
        <rFont val="Times New Roman"/>
        <family val="1"/>
      </rPr>
      <t>CHW</t>
    </r>
  </si>
  <si>
    <r>
      <t>C</t>
    </r>
    <r>
      <rPr>
        <i/>
        <vertAlign val="subscript"/>
        <sz val="10"/>
        <color theme="1"/>
        <rFont val="Times New Roman"/>
        <family val="1"/>
      </rPr>
      <t>DHW</t>
    </r>
  </si>
  <si>
    <r>
      <t>C</t>
    </r>
    <r>
      <rPr>
        <i/>
        <vertAlign val="subscript"/>
        <sz val="10"/>
        <color theme="1"/>
        <rFont val="Times New Roman"/>
        <family val="1"/>
      </rPr>
      <t>UAV</t>
    </r>
  </si>
  <si>
    <r>
      <t>C</t>
    </r>
    <r>
      <rPr>
        <i/>
        <vertAlign val="subscript"/>
        <sz val="10"/>
        <color theme="1"/>
        <rFont val="Times New Roman"/>
        <family val="1"/>
      </rPr>
      <t>M</t>
    </r>
  </si>
  <si>
    <t>Paamete</t>
  </si>
  <si>
    <t>Scenaio</t>
  </si>
  <si>
    <t>Featue</t>
  </si>
  <si>
    <t>Desciption</t>
  </si>
  <si>
    <t>Watebeg</t>
  </si>
  <si>
    <t>Chis-Hani</t>
  </si>
  <si>
    <t>Fances Baad</t>
  </si>
  <si>
    <t>Zeeust</t>
  </si>
  <si>
    <t>Aveage time befoe disposal.</t>
  </si>
  <si>
    <t>5 [yeas]</t>
  </si>
  <si>
    <t>10 [yeas]</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</si>
  <si>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</si>
  <si>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</si>
  <si>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</si>
  <si>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</si>
  <si>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</si>
  <si>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</si>
  <si>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</si>
  <si>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</si>
  <si>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</si>
  <si>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</si>
  <si>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</si>
  <si>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</si>
  <si>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</si>
  <si>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</si>
  <si>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</si>
  <si>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</si>
  <si>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</si>
  <si>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</si>
  <si>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</si>
  <si>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</si>
  <si>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</si>
  <si>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</si>
  <si>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</si>
  <si>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</si>
  <si>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</si>
  <si>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</si>
  <si>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</si>
  <si>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</si>
  <si>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</si>
  <si>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</si>
  <si>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</si>
  <si>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Sola Panel Powe</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</si>
  <si>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</si>
  <si>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</si>
  <si>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</si>
  <si>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</si>
  <si>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Numbe of Deployed 5G – Nodes</t>
  </si>
  <si>
    <t>Batteries</t>
  </si>
  <si>
    <t>Solar Panel</t>
  </si>
  <si>
    <t>Commodity HW</t>
  </si>
  <si>
    <t>Dedicated HW</t>
  </si>
  <si>
    <t>UAV</t>
  </si>
  <si>
    <t>Site Acquisition</t>
  </si>
  <si>
    <t>`</t>
  </si>
  <si>
    <t>NU</t>
  </si>
  <si>
    <t>CE</t>
  </si>
  <si>
    <t>PSP</t>
  </si>
  <si>
    <t>NB</t>
  </si>
  <si>
    <t>NC</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</si>
  <si>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</si>
  <si>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</si>
  <si>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</si>
  <si>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</si>
  <si>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</si>
  <si>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</si>
  <si>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</si>
  <si>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</si>
  <si>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</si>
  <si>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</si>
  <si>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</si>
  <si>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</si>
  <si>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</si>
  <si>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</si>
  <si>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</si>
  <si>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</si>
  <si>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</si>
  <si>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</si>
  <si>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Scenario</t>
  </si>
  <si>
    <t>Waterberg</t>
  </si>
  <si>
    <t>Chris-Hani</t>
  </si>
  <si>
    <t>Frances Baard</t>
  </si>
  <si>
    <t>Zeerust</t>
  </si>
  <si>
    <t>District</t>
  </si>
  <si>
    <t>Rural Residential</t>
  </si>
  <si>
    <t>Area Description</t>
  </si>
  <si>
    <t>Category C Municipality located in Limpopo</t>
  </si>
  <si>
    <t>Category C Municipality located in Eastern Cape</t>
  </si>
  <si>
    <t>Category C Municipality located in Northern Cape</t>
  </si>
  <si>
    <t>Next to Johannesburg</t>
  </si>
  <si>
    <t>Outside Phalaborwa in Limpopo</t>
  </si>
  <si>
    <t xml:space="preserve">Commercial town situated in North West </t>
  </si>
  <si>
    <t>A township west of Nigel on the East Rand</t>
  </si>
  <si>
    <t>A village next to Qumbu and Mthatha in Eastern Cape</t>
  </si>
  <si>
    <r>
      <t xml:space="preserve">A village next to </t>
    </r>
    <r>
      <rPr>
        <sz val="10"/>
        <color theme="1"/>
        <rFont val="Lato"/>
        <family val="2"/>
      </rPr>
      <t xml:space="preserve"> </t>
    </r>
    <r>
      <rPr>
        <sz val="7"/>
        <color theme="1"/>
        <rFont val="Lato"/>
        <family val="2"/>
      </rPr>
      <t>Mthatha in Eastern Cape</t>
    </r>
  </si>
  <si>
    <t>Area Size</t>
  </si>
  <si>
    <r>
      <t>20 011 [km</t>
    </r>
    <r>
      <rPr>
        <vertAlign val="superscript"/>
        <sz val="7"/>
        <color theme="1"/>
        <rFont val="Lato"/>
        <family val="2"/>
      </rPr>
      <t>2</t>
    </r>
    <r>
      <rPr>
        <sz val="7"/>
        <color theme="1"/>
        <rFont val="Lato"/>
        <family val="2"/>
      </rPr>
      <t>]</t>
    </r>
  </si>
  <si>
    <r>
      <t>25 596 [km</t>
    </r>
    <r>
      <rPr>
        <vertAlign val="superscript"/>
        <sz val="7"/>
        <color theme="1"/>
        <rFont val="Lato"/>
        <family val="2"/>
      </rPr>
      <t>2</t>
    </r>
    <r>
      <rPr>
        <sz val="7"/>
        <color theme="1"/>
        <rFont val="Lato"/>
        <family val="2"/>
      </rPr>
      <t>]</t>
    </r>
  </si>
  <si>
    <r>
      <t>44 913 [km</t>
    </r>
    <r>
      <rPr>
        <vertAlign val="superscript"/>
        <sz val="7"/>
        <color theme="1"/>
        <rFont val="Lato"/>
        <family val="2"/>
      </rPr>
      <t>2</t>
    </r>
    <r>
      <rPr>
        <sz val="7"/>
        <color theme="1"/>
        <rFont val="Lato"/>
        <family val="2"/>
      </rPr>
      <t>]</t>
    </r>
  </si>
  <si>
    <r>
      <t>36 407 [km</t>
    </r>
    <r>
      <rPr>
        <vertAlign val="superscript"/>
        <sz val="7"/>
        <color theme="1"/>
        <rFont val="Lato"/>
        <family val="2"/>
      </rPr>
      <t>2</t>
    </r>
    <r>
      <rPr>
        <sz val="7"/>
        <color theme="1"/>
        <rFont val="Lato"/>
        <family val="2"/>
      </rPr>
      <t>]</t>
    </r>
  </si>
  <si>
    <r>
      <t>12 836 [km</t>
    </r>
    <r>
      <rPr>
        <vertAlign val="superscript"/>
        <sz val="7"/>
        <color theme="1"/>
        <rFont val="Lato"/>
        <family val="2"/>
      </rPr>
      <t>2</t>
    </r>
    <r>
      <rPr>
        <sz val="7"/>
        <color theme="1"/>
        <rFont val="Lato"/>
        <family val="2"/>
      </rPr>
      <t>]</t>
    </r>
  </si>
  <si>
    <r>
      <t>200.03 [km</t>
    </r>
    <r>
      <rPr>
        <vertAlign val="superscript"/>
        <sz val="7"/>
        <color theme="1"/>
        <rFont val="Lato"/>
        <family val="2"/>
      </rPr>
      <t>2</t>
    </r>
    <r>
      <rPr>
        <sz val="7"/>
        <color theme="1"/>
        <rFont val="Lato"/>
        <family val="2"/>
      </rPr>
      <t>]</t>
    </r>
  </si>
  <si>
    <r>
      <t>38.71 [km</t>
    </r>
    <r>
      <rPr>
        <vertAlign val="superscript"/>
        <sz val="7"/>
        <color theme="1"/>
        <rFont val="Lato"/>
        <family val="2"/>
      </rPr>
      <t>2</t>
    </r>
    <r>
      <rPr>
        <sz val="7"/>
        <color theme="1"/>
        <rFont val="Lato"/>
        <family val="2"/>
      </rPr>
      <t>]</t>
    </r>
  </si>
  <si>
    <r>
      <t>6.61 [km</t>
    </r>
    <r>
      <rPr>
        <vertAlign val="superscript"/>
        <sz val="7"/>
        <color theme="1"/>
        <rFont val="Lato"/>
        <family val="2"/>
      </rPr>
      <t>2</t>
    </r>
    <r>
      <rPr>
        <sz val="7"/>
        <color theme="1"/>
        <rFont val="Lato"/>
        <family val="2"/>
      </rPr>
      <t>]</t>
    </r>
  </si>
  <si>
    <r>
      <t>57.09 [km</t>
    </r>
    <r>
      <rPr>
        <vertAlign val="superscript"/>
        <sz val="7"/>
        <color theme="1"/>
        <rFont val="Lato"/>
        <family val="2"/>
      </rPr>
      <t>2</t>
    </r>
    <r>
      <rPr>
        <sz val="7"/>
        <color theme="1"/>
        <rFont val="Lato"/>
        <family val="2"/>
      </rPr>
      <t>]</t>
    </r>
  </si>
  <si>
    <r>
      <t>11.23 [km</t>
    </r>
    <r>
      <rPr>
        <vertAlign val="superscript"/>
        <sz val="7"/>
        <color theme="1"/>
        <rFont val="Lato"/>
        <family val="2"/>
      </rPr>
      <t>2</t>
    </r>
    <r>
      <rPr>
        <sz val="7"/>
        <color theme="1"/>
        <rFont val="Lato"/>
        <family val="2"/>
      </rPr>
      <t>]</t>
    </r>
  </si>
  <si>
    <r>
      <t>- [km</t>
    </r>
    <r>
      <rPr>
        <vertAlign val="superscript"/>
        <sz val="7"/>
        <color theme="1"/>
        <rFont val="Lato"/>
        <family val="2"/>
      </rPr>
      <t>2</t>
    </r>
    <r>
      <rPr>
        <sz val="7"/>
        <color theme="1"/>
        <rFont val="Lato"/>
        <family val="2"/>
      </rPr>
      <t>]</t>
    </r>
  </si>
  <si>
    <t>Average Density</t>
  </si>
  <si>
    <r>
      <t>55 [users/km</t>
    </r>
    <r>
      <rPr>
        <vertAlign val="superscript"/>
        <sz val="7"/>
        <color theme="1"/>
        <rFont val="Lato"/>
        <family val="2"/>
      </rPr>
      <t>2</t>
    </r>
    <r>
      <rPr>
        <sz val="7"/>
        <color theme="1"/>
        <rFont val="Lato"/>
        <family val="2"/>
      </rPr>
      <t>]</t>
    </r>
  </si>
  <si>
    <r>
      <t>51 [users/km</t>
    </r>
    <r>
      <rPr>
        <vertAlign val="superscript"/>
        <sz val="7"/>
        <color theme="1"/>
        <rFont val="Lato"/>
        <family val="2"/>
      </rPr>
      <t>2</t>
    </r>
    <r>
      <rPr>
        <sz val="7"/>
        <color theme="1"/>
        <rFont val="Lato"/>
        <family val="2"/>
      </rPr>
      <t>]</t>
    </r>
  </si>
  <si>
    <r>
      <t>15 [users/km</t>
    </r>
    <r>
      <rPr>
        <vertAlign val="superscript"/>
        <sz val="7"/>
        <color theme="1"/>
        <rFont val="Lato"/>
        <family val="2"/>
      </rPr>
      <t>2</t>
    </r>
    <r>
      <rPr>
        <sz val="7"/>
        <color theme="1"/>
        <rFont val="Lato"/>
        <family val="2"/>
      </rPr>
      <t>]</t>
    </r>
  </si>
  <si>
    <r>
      <t>22 [users/km</t>
    </r>
    <r>
      <rPr>
        <vertAlign val="superscript"/>
        <sz val="7"/>
        <color theme="1"/>
        <rFont val="Lato"/>
        <family val="2"/>
      </rPr>
      <t>2</t>
    </r>
    <r>
      <rPr>
        <sz val="7"/>
        <color theme="1"/>
        <rFont val="Lato"/>
        <family val="2"/>
      </rPr>
      <t>]</t>
    </r>
  </si>
  <si>
    <r>
      <t>30 [users/km</t>
    </r>
    <r>
      <rPr>
        <vertAlign val="superscript"/>
        <sz val="7"/>
        <color theme="1"/>
        <rFont val="Lato"/>
        <family val="2"/>
      </rPr>
      <t>2</t>
    </r>
    <r>
      <rPr>
        <sz val="7"/>
        <color theme="1"/>
        <rFont val="Lato"/>
        <family val="2"/>
      </rPr>
      <t>]</t>
    </r>
  </si>
  <si>
    <r>
      <t>6 400 [users/km</t>
    </r>
    <r>
      <rPr>
        <vertAlign val="superscript"/>
        <sz val="7"/>
        <color theme="1"/>
        <rFont val="Lato"/>
        <family val="2"/>
      </rPr>
      <t>2</t>
    </r>
    <r>
      <rPr>
        <sz val="7"/>
        <color theme="1"/>
        <rFont val="Lato"/>
        <family val="2"/>
      </rPr>
      <t>]</t>
    </r>
  </si>
  <si>
    <r>
      <t>10 000 [users/km</t>
    </r>
    <r>
      <rPr>
        <vertAlign val="superscript"/>
        <sz val="7"/>
        <color theme="1"/>
        <rFont val="Lato"/>
        <family val="2"/>
      </rPr>
      <t>2</t>
    </r>
    <r>
      <rPr>
        <sz val="7"/>
        <color theme="1"/>
        <rFont val="Lato"/>
        <family val="2"/>
      </rPr>
      <t>]</t>
    </r>
  </si>
  <si>
    <r>
      <t>2 200 [users/km</t>
    </r>
    <r>
      <rPr>
        <vertAlign val="superscript"/>
        <sz val="7"/>
        <color theme="1"/>
        <rFont val="Lato"/>
        <family val="2"/>
      </rPr>
      <t>2</t>
    </r>
    <r>
      <rPr>
        <sz val="7"/>
        <color theme="1"/>
        <rFont val="Lato"/>
        <family val="2"/>
      </rPr>
      <t>]</t>
    </r>
  </si>
  <si>
    <r>
      <t>160 [users/km</t>
    </r>
    <r>
      <rPr>
        <vertAlign val="superscript"/>
        <sz val="7"/>
        <color theme="1"/>
        <rFont val="Lato"/>
        <family val="2"/>
      </rPr>
      <t>2</t>
    </r>
    <r>
      <rPr>
        <sz val="7"/>
        <color theme="1"/>
        <rFont val="Lato"/>
        <family val="2"/>
      </rPr>
      <t>]</t>
    </r>
  </si>
  <si>
    <r>
      <t>6,500 [users/km</t>
    </r>
    <r>
      <rPr>
        <vertAlign val="superscript"/>
        <sz val="7"/>
        <color theme="1"/>
        <rFont val="Lato"/>
        <family val="2"/>
      </rPr>
      <t>2</t>
    </r>
    <r>
      <rPr>
        <sz val="7"/>
        <color theme="1"/>
        <rFont val="Lato"/>
        <family val="2"/>
      </rPr>
      <t>]</t>
    </r>
  </si>
  <si>
    <r>
      <t>- [users/km</t>
    </r>
    <r>
      <rPr>
        <vertAlign val="superscript"/>
        <sz val="7"/>
        <color theme="1"/>
        <rFont val="Lato"/>
        <family val="2"/>
      </rPr>
      <t>2</t>
    </r>
    <r>
      <rPr>
        <sz val="7"/>
        <color theme="1"/>
        <rFont val="Lato"/>
        <family val="2"/>
      </rPr>
      <t>]</t>
    </r>
  </si>
  <si>
    <t>Average Downlink Throughput</t>
  </si>
  <si>
    <t>50 [Mbps/user]</t>
  </si>
  <si>
    <t>100 [Mbps/user]</t>
  </si>
  <si>
    <t>10 [Mbps/user]</t>
  </si>
  <si>
    <t>Number of Inhabitants</t>
  </si>
  <si>
    <r>
      <t>N</t>
    </r>
    <r>
      <rPr>
        <i/>
        <vertAlign val="subscript"/>
        <sz val="7"/>
        <color theme="1"/>
        <rFont val="Lato"/>
        <family val="2"/>
      </rPr>
      <t>U</t>
    </r>
  </si>
  <si>
    <t>~3000</t>
  </si>
  <si>
    <t>~3500</t>
  </si>
  <si>
    <t>~5000</t>
  </si>
  <si>
    <t>Active Users Ratio</t>
  </si>
  <si>
    <t>Electricity Grid Cost</t>
  </si>
  <si>
    <r>
      <t>C</t>
    </r>
    <r>
      <rPr>
        <i/>
        <vertAlign val="subscript"/>
        <sz val="7"/>
        <color theme="1"/>
        <rFont val="Lato"/>
        <family val="2"/>
      </rPr>
      <t>E</t>
    </r>
  </si>
  <si>
    <t>R 2.89 [/kWh]</t>
  </si>
  <si>
    <t>No legal connection</t>
  </si>
  <si>
    <t>No connection</t>
  </si>
  <si>
    <t>Solar Panel Power</t>
  </si>
  <si>
    <r>
      <t>P</t>
    </r>
    <r>
      <rPr>
        <i/>
        <vertAlign val="subscript"/>
        <sz val="7"/>
        <color theme="1"/>
        <rFont val="Lato"/>
        <family val="2"/>
      </rPr>
      <t>SP</t>
    </r>
  </si>
  <si>
    <t>6.5 [kWp/site]</t>
  </si>
  <si>
    <t>5.5 [kWp/site]</t>
  </si>
  <si>
    <t>6.1 [kWp/site]</t>
  </si>
  <si>
    <t>5.8 [kWp/site]</t>
  </si>
  <si>
    <t>5.1 [kWp/site]</t>
  </si>
  <si>
    <t>4.8 [kWp/site]</t>
  </si>
  <si>
    <t>4.6 [kWp/site]</t>
  </si>
  <si>
    <t>2.6 [kWp/site]</t>
  </si>
  <si>
    <t>3.2 [kWp/site]</t>
  </si>
  <si>
    <t>3.4 [kWp/site]</t>
  </si>
  <si>
    <t>1.8 [kWp/site]</t>
  </si>
  <si>
    <t>1.9 [kWp/site]</t>
  </si>
  <si>
    <t>2.1 [kWp/site]</t>
  </si>
  <si>
    <t>13.7 [kWp/site]</t>
  </si>
  <si>
    <t>13.6 [kWp/site]</t>
  </si>
  <si>
    <t>12.5 [kWp/site]</t>
  </si>
  <si>
    <t>11.7 [kWp/site]</t>
  </si>
  <si>
    <t>13 [kWp/site]</t>
  </si>
  <si>
    <t>12.8 [kWp/site]</t>
  </si>
  <si>
    <t>11.2 [kWp/site]</t>
  </si>
  <si>
    <t>11.5 [kWp/site]</t>
  </si>
  <si>
    <t>Number of Batteries</t>
  </si>
  <si>
    <r>
      <t>N</t>
    </r>
    <r>
      <rPr>
        <i/>
        <vertAlign val="subscript"/>
        <sz val="7"/>
        <color theme="1"/>
        <rFont val="Lato"/>
        <family val="2"/>
      </rPr>
      <t>B</t>
    </r>
  </si>
  <si>
    <t>24 [units/site]</t>
  </si>
  <si>
    <t>18 [units/site]</t>
  </si>
  <si>
    <t>12 [units/site]</t>
  </si>
  <si>
    <t>30 [units/site]</t>
  </si>
  <si>
    <t>15 [units/site]</t>
  </si>
  <si>
    <t>0 [units/site]</t>
  </si>
  <si>
    <t>6 [units/site]</t>
  </si>
  <si>
    <t>5 [units/site]</t>
  </si>
  <si>
    <t>3 [units/site]</t>
  </si>
  <si>
    <t>10 [units/site]</t>
  </si>
  <si>
    <t>7 [units/site]</t>
  </si>
  <si>
    <t>36 [units/site]</t>
  </si>
  <si>
    <t>27 [units/site]</t>
  </si>
  <si>
    <t>45 [units/site]</t>
  </si>
  <si>
    <t>13 [units/site]</t>
  </si>
  <si>
    <t>2 [units/site]</t>
  </si>
  <si>
    <t>17 [units/site]</t>
  </si>
  <si>
    <t>11 [units/site]</t>
  </si>
  <si>
    <r>
      <t>Number of Deployed 5</t>
    </r>
    <r>
      <rPr>
        <i/>
        <vertAlign val="superscript"/>
        <sz val="7"/>
        <color theme="1"/>
        <rFont val="Lato"/>
        <family val="2"/>
      </rPr>
      <t xml:space="preserve">G </t>
    </r>
    <r>
      <rPr>
        <i/>
        <sz val="7"/>
        <color theme="1"/>
        <rFont val="Lato"/>
        <family val="2"/>
      </rPr>
      <t>– Nodes</t>
    </r>
  </si>
  <si>
    <r>
      <t>N</t>
    </r>
    <r>
      <rPr>
        <i/>
        <vertAlign val="subscript"/>
        <sz val="7"/>
        <color theme="1"/>
        <rFont val="Lato"/>
        <family val="2"/>
      </rPr>
      <t>C</t>
    </r>
  </si>
  <si>
    <r>
      <t>C</t>
    </r>
    <r>
      <rPr>
        <i/>
        <vertAlign val="subscript"/>
        <sz val="7"/>
        <color theme="1"/>
        <rFont val="Lato"/>
        <family val="2"/>
      </rPr>
      <t>SA</t>
    </r>
  </si>
  <si>
    <t>R577.3 [k/site]</t>
  </si>
  <si>
    <t>R173.3 [k/site]</t>
  </si>
  <si>
    <t>R120 [k/site]</t>
  </si>
  <si>
    <t>R178.5 [k/site]</t>
  </si>
  <si>
    <t>R 173.3 [k/site]</t>
  </si>
  <si>
    <t>R1732 [k/site]</t>
  </si>
  <si>
    <t>R519.6 [k/site]</t>
  </si>
  <si>
    <t>R480.8 [k/site]</t>
  </si>
  <si>
    <t>R 511 [k/site]</t>
  </si>
  <si>
    <t>R 519.6 [k/site]</t>
  </si>
  <si>
    <t>Spectrum Licensing</t>
  </si>
  <si>
    <t>Hotspot</t>
  </si>
  <si>
    <t>Virtual Slice</t>
  </si>
  <si>
    <t>Numbe of Deployed 5G – Nodes (USER)</t>
  </si>
  <si>
    <t>Numbe of Deployed 5G – Nodes (AREA)</t>
  </si>
  <si>
    <t>NC - User</t>
  </si>
  <si>
    <t>Heterogeneous</t>
  </si>
  <si>
    <t>UAV - Based on Area</t>
  </si>
  <si>
    <t>LC - Based on Area</t>
  </si>
  <si>
    <t>Hotspot - Based on Area</t>
  </si>
  <si>
    <t>UAV - Based on Active Users</t>
  </si>
  <si>
    <t>LC - Based on Active Users</t>
  </si>
  <si>
    <t>Hotspot - Based on Active Users</t>
  </si>
  <si>
    <t xml:space="preserve">Number of Deployed 5G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</si>
</sst>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7">
    <font>
      <sz val="11"/>
      <color theme="1"/>
      <name val="Calibri"/>
      <family val="2"/>
      <scheme val="minor"/>
    </font>
    <font>
      <sz val="11"/>
      <color theme="1"/>
      <name val="Calibri"/>
      <family val="2"/>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i/>
      <vertAlign val="subscript"/>
      <sz val="10"/>
      <color theme="1"/>
      <name val="Times New Roman"/>
      <family val="1"/>
    </font>
    <font>
      <i/>
      <vertAlign val="superscript"/>
      <sz val="10"/>
      <color theme="1"/>
      <name val="Times New Roman"/>
      <family val="1"/>
    </font>
    <font>
      <sz val="10"/>
      <color theme="1"/>
      <name val="Calibri"/>
      <family val="2"/>
      <scheme val="minor"/>
    </font>
    <font>
      <sz val="10"/>
      <color theme="1"/>
      <name val="Lato"/>
      <family val="2"/>
    </font>
    <font>
      <b/>
      <sz val="8"/>
      <color theme="1"/>
      <name val="Lato"/>
      <family val="2"/>
    </font>
    <font>
      <b/>
      <i/>
      <sz val="7"/>
      <color theme="1"/>
      <name val="Lato"/>
      <family val="2"/>
    </font>
    <font>
      <sz val="7"/>
      <color theme="1"/>
      <name val="Lato"/>
      <family val="2"/>
    </font>
    <font>
      <i/>
      <sz val="7"/>
      <color theme="1"/>
      <name val="Lato"/>
      <family val="2"/>
    </font>
    <font>
      <vertAlign val="superscript"/>
      <sz val="7"/>
      <color theme="1"/>
      <name val="Lato"/>
      <family val="2"/>
    </font>
    <font>
      <i/>
      <vertAlign val="subscript"/>
      <sz val="7"/>
      <color theme="1"/>
      <name val="Lato"/>
      <family val="2"/>
    </font>
    <font>
      <i/>
      <vertAlign val="superscript"/>
      <sz val="7"/>
      <color theme="1"/>
      <name val="Lato"/>
      <family val="2"/>
    </font>
  </fonts>
  <fills count="4">
    <fill>
      <patternFill patternType="none"/>
    </fill>
    <fill>
      <patternFill patternType="gray125"/>
    </fill>
    <fill>
      <patternFill patternType="solid">
        <fgColor rgb="FFDDDDDD"/>
        <bgColor indexed="64"/>
      </patternFill>
    </fill>
    <fill>
      <patternFill patternType="solid">
        <fgColor rgb="FFFFFFFF"/>
        <bgColor indexed="64"/>
      </patternFill>
    </fill>
  </fills>
  <borders count="12">
    <border>
      <left/>
      <right/>
      <top/>
      <bottom/>
      <diagonal/>
    </border>
    <border>
      <left style="medium">
        <color rgb="FFDDDDDD"/>
      </left>
      <right/>
      <top style="medium">
        <color rgb="FFDDDDDD"/>
      </top>
      <bottom/>
      <diagonal/>
    </border>
    <border>
      <left/>
      <right/>
      <top style="medium">
        <color rgb="FFDDDDDD"/>
      </top>
      <bottom/>
      <diagonal/>
    </border>
    <border>
      <left/>
      <right style="medium">
        <color rgb="FFDDDDDD"/>
      </right>
      <top style="medium">
        <color rgb="FFDDDDDD"/>
      </top>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bottom/>
      <diagonal/>
    </border>
    <border>
      <left/>
      <right style="medium">
        <color rgb="FFDDDDDD"/>
      </right>
      <top/>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83">
    <xf numFmtId="0" fontId="0" fillId="0" borderId="0" xfId="0"/>
    <xf numFmtId="0" fontId="1" fillId="0" borderId="0" xfId="0" applyFont="1"/>
    <xf numFmtId="0" fontId="2" fillId="0" borderId="5" xfId="0" applyFont="1" applyBorder="1" applyAlignment="1">
      <alignment horizontal="center" vertical="center" wrapText="1"/>
    </xf>
    <xf numFmtId="0" fontId="3" fillId="2" borderId="2" xfId="0" applyFont="1" applyFill="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justify" vertical="center" wrapText="1"/>
    </xf>
    <xf numFmtId="0" fontId="5" fillId="0" borderId="5" xfId="0" applyFont="1" applyBorder="1" applyAlignment="1">
      <alignment horizontal="justify" vertical="center" wrapText="1"/>
    </xf>
    <xf numFmtId="0" fontId="2" fillId="0" borderId="0" xfId="0" applyFont="1" applyAlignment="1">
      <alignment horizontal="justify"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3" borderId="4" xfId="0" applyFont="1" applyFill="1" applyBorder="1" applyAlignment="1">
      <alignment horizontal="right" vertical="center" wrapText="1"/>
    </xf>
    <xf numFmtId="0" fontId="5" fillId="3" borderId="7" xfId="0" applyFont="1" applyFill="1" applyBorder="1" applyAlignment="1">
      <alignment horizontal="right" vertical="center" wrapText="1"/>
    </xf>
    <xf numFmtId="0" fontId="2" fillId="0" borderId="8" xfId="0" applyFont="1" applyBorder="1" applyAlignment="1">
      <alignment horizontal="justify" vertical="center" wrapText="1"/>
    </xf>
    <xf numFmtId="0" fontId="5" fillId="3" borderId="9" xfId="0" applyFont="1" applyFill="1" applyBorder="1" applyAlignment="1">
      <alignment horizontal="right" vertical="center" wrapText="1"/>
    </xf>
    <xf numFmtId="0" fontId="5" fillId="0" borderId="1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horizontal="justify" vertical="center" wrapText="1"/>
    </xf>
    <xf numFmtId="0" fontId="2" fillId="0" borderId="11" xfId="0" applyFont="1" applyBorder="1" applyAlignment="1">
      <alignment horizontal="justify" vertical="center" wrapText="1"/>
    </xf>
    <xf numFmtId="0" fontId="8" fillId="0" borderId="0" xfId="0" applyFont="1"/>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2" fontId="2" fillId="0" borderId="0" xfId="0" applyNumberFormat="1" applyFont="1" applyAlignment="1">
      <alignment horizontal="left" vertical="center" wrapText="1"/>
    </xf>
    <xf numFmtId="2" fontId="2" fillId="0" borderId="8" xfId="0" applyNumberFormat="1" applyFont="1" applyBorder="1" applyAlignment="1">
      <alignment horizontal="left" vertical="center" wrapText="1"/>
    </xf>
    <xf numFmtId="2" fontId="2" fillId="0" borderId="5" xfId="0" applyNumberFormat="1" applyFont="1" applyBorder="1" applyAlignment="1">
      <alignment horizontal="left" vertical="center" wrapText="1"/>
    </xf>
    <xf numFmtId="2" fontId="2" fillId="0" borderId="6" xfId="0" applyNumberFormat="1" applyFont="1" applyBorder="1" applyAlignment="1">
      <alignment horizontal="left" vertical="center" wrapText="1"/>
    </xf>
    <xf numFmtId="2" fontId="0" fillId="0" borderId="0" xfId="0" applyNumberFormat="1"/>
    <xf numFmtId="0" fontId="0" fillId="0" borderId="0" xfId="0" applyNumberFormat="1"/>
    <xf numFmtId="9" fontId="0" fillId="0" borderId="0" xfId="0" applyNumberFormat="1"/>
    <xf numFmtId="164" fontId="0" fillId="0" borderId="0" xfId="0" applyNumberFormat="1"/>
    <xf numFmtId="0" fontId="10" fillId="2" borderId="2"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justify" vertical="center" wrapText="1"/>
    </xf>
    <xf numFmtId="0" fontId="12" fillId="0" borderId="6" xfId="0" applyFont="1" applyBorder="1" applyAlignment="1">
      <alignment horizontal="justify"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3" fontId="12" fillId="0" borderId="5" xfId="0" applyNumberFormat="1" applyFont="1" applyBorder="1" applyAlignment="1">
      <alignment horizontal="left" vertical="center" wrapText="1"/>
    </xf>
    <xf numFmtId="0" fontId="13" fillId="0" borderId="0" xfId="0" applyFont="1" applyAlignment="1">
      <alignment horizontal="justify" vertical="center" wrapText="1"/>
    </xf>
    <xf numFmtId="0" fontId="13" fillId="0" borderId="5" xfId="0" applyFont="1" applyBorder="1" applyAlignment="1">
      <alignment horizontal="justify" vertical="center" wrapText="1"/>
    </xf>
    <xf numFmtId="0" fontId="12" fillId="0" borderId="0" xfId="0" applyFont="1" applyAlignment="1">
      <alignment horizontal="justify" vertical="center" wrapText="1"/>
    </xf>
    <xf numFmtId="0" fontId="12" fillId="0" borderId="8" xfId="0" applyFont="1" applyBorder="1" applyAlignment="1">
      <alignment horizontal="justify" vertical="center" wrapText="1"/>
    </xf>
    <xf numFmtId="0" fontId="12" fillId="0" borderId="5" xfId="0" applyFont="1" applyBorder="1" applyAlignment="1">
      <alignment horizontal="center" vertical="center" wrapText="1"/>
    </xf>
    <xf numFmtId="0" fontId="13" fillId="3" borderId="1" xfId="0" applyFont="1" applyFill="1" applyBorder="1" applyAlignment="1">
      <alignment horizontal="right" vertical="center" wrapText="1"/>
    </xf>
    <xf numFmtId="0" fontId="13" fillId="3" borderId="9" xfId="0" applyFont="1" applyFill="1" applyBorder="1" applyAlignment="1">
      <alignment horizontal="right" vertical="center" wrapText="1"/>
    </xf>
    <xf numFmtId="0" fontId="13" fillId="0" borderId="2" xfId="0" applyFont="1" applyBorder="1" applyAlignment="1">
      <alignment horizontal="center" vertical="center" wrapText="1"/>
    </xf>
    <xf numFmtId="0" fontId="13" fillId="0" borderId="10" xfId="0" applyFont="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2" fontId="2" fillId="0" borderId="5" xfId="0" applyNumberFormat="1" applyFont="1" applyBorder="1" applyAlignment="1">
      <alignment horizontal="center" vertical="center" wrapText="1"/>
    </xf>
    <xf numFmtId="0" fontId="5" fillId="3" borderId="1" xfId="0" applyFont="1" applyFill="1" applyBorder="1" applyAlignment="1">
      <alignment horizontal="right" vertical="center" wrapText="1"/>
    </xf>
    <xf numFmtId="0" fontId="5" fillId="3" borderId="9" xfId="0" applyFont="1" applyFill="1" applyBorder="1" applyAlignment="1">
      <alignment horizontal="right" vertical="center" wrapText="1"/>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2" fontId="2" fillId="0" borderId="6"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DATA!$C$30</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DATA!$D$30:$P$30</c15:sqref>
                  </c15:fullRef>
                </c:ext>
              </c:extLst>
              <c:f>DATA!$D$30:$H$30</c:f>
              <c:numCache>
                <c:formatCode>General</c:formatCode>
                <c:ptCount val="5"/>
                <c:pt idx="0">
                  <c:v>1287816.2000000002</c:v>
                </c:pt>
                <c:pt idx="1">
                  <c:v>1560556.8</c:v>
                </c:pt>
                <c:pt idx="2">
                  <c:v>1825533.6</c:v>
                </c:pt>
                <c:pt idx="3">
                  <c:v>3699498</c:v>
                </c:pt>
                <c:pt idx="4">
                  <c:v>652179</c:v>
                </c:pt>
              </c:numCache>
            </c:numRef>
          </c:val>
          <c:extLst>
            <c:ext xmlns:c16="http://schemas.microsoft.com/office/drawing/2014/chart" uri="{C3380CC4-5D6E-409C-BE32-E72D297353CC}">
              <c16:uniqueId val="{00000000-B873-4790-9673-DC8AC3D8D5E2}"/>
            </c:ext>
          </c:extLst>
        </c:ser>
        <c:ser>
          <c:idx val="1"/>
          <c:order val="1"/>
          <c:tx>
            <c:strRef>
              <c:f>DATA!$C$31</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DATA!$D$31:$P$31</c15:sqref>
                  </c15:fullRef>
                </c:ext>
              </c:extLst>
              <c:f>DATA!$D$31:$H$31</c:f>
              <c:numCache>
                <c:formatCode>General</c:formatCode>
                <c:ptCount val="5"/>
                <c:pt idx="0">
                  <c:v>2312985.6750000003</c:v>
                </c:pt>
                <c:pt idx="1">
                  <c:v>2503393.2000000002</c:v>
                </c:pt>
                <c:pt idx="2">
                  <c:v>4871892.7949999999</c:v>
                </c:pt>
                <c:pt idx="3">
                  <c:v>3754990.4700000007</c:v>
                </c:pt>
                <c:pt idx="4">
                  <c:v>1164139.5150000001</c:v>
                </c:pt>
              </c:numCache>
            </c:numRef>
          </c:val>
          <c:extLst>
            <c:ext xmlns:c16="http://schemas.microsoft.com/office/drawing/2014/chart" uri="{C3380CC4-5D6E-409C-BE32-E72D297353CC}">
              <c16:uniqueId val="{00000001-B873-4790-9673-DC8AC3D8D5E2}"/>
            </c:ext>
          </c:extLst>
        </c:ser>
        <c:ser>
          <c:idx val="2"/>
          <c:order val="2"/>
          <c:tx>
            <c:strRef>
              <c:f>DATA!$C$32</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DATA!$D$32:$P$32</c15:sqref>
                  </c15:fullRef>
                </c:ext>
              </c:extLst>
              <c:f>DATA!$D$32:$H$32</c:f>
              <c:numCache>
                <c:formatCode>0.00</c:formatCode>
                <c:ptCount val="5"/>
                <c:pt idx="0">
                  <c:v>4448819.6000000006</c:v>
                </c:pt>
                <c:pt idx="1">
                  <c:v>5690515.2000000002</c:v>
                </c:pt>
                <c:pt idx="2">
                  <c:v>9985115.5999999996</c:v>
                </c:pt>
                <c:pt idx="3">
                  <c:v>8094053.2000000002</c:v>
                </c:pt>
                <c:pt idx="4">
                  <c:v>2853777.2</c:v>
                </c:pt>
              </c:numCache>
            </c:numRef>
          </c:val>
          <c:extLst>
            <c:ext xmlns:c16="http://schemas.microsoft.com/office/drawing/2014/chart" uri="{C3380CC4-5D6E-409C-BE32-E72D297353CC}">
              <c16:uniqueId val="{00000002-B873-4790-9673-DC8AC3D8D5E2}"/>
            </c:ext>
          </c:extLst>
        </c:ser>
        <c:ser>
          <c:idx val="3"/>
          <c:order val="3"/>
          <c:tx>
            <c:strRef>
              <c:f>DATA!$C$33</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DATA!$D$33:$P$33</c15:sqref>
                  </c15:fullRef>
                </c:ext>
              </c:extLst>
              <c:f>DATA!$D$33:$H$33</c:f>
              <c:numCache>
                <c:formatCode>0.00</c:formatCode>
                <c:ptCount val="5"/>
                <c:pt idx="0">
                  <c:v>4448819.6000000006</c:v>
                </c:pt>
                <c:pt idx="1">
                  <c:v>5690515.2000000002</c:v>
                </c:pt>
                <c:pt idx="2">
                  <c:v>9985115.5999999996</c:v>
                </c:pt>
                <c:pt idx="3">
                  <c:v>8094053.2000000002</c:v>
                </c:pt>
                <c:pt idx="4">
                  <c:v>2853777.2</c:v>
                </c:pt>
              </c:numCache>
            </c:numRef>
          </c:val>
          <c:extLst>
            <c:ext xmlns:c16="http://schemas.microsoft.com/office/drawing/2014/chart" uri="{C3380CC4-5D6E-409C-BE32-E72D297353CC}">
              <c16:uniqueId val="{00000003-B873-4790-9673-DC8AC3D8D5E2}"/>
            </c:ext>
          </c:extLst>
        </c:ser>
        <c:ser>
          <c:idx val="4"/>
          <c:order val="4"/>
          <c:tx>
            <c:strRef>
              <c:f>DATA!$C$34</c:f>
              <c:strCache>
                <c:ptCount val="1"/>
                <c:pt idx="0">
                  <c:v>UAV</c:v>
                </c:pt>
              </c:strCache>
            </c:strRef>
          </c:tx>
          <c:spPr>
            <a:solidFill>
              <a:schemeClr val="accent5"/>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DATA!$D$34:$P$34</c15:sqref>
                  </c15:fullRef>
                </c:ext>
              </c:extLst>
              <c:f>DATA!$D$34:$H$34</c:f>
              <c:numCache>
                <c:formatCode>0.00</c:formatCode>
                <c:ptCount val="5"/>
                <c:pt idx="0">
                  <c:v>1913238.9000000001</c:v>
                </c:pt>
                <c:pt idx="1">
                  <c:v>2447236.8000000003</c:v>
                </c:pt>
                <c:pt idx="2">
                  <c:v>4294152.9000000004</c:v>
                </c:pt>
                <c:pt idx="3">
                  <c:v>3480891.3000000003</c:v>
                </c:pt>
                <c:pt idx="4">
                  <c:v>1227282.3</c:v>
                </c:pt>
              </c:numCache>
            </c:numRef>
          </c:val>
          <c:extLst>
            <c:ext xmlns:c16="http://schemas.microsoft.com/office/drawing/2014/chart" uri="{C3380CC4-5D6E-409C-BE32-E72D297353CC}">
              <c16:uniqueId val="{00000004-B873-4790-9673-DC8AC3D8D5E2}"/>
            </c:ext>
          </c:extLst>
        </c:ser>
        <c:ser>
          <c:idx val="5"/>
          <c:order val="5"/>
          <c:tx>
            <c:strRef>
              <c:f>DATA!$C$35</c:f>
              <c:strCache>
                <c:ptCount val="1"/>
                <c:pt idx="0">
                  <c:v>Site Acquisition</c:v>
                </c:pt>
              </c:strCache>
            </c:strRef>
          </c:tx>
          <c:spPr>
            <a:solidFill>
              <a:schemeClr val="accent6"/>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DATA!$D$35:$P$35</c15:sqref>
                  </c15:fullRef>
                </c:ext>
              </c:extLst>
              <c:f>DATA!$D$35:$H$35</c:f>
              <c:numCache>
                <c:formatCode>General</c:formatCode>
                <c:ptCount val="5"/>
                <c:pt idx="0">
                  <c:v>17786035.699999999</c:v>
                </c:pt>
                <c:pt idx="1">
                  <c:v>22750238.399999999</c:v>
                </c:pt>
                <c:pt idx="2">
                  <c:v>39919717.699999996</c:v>
                </c:pt>
                <c:pt idx="3">
                  <c:v>32359396.899999999</c:v>
                </c:pt>
                <c:pt idx="4">
                  <c:v>11409179.899999999</c:v>
                </c:pt>
              </c:numCache>
            </c:numRef>
          </c:val>
          <c:extLst>
            <c:ext xmlns:c16="http://schemas.microsoft.com/office/drawing/2014/chart" uri="{C3380CC4-5D6E-409C-BE32-E72D297353CC}">
              <c16:uniqueId val="{00000005-F4FE-4815-A24C-96F4060B0559}"/>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200479960589746E-2"/>
          <c:y val="1.2464325182816469E-2"/>
          <c:w val="0.9034352214202821"/>
          <c:h val="0.86559601851851853"/>
        </c:manualLayout>
      </c:layout>
      <c:barChart>
        <c:barDir val="col"/>
        <c:grouping val="stacked"/>
        <c:varyColors val="0"/>
        <c:ser>
          <c:idx val="0"/>
          <c:order val="0"/>
          <c:tx>
            <c:strRef>
              <c:f>DATA!$C$41</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DATA!$D$40:$P$40</c15:sqref>
                  </c15:fullRef>
                </c:ext>
              </c:extLst>
              <c:f>DATA!$D$40:$H$40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DATA!$D$41:$P$41</c15:sqref>
                  </c15:fullRef>
                </c:ext>
              </c:extLst>
              <c:f>DATA!$D$41:$H$41</c:f>
              <c:numCache>
                <c:formatCode>General</c:formatCode>
                <c:ptCount val="5"/>
                <c:pt idx="0">
                  <c:v>6177.6</c:v>
                </c:pt>
                <c:pt idx="1">
                  <c:v>5880.6</c:v>
                </c:pt>
                <c:pt idx="2">
                  <c:v>6850.8</c:v>
                </c:pt>
                <c:pt idx="3">
                  <c:v>13959.000000000002</c:v>
                </c:pt>
                <c:pt idx="4">
                  <c:v>2640</c:v>
                </c:pt>
              </c:numCache>
            </c:numRef>
          </c:val>
          <c:extLst>
            <c:ext xmlns:c16="http://schemas.microsoft.com/office/drawing/2014/chart" uri="{C3380CC4-5D6E-409C-BE32-E72D297353CC}">
              <c16:uniqueId val="{00000000-B873-4790-9673-DC8AC3D8D5E2}"/>
            </c:ext>
          </c:extLst>
        </c:ser>
        <c:ser>
          <c:idx val="1"/>
          <c:order val="1"/>
          <c:tx>
            <c:strRef>
              <c:f>DATA!$C$42</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DATA!$D$40:$P$40</c15:sqref>
                  </c15:fullRef>
                </c:ext>
              </c:extLst>
              <c:f>DATA!$D$40:$H$40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DATA!$D$42:$P$42</c15:sqref>
                  </c15:fullRef>
                </c:ext>
              </c:extLst>
              <c:f>DATA!$D$42:$H$42</c:f>
              <c:numCache>
                <c:formatCode>General</c:formatCode>
                <c:ptCount val="5"/>
                <c:pt idx="0">
                  <c:v>32432.400000000001</c:v>
                </c:pt>
                <c:pt idx="1">
                  <c:v>30873.15</c:v>
                </c:pt>
                <c:pt idx="2">
                  <c:v>35966.700000000004</c:v>
                </c:pt>
                <c:pt idx="3">
                  <c:v>73284.75</c:v>
                </c:pt>
                <c:pt idx="4">
                  <c:v>13860.000000000002</c:v>
                </c:pt>
              </c:numCache>
            </c:numRef>
          </c:val>
          <c:extLst>
            <c:ext xmlns:c16="http://schemas.microsoft.com/office/drawing/2014/chart" uri="{C3380CC4-5D6E-409C-BE32-E72D297353CC}">
              <c16:uniqueId val="{00000001-B873-4790-9673-DC8AC3D8D5E2}"/>
            </c:ext>
          </c:extLst>
        </c:ser>
        <c:ser>
          <c:idx val="2"/>
          <c:order val="2"/>
          <c:tx>
            <c:strRef>
              <c:f>DATA!$C$43</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DATA!$D$40:$P$40</c15:sqref>
                  </c15:fullRef>
                </c:ext>
              </c:extLst>
              <c:f>DATA!$D$40:$H$40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DATA!$D$43:$P$43</c15:sqref>
                  </c15:fullRef>
                </c:ext>
              </c:extLst>
              <c:f>DATA!$D$43:$H$43</c:f>
              <c:numCache>
                <c:formatCode>0.00</c:formatCode>
                <c:ptCount val="5"/>
                <c:pt idx="0">
                  <c:v>33774</c:v>
                </c:pt>
                <c:pt idx="1">
                  <c:v>42867</c:v>
                </c:pt>
                <c:pt idx="2">
                  <c:v>74909</c:v>
                </c:pt>
                <c:pt idx="3">
                  <c:v>61053</c:v>
                </c:pt>
                <c:pt idx="4">
                  <c:v>21650</c:v>
                </c:pt>
              </c:numCache>
            </c:numRef>
          </c:val>
          <c:extLst>
            <c:ext xmlns:c16="http://schemas.microsoft.com/office/drawing/2014/chart" uri="{C3380CC4-5D6E-409C-BE32-E72D297353CC}">
              <c16:uniqueId val="{00000002-B873-4790-9673-DC8AC3D8D5E2}"/>
            </c:ext>
          </c:extLst>
        </c:ser>
        <c:ser>
          <c:idx val="3"/>
          <c:order val="3"/>
          <c:tx>
            <c:strRef>
              <c:f>DATA!$C$44</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DATA!$D$40:$P$40</c15:sqref>
                  </c15:fullRef>
                </c:ext>
              </c:extLst>
              <c:f>DATA!$D$40:$H$40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DATA!$D$44:$P$44</c15:sqref>
                  </c15:fullRef>
                </c:ext>
              </c:extLst>
              <c:f>DATA!$D$44:$H$44</c:f>
              <c:numCache>
                <c:formatCode>0.00</c:formatCode>
                <c:ptCount val="5"/>
                <c:pt idx="0">
                  <c:v>73179.600000000006</c:v>
                </c:pt>
                <c:pt idx="1">
                  <c:v>92881.8</c:v>
                </c:pt>
                <c:pt idx="2">
                  <c:v>162308.6</c:v>
                </c:pt>
                <c:pt idx="3">
                  <c:v>132286.20000000001</c:v>
                </c:pt>
                <c:pt idx="4">
                  <c:v>46910</c:v>
                </c:pt>
              </c:numCache>
            </c:numRef>
          </c:val>
          <c:extLst>
            <c:ext xmlns:c16="http://schemas.microsoft.com/office/drawing/2014/chart" uri="{C3380CC4-5D6E-409C-BE32-E72D297353CC}">
              <c16:uniqueId val="{00000003-B873-4790-9673-DC8AC3D8D5E2}"/>
            </c:ext>
          </c:extLst>
        </c:ser>
        <c:ser>
          <c:idx val="4"/>
          <c:order val="4"/>
          <c:tx>
            <c:strRef>
              <c:f>DATA!$C$45</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DATA!$D$40:$P$40</c15:sqref>
                  </c15:fullRef>
                </c:ext>
              </c:extLst>
              <c:f>DATA!$D$40:$H$40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DATA!$D$45:$P$45</c15:sqref>
                  </c15:fullRef>
                </c:ext>
              </c:extLst>
              <c:f>DATA!$D$45:$H$45</c:f>
              <c:numCache>
                <c:formatCode>General</c:formatCode>
                <c:ptCount val="5"/>
                <c:pt idx="0">
                  <c:v>135096</c:v>
                </c:pt>
                <c:pt idx="1">
                  <c:v>171468</c:v>
                </c:pt>
                <c:pt idx="2">
                  <c:v>299636</c:v>
                </c:pt>
                <c:pt idx="3">
                  <c:v>244212</c:v>
                </c:pt>
                <c:pt idx="4">
                  <c:v>86600</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US"/>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DATA!$D$156</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DATA!$D$157:$D$182</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DATA!$E$156</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DATA!$E$157:$E$182</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ser>
          <c:idx val="2"/>
          <c:order val="2"/>
          <c:tx>
            <c:strRef>
              <c:f>DATA!$F$156</c:f>
              <c:strCache>
                <c:ptCount val="1"/>
                <c:pt idx="0">
                  <c:v>Hotspot</c:v>
                </c:pt>
              </c:strCache>
            </c:strRef>
          </c:tx>
          <c:spPr>
            <a:ln w="19050" cap="rnd">
              <a:solidFill>
                <a:schemeClr val="accent3"/>
              </a:solidFill>
              <a:round/>
            </a:ln>
            <a:effectLst/>
          </c:spPr>
          <c:marker>
            <c:symbol val="none"/>
          </c:marker>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DATA!$F$157:$F$182</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2-1407-4EEF-8987-B094F47C84B7}"/>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DATA!$C$51</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DATA!$D$51:$P$51</c15:sqref>
                  </c15:fullRef>
                </c:ext>
              </c:extLst>
              <c:f>DATA!$D$51:$H$51</c:f>
              <c:numCache>
                <c:formatCode>General</c:formatCode>
                <c:ptCount val="5"/>
                <c:pt idx="0">
                  <c:v>1355596</c:v>
                </c:pt>
                <c:pt idx="1">
                  <c:v>1733952</c:v>
                </c:pt>
                <c:pt idx="2">
                  <c:v>3042556</c:v>
                </c:pt>
                <c:pt idx="3">
                  <c:v>2466332</c:v>
                </c:pt>
                <c:pt idx="4">
                  <c:v>869572</c:v>
                </c:pt>
              </c:numCache>
            </c:numRef>
          </c:val>
          <c:extLst>
            <c:ext xmlns:c16="http://schemas.microsoft.com/office/drawing/2014/chart" uri="{C3380CC4-5D6E-409C-BE32-E72D297353CC}">
              <c16:uniqueId val="{00000000-B873-4790-9673-DC8AC3D8D5E2}"/>
            </c:ext>
          </c:extLst>
        </c:ser>
        <c:ser>
          <c:idx val="1"/>
          <c:order val="1"/>
          <c:tx>
            <c:strRef>
              <c:f>DATA!$C$52</c:f>
              <c:strCache>
                <c:ptCount val="1"/>
                <c:pt idx="0">
                  <c:v>Solar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DATA!$D$52:$P$52</c15:sqref>
                  </c15:fullRef>
                </c:ext>
              </c:extLst>
              <c:f>DATA!$D$52:$H$52</c:f>
              <c:numCache>
                <c:formatCode>General</c:formatCode>
                <c:ptCount val="5"/>
                <c:pt idx="0">
                  <c:v>7116879</c:v>
                </c:pt>
                <c:pt idx="1">
                  <c:v>9103248</c:v>
                </c:pt>
                <c:pt idx="2">
                  <c:v>15973419</c:v>
                </c:pt>
                <c:pt idx="3">
                  <c:v>12948243</c:v>
                </c:pt>
                <c:pt idx="4">
                  <c:v>4565253</c:v>
                </c:pt>
              </c:numCache>
            </c:numRef>
          </c:val>
          <c:extLst>
            <c:ext xmlns:c16="http://schemas.microsoft.com/office/drawing/2014/chart" uri="{C3380CC4-5D6E-409C-BE32-E72D297353CC}">
              <c16:uniqueId val="{00000001-B873-4790-9673-DC8AC3D8D5E2}"/>
            </c:ext>
          </c:extLst>
        </c:ser>
        <c:ser>
          <c:idx val="2"/>
          <c:order val="2"/>
          <c:tx>
            <c:strRef>
              <c:f>DATA!$C$53</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DATA!$D$53:$P$53</c15:sqref>
                  </c15:fullRef>
                </c:ext>
              </c:extLst>
              <c:f>DATA!$D$53:$H$53</c:f>
              <c:numCache>
                <c:formatCode>0.00</c:formatCode>
                <c:ptCount val="5"/>
                <c:pt idx="0">
                  <c:v>4448819.6000000006</c:v>
                </c:pt>
                <c:pt idx="1">
                  <c:v>5690515.2000000002</c:v>
                </c:pt>
                <c:pt idx="2">
                  <c:v>9985115.5999999996</c:v>
                </c:pt>
                <c:pt idx="3">
                  <c:v>8094053.2000000002</c:v>
                </c:pt>
                <c:pt idx="4">
                  <c:v>2853777.2</c:v>
                </c:pt>
              </c:numCache>
            </c:numRef>
          </c:val>
          <c:extLst>
            <c:ext xmlns:c16="http://schemas.microsoft.com/office/drawing/2014/chart" uri="{C3380CC4-5D6E-409C-BE32-E72D297353CC}">
              <c16:uniqueId val="{00000002-B873-4790-9673-DC8AC3D8D5E2}"/>
            </c:ext>
          </c:extLst>
        </c:ser>
        <c:ser>
          <c:idx val="3"/>
          <c:order val="3"/>
          <c:tx>
            <c:strRef>
              <c:f>DATA!$C$54</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DATA!$D$54:$P$54</c15:sqref>
                  </c15:fullRef>
                </c:ext>
              </c:extLst>
              <c:f>DATA!$D$54:$H$54</c:f>
              <c:numCache>
                <c:formatCode>0.00</c:formatCode>
                <c:ptCount val="5"/>
                <c:pt idx="0">
                  <c:v>1216955.5</c:v>
                </c:pt>
                <c:pt idx="1">
                  <c:v>1556616</c:v>
                </c:pt>
                <c:pt idx="2">
                  <c:v>2731385.5</c:v>
                </c:pt>
                <c:pt idx="3">
                  <c:v>2214093.5</c:v>
                </c:pt>
                <c:pt idx="4">
                  <c:v>780638.5</c:v>
                </c:pt>
              </c:numCache>
            </c:numRef>
          </c:val>
          <c:extLst>
            <c:ext xmlns:c16="http://schemas.microsoft.com/office/drawing/2014/chart" uri="{C3380CC4-5D6E-409C-BE32-E72D297353CC}">
              <c16:uniqueId val="{00000003-B873-4790-9673-DC8AC3D8D5E2}"/>
            </c:ext>
          </c:extLst>
        </c:ser>
        <c:ser>
          <c:idx val="4"/>
          <c:order val="4"/>
          <c:tx>
            <c:strRef>
              <c:f>DATA!$C$55</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DATA!$D$55:$P$55</c15:sqref>
                  </c15:fullRef>
                </c:ext>
              </c:extLst>
              <c:f>DATA!$D$55:$H$55</c:f>
              <c:numCache>
                <c:formatCode>General</c:formatCode>
                <c:ptCount val="5"/>
                <c:pt idx="0">
                  <c:v>25016908</c:v>
                </c:pt>
                <c:pt idx="1">
                  <c:v>31999296</c:v>
                </c:pt>
                <c:pt idx="2">
                  <c:v>56148988</c:v>
                </c:pt>
                <c:pt idx="3">
                  <c:v>45515036</c:v>
                </c:pt>
                <c:pt idx="4">
                  <c:v>16047556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89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DATA!$C$190</c:f>
              <c:strCache>
                <c:ptCount val="1"/>
                <c:pt idx="0">
                  <c:v>Hotspot - Based on Active Users</c:v>
                </c:pt>
              </c:strCache>
            </c:strRef>
          </c:tx>
          <c:spPr>
            <a:solidFill>
              <a:schemeClr val="accent3"/>
            </a:solidFill>
            <a:ln>
              <a:noFill/>
            </a:ln>
            <a:effectLst/>
          </c:spPr>
          <c:invertIfNegative val="0"/>
          <c:cat>
            <c:strRef>
              <c:f>DATA!$D$187:$P$187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DATA!$D$190:$P$190</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22AF-4C38-9F66-181B94B15ABF}"/>
            </c:ext>
          </c:extLst>
        </c:ser>
        <c:ser>
          <c:idx val="5"/>
          <c:order val="5"/>
          <c:tx>
            <c:strRef>
              <c:f>DATA!$C$193</c:f>
              <c:strCache>
                <c:ptCount val="1"/>
                <c:pt idx="0">
                  <c:v>Hotspot - Based on Area</c:v>
                </c:pt>
              </c:strCache>
            </c:strRef>
          </c:tx>
          <c:spPr>
            <a:solidFill>
              <a:schemeClr val="accent6"/>
            </a:solidFill>
            <a:ln>
              <a:noFill/>
            </a:ln>
            <a:effectLst/>
          </c:spPr>
          <c:invertIfNegative val="0"/>
          <c:cat>
            <c:strRef>
              <c:f>DATA!$D$187:$P$187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DATA!$D$193:$P$193</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22AF-4C38-9F66-181B94B15ABF}"/>
            </c:ext>
          </c:extLst>
        </c:ser>
        <c:dLbls>
          <c:showLegendKey val="0"/>
          <c:showVal val="0"/>
          <c:showCatName val="0"/>
          <c:showSerName val="0"/>
          <c:showPercent val="0"/>
          <c:showBubbleSize val="0"/>
        </c:dLbls>
        <c:gapWidth val="219"/>
        <c:overlap val="-27"/>
        <c:axId val="1402120656"/>
        <c:axId val="2018379456"/>
        <c:extLst>
          <c:ext xmlns:c15="http://schemas.microsoft.com/office/drawing/2012/chart" uri="{02D57815-91ED-43cb-92C2-25804820EDAC}">
            <c15:filteredBarSeries>
              <c15:ser>
                <c:idx val="0"/>
                <c:order val="0"/>
                <c:tx>
                  <c:strRef>
                    <c:extLst>
                      <c:ext uri="{02D57815-91ED-43cb-92C2-25804820EDAC}">
                        <c15:formulaRef>
                          <c15:sqref>DATA!$C$188</c15:sqref>
                        </c15:formulaRef>
                      </c:ext>
                    </c:extLst>
                    <c:strCache>
                      <c:ptCount val="1"/>
                      <c:pt idx="0">
                        <c:v>UAV - Based on Active Users</c:v>
                      </c:pt>
                    </c:strCache>
                  </c:strRef>
                </c:tx>
                <c:spPr>
                  <a:solidFill>
                    <a:schemeClr val="accent1"/>
                  </a:solidFill>
                  <a:ln>
                    <a:noFill/>
                  </a:ln>
                  <a:effectLst/>
                </c:spPr>
                <c:invertIfNegative val="0"/>
                <c:cat>
                  <c:strRef>
                    <c:extLst>
                      <c:ex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c:ext uri="{02D57815-91ED-43cb-92C2-25804820EDAC}">
                        <c15:formulaRef>
                          <c15:sqref>DATA!$D$188:$P$188</c15:sqref>
                        </c15:formulaRef>
                      </c:ext>
                    </c:extLst>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numRef>
                </c:val>
                <c:extLst>
                  <c:ext xmlns:c16="http://schemas.microsoft.com/office/drawing/2014/chart" uri="{C3380CC4-5D6E-409C-BE32-E72D297353CC}">
                    <c16:uniqueId val="{00000000-22AF-4C38-9F66-181B94B15AB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DATA!$C$189</c15:sqref>
                        </c15:formulaRef>
                      </c:ext>
                    </c:extLst>
                    <c:strCache>
                      <c:ptCount val="1"/>
                      <c:pt idx="0">
                        <c:v>LC - Based on Active Users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DATA!$D$189:$P$189</c15:sqref>
                        </c15:formulaRef>
                      </c:ext>
                    </c:extLst>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numRef>
                </c:val>
                <c:extLst xmlns:c15="http://schemas.microsoft.com/office/drawing/2012/chart">
                  <c:ext xmlns:c16="http://schemas.microsoft.com/office/drawing/2014/chart" uri="{C3380CC4-5D6E-409C-BE32-E72D297353CC}">
                    <c16:uniqueId val="{00000001-22AF-4C38-9F66-181B94B15A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DATA!$C$191</c15:sqref>
                        </c15:formulaRef>
                      </c:ext>
                    </c:extLst>
                    <c:strCache>
                      <c:ptCount val="1"/>
                      <c:pt idx="0">
                        <c:v>UAV - Based on Area</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DATA!$D$191:$P$191</c15:sqref>
                        </c15:formulaRef>
                      </c:ext>
                    </c:extLst>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xmlns:c15="http://schemas.microsoft.com/office/drawing/2012/chart">
                  <c:ext xmlns:c16="http://schemas.microsoft.com/office/drawing/2014/chart" uri="{C3380CC4-5D6E-409C-BE32-E72D297353CC}">
                    <c16:uniqueId val="{00000003-22AF-4C38-9F66-181B94B15AB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DATA!$C$192</c15:sqref>
                        </c15:formulaRef>
                      </c:ext>
                    </c:extLst>
                    <c:strCache>
                      <c:ptCount val="1"/>
                      <c:pt idx="0">
                        <c:v>LC - Based on Area</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DATA!$D$192:$P$192</c15:sqref>
                        </c15:formulaRef>
                      </c:ext>
                    </c:extLst>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numRef>
                </c:val>
                <c:extLst xmlns:c15="http://schemas.microsoft.com/office/drawing/2012/chart">
                  <c:ext xmlns:c16="http://schemas.microsoft.com/office/drawing/2014/chart" uri="{C3380CC4-5D6E-409C-BE32-E72D297353CC}">
                    <c16:uniqueId val="{00000004-22AF-4C38-9F66-181B94B15A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DATA!$C$194</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DATA!$D$194:$P$194</c15:sqref>
                        </c15:formulaRef>
                      </c:ext>
                    </c:extLst>
                    <c:numCache>
                      <c:formatCode>General</c:formatCode>
                      <c:ptCount val="13"/>
                    </c:numCache>
                  </c:numRef>
                </c:val>
                <c:extLst xmlns:c15="http://schemas.microsoft.com/office/drawing/2012/chart">
                  <c:ext xmlns:c16="http://schemas.microsoft.com/office/drawing/2014/chart" uri="{C3380CC4-5D6E-409C-BE32-E72D297353CC}">
                    <c16:uniqueId val="{00000006-22AF-4C38-9F66-181B94B15ABF}"/>
                  </c:ext>
                </c:extLst>
              </c15:ser>
            </c15:filteredBarSeries>
          </c:ext>
        </c:extLst>
      </c:barChart>
      <c:catAx>
        <c:axId val="14021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UAV - BASED - CAPEX OVER THE DIFFERNT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DATA!$C$30</c:f>
              <c:strCache>
                <c:ptCount val="1"/>
                <c:pt idx="0">
                  <c:v>Batteies</c:v>
                </c:pt>
              </c:strCache>
            </c:strRef>
          </c:tx>
          <c:spPr>
            <a:solidFill>
              <a:schemeClr val="accent1"/>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DATA!$D$30:$P$30</c:f>
              <c:numCache>
                <c:formatCode>General</c:formatCode>
                <c:ptCount val="13"/>
                <c:pt idx="0">
                  <c:v>1287816.2000000002</c:v>
                </c:pt>
                <c:pt idx="1">
                  <c:v>1560556.8</c:v>
                </c:pt>
                <c:pt idx="2">
                  <c:v>1825533.6</c:v>
                </c:pt>
                <c:pt idx="3">
                  <c:v>3699498</c:v>
                </c:pt>
                <c:pt idx="4">
                  <c:v>652179</c:v>
                </c:pt>
                <c:pt idx="5">
                  <c:v>0</c:v>
                </c:pt>
                <c:pt idx="6">
                  <c:v>792.00000000000011</c:v>
                </c:pt>
                <c:pt idx="7">
                  <c:v>121</c:v>
                </c:pt>
                <c:pt idx="8">
                  <c:v>0</c:v>
                </c:pt>
                <c:pt idx="9">
                  <c:v>198</c:v>
                </c:pt>
                <c:pt idx="10">
                  <c:v>0</c:v>
                </c:pt>
                <c:pt idx="11">
                  <c:v>0</c:v>
                </c:pt>
                <c:pt idx="12">
                  <c:v>0</c:v>
                </c:pt>
              </c:numCache>
            </c:numRef>
          </c:val>
          <c:extLst>
            <c:ext xmlns:c16="http://schemas.microsoft.com/office/drawing/2014/chart" uri="{C3380CC4-5D6E-409C-BE32-E72D297353CC}">
              <c16:uniqueId val="{00000000-2DC2-4682-BABF-37CA4FC04F05}"/>
            </c:ext>
          </c:extLst>
        </c:ser>
        <c:ser>
          <c:idx val="1"/>
          <c:order val="1"/>
          <c:tx>
            <c:strRef>
              <c:f>DATA!$C$31</c:f>
              <c:strCache>
                <c:ptCount val="1"/>
                <c:pt idx="0">
                  <c:v>Sola Panel</c:v>
                </c:pt>
              </c:strCache>
            </c:strRef>
          </c:tx>
          <c:spPr>
            <a:solidFill>
              <a:schemeClr val="accent2"/>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DATA!$D$31:$P$31</c:f>
              <c:numCache>
                <c:formatCode>General</c:formatCode>
                <c:ptCount val="13"/>
                <c:pt idx="0">
                  <c:v>2312985.6750000003</c:v>
                </c:pt>
                <c:pt idx="1">
                  <c:v>2503393.2000000002</c:v>
                </c:pt>
                <c:pt idx="2">
                  <c:v>4871892.7949999999</c:v>
                </c:pt>
                <c:pt idx="3">
                  <c:v>3754990.4700000007</c:v>
                </c:pt>
                <c:pt idx="4">
                  <c:v>1164139.5150000001</c:v>
                </c:pt>
                <c:pt idx="5">
                  <c:v>17075.52</c:v>
                </c:pt>
                <c:pt idx="6">
                  <c:v>3187.8</c:v>
                </c:pt>
                <c:pt idx="7">
                  <c:v>330.33000000000004</c:v>
                </c:pt>
                <c:pt idx="8">
                  <c:v>3252.48</c:v>
                </c:pt>
                <c:pt idx="9">
                  <c:v>706.86</c:v>
                </c:pt>
                <c:pt idx="10">
                  <c:v>0</c:v>
                </c:pt>
                <c:pt idx="11">
                  <c:v>0</c:v>
                </c:pt>
                <c:pt idx="12">
                  <c:v>0</c:v>
                </c:pt>
              </c:numCache>
            </c:numRef>
          </c:val>
          <c:extLst>
            <c:ext xmlns:c16="http://schemas.microsoft.com/office/drawing/2014/chart" uri="{C3380CC4-5D6E-409C-BE32-E72D297353CC}">
              <c16:uniqueId val="{00000001-2DC2-4682-BABF-37CA4FC04F05}"/>
            </c:ext>
          </c:extLst>
        </c:ser>
        <c:ser>
          <c:idx val="2"/>
          <c:order val="2"/>
          <c:tx>
            <c:strRef>
              <c:f>DATA!$C$32</c:f>
              <c:strCache>
                <c:ptCount val="1"/>
                <c:pt idx="0">
                  <c:v>Commodity HW</c:v>
                </c:pt>
              </c:strCache>
            </c:strRef>
          </c:tx>
          <c:spPr>
            <a:solidFill>
              <a:schemeClr val="accent3"/>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DATA!$D$32:$P$32</c:f>
              <c:numCache>
                <c:formatCode>0.00</c:formatCode>
                <c:ptCount val="13"/>
                <c:pt idx="0">
                  <c:v>4448819.6000000006</c:v>
                </c:pt>
                <c:pt idx="1">
                  <c:v>5690515.2000000002</c:v>
                </c:pt>
                <c:pt idx="2">
                  <c:v>9985115.5999999996</c:v>
                </c:pt>
                <c:pt idx="3">
                  <c:v>8094053.2000000002</c:v>
                </c:pt>
                <c:pt idx="4">
                  <c:v>2853777.2</c:v>
                </c:pt>
                <c:pt idx="5">
                  <c:v>44475.200000000004</c:v>
                </c:pt>
                <c:pt idx="6">
                  <c:v>8664</c:v>
                </c:pt>
                <c:pt idx="7">
                  <c:v>1588.4</c:v>
                </c:pt>
                <c:pt idx="8">
                  <c:v>12707.2</c:v>
                </c:pt>
                <c:pt idx="9">
                  <c:v>2599.2000000000003</c:v>
                </c:pt>
                <c:pt idx="10">
                  <c:v>0</c:v>
                </c:pt>
                <c:pt idx="11">
                  <c:v>0</c:v>
                </c:pt>
                <c:pt idx="12">
                  <c:v>0</c:v>
                </c:pt>
              </c:numCache>
            </c:numRef>
          </c:val>
          <c:extLst>
            <c:ext xmlns:c16="http://schemas.microsoft.com/office/drawing/2014/chart" uri="{C3380CC4-5D6E-409C-BE32-E72D297353CC}">
              <c16:uniqueId val="{00000002-2DC2-4682-BABF-37CA4FC04F05}"/>
            </c:ext>
          </c:extLst>
        </c:ser>
        <c:ser>
          <c:idx val="3"/>
          <c:order val="3"/>
          <c:tx>
            <c:strRef>
              <c:f>DATA!$C$33</c:f>
              <c:strCache>
                <c:ptCount val="1"/>
                <c:pt idx="0">
                  <c:v>Dedicated HW</c:v>
                </c:pt>
              </c:strCache>
            </c:strRef>
          </c:tx>
          <c:spPr>
            <a:solidFill>
              <a:schemeClr val="accent4"/>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DATA!$D$33:$P$33</c:f>
              <c:numCache>
                <c:formatCode>0.00</c:formatCode>
                <c:ptCount val="13"/>
                <c:pt idx="0">
                  <c:v>4448819.6000000006</c:v>
                </c:pt>
                <c:pt idx="1">
                  <c:v>5690515.2000000002</c:v>
                </c:pt>
                <c:pt idx="2">
                  <c:v>9985115.5999999996</c:v>
                </c:pt>
                <c:pt idx="3">
                  <c:v>8094053.2000000002</c:v>
                </c:pt>
                <c:pt idx="4">
                  <c:v>2853777.2</c:v>
                </c:pt>
                <c:pt idx="5">
                  <c:v>44475.200000000004</c:v>
                </c:pt>
                <c:pt idx="6">
                  <c:v>8664</c:v>
                </c:pt>
                <c:pt idx="7">
                  <c:v>1588.4</c:v>
                </c:pt>
                <c:pt idx="8">
                  <c:v>12707.2</c:v>
                </c:pt>
                <c:pt idx="9">
                  <c:v>2599.2000000000003</c:v>
                </c:pt>
                <c:pt idx="10">
                  <c:v>0</c:v>
                </c:pt>
                <c:pt idx="11">
                  <c:v>0</c:v>
                </c:pt>
                <c:pt idx="12">
                  <c:v>0</c:v>
                </c:pt>
              </c:numCache>
            </c:numRef>
          </c:val>
          <c:extLst>
            <c:ext xmlns:c16="http://schemas.microsoft.com/office/drawing/2014/chart" uri="{C3380CC4-5D6E-409C-BE32-E72D297353CC}">
              <c16:uniqueId val="{00000003-2DC2-4682-BABF-37CA4FC04F05}"/>
            </c:ext>
          </c:extLst>
        </c:ser>
        <c:ser>
          <c:idx val="4"/>
          <c:order val="4"/>
          <c:tx>
            <c:strRef>
              <c:f>DATA!$C$34</c:f>
              <c:strCache>
                <c:ptCount val="1"/>
                <c:pt idx="0">
                  <c:v>UAV</c:v>
                </c:pt>
              </c:strCache>
            </c:strRef>
          </c:tx>
          <c:spPr>
            <a:solidFill>
              <a:schemeClr val="accent5"/>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DATA!$D$34:$P$34</c:f>
              <c:numCache>
                <c:formatCode>0.00</c:formatCode>
                <c:ptCount val="13"/>
                <c:pt idx="0">
                  <c:v>1913238.9000000001</c:v>
                </c:pt>
                <c:pt idx="1">
                  <c:v>2447236.8000000003</c:v>
                </c:pt>
                <c:pt idx="2">
                  <c:v>4294152.9000000004</c:v>
                </c:pt>
                <c:pt idx="3">
                  <c:v>3480891.3000000003</c:v>
                </c:pt>
                <c:pt idx="4">
                  <c:v>1227282.3</c:v>
                </c:pt>
                <c:pt idx="5">
                  <c:v>19126.8</c:v>
                </c:pt>
                <c:pt idx="6">
                  <c:v>3726</c:v>
                </c:pt>
                <c:pt idx="7">
                  <c:v>683.1</c:v>
                </c:pt>
                <c:pt idx="8">
                  <c:v>5464.8</c:v>
                </c:pt>
                <c:pt idx="9">
                  <c:v>1117.8</c:v>
                </c:pt>
                <c:pt idx="10">
                  <c:v>0</c:v>
                </c:pt>
                <c:pt idx="11">
                  <c:v>0</c:v>
                </c:pt>
                <c:pt idx="12">
                  <c:v>0</c:v>
                </c:pt>
              </c:numCache>
            </c:numRef>
          </c:val>
          <c:extLst>
            <c:ext xmlns:c16="http://schemas.microsoft.com/office/drawing/2014/chart" uri="{C3380CC4-5D6E-409C-BE32-E72D297353CC}">
              <c16:uniqueId val="{00000004-2DC2-4682-BABF-37CA4FC04F05}"/>
            </c:ext>
          </c:extLst>
        </c:ser>
        <c:ser>
          <c:idx val="5"/>
          <c:order val="5"/>
          <c:tx>
            <c:strRef>
              <c:f>DATA!$C$35</c:f>
              <c:strCache>
                <c:ptCount val="1"/>
                <c:pt idx="0">
                  <c:v>Site Acquisition</c:v>
                </c:pt>
              </c:strCache>
            </c:strRef>
          </c:tx>
          <c:spPr>
            <a:solidFill>
              <a:schemeClr val="accent6"/>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DATA!$D$35:$P$35</c:f>
              <c:numCache>
                <c:formatCode>General</c:formatCode>
                <c:ptCount val="13"/>
                <c:pt idx="0">
                  <c:v>17786035.699999999</c:v>
                </c:pt>
                <c:pt idx="1">
                  <c:v>22750238.399999999</c:v>
                </c:pt>
                <c:pt idx="2">
                  <c:v>39919717.699999996</c:v>
                </c:pt>
                <c:pt idx="3">
                  <c:v>32359396.899999999</c:v>
                </c:pt>
                <c:pt idx="4">
                  <c:v>11409179.899999999</c:v>
                </c:pt>
                <c:pt idx="5">
                  <c:v>53376.4</c:v>
                </c:pt>
                <c:pt idx="6">
                  <c:v>10398</c:v>
                </c:pt>
                <c:pt idx="7">
                  <c:v>1320</c:v>
                </c:pt>
                <c:pt idx="8">
                  <c:v>15708</c:v>
                </c:pt>
                <c:pt idx="9">
                  <c:v>3119.4</c:v>
                </c:pt>
                <c:pt idx="10">
                  <c:v>0</c:v>
                </c:pt>
                <c:pt idx="11">
                  <c:v>0</c:v>
                </c:pt>
                <c:pt idx="12">
                  <c:v>0</c:v>
                </c:pt>
              </c:numCache>
            </c:numRef>
          </c:val>
          <c:extLst>
            <c:ext xmlns:c16="http://schemas.microsoft.com/office/drawing/2014/chart" uri="{C3380CC4-5D6E-409C-BE32-E72D297353CC}">
              <c16:uniqueId val="{00000005-2DC2-4682-BABF-37CA4FC04F05}"/>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Strategy - Scenario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1120"/>
        <c:crosses val="autoZero"/>
        <c:auto val="1"/>
        <c:lblAlgn val="ctr"/>
        <c:lblOffset val="100"/>
        <c:noMultiLvlLbl val="0"/>
      </c:catAx>
      <c:valAx>
        <c:axId val="2017871120"/>
        <c:scaling>
          <c:orientation val="minMax"/>
          <c:max val="1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56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LC - BASED - CAPEX OVER THE DIFFERENT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DATA!$C$41</c:f>
              <c:strCache>
                <c:ptCount val="1"/>
                <c:pt idx="0">
                  <c:v>Batteies</c:v>
                </c:pt>
              </c:strCache>
            </c:strRef>
          </c:tx>
          <c:spPr>
            <a:solidFill>
              <a:schemeClr val="accent1"/>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DATA!$D$41:$P$41</c:f>
              <c:numCache>
                <c:formatCode>General</c:formatCode>
                <c:ptCount val="13"/>
                <c:pt idx="0">
                  <c:v>6177.6</c:v>
                </c:pt>
                <c:pt idx="1">
                  <c:v>5880.6</c:v>
                </c:pt>
                <c:pt idx="2">
                  <c:v>6850.8</c:v>
                </c:pt>
                <c:pt idx="3">
                  <c:v>13959.000000000002</c:v>
                </c:pt>
                <c:pt idx="4">
                  <c:v>2640</c:v>
                </c:pt>
                <c:pt idx="5">
                  <c:v>11</c:v>
                </c:pt>
                <c:pt idx="6">
                  <c:v>28.6</c:v>
                </c:pt>
                <c:pt idx="7">
                  <c:v>22</c:v>
                </c:pt>
                <c:pt idx="8">
                  <c:v>4.4000000000000004</c:v>
                </c:pt>
                <c:pt idx="9">
                  <c:v>22</c:v>
                </c:pt>
                <c:pt idx="10">
                  <c:v>0</c:v>
                </c:pt>
                <c:pt idx="11">
                  <c:v>0</c:v>
                </c:pt>
                <c:pt idx="12">
                  <c:v>0</c:v>
                </c:pt>
              </c:numCache>
            </c:numRef>
          </c:val>
          <c:extLst>
            <c:ext xmlns:c16="http://schemas.microsoft.com/office/drawing/2014/chart" uri="{C3380CC4-5D6E-409C-BE32-E72D297353CC}">
              <c16:uniqueId val="{00000000-947E-459F-A701-C5905AFE02F2}"/>
            </c:ext>
          </c:extLst>
        </c:ser>
        <c:ser>
          <c:idx val="1"/>
          <c:order val="1"/>
          <c:tx>
            <c:strRef>
              <c:f>DATA!$C$42</c:f>
              <c:strCache>
                <c:ptCount val="1"/>
                <c:pt idx="0">
                  <c:v>Sola Panel</c:v>
                </c:pt>
              </c:strCache>
            </c:strRef>
          </c:tx>
          <c:spPr>
            <a:solidFill>
              <a:schemeClr val="accent2"/>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DATA!$D$42:$P$42</c:f>
              <c:numCache>
                <c:formatCode>General</c:formatCode>
                <c:ptCount val="13"/>
                <c:pt idx="0">
                  <c:v>32432.400000000001</c:v>
                </c:pt>
                <c:pt idx="1">
                  <c:v>30873.15</c:v>
                </c:pt>
                <c:pt idx="2">
                  <c:v>35966.700000000004</c:v>
                </c:pt>
                <c:pt idx="3">
                  <c:v>73284.75</c:v>
                </c:pt>
                <c:pt idx="4">
                  <c:v>13860.000000000002</c:v>
                </c:pt>
                <c:pt idx="5">
                  <c:v>57.75</c:v>
                </c:pt>
                <c:pt idx="6">
                  <c:v>150.15</c:v>
                </c:pt>
                <c:pt idx="7">
                  <c:v>115.5</c:v>
                </c:pt>
                <c:pt idx="8">
                  <c:v>23.1</c:v>
                </c:pt>
                <c:pt idx="9">
                  <c:v>115.5</c:v>
                </c:pt>
                <c:pt idx="10">
                  <c:v>0</c:v>
                </c:pt>
                <c:pt idx="11">
                  <c:v>0</c:v>
                </c:pt>
                <c:pt idx="12">
                  <c:v>0</c:v>
                </c:pt>
              </c:numCache>
            </c:numRef>
          </c:val>
          <c:extLst>
            <c:ext xmlns:c16="http://schemas.microsoft.com/office/drawing/2014/chart" uri="{C3380CC4-5D6E-409C-BE32-E72D297353CC}">
              <c16:uniqueId val="{00000001-947E-459F-A701-C5905AFE02F2}"/>
            </c:ext>
          </c:extLst>
        </c:ser>
        <c:ser>
          <c:idx val="2"/>
          <c:order val="2"/>
          <c:tx>
            <c:strRef>
              <c:f>DATA!$C$43</c:f>
              <c:strCache>
                <c:ptCount val="1"/>
                <c:pt idx="0">
                  <c:v>Commodity HW</c:v>
                </c:pt>
              </c:strCache>
            </c:strRef>
          </c:tx>
          <c:spPr>
            <a:solidFill>
              <a:schemeClr val="accent3"/>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DATA!$D$43:$P$43</c:f>
              <c:numCache>
                <c:formatCode>0.00</c:formatCode>
                <c:ptCount val="13"/>
                <c:pt idx="0">
                  <c:v>33774</c:v>
                </c:pt>
                <c:pt idx="1">
                  <c:v>42867</c:v>
                </c:pt>
                <c:pt idx="2">
                  <c:v>74909</c:v>
                </c:pt>
                <c:pt idx="3">
                  <c:v>61053</c:v>
                </c:pt>
                <c:pt idx="4">
                  <c:v>21650</c:v>
                </c:pt>
                <c:pt idx="5">
                  <c:v>433</c:v>
                </c:pt>
                <c:pt idx="6">
                  <c:v>433</c:v>
                </c:pt>
                <c:pt idx="7">
                  <c:v>433</c:v>
                </c:pt>
                <c:pt idx="8">
                  <c:v>433</c:v>
                </c:pt>
                <c:pt idx="9">
                  <c:v>433</c:v>
                </c:pt>
                <c:pt idx="10">
                  <c:v>0</c:v>
                </c:pt>
                <c:pt idx="11">
                  <c:v>0</c:v>
                </c:pt>
                <c:pt idx="12">
                  <c:v>0</c:v>
                </c:pt>
              </c:numCache>
            </c:numRef>
          </c:val>
          <c:extLst>
            <c:ext xmlns:c16="http://schemas.microsoft.com/office/drawing/2014/chart" uri="{C3380CC4-5D6E-409C-BE32-E72D297353CC}">
              <c16:uniqueId val="{00000002-947E-459F-A701-C5905AFE02F2}"/>
            </c:ext>
          </c:extLst>
        </c:ser>
        <c:ser>
          <c:idx val="3"/>
          <c:order val="3"/>
          <c:tx>
            <c:strRef>
              <c:f>DATA!$C$44</c:f>
              <c:strCache>
                <c:ptCount val="1"/>
                <c:pt idx="0">
                  <c:v>Dedicated HW</c:v>
                </c:pt>
              </c:strCache>
            </c:strRef>
          </c:tx>
          <c:spPr>
            <a:solidFill>
              <a:schemeClr val="accent4"/>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DATA!$D$44:$P$44</c:f>
              <c:numCache>
                <c:formatCode>0.00</c:formatCode>
                <c:ptCount val="13"/>
                <c:pt idx="0">
                  <c:v>73179.600000000006</c:v>
                </c:pt>
                <c:pt idx="1">
                  <c:v>92881.8</c:v>
                </c:pt>
                <c:pt idx="2">
                  <c:v>162308.6</c:v>
                </c:pt>
                <c:pt idx="3">
                  <c:v>132286.20000000001</c:v>
                </c:pt>
                <c:pt idx="4">
                  <c:v>46910</c:v>
                </c:pt>
                <c:pt idx="5">
                  <c:v>938.2</c:v>
                </c:pt>
                <c:pt idx="6">
                  <c:v>938.2</c:v>
                </c:pt>
                <c:pt idx="7">
                  <c:v>938.2</c:v>
                </c:pt>
                <c:pt idx="8">
                  <c:v>938.2</c:v>
                </c:pt>
                <c:pt idx="9">
                  <c:v>938.2</c:v>
                </c:pt>
                <c:pt idx="10">
                  <c:v>0</c:v>
                </c:pt>
                <c:pt idx="11">
                  <c:v>0</c:v>
                </c:pt>
                <c:pt idx="12">
                  <c:v>0</c:v>
                </c:pt>
              </c:numCache>
            </c:numRef>
          </c:val>
          <c:extLst>
            <c:ext xmlns:c16="http://schemas.microsoft.com/office/drawing/2014/chart" uri="{C3380CC4-5D6E-409C-BE32-E72D297353CC}">
              <c16:uniqueId val="{00000003-947E-459F-A701-C5905AFE02F2}"/>
            </c:ext>
          </c:extLst>
        </c:ser>
        <c:ser>
          <c:idx val="4"/>
          <c:order val="4"/>
          <c:tx>
            <c:strRef>
              <c:f>DATA!#REF!</c:f>
              <c:strCache>
                <c:ptCount val="1"/>
                <c:pt idx="0">
                  <c:v>#REF!</c:v>
                </c:pt>
              </c:strCache>
            </c:strRef>
          </c:tx>
          <c:spPr>
            <a:solidFill>
              <a:schemeClr val="accent5"/>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DATA!#REF!</c:f>
              <c:numCache>
                <c:formatCode>General</c:formatCode>
                <c:ptCount val="1"/>
                <c:pt idx="0">
                  <c:v>1</c:v>
                </c:pt>
              </c:numCache>
            </c:numRef>
          </c:val>
          <c:extLst>
            <c:ext xmlns:c16="http://schemas.microsoft.com/office/drawing/2014/chart" uri="{C3380CC4-5D6E-409C-BE32-E72D297353CC}">
              <c16:uniqueId val="{00000004-947E-459F-A701-C5905AFE02F2}"/>
            </c:ext>
          </c:extLst>
        </c:ser>
        <c:ser>
          <c:idx val="5"/>
          <c:order val="5"/>
          <c:tx>
            <c:strRef>
              <c:f>DATA!$C$45</c:f>
              <c:strCache>
                <c:ptCount val="1"/>
                <c:pt idx="0">
                  <c:v>Site Acquisition</c:v>
                </c:pt>
              </c:strCache>
            </c:strRef>
          </c:tx>
          <c:spPr>
            <a:solidFill>
              <a:schemeClr val="accent6"/>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DATA!$D$45:$P$45</c:f>
              <c:numCache>
                <c:formatCode>General</c:formatCode>
                <c:ptCount val="13"/>
                <c:pt idx="0">
                  <c:v>135096</c:v>
                </c:pt>
                <c:pt idx="1">
                  <c:v>171468</c:v>
                </c:pt>
                <c:pt idx="2">
                  <c:v>299636</c:v>
                </c:pt>
                <c:pt idx="3">
                  <c:v>244212</c:v>
                </c:pt>
                <c:pt idx="4">
                  <c:v>86600</c:v>
                </c:pt>
                <c:pt idx="5">
                  <c:v>519.6</c:v>
                </c:pt>
                <c:pt idx="6">
                  <c:v>519.6</c:v>
                </c:pt>
                <c:pt idx="7">
                  <c:v>480.8</c:v>
                </c:pt>
                <c:pt idx="8">
                  <c:v>511</c:v>
                </c:pt>
                <c:pt idx="9">
                  <c:v>519.6</c:v>
                </c:pt>
                <c:pt idx="10">
                  <c:v>0</c:v>
                </c:pt>
                <c:pt idx="11">
                  <c:v>0</c:v>
                </c:pt>
                <c:pt idx="12">
                  <c:v>0</c:v>
                </c:pt>
              </c:numCache>
            </c:numRef>
          </c:val>
          <c:extLst>
            <c:ext xmlns:c16="http://schemas.microsoft.com/office/drawing/2014/chart" uri="{C3380CC4-5D6E-409C-BE32-E72D297353CC}">
              <c16:uniqueId val="{00000005-947E-459F-A701-C5905AFE02F2}"/>
            </c:ext>
          </c:extLst>
        </c:ser>
        <c:dLbls>
          <c:showLegendKey val="0"/>
          <c:showVal val="0"/>
          <c:showCatName val="0"/>
          <c:showSerName val="0"/>
          <c:showPercent val="0"/>
          <c:showBubbleSize val="0"/>
        </c:dLbls>
        <c:gapWidth val="150"/>
        <c:overlap val="100"/>
        <c:axId val="603807280"/>
        <c:axId val="603803536"/>
      </c:barChart>
      <c:catAx>
        <c:axId val="60380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Strategy - Scenarios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3536"/>
        <c:crosses val="autoZero"/>
        <c:auto val="1"/>
        <c:lblAlgn val="ctr"/>
        <c:lblOffset val="100"/>
        <c:noMultiLvlLbl val="0"/>
      </c:catAx>
      <c:valAx>
        <c:axId val="603803536"/>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7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DATA!$D$156</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DATA!$C$157:$C$181</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DATA!$D$157:$D$181</c:f>
              <c:numCache>
                <c:formatCode>General</c:formatCode>
                <c:ptCount val="25"/>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1-C793-48D0-9778-D3E41A3E13FE}"/>
            </c:ext>
          </c:extLst>
        </c:ser>
        <c:ser>
          <c:idx val="1"/>
          <c:order val="1"/>
          <c:tx>
            <c:strRef>
              <c:f>DATA!$E$156</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DATA!$C$157:$C$181</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DATA!$E$157:$E$181</c:f>
              <c:numCache>
                <c:formatCode>General</c:formatCode>
                <c:ptCount val="25"/>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3-C793-48D0-9778-D3E41A3E13FE}"/>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ax val="3.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28</xdr:col>
      <xdr:colOff>271028</xdr:colOff>
      <xdr:row>14</xdr:row>
      <xdr:rowOff>114301</xdr:rowOff>
    </xdr:from>
    <xdr:to>
      <xdr:col>53</xdr:col>
      <xdr:colOff>173528</xdr:colOff>
      <xdr:row>68</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469568</xdr:colOff>
      <xdr:row>73</xdr:row>
      <xdr:rowOff>0</xdr:rowOff>
    </xdr:from>
    <xdr:to>
      <xdr:col>53</xdr:col>
      <xdr:colOff>372068</xdr:colOff>
      <xdr:row>129</xdr:row>
      <xdr:rowOff>13204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160</xdr:row>
      <xdr:rowOff>146235</xdr:rowOff>
    </xdr:from>
    <xdr:to>
      <xdr:col>11</xdr:col>
      <xdr:colOff>336176</xdr:colOff>
      <xdr:row>180</xdr:row>
      <xdr:rowOff>169512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2087</xdr:colOff>
      <xdr:row>129</xdr:row>
      <xdr:rowOff>50426</xdr:rowOff>
    </xdr:from>
    <xdr:to>
      <xdr:col>54</xdr:col>
      <xdr:colOff>250950</xdr:colOff>
      <xdr:row>185</xdr:row>
      <xdr:rowOff>182426</xdr:rowOff>
    </xdr:to>
    <xdr:graphicFrame macro="">
      <xdr:nvGraphicFramePr>
        <xdr:cNvPr id="5" name="Chart 4">
          <a:extLst>
            <a:ext uri="{FF2B5EF4-FFF2-40B4-BE49-F238E27FC236}">
              <a16:creationId xmlns:a16="http://schemas.microsoft.com/office/drawing/2014/main" id="{68B14816-12D6-4700-8FC5-93DA9E4B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324970</xdr:colOff>
      <xdr:row>194</xdr:row>
      <xdr:rowOff>180412</xdr:rowOff>
    </xdr:from>
    <xdr:to>
      <xdr:col>16</xdr:col>
      <xdr:colOff>171441</xdr:colOff>
      <xdr:row>232</xdr:row>
      <xdr:rowOff>141412</xdr:rowOff>
    </xdr:to>
    <xdr:graphicFrame macro="">
      <xdr:nvGraphicFramePr>
        <xdr:cNvPr id="9" name="Chart 8">
          <a:extLst>
            <a:ext uri="{FF2B5EF4-FFF2-40B4-BE49-F238E27FC236}">
              <a16:creationId xmlns:a16="http://schemas.microsoft.com/office/drawing/2014/main" id="{A1B39CE3-3352-4E1F-A6FD-4CEAAA3F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447674</xdr:colOff>
      <xdr:row>0</xdr:row>
      <xdr:rowOff>1</xdr:rowOff>
    </xdr:from>
    <xdr:to>
      <xdr:col>32</xdr:col>
      <xdr:colOff>702469</xdr:colOff>
      <xdr:row>35</xdr:row>
      <xdr:rowOff>107156</xdr:rowOff>
    </xdr:to>
    <xdr:graphicFrame macro="">
      <xdr:nvGraphicFramePr>
        <xdr:cNvPr id="2" name="Chart 1">
          <a:extLst>
            <a:ext uri="{FF2B5EF4-FFF2-40B4-BE49-F238E27FC236}">
              <a16:creationId xmlns:a16="http://schemas.microsoft.com/office/drawing/2014/main" id="{C62C41C8-FBE9-48E1-8D6A-E59883D463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613431</xdr:colOff>
      <xdr:row>49</xdr:row>
      <xdr:rowOff>37478</xdr:rowOff>
    </xdr:from>
    <xdr:to>
      <xdr:col>33</xdr:col>
      <xdr:colOff>153851</xdr:colOff>
      <xdr:row>84</xdr:row>
      <xdr:rowOff>144633</xdr:rowOff>
    </xdr:to>
    <xdr:graphicFrame macro="">
      <xdr:nvGraphicFramePr>
        <xdr:cNvPr id="3" name="Chart 2">
          <a:extLst>
            <a:ext uri="{FF2B5EF4-FFF2-40B4-BE49-F238E27FC236}">
              <a16:creationId xmlns:a16="http://schemas.microsoft.com/office/drawing/2014/main" id="{E64EF10A-1B76-4845-93A4-C89658BA8C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108</xdr:row>
      <xdr:rowOff>180975</xdr:rowOff>
    </xdr:from>
    <xdr:to>
      <xdr:col>8</xdr:col>
      <xdr:colOff>133350</xdr:colOff>
      <xdr:row>123</xdr:row>
      <xdr:rowOff>66675</xdr:rowOff>
    </xdr:to>
    <xdr:graphicFrame macro="">
      <xdr:nvGraphicFramePr>
        <xdr:cNvPr id="4" name="Chart 3">
          <a:extLst>
            <a:ext uri="{FF2B5EF4-FFF2-40B4-BE49-F238E27FC236}">
              <a16:creationId xmlns:a16="http://schemas.microsoft.com/office/drawing/2014/main" id="{4B544C38-E1F1-40DF-A90A-2DE83E4B452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55"/>
  <sheetViews>
    <sheetView topLeftCell="H42" workbookViewId="0">
      <selection activeCell="M62" sqref="M62"/>
    </sheetView>
  </sheetViews>
  <sheetFormatPr defaultRowHeight="15"/>
  <cols>
    <col min="1" max="1" width="27.5703125" bestFit="1" customWidth="1"/>
    <col min="2" max="2" width="11.28515625" customWidth="1"/>
    <col min="3" max="3" width="17.5703125" customWidth="1"/>
    <col min="6" max="6" width="12" bestFit="1" customWidth="1"/>
    <col min="7" max="7" width="12.140625" customWidth="1"/>
    <col min="9" max="9" width="11.5703125" customWidth="1"/>
    <col min="10" max="10" width="8.7109375" bestFit="1" customWidth="1"/>
    <col min="11" max="12" width="9" bestFit="1" customWidth="1"/>
    <col min="13" max="13" width="8.7109375" bestFit="1" customWidth="1"/>
    <col min="14" max="16" width="9" bestFit="1" customWidth="1"/>
    <col min="21" max="21" width="16.7109375" customWidth="1"/>
    <col min="22" max="22" width="9" customWidth="1"/>
    <col min="23" max="23" width="81.28515625" customWidth="1"/>
    <col min="24" max="24" width="12.7109375" customWidth="1"/>
    <col min="25" max="25" width="11.5703125" customWidth="1"/>
  </cols>
  <sheetData>
    <row r="1" spans="1:25">
      <c r="A1" t="s">
        <v>1</v>
      </c>
      <c r="B1" s="1" t="s">
        <v>2</v>
      </c>
      <c r="C1" t="s">
        <v>3</v>
      </c>
      <c r="D1" t="s">
        <v>0</v>
      </c>
      <c r="F1" t="s">
        <v>4</v>
      </c>
    </row>
    <row r="2" spans="1:25">
      <c r="A2">
        <v>5000</v>
      </c>
      <c r="B2">
        <v>0.4</v>
      </c>
      <c r="C2">
        <v>10</v>
      </c>
      <c r="D2">
        <v>4300.8</v>
      </c>
      <c r="F2">
        <f>(A2*(B2+0.01)*C2)/D2</f>
        <v>4.7665550595238093</v>
      </c>
    </row>
    <row r="3" spans="1:25">
      <c r="D3">
        <v>12902.4</v>
      </c>
      <c r="F3">
        <f>(A2*(B2+0.01)*C2)/D3</f>
        <v>1.5888516865079365</v>
      </c>
    </row>
    <row r="7" spans="1:25" ht="15.75" thickBot="1"/>
    <row r="8" spans="1:25" ht="26.25" thickBot="1">
      <c r="A8" s="68" t="s">
        <v>75</v>
      </c>
      <c r="B8" s="69"/>
      <c r="C8" s="3" t="s">
        <v>5</v>
      </c>
      <c r="D8" s="69" t="s">
        <v>76</v>
      </c>
      <c r="E8" s="69"/>
      <c r="F8" s="69"/>
      <c r="G8" s="69"/>
      <c r="H8" s="69"/>
      <c r="I8" s="69"/>
      <c r="J8" s="69"/>
      <c r="K8" s="69"/>
      <c r="L8" s="69"/>
      <c r="M8" s="69"/>
      <c r="N8" s="69"/>
      <c r="O8" s="69"/>
      <c r="P8" s="70"/>
      <c r="U8" s="16" t="s">
        <v>77</v>
      </c>
      <c r="V8" s="3" t="s">
        <v>5</v>
      </c>
      <c r="W8" s="3" t="s">
        <v>78</v>
      </c>
      <c r="X8" s="3" t="s">
        <v>48</v>
      </c>
      <c r="Y8" s="17" t="s">
        <v>49</v>
      </c>
    </row>
    <row r="9" spans="1:25" ht="26.25" thickBot="1">
      <c r="A9" s="71"/>
      <c r="B9" s="72"/>
      <c r="C9" s="2"/>
      <c r="D9" s="4" t="s">
        <v>6</v>
      </c>
      <c r="E9" s="4" t="s">
        <v>7</v>
      </c>
      <c r="F9" s="4" t="s">
        <v>79</v>
      </c>
      <c r="G9" s="4" t="s">
        <v>80</v>
      </c>
      <c r="H9" s="4" t="s">
        <v>81</v>
      </c>
      <c r="I9" s="4" t="s">
        <v>8</v>
      </c>
      <c r="J9" s="4" t="s">
        <v>9</v>
      </c>
      <c r="K9" s="4" t="s">
        <v>10</v>
      </c>
      <c r="L9" s="4" t="s">
        <v>82</v>
      </c>
      <c r="M9" s="4" t="s">
        <v>11</v>
      </c>
      <c r="N9" s="4" t="s">
        <v>12</v>
      </c>
      <c r="O9" s="4" t="s">
        <v>13</v>
      </c>
      <c r="P9" s="5" t="s">
        <v>14</v>
      </c>
      <c r="U9" s="18" t="s">
        <v>50</v>
      </c>
      <c r="V9" s="12" t="s">
        <v>51</v>
      </c>
      <c r="W9" s="9" t="s">
        <v>83</v>
      </c>
      <c r="X9" s="4" t="s">
        <v>84</v>
      </c>
      <c r="Y9" s="5" t="s">
        <v>85</v>
      </c>
    </row>
    <row r="10" spans="1:25" ht="26.25" thickBot="1">
      <c r="A10" s="66" t="s">
        <v>15</v>
      </c>
      <c r="B10" s="67"/>
      <c r="C10" s="6" t="s">
        <v>16</v>
      </c>
      <c r="D10" s="7" t="s">
        <v>86</v>
      </c>
      <c r="E10" s="7" t="s">
        <v>86</v>
      </c>
      <c r="F10" s="7" t="s">
        <v>86</v>
      </c>
      <c r="G10" s="7" t="s">
        <v>86</v>
      </c>
      <c r="H10" s="7" t="s">
        <v>86</v>
      </c>
      <c r="I10" s="7" t="s">
        <v>17</v>
      </c>
      <c r="J10" s="7" t="s">
        <v>17</v>
      </c>
      <c r="K10" s="7" t="s">
        <v>17</v>
      </c>
      <c r="L10" s="7" t="s">
        <v>18</v>
      </c>
      <c r="M10" s="7" t="s">
        <v>17</v>
      </c>
      <c r="N10" s="7" t="s">
        <v>87</v>
      </c>
      <c r="O10" s="7" t="s">
        <v>87</v>
      </c>
      <c r="P10" s="8" t="s">
        <v>87</v>
      </c>
      <c r="U10" s="19" t="s">
        <v>88</v>
      </c>
      <c r="V10" s="11"/>
      <c r="W10" s="7" t="s">
        <v>89</v>
      </c>
      <c r="X10" s="15">
        <v>0.5</v>
      </c>
      <c r="Y10" s="20">
        <v>10</v>
      </c>
    </row>
    <row r="11" spans="1:25" ht="90" thickBot="1">
      <c r="A11" s="66" t="s">
        <v>90</v>
      </c>
      <c r="B11" s="67"/>
      <c r="C11" s="2" t="s">
        <v>16</v>
      </c>
      <c r="D11" s="9" t="s">
        <v>91</v>
      </c>
      <c r="E11" s="9" t="s">
        <v>91</v>
      </c>
      <c r="F11" s="9" t="s">
        <v>91</v>
      </c>
      <c r="G11" s="9" t="s">
        <v>92</v>
      </c>
      <c r="H11" s="9" t="s">
        <v>93</v>
      </c>
      <c r="I11" s="9" t="s">
        <v>94</v>
      </c>
      <c r="J11" s="9" t="s">
        <v>19</v>
      </c>
      <c r="K11" s="9" t="s">
        <v>95</v>
      </c>
      <c r="L11" s="9" t="s">
        <v>96</v>
      </c>
      <c r="M11" s="9" t="s">
        <v>97</v>
      </c>
      <c r="N11" s="9" t="s">
        <v>98</v>
      </c>
      <c r="O11" s="9" t="s">
        <v>99</v>
      </c>
      <c r="P11" s="10" t="s">
        <v>20</v>
      </c>
      <c r="U11" s="18" t="s">
        <v>52</v>
      </c>
      <c r="V11" s="12" t="s">
        <v>0</v>
      </c>
      <c r="W11" s="9" t="s">
        <v>100</v>
      </c>
      <c r="X11" s="4">
        <v>4300.8</v>
      </c>
      <c r="Y11" s="5">
        <v>12902.4</v>
      </c>
    </row>
    <row r="12" spans="1:25" ht="26.25" thickBot="1">
      <c r="A12" s="66" t="s">
        <v>101</v>
      </c>
      <c r="B12" s="67"/>
      <c r="C12" s="11" t="s">
        <v>21</v>
      </c>
      <c r="D12" s="29" t="s">
        <v>43</v>
      </c>
      <c r="E12" s="29" t="s">
        <v>44</v>
      </c>
      <c r="F12" s="29" t="s">
        <v>45</v>
      </c>
      <c r="G12" s="29" t="s">
        <v>46</v>
      </c>
      <c r="H12" s="29" t="s">
        <v>47</v>
      </c>
      <c r="I12" s="29">
        <v>200.03</v>
      </c>
      <c r="J12" s="29">
        <v>38.71</v>
      </c>
      <c r="K12" s="29">
        <v>6.61</v>
      </c>
      <c r="L12" s="29">
        <v>57.09</v>
      </c>
      <c r="M12" s="29">
        <v>11.23</v>
      </c>
      <c r="N12" s="29" t="s">
        <v>42</v>
      </c>
      <c r="O12" s="29" t="s">
        <v>42</v>
      </c>
      <c r="P12" s="30" t="s">
        <v>42</v>
      </c>
      <c r="U12" s="19" t="s">
        <v>102</v>
      </c>
      <c r="V12" s="11" t="s">
        <v>67</v>
      </c>
      <c r="W12" s="7" t="s">
        <v>103</v>
      </c>
      <c r="X12" s="15">
        <v>1.4</v>
      </c>
      <c r="Y12" s="20">
        <v>3.5</v>
      </c>
    </row>
    <row r="13" spans="1:25" ht="15.75" thickBot="1">
      <c r="A13" s="66" t="s">
        <v>104</v>
      </c>
      <c r="B13" s="67"/>
      <c r="C13" s="12" t="s">
        <v>22</v>
      </c>
      <c r="D13" s="31">
        <v>55</v>
      </c>
      <c r="E13" s="31">
        <v>51</v>
      </c>
      <c r="F13" s="31">
        <v>15</v>
      </c>
      <c r="G13" s="31">
        <v>22</v>
      </c>
      <c r="H13" s="31">
        <v>30</v>
      </c>
      <c r="I13" s="31" t="s">
        <v>39</v>
      </c>
      <c r="J13" s="31" t="s">
        <v>40</v>
      </c>
      <c r="K13" s="31" t="s">
        <v>41</v>
      </c>
      <c r="L13" s="31">
        <v>160</v>
      </c>
      <c r="M13" s="31">
        <v>6500</v>
      </c>
      <c r="N13" s="31" t="s">
        <v>42</v>
      </c>
      <c r="O13" s="31" t="s">
        <v>42</v>
      </c>
      <c r="P13" s="32" t="s">
        <v>42</v>
      </c>
      <c r="U13" s="18" t="s">
        <v>105</v>
      </c>
      <c r="V13" s="12" t="s">
        <v>68</v>
      </c>
      <c r="W13" s="9" t="s">
        <v>106</v>
      </c>
      <c r="X13" s="4">
        <v>0.28000000000000003</v>
      </c>
      <c r="Y13" s="5">
        <v>0.88</v>
      </c>
    </row>
    <row r="14" spans="1:25" ht="15.75" thickBot="1">
      <c r="A14" s="66" t="s">
        <v>107</v>
      </c>
      <c r="B14" s="67"/>
      <c r="C14" s="11" t="s">
        <v>3</v>
      </c>
      <c r="D14" s="73">
        <v>50</v>
      </c>
      <c r="E14" s="73"/>
      <c r="F14" s="73"/>
      <c r="G14" s="73"/>
      <c r="H14" s="73"/>
      <c r="I14" s="73">
        <v>100</v>
      </c>
      <c r="J14" s="73"/>
      <c r="K14" s="73">
        <v>50</v>
      </c>
      <c r="L14" s="73"/>
      <c r="M14" s="29">
        <v>100</v>
      </c>
      <c r="N14" s="73">
        <v>10</v>
      </c>
      <c r="O14" s="73"/>
      <c r="P14" s="82"/>
      <c r="U14" s="19" t="s">
        <v>108</v>
      </c>
      <c r="V14" s="11" t="s">
        <v>69</v>
      </c>
      <c r="W14" s="7" t="s">
        <v>109</v>
      </c>
      <c r="X14" s="78">
        <v>2.2000000000000002</v>
      </c>
      <c r="Y14" s="79"/>
    </row>
    <row r="15" spans="1:25" ht="26.25" thickBot="1">
      <c r="A15" s="66" t="s">
        <v>110</v>
      </c>
      <c r="B15" s="67"/>
      <c r="C15" s="12" t="s">
        <v>33</v>
      </c>
      <c r="D15" s="31" t="s">
        <v>23</v>
      </c>
      <c r="E15" s="31" t="s">
        <v>24</v>
      </c>
      <c r="F15" s="31" t="s">
        <v>25</v>
      </c>
      <c r="G15" s="31" t="s">
        <v>26</v>
      </c>
      <c r="H15" s="31">
        <v>382086</v>
      </c>
      <c r="I15" s="31" t="s">
        <v>27</v>
      </c>
      <c r="J15" s="31" t="s">
        <v>28</v>
      </c>
      <c r="K15" s="31" t="s">
        <v>29</v>
      </c>
      <c r="L15" s="31">
        <v>9093</v>
      </c>
      <c r="M15" s="31">
        <v>73295</v>
      </c>
      <c r="N15" s="31">
        <v>3000</v>
      </c>
      <c r="O15" s="31">
        <v>3500</v>
      </c>
      <c r="P15" s="32">
        <v>5000</v>
      </c>
      <c r="U15" s="18" t="s">
        <v>111</v>
      </c>
      <c r="V15" s="12" t="s">
        <v>70</v>
      </c>
      <c r="W15" s="9" t="s">
        <v>112</v>
      </c>
      <c r="X15" s="78">
        <v>11.55</v>
      </c>
      <c r="Y15" s="79"/>
    </row>
    <row r="16" spans="1:25" ht="26.25" thickBot="1">
      <c r="A16" s="66" t="s">
        <v>113</v>
      </c>
      <c r="B16" s="67"/>
      <c r="C16" s="11" t="s">
        <v>2</v>
      </c>
      <c r="D16" s="73">
        <v>0.5</v>
      </c>
      <c r="E16" s="73"/>
      <c r="F16" s="73"/>
      <c r="G16" s="73"/>
      <c r="H16" s="73"/>
      <c r="I16" s="73">
        <v>0.8</v>
      </c>
      <c r="J16" s="73"/>
      <c r="K16" s="73">
        <v>0.75</v>
      </c>
      <c r="L16" s="73"/>
      <c r="M16" s="29">
        <v>0.8</v>
      </c>
      <c r="N16" s="73">
        <v>0.3</v>
      </c>
      <c r="O16" s="73"/>
      <c r="P16" s="30">
        <v>0.4</v>
      </c>
      <c r="U16" s="19" t="s">
        <v>57</v>
      </c>
      <c r="V16" s="11" t="s">
        <v>71</v>
      </c>
      <c r="W16" s="7" t="s">
        <v>114</v>
      </c>
      <c r="X16" s="15">
        <v>144.4</v>
      </c>
      <c r="Y16" s="20">
        <v>433</v>
      </c>
    </row>
    <row r="17" spans="1:25" ht="15.75" thickBot="1">
      <c r="A17" s="66" t="s">
        <v>115</v>
      </c>
      <c r="B17" s="67"/>
      <c r="C17" s="12" t="s">
        <v>34</v>
      </c>
      <c r="D17" s="73">
        <v>2.89</v>
      </c>
      <c r="E17" s="73"/>
      <c r="F17" s="73"/>
      <c r="G17" s="73"/>
      <c r="H17" s="73"/>
      <c r="I17" s="73"/>
      <c r="J17" s="73"/>
      <c r="K17" s="73"/>
      <c r="L17" s="73"/>
      <c r="M17" s="31">
        <v>0</v>
      </c>
      <c r="N17" s="31">
        <v>0</v>
      </c>
      <c r="O17" s="31">
        <v>0</v>
      </c>
      <c r="P17" s="32">
        <v>0</v>
      </c>
      <c r="U17" s="18" t="s">
        <v>59</v>
      </c>
      <c r="V17" s="12" t="s">
        <v>72</v>
      </c>
      <c r="W17" s="9" t="s">
        <v>116</v>
      </c>
      <c r="X17" s="4">
        <v>144.4</v>
      </c>
      <c r="Y17" s="5">
        <v>938.2</v>
      </c>
    </row>
    <row r="18" spans="1:25" ht="15.75" thickBot="1">
      <c r="A18" s="74" t="s">
        <v>117</v>
      </c>
      <c r="B18" s="13" t="s">
        <v>30</v>
      </c>
      <c r="C18" s="76" t="s">
        <v>35</v>
      </c>
      <c r="D18" s="29">
        <v>6.5</v>
      </c>
      <c r="E18" s="29">
        <v>5.5</v>
      </c>
      <c r="F18" s="29">
        <v>6.1</v>
      </c>
      <c r="G18" s="29">
        <v>5.8</v>
      </c>
      <c r="H18" s="29">
        <v>5.0999999999999996</v>
      </c>
      <c r="I18" s="29">
        <v>4.8</v>
      </c>
      <c r="J18" s="29">
        <v>4.5999999999999996</v>
      </c>
      <c r="K18" s="29">
        <v>2.6</v>
      </c>
      <c r="L18" s="29">
        <v>3.2</v>
      </c>
      <c r="M18" s="29">
        <v>3.4</v>
      </c>
      <c r="N18" s="29">
        <v>1.8</v>
      </c>
      <c r="O18" s="29">
        <v>1.9</v>
      </c>
      <c r="P18" s="30">
        <v>2.1</v>
      </c>
      <c r="U18" s="19" t="s">
        <v>61</v>
      </c>
      <c r="V18" s="11" t="s">
        <v>73</v>
      </c>
      <c r="W18" s="7" t="s">
        <v>118</v>
      </c>
      <c r="X18" s="15">
        <v>62.1</v>
      </c>
      <c r="Y18" s="20" t="s">
        <v>16</v>
      </c>
    </row>
    <row r="19" spans="1:25" ht="39" thickBot="1">
      <c r="A19" s="75"/>
      <c r="B19" s="14" t="s">
        <v>31</v>
      </c>
      <c r="C19" s="77"/>
      <c r="D19" s="31">
        <v>13.7</v>
      </c>
      <c r="E19" s="31">
        <v>13.6</v>
      </c>
      <c r="F19" s="31">
        <v>12.5</v>
      </c>
      <c r="G19" s="31">
        <v>11.7</v>
      </c>
      <c r="H19" s="31">
        <v>13</v>
      </c>
      <c r="I19" s="31">
        <v>12.8</v>
      </c>
      <c r="J19" s="31">
        <v>12.5</v>
      </c>
      <c r="K19" s="31">
        <v>11.7</v>
      </c>
      <c r="L19" s="31">
        <v>12.8</v>
      </c>
      <c r="M19" s="31">
        <v>11.2</v>
      </c>
      <c r="N19" s="31">
        <v>11.2</v>
      </c>
      <c r="O19" s="31">
        <v>11.5</v>
      </c>
      <c r="P19" s="32">
        <v>11.2</v>
      </c>
      <c r="U19" s="18" t="s">
        <v>63</v>
      </c>
      <c r="V19" s="12" t="s">
        <v>38</v>
      </c>
      <c r="W19" s="9" t="s">
        <v>119</v>
      </c>
      <c r="X19" s="80"/>
      <c r="Y19" s="81"/>
    </row>
    <row r="20" spans="1:25" ht="26.25" thickBot="1">
      <c r="A20" s="74" t="s">
        <v>120</v>
      </c>
      <c r="B20" s="13" t="s">
        <v>30</v>
      </c>
      <c r="C20" s="76" t="s">
        <v>36</v>
      </c>
      <c r="D20" s="29">
        <v>24</v>
      </c>
      <c r="E20" s="29">
        <v>18</v>
      </c>
      <c r="F20" s="29">
        <v>12</v>
      </c>
      <c r="G20" s="29">
        <v>30</v>
      </c>
      <c r="H20" s="29">
        <v>15</v>
      </c>
      <c r="I20" s="29">
        <v>0</v>
      </c>
      <c r="J20" s="29">
        <v>6</v>
      </c>
      <c r="K20" s="29">
        <v>5</v>
      </c>
      <c r="L20" s="29">
        <v>0</v>
      </c>
      <c r="M20" s="29">
        <v>5</v>
      </c>
      <c r="N20" s="29">
        <v>3</v>
      </c>
      <c r="O20" s="29">
        <v>10</v>
      </c>
      <c r="P20" s="30">
        <v>7</v>
      </c>
      <c r="U20" s="21" t="s">
        <v>65</v>
      </c>
      <c r="V20" s="22" t="s">
        <v>74</v>
      </c>
      <c r="W20" s="23" t="s">
        <v>121</v>
      </c>
      <c r="X20" s="24">
        <v>5.0999999999999996</v>
      </c>
      <c r="Y20" s="25">
        <v>7.65</v>
      </c>
    </row>
    <row r="21" spans="1:25" ht="15.75" thickBot="1">
      <c r="A21" s="75"/>
      <c r="B21" s="14" t="s">
        <v>31</v>
      </c>
      <c r="C21" s="77"/>
      <c r="D21" s="31">
        <v>36</v>
      </c>
      <c r="E21" s="31">
        <v>27</v>
      </c>
      <c r="F21" s="31">
        <v>18</v>
      </c>
      <c r="G21" s="31">
        <v>45</v>
      </c>
      <c r="H21" s="31">
        <v>24</v>
      </c>
      <c r="I21" s="31">
        <v>5</v>
      </c>
      <c r="J21" s="31">
        <v>13</v>
      </c>
      <c r="K21" s="31">
        <v>10</v>
      </c>
      <c r="L21" s="31">
        <v>2</v>
      </c>
      <c r="M21" s="31">
        <v>10</v>
      </c>
      <c r="N21" s="31">
        <v>7</v>
      </c>
      <c r="O21" s="31">
        <v>17</v>
      </c>
      <c r="P21" s="32">
        <v>11</v>
      </c>
      <c r="U21" s="26"/>
      <c r="V21" s="26"/>
      <c r="W21" s="26"/>
      <c r="X21" s="26"/>
      <c r="Y21" s="26"/>
    </row>
    <row r="22" spans="1:25" ht="15.75" thickBot="1">
      <c r="A22" s="74" t="s">
        <v>122</v>
      </c>
      <c r="B22" s="13" t="s">
        <v>30</v>
      </c>
      <c r="C22" s="76" t="s">
        <v>37</v>
      </c>
      <c r="D22" s="29">
        <f>(D15*D16)</f>
        <v>546253.5</v>
      </c>
      <c r="E22" s="29">
        <v>9032</v>
      </c>
      <c r="F22" s="29">
        <v>4739</v>
      </c>
      <c r="G22" s="29">
        <v>5549</v>
      </c>
      <c r="H22" s="29">
        <v>2666</v>
      </c>
      <c r="I22" s="29">
        <v>23950</v>
      </c>
      <c r="J22" s="29">
        <v>7379</v>
      </c>
      <c r="K22" s="29">
        <v>128</v>
      </c>
      <c r="L22" s="29">
        <v>81</v>
      </c>
      <c r="M22" s="29">
        <v>1381</v>
      </c>
      <c r="N22" s="29">
        <v>3</v>
      </c>
      <c r="O22" s="29">
        <v>3</v>
      </c>
      <c r="P22" s="30">
        <v>5</v>
      </c>
    </row>
    <row r="23" spans="1:25" ht="15.75" thickBot="1">
      <c r="A23" s="75"/>
      <c r="B23" s="14" t="s">
        <v>31</v>
      </c>
      <c r="C23" s="77"/>
      <c r="D23" s="31">
        <v>2540</v>
      </c>
      <c r="E23" s="31">
        <v>3011</v>
      </c>
      <c r="F23" s="31">
        <v>1580</v>
      </c>
      <c r="G23" s="31">
        <v>1850</v>
      </c>
      <c r="H23" s="31">
        <v>889</v>
      </c>
      <c r="I23" s="31">
        <v>7984</v>
      </c>
      <c r="J23" s="31">
        <v>2460</v>
      </c>
      <c r="K23" s="31">
        <v>43</v>
      </c>
      <c r="L23" s="31">
        <v>27</v>
      </c>
      <c r="M23" s="31">
        <v>461</v>
      </c>
      <c r="N23" s="31">
        <v>1</v>
      </c>
      <c r="O23" s="31">
        <v>1</v>
      </c>
      <c r="P23" s="32">
        <v>2</v>
      </c>
    </row>
    <row r="24" spans="1:25" ht="15.75" thickBot="1">
      <c r="A24" s="74" t="s">
        <v>32</v>
      </c>
      <c r="B24" s="13" t="s">
        <v>30</v>
      </c>
      <c r="C24" s="76" t="s">
        <v>38</v>
      </c>
      <c r="D24" s="73">
        <v>577.29999999999995</v>
      </c>
      <c r="E24" s="73"/>
      <c r="F24" s="73"/>
      <c r="G24" s="73"/>
      <c r="H24" s="73"/>
      <c r="I24" s="29">
        <v>173.3</v>
      </c>
      <c r="J24" s="29">
        <v>173.3</v>
      </c>
      <c r="K24" s="29">
        <v>120</v>
      </c>
      <c r="L24" s="29">
        <v>178.5</v>
      </c>
      <c r="M24" s="29">
        <v>173.3</v>
      </c>
      <c r="N24" s="29">
        <v>120</v>
      </c>
      <c r="O24" s="29">
        <v>120</v>
      </c>
      <c r="P24" s="30">
        <v>120</v>
      </c>
    </row>
    <row r="25" spans="1:25" ht="15.75" thickBot="1">
      <c r="A25" s="75"/>
      <c r="B25" s="14" t="s">
        <v>31</v>
      </c>
      <c r="C25" s="77"/>
      <c r="D25" s="73">
        <v>1732</v>
      </c>
      <c r="E25" s="73"/>
      <c r="F25" s="73"/>
      <c r="G25" s="73"/>
      <c r="H25" s="73"/>
      <c r="I25" s="31">
        <v>519.6</v>
      </c>
      <c r="J25" s="31">
        <v>519.6</v>
      </c>
      <c r="K25" s="31">
        <v>480.8</v>
      </c>
      <c r="L25" s="31">
        <v>511</v>
      </c>
      <c r="M25" s="31">
        <v>519.6</v>
      </c>
      <c r="N25" s="31">
        <v>480.8</v>
      </c>
      <c r="O25" s="31">
        <v>480.8</v>
      </c>
      <c r="P25" s="32">
        <v>480.8</v>
      </c>
    </row>
    <row r="26" spans="1:25">
      <c r="G26" t="s">
        <v>129</v>
      </c>
    </row>
    <row r="30" spans="1:25" ht="15.75" thickBot="1"/>
    <row r="31" spans="1:25" ht="15.75" thickBot="1">
      <c r="C31" s="3" t="s">
        <v>5</v>
      </c>
      <c r="D31" s="27" t="s">
        <v>76</v>
      </c>
      <c r="E31" s="27"/>
      <c r="F31" s="27"/>
      <c r="G31" s="27"/>
      <c r="H31" s="27"/>
      <c r="I31" s="27"/>
      <c r="J31" s="27"/>
      <c r="K31" s="27"/>
      <c r="L31" s="27"/>
      <c r="M31" s="27"/>
      <c r="N31" s="27"/>
      <c r="O31" s="27"/>
      <c r="P31" s="28"/>
    </row>
    <row r="32" spans="1:25" ht="26.25" thickBot="1">
      <c r="C32" s="2"/>
      <c r="D32" s="4" t="s">
        <v>6</v>
      </c>
      <c r="E32" s="4" t="s">
        <v>7</v>
      </c>
      <c r="F32" s="4" t="s">
        <v>79</v>
      </c>
      <c r="G32" s="4" t="s">
        <v>80</v>
      </c>
      <c r="H32" s="4" t="s">
        <v>81</v>
      </c>
      <c r="I32" s="4" t="s">
        <v>8</v>
      </c>
      <c r="J32" s="4" t="s">
        <v>9</v>
      </c>
      <c r="K32" s="4" t="s">
        <v>10</v>
      </c>
      <c r="L32" s="4" t="s">
        <v>82</v>
      </c>
      <c r="M32" s="4" t="s">
        <v>11</v>
      </c>
      <c r="N32" s="4" t="s">
        <v>12</v>
      </c>
      <c r="O32" s="4" t="s">
        <v>13</v>
      </c>
      <c r="P32" s="5" t="s">
        <v>14</v>
      </c>
    </row>
    <row r="33" spans="3:20" ht="26.25" customHeight="1">
      <c r="C33" t="s">
        <v>123</v>
      </c>
      <c r="D33">
        <f>(D20+D21)*X14</f>
        <v>132</v>
      </c>
      <c r="E33">
        <f>(E20+E21)*X14</f>
        <v>99.000000000000014</v>
      </c>
      <c r="F33">
        <f>(F20+F21)*X14</f>
        <v>66</v>
      </c>
      <c r="G33">
        <f>(G20+G21)*X14</f>
        <v>165</v>
      </c>
      <c r="H33">
        <f>(H20+H21)*X14</f>
        <v>85.800000000000011</v>
      </c>
      <c r="I33">
        <f>(I20+I21)*X14</f>
        <v>11</v>
      </c>
      <c r="J33">
        <f>(J20+J21)*X14</f>
        <v>41.800000000000004</v>
      </c>
      <c r="K33">
        <f>(K20+K21)*X14</f>
        <v>33</v>
      </c>
      <c r="L33">
        <f>(L20+L21)*X14</f>
        <v>4.4000000000000004</v>
      </c>
      <c r="M33">
        <f>(M20+M21)*X14</f>
        <v>33</v>
      </c>
      <c r="N33">
        <f>(N20+N21)*X14</f>
        <v>22</v>
      </c>
      <c r="O33">
        <f>(O20+O21)*X14</f>
        <v>59.400000000000006</v>
      </c>
      <c r="P33">
        <f>(P20+P21)*X14</f>
        <v>39.6</v>
      </c>
    </row>
    <row r="34" spans="3:20">
      <c r="C34" t="s">
        <v>124</v>
      </c>
      <c r="D34">
        <f>(D18+D19)*X15</f>
        <v>233.31</v>
      </c>
      <c r="E34">
        <f>(E18+E19)*X15</f>
        <v>220.60500000000002</v>
      </c>
      <c r="F34">
        <f>(F18+F19)*X15</f>
        <v>214.83000000000004</v>
      </c>
      <c r="G34">
        <f>(G18+G19)*X15</f>
        <v>202.125</v>
      </c>
      <c r="H34">
        <f>(H18+H19)*X15</f>
        <v>209.05500000000004</v>
      </c>
      <c r="I34">
        <f>(I18+I19)*X15</f>
        <v>203.28000000000003</v>
      </c>
      <c r="J34">
        <f>(J18+J19)*X15</f>
        <v>197.50500000000002</v>
      </c>
      <c r="K34">
        <f>(K18+K19)*X15</f>
        <v>165.16499999999999</v>
      </c>
      <c r="L34">
        <f>(L18+L19)*X15</f>
        <v>184.8</v>
      </c>
      <c r="M34">
        <f>(M18+M19)*X15</f>
        <v>168.63</v>
      </c>
      <c r="N34">
        <f>(N18+N19)*X15</f>
        <v>150.15</v>
      </c>
      <c r="O34">
        <f>(O18+O19)*X15</f>
        <v>154.77000000000001</v>
      </c>
      <c r="P34">
        <f>(P18+P19)*X15</f>
        <v>153.61500000000001</v>
      </c>
    </row>
    <row r="35" spans="3:20">
      <c r="C35" t="s">
        <v>125</v>
      </c>
    </row>
    <row r="36" spans="3:20">
      <c r="C36" t="s">
        <v>126</v>
      </c>
    </row>
    <row r="37" spans="3:20">
      <c r="C37" t="s">
        <v>127</v>
      </c>
    </row>
    <row r="38" spans="3:20">
      <c r="C38" t="s">
        <v>128</v>
      </c>
    </row>
    <row r="39" spans="3:20" ht="15.75" thickBot="1"/>
    <row r="40" spans="3:20" ht="15.75" thickBot="1">
      <c r="C40" s="60" t="s">
        <v>152</v>
      </c>
      <c r="D40" s="62"/>
      <c r="E40" s="58" t="s">
        <v>15</v>
      </c>
      <c r="F40" s="58" t="s">
        <v>160</v>
      </c>
      <c r="G40" s="58" t="s">
        <v>170</v>
      </c>
      <c r="H40" s="58" t="s">
        <v>182</v>
      </c>
      <c r="I40" s="58" t="s">
        <v>194</v>
      </c>
      <c r="J40" s="58" t="s">
        <v>198</v>
      </c>
      <c r="K40" s="58" t="s">
        <v>203</v>
      </c>
      <c r="L40" s="58" t="s">
        <v>204</v>
      </c>
      <c r="M40" s="54" t="s">
        <v>209</v>
      </c>
      <c r="N40" s="55"/>
      <c r="O40" s="54" t="s">
        <v>232</v>
      </c>
      <c r="P40" s="55"/>
      <c r="Q40" s="54" t="s">
        <v>252</v>
      </c>
      <c r="R40" s="55"/>
      <c r="S40" s="54" t="s">
        <v>32</v>
      </c>
      <c r="T40" s="55"/>
    </row>
    <row r="41" spans="3:20" ht="20.25" thickBot="1">
      <c r="C41" s="61"/>
      <c r="D41" s="63"/>
      <c r="E41" s="59"/>
      <c r="F41" s="59"/>
      <c r="G41" s="59"/>
      <c r="H41" s="59"/>
      <c r="I41" s="59"/>
      <c r="J41" s="59"/>
      <c r="K41" s="59"/>
      <c r="L41" s="59"/>
      <c r="M41" s="49" t="s">
        <v>30</v>
      </c>
      <c r="N41" s="50" t="s">
        <v>31</v>
      </c>
      <c r="O41" s="49" t="s">
        <v>30</v>
      </c>
      <c r="P41" s="50" t="s">
        <v>31</v>
      </c>
      <c r="Q41" s="49" t="s">
        <v>30</v>
      </c>
      <c r="R41" s="50" t="s">
        <v>31</v>
      </c>
      <c r="S41" s="49" t="s">
        <v>30</v>
      </c>
      <c r="T41" s="50" t="s">
        <v>31</v>
      </c>
    </row>
    <row r="42" spans="3:20" ht="15.75" thickBot="1">
      <c r="C42" s="37" t="s">
        <v>5</v>
      </c>
      <c r="D42" s="38"/>
      <c r="E42" s="41" t="s">
        <v>16</v>
      </c>
      <c r="F42" s="38" t="s">
        <v>16</v>
      </c>
      <c r="G42" s="46" t="s">
        <v>21</v>
      </c>
      <c r="H42" s="47" t="s">
        <v>22</v>
      </c>
      <c r="I42" s="46" t="s">
        <v>3</v>
      </c>
      <c r="J42" s="47" t="s">
        <v>199</v>
      </c>
      <c r="K42" s="46" t="s">
        <v>2</v>
      </c>
      <c r="L42" s="47" t="s">
        <v>205</v>
      </c>
      <c r="M42" s="56" t="s">
        <v>210</v>
      </c>
      <c r="N42" s="57"/>
      <c r="O42" s="56" t="s">
        <v>233</v>
      </c>
      <c r="P42" s="57"/>
      <c r="Q42" s="56" t="s">
        <v>253</v>
      </c>
      <c r="R42" s="57"/>
      <c r="S42" s="56" t="s">
        <v>254</v>
      </c>
      <c r="T42" s="57"/>
    </row>
    <row r="43" spans="3:20" ht="39.75" thickBot="1">
      <c r="C43" s="61" t="s">
        <v>153</v>
      </c>
      <c r="D43" s="39" t="s">
        <v>6</v>
      </c>
      <c r="E43" s="42" t="s">
        <v>158</v>
      </c>
      <c r="F43" s="44" t="s">
        <v>161</v>
      </c>
      <c r="G43" s="42" t="s">
        <v>171</v>
      </c>
      <c r="H43" s="44" t="s">
        <v>183</v>
      </c>
      <c r="I43" s="53" t="s">
        <v>195</v>
      </c>
      <c r="J43" s="44" t="s">
        <v>23</v>
      </c>
      <c r="K43" s="53">
        <v>0.5</v>
      </c>
      <c r="L43" s="53" t="s">
        <v>206</v>
      </c>
      <c r="M43" s="42" t="s">
        <v>211</v>
      </c>
      <c r="N43" s="44" t="s">
        <v>224</v>
      </c>
      <c r="O43" s="42" t="s">
        <v>234</v>
      </c>
      <c r="P43" s="44" t="s">
        <v>245</v>
      </c>
      <c r="Q43" s="51">
        <v>6351</v>
      </c>
      <c r="R43" s="39">
        <v>2117</v>
      </c>
      <c r="S43" s="53" t="s">
        <v>255</v>
      </c>
      <c r="T43" s="53" t="s">
        <v>260</v>
      </c>
    </row>
    <row r="44" spans="3:20" ht="39.75" thickBot="1">
      <c r="C44" s="61"/>
      <c r="D44" s="39" t="s">
        <v>7</v>
      </c>
      <c r="E44" s="42" t="s">
        <v>158</v>
      </c>
      <c r="F44" s="44" t="s">
        <v>161</v>
      </c>
      <c r="G44" s="42" t="s">
        <v>172</v>
      </c>
      <c r="H44" s="44" t="s">
        <v>184</v>
      </c>
      <c r="I44" s="53"/>
      <c r="J44" s="44" t="s">
        <v>24</v>
      </c>
      <c r="K44" s="53"/>
      <c r="L44" s="53"/>
      <c r="M44" s="42" t="s">
        <v>212</v>
      </c>
      <c r="N44" s="44" t="s">
        <v>225</v>
      </c>
      <c r="O44" s="42" t="s">
        <v>235</v>
      </c>
      <c r="P44" s="44" t="s">
        <v>246</v>
      </c>
      <c r="Q44" s="51">
        <v>7527</v>
      </c>
      <c r="R44" s="39">
        <v>2509</v>
      </c>
      <c r="S44" s="53"/>
      <c r="T44" s="53"/>
    </row>
    <row r="45" spans="3:20" ht="39.75" thickBot="1">
      <c r="C45" s="61"/>
      <c r="D45" s="39" t="s">
        <v>154</v>
      </c>
      <c r="E45" s="42" t="s">
        <v>158</v>
      </c>
      <c r="F45" s="44" t="s">
        <v>161</v>
      </c>
      <c r="G45" s="42" t="s">
        <v>173</v>
      </c>
      <c r="H45" s="44" t="s">
        <v>185</v>
      </c>
      <c r="I45" s="53"/>
      <c r="J45" s="44" t="s">
        <v>25</v>
      </c>
      <c r="K45" s="53"/>
      <c r="L45" s="53"/>
      <c r="M45" s="42" t="s">
        <v>213</v>
      </c>
      <c r="N45" s="44" t="s">
        <v>226</v>
      </c>
      <c r="O45" s="42" t="s">
        <v>236</v>
      </c>
      <c r="P45" s="44" t="s">
        <v>235</v>
      </c>
      <c r="Q45" s="51">
        <v>3949</v>
      </c>
      <c r="R45" s="39">
        <v>1317</v>
      </c>
      <c r="S45" s="53"/>
      <c r="T45" s="53"/>
    </row>
    <row r="46" spans="3:20" ht="39.75" thickBot="1">
      <c r="C46" s="61"/>
      <c r="D46" s="39" t="s">
        <v>155</v>
      </c>
      <c r="E46" s="42" t="s">
        <v>158</v>
      </c>
      <c r="F46" s="44" t="s">
        <v>162</v>
      </c>
      <c r="G46" s="42" t="s">
        <v>174</v>
      </c>
      <c r="H46" s="44" t="s">
        <v>186</v>
      </c>
      <c r="I46" s="53"/>
      <c r="J46" s="44" t="s">
        <v>26</v>
      </c>
      <c r="K46" s="53"/>
      <c r="L46" s="53"/>
      <c r="M46" s="42" t="s">
        <v>214</v>
      </c>
      <c r="N46" s="44" t="s">
        <v>227</v>
      </c>
      <c r="O46" s="42" t="s">
        <v>237</v>
      </c>
      <c r="P46" s="44" t="s">
        <v>247</v>
      </c>
      <c r="Q46" s="51">
        <v>4624</v>
      </c>
      <c r="R46" s="39">
        <v>1542</v>
      </c>
      <c r="S46" s="53"/>
      <c r="T46" s="53"/>
    </row>
    <row r="47" spans="3:20" ht="39.75" thickBot="1">
      <c r="C47" s="61"/>
      <c r="D47" s="39" t="s">
        <v>156</v>
      </c>
      <c r="E47" s="42" t="s">
        <v>158</v>
      </c>
      <c r="F47" s="44" t="s">
        <v>163</v>
      </c>
      <c r="G47" s="42" t="s">
        <v>175</v>
      </c>
      <c r="H47" s="44" t="s">
        <v>187</v>
      </c>
      <c r="I47" s="53"/>
      <c r="J47" s="48">
        <v>382086</v>
      </c>
      <c r="K47" s="53"/>
      <c r="L47" s="53"/>
      <c r="M47" s="42" t="s">
        <v>215</v>
      </c>
      <c r="N47" s="44" t="s">
        <v>228</v>
      </c>
      <c r="O47" s="42" t="s">
        <v>238</v>
      </c>
      <c r="P47" s="44" t="s">
        <v>234</v>
      </c>
      <c r="Q47" s="51">
        <v>2222</v>
      </c>
      <c r="R47" s="39">
        <v>741</v>
      </c>
      <c r="S47" s="53"/>
      <c r="T47" s="53"/>
    </row>
    <row r="48" spans="3:20" ht="20.25" thickBot="1">
      <c r="C48" s="61"/>
      <c r="D48" s="39" t="s">
        <v>8</v>
      </c>
      <c r="E48" s="42" t="s">
        <v>17</v>
      </c>
      <c r="F48" s="44" t="s">
        <v>164</v>
      </c>
      <c r="G48" s="42" t="s">
        <v>176</v>
      </c>
      <c r="H48" s="44" t="s">
        <v>188</v>
      </c>
      <c r="I48" s="53" t="s">
        <v>196</v>
      </c>
      <c r="J48" s="44" t="s">
        <v>27</v>
      </c>
      <c r="K48" s="53">
        <v>0.8</v>
      </c>
      <c r="L48" s="53"/>
      <c r="M48" s="42" t="s">
        <v>216</v>
      </c>
      <c r="N48" s="44" t="s">
        <v>229</v>
      </c>
      <c r="O48" s="42" t="s">
        <v>239</v>
      </c>
      <c r="P48" s="44" t="s">
        <v>241</v>
      </c>
      <c r="Q48" s="51">
        <v>23654</v>
      </c>
      <c r="R48" s="39">
        <v>7885</v>
      </c>
      <c r="S48" s="42" t="s">
        <v>256</v>
      </c>
      <c r="T48" s="44" t="s">
        <v>261</v>
      </c>
    </row>
    <row r="49" spans="3:20" ht="20.25" thickBot="1">
      <c r="C49" s="61"/>
      <c r="D49" s="39" t="s">
        <v>9</v>
      </c>
      <c r="E49" s="42" t="s">
        <v>17</v>
      </c>
      <c r="F49" s="44" t="s">
        <v>19</v>
      </c>
      <c r="G49" s="42" t="s">
        <v>177</v>
      </c>
      <c r="H49" s="44" t="s">
        <v>189</v>
      </c>
      <c r="I49" s="53"/>
      <c r="J49" s="44" t="s">
        <v>28</v>
      </c>
      <c r="K49" s="53"/>
      <c r="L49" s="53"/>
      <c r="M49" s="42" t="s">
        <v>217</v>
      </c>
      <c r="N49" s="44" t="s">
        <v>226</v>
      </c>
      <c r="O49" s="42" t="s">
        <v>240</v>
      </c>
      <c r="P49" s="44" t="s">
        <v>248</v>
      </c>
      <c r="Q49" s="51">
        <v>7287</v>
      </c>
      <c r="R49" s="39">
        <v>2429</v>
      </c>
      <c r="S49" s="42" t="s">
        <v>256</v>
      </c>
      <c r="T49" s="44" t="s">
        <v>261</v>
      </c>
    </row>
    <row r="50" spans="3:20" ht="30" thickBot="1">
      <c r="C50" s="61"/>
      <c r="D50" s="39" t="s">
        <v>10</v>
      </c>
      <c r="E50" s="42" t="s">
        <v>17</v>
      </c>
      <c r="F50" s="44" t="s">
        <v>165</v>
      </c>
      <c r="G50" s="42" t="s">
        <v>178</v>
      </c>
      <c r="H50" s="44" t="s">
        <v>190</v>
      </c>
      <c r="I50" s="53" t="s">
        <v>195</v>
      </c>
      <c r="J50" s="44" t="s">
        <v>29</v>
      </c>
      <c r="K50" s="53">
        <v>0.75</v>
      </c>
      <c r="L50" s="53"/>
      <c r="M50" s="42" t="s">
        <v>218</v>
      </c>
      <c r="N50" s="44" t="s">
        <v>227</v>
      </c>
      <c r="O50" s="42" t="s">
        <v>241</v>
      </c>
      <c r="P50" s="44" t="s">
        <v>243</v>
      </c>
      <c r="Q50" s="51">
        <v>127</v>
      </c>
      <c r="R50" s="39">
        <v>43</v>
      </c>
      <c r="S50" s="42" t="s">
        <v>257</v>
      </c>
      <c r="T50" s="44" t="s">
        <v>262</v>
      </c>
    </row>
    <row r="51" spans="3:20" ht="30" thickBot="1">
      <c r="C51" s="61"/>
      <c r="D51" s="39" t="s">
        <v>157</v>
      </c>
      <c r="E51" s="42" t="s">
        <v>18</v>
      </c>
      <c r="F51" s="44" t="s">
        <v>166</v>
      </c>
      <c r="G51" s="42" t="s">
        <v>179</v>
      </c>
      <c r="H51" s="44" t="s">
        <v>191</v>
      </c>
      <c r="I51" s="53"/>
      <c r="J51" s="48">
        <v>9093</v>
      </c>
      <c r="K51" s="53"/>
      <c r="L51" s="53"/>
      <c r="M51" s="42" t="s">
        <v>219</v>
      </c>
      <c r="N51" s="44" t="s">
        <v>229</v>
      </c>
      <c r="O51" s="42" t="s">
        <v>239</v>
      </c>
      <c r="P51" s="44" t="s">
        <v>249</v>
      </c>
      <c r="Q51" s="51">
        <v>85</v>
      </c>
      <c r="R51" s="39">
        <v>29</v>
      </c>
      <c r="S51" s="42" t="s">
        <v>258</v>
      </c>
      <c r="T51" s="44" t="s">
        <v>263</v>
      </c>
    </row>
    <row r="52" spans="3:20" ht="30" thickBot="1">
      <c r="C52" s="61"/>
      <c r="D52" s="39" t="s">
        <v>11</v>
      </c>
      <c r="E52" s="42" t="s">
        <v>17</v>
      </c>
      <c r="F52" s="44" t="s">
        <v>167</v>
      </c>
      <c r="G52" s="42" t="s">
        <v>180</v>
      </c>
      <c r="H52" s="44" t="s">
        <v>192</v>
      </c>
      <c r="I52" s="42" t="s">
        <v>196</v>
      </c>
      <c r="J52" s="48">
        <v>73295</v>
      </c>
      <c r="K52" s="42">
        <v>0.8</v>
      </c>
      <c r="L52" s="44" t="s">
        <v>207</v>
      </c>
      <c r="M52" s="42" t="s">
        <v>220</v>
      </c>
      <c r="N52" s="44" t="s">
        <v>230</v>
      </c>
      <c r="O52" s="42" t="s">
        <v>241</v>
      </c>
      <c r="P52" s="44" t="s">
        <v>243</v>
      </c>
      <c r="Q52" s="51">
        <v>1364</v>
      </c>
      <c r="R52" s="39">
        <v>455</v>
      </c>
      <c r="S52" s="42" t="s">
        <v>259</v>
      </c>
      <c r="T52" s="44" t="s">
        <v>264</v>
      </c>
    </row>
    <row r="53" spans="3:20" ht="39.75" thickBot="1">
      <c r="C53" s="61"/>
      <c r="D53" s="39" t="s">
        <v>12</v>
      </c>
      <c r="E53" s="42" t="s">
        <v>159</v>
      </c>
      <c r="F53" s="44" t="s">
        <v>168</v>
      </c>
      <c r="G53" s="42" t="s">
        <v>181</v>
      </c>
      <c r="H53" s="44" t="s">
        <v>193</v>
      </c>
      <c r="I53" s="53" t="s">
        <v>197</v>
      </c>
      <c r="J53" s="44" t="s">
        <v>200</v>
      </c>
      <c r="K53" s="53">
        <v>0.3</v>
      </c>
      <c r="L53" s="44" t="s">
        <v>208</v>
      </c>
      <c r="M53" s="42" t="s">
        <v>221</v>
      </c>
      <c r="N53" s="44" t="s">
        <v>230</v>
      </c>
      <c r="O53" s="42" t="s">
        <v>242</v>
      </c>
      <c r="P53" s="44" t="s">
        <v>244</v>
      </c>
      <c r="Q53" s="51">
        <v>3</v>
      </c>
      <c r="R53" s="39">
        <v>1</v>
      </c>
      <c r="S53" s="42" t="s">
        <v>257</v>
      </c>
      <c r="T53" s="44" t="s">
        <v>262</v>
      </c>
    </row>
    <row r="54" spans="3:20" ht="33" thickBot="1">
      <c r="C54" s="61"/>
      <c r="D54" s="39" t="s">
        <v>13</v>
      </c>
      <c r="E54" s="42" t="s">
        <v>159</v>
      </c>
      <c r="F54" s="44" t="s">
        <v>169</v>
      </c>
      <c r="G54" s="42" t="s">
        <v>181</v>
      </c>
      <c r="H54" s="44" t="s">
        <v>193</v>
      </c>
      <c r="I54" s="53"/>
      <c r="J54" s="44" t="s">
        <v>201</v>
      </c>
      <c r="K54" s="53"/>
      <c r="L54" s="44" t="s">
        <v>208</v>
      </c>
      <c r="M54" s="42" t="s">
        <v>222</v>
      </c>
      <c r="N54" s="44" t="s">
        <v>231</v>
      </c>
      <c r="O54" s="42" t="s">
        <v>243</v>
      </c>
      <c r="P54" s="44" t="s">
        <v>250</v>
      </c>
      <c r="Q54" s="51">
        <v>3</v>
      </c>
      <c r="R54" s="39">
        <v>1</v>
      </c>
      <c r="S54" s="42" t="s">
        <v>257</v>
      </c>
      <c r="T54" s="44" t="s">
        <v>262</v>
      </c>
    </row>
    <row r="55" spans="3:20" ht="20.25" thickBot="1">
      <c r="C55" s="64"/>
      <c r="D55" s="40" t="s">
        <v>14</v>
      </c>
      <c r="E55" s="43" t="s">
        <v>159</v>
      </c>
      <c r="F55" s="45" t="s">
        <v>20</v>
      </c>
      <c r="G55" s="43" t="s">
        <v>181</v>
      </c>
      <c r="H55" s="45" t="s">
        <v>193</v>
      </c>
      <c r="I55" s="65"/>
      <c r="J55" s="45" t="s">
        <v>202</v>
      </c>
      <c r="K55" s="43">
        <v>0.4</v>
      </c>
      <c r="L55" s="45" t="s">
        <v>208</v>
      </c>
      <c r="M55" s="43" t="s">
        <v>223</v>
      </c>
      <c r="N55" s="45" t="s">
        <v>230</v>
      </c>
      <c r="O55" s="43" t="s">
        <v>244</v>
      </c>
      <c r="P55" s="45" t="s">
        <v>251</v>
      </c>
      <c r="Q55" s="52">
        <v>5</v>
      </c>
      <c r="R55" s="40">
        <v>2</v>
      </c>
      <c r="S55" s="43" t="s">
        <v>257</v>
      </c>
      <c r="T55" s="45" t="s">
        <v>262</v>
      </c>
    </row>
  </sheetData>
  <mergeCells count="63">
    <mergeCell ref="X14:Y14"/>
    <mergeCell ref="X15:Y15"/>
    <mergeCell ref="X19:Y19"/>
    <mergeCell ref="A22:A23"/>
    <mergeCell ref="C22:C23"/>
    <mergeCell ref="A15:B15"/>
    <mergeCell ref="A16:B16"/>
    <mergeCell ref="D16:H16"/>
    <mergeCell ref="I16:J16"/>
    <mergeCell ref="K16:L16"/>
    <mergeCell ref="N16:O16"/>
    <mergeCell ref="N14:P14"/>
    <mergeCell ref="A24:A25"/>
    <mergeCell ref="C24:C25"/>
    <mergeCell ref="D24:H24"/>
    <mergeCell ref="D25:H25"/>
    <mergeCell ref="A17:B17"/>
    <mergeCell ref="D17:L17"/>
    <mergeCell ref="A18:A19"/>
    <mergeCell ref="C18:C19"/>
    <mergeCell ref="A20:A21"/>
    <mergeCell ref="C20:C21"/>
    <mergeCell ref="A13:B13"/>
    <mergeCell ref="A14:B14"/>
    <mergeCell ref="D14:H14"/>
    <mergeCell ref="I14:J14"/>
    <mergeCell ref="K14:L14"/>
    <mergeCell ref="A12:B12"/>
    <mergeCell ref="A8:B8"/>
    <mergeCell ref="D8:P8"/>
    <mergeCell ref="A9:B9"/>
    <mergeCell ref="A10:B10"/>
    <mergeCell ref="A11:B11"/>
    <mergeCell ref="C43:C55"/>
    <mergeCell ref="I43:I47"/>
    <mergeCell ref="K43:K47"/>
    <mergeCell ref="L43:L51"/>
    <mergeCell ref="I53:I55"/>
    <mergeCell ref="K53:K54"/>
    <mergeCell ref="C40:C41"/>
    <mergeCell ref="D40:D41"/>
    <mergeCell ref="E40:E41"/>
    <mergeCell ref="F40:F41"/>
    <mergeCell ref="G40:G41"/>
    <mergeCell ref="H40:H41"/>
    <mergeCell ref="I40:I41"/>
    <mergeCell ref="J40:J41"/>
    <mergeCell ref="K40:K41"/>
    <mergeCell ref="L40:L41"/>
    <mergeCell ref="M40:N40"/>
    <mergeCell ref="O40:P40"/>
    <mergeCell ref="Q40:R40"/>
    <mergeCell ref="S40:T40"/>
    <mergeCell ref="M42:N42"/>
    <mergeCell ref="O42:P42"/>
    <mergeCell ref="Q42:R42"/>
    <mergeCell ref="S42:T42"/>
    <mergeCell ref="S43:S47"/>
    <mergeCell ref="T43:T47"/>
    <mergeCell ref="I48:I49"/>
    <mergeCell ref="K48:K49"/>
    <mergeCell ref="I50:I51"/>
    <mergeCell ref="K50:K5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93"/>
  <sheetViews>
    <sheetView tabSelected="1" topLeftCell="AA139" zoomScale="70" zoomScaleNormal="70" workbookViewId="0">
      <selection activeCell="AB86" sqref="AB86"/>
    </sheetView>
  </sheetViews>
  <sheetFormatPr defaultColWidth="10.7109375" defaultRowHeight="15"/>
  <cols>
    <col min="1" max="1" width="32.85546875" customWidth="1"/>
    <col min="4" max="16" width="22.7109375" customWidth="1"/>
    <col min="19" max="19" width="23.7109375" customWidth="1"/>
    <col min="21" max="21" width="21.42578125" customWidth="1"/>
  </cols>
  <sheetData>
    <row r="1" spans="1:24">
      <c r="A1" t="s">
        <v>152</v>
      </c>
      <c r="C1" t="s">
        <v>5</v>
      </c>
      <c r="D1" t="s">
        <v>76</v>
      </c>
      <c r="S1" t="s">
        <v>77</v>
      </c>
      <c r="T1" t="s">
        <v>5</v>
      </c>
      <c r="U1" t="s">
        <v>78</v>
      </c>
      <c r="V1" t="s">
        <v>48</v>
      </c>
      <c r="W1" t="s">
        <v>49</v>
      </c>
      <c r="X1" t="s">
        <v>266</v>
      </c>
    </row>
    <row r="2" spans="1:24">
      <c r="D2" t="s">
        <v>6</v>
      </c>
      <c r="E2" t="s">
        <v>7</v>
      </c>
      <c r="F2" t="s">
        <v>79</v>
      </c>
      <c r="G2" t="s">
        <v>80</v>
      </c>
      <c r="H2" t="s">
        <v>81</v>
      </c>
      <c r="I2" t="s">
        <v>8</v>
      </c>
      <c r="J2" t="s">
        <v>9</v>
      </c>
      <c r="K2" t="s">
        <v>10</v>
      </c>
      <c r="L2" t="s">
        <v>82</v>
      </c>
      <c r="M2" t="s">
        <v>11</v>
      </c>
      <c r="N2" t="s">
        <v>12</v>
      </c>
      <c r="O2" t="s">
        <v>13</v>
      </c>
      <c r="P2" t="s">
        <v>14</v>
      </c>
      <c r="S2" t="s">
        <v>50</v>
      </c>
      <c r="T2" t="s">
        <v>51</v>
      </c>
      <c r="U2" t="s">
        <v>83</v>
      </c>
      <c r="V2" s="33">
        <v>5</v>
      </c>
      <c r="W2" s="33">
        <v>10</v>
      </c>
      <c r="X2">
        <v>5</v>
      </c>
    </row>
    <row r="3" spans="1:24">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c r="X3">
        <v>0.5</v>
      </c>
    </row>
    <row r="4" spans="1:24">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c r="X4">
        <v>67200</v>
      </c>
    </row>
    <row r="5" spans="1:24">
      <c r="A5" t="s">
        <v>101</v>
      </c>
      <c r="C5" t="s">
        <v>21</v>
      </c>
      <c r="D5" s="34">
        <v>20011</v>
      </c>
      <c r="E5" s="34">
        <v>25596</v>
      </c>
      <c r="F5" s="34">
        <v>44913</v>
      </c>
      <c r="G5" s="34">
        <v>36407</v>
      </c>
      <c r="H5" s="34">
        <v>12836</v>
      </c>
      <c r="I5" s="34">
        <v>200.03</v>
      </c>
      <c r="J5" s="34">
        <v>38.71</v>
      </c>
      <c r="K5" s="34">
        <v>6.61</v>
      </c>
      <c r="L5" s="34">
        <v>57.09</v>
      </c>
      <c r="M5" s="34">
        <v>11.23</v>
      </c>
      <c r="N5" s="34">
        <v>0</v>
      </c>
      <c r="O5" s="34">
        <v>0</v>
      </c>
      <c r="P5" s="34">
        <v>0</v>
      </c>
      <c r="S5" t="s">
        <v>102</v>
      </c>
      <c r="T5" t="s">
        <v>53</v>
      </c>
      <c r="U5" t="s">
        <v>103</v>
      </c>
      <c r="V5" s="33">
        <v>1.4</v>
      </c>
      <c r="W5" s="33">
        <v>3.5</v>
      </c>
      <c r="X5">
        <v>5.6</v>
      </c>
    </row>
    <row r="6" spans="1:24">
      <c r="A6" t="s">
        <v>104</v>
      </c>
      <c r="C6" t="s">
        <v>22</v>
      </c>
      <c r="D6" s="34">
        <v>55</v>
      </c>
      <c r="E6" s="34">
        <v>51</v>
      </c>
      <c r="F6" s="34">
        <v>15</v>
      </c>
      <c r="G6" s="34">
        <v>22</v>
      </c>
      <c r="H6" s="34">
        <v>30</v>
      </c>
      <c r="I6" s="34">
        <v>6400</v>
      </c>
      <c r="J6" s="34">
        <v>10000</v>
      </c>
      <c r="K6" s="34">
        <v>2200</v>
      </c>
      <c r="L6" s="34">
        <v>160</v>
      </c>
      <c r="M6" s="34">
        <v>6500</v>
      </c>
      <c r="N6" s="34">
        <v>0</v>
      </c>
      <c r="O6" s="34">
        <v>0</v>
      </c>
      <c r="P6" s="34">
        <v>0</v>
      </c>
      <c r="S6" t="s">
        <v>105</v>
      </c>
      <c r="T6" t="s">
        <v>54</v>
      </c>
      <c r="U6" t="s">
        <v>106</v>
      </c>
      <c r="V6" s="33">
        <v>0.28000000000000003</v>
      </c>
      <c r="W6" s="33">
        <v>0.88</v>
      </c>
      <c r="X6">
        <v>0.28000000000000003</v>
      </c>
    </row>
    <row r="7" spans="1:24">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4">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4">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c r="X9">
        <v>144.4</v>
      </c>
    </row>
    <row r="10" spans="1:24">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c r="X10">
        <v>39.5</v>
      </c>
    </row>
    <row r="11" spans="1:24">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4">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4">
      <c r="B13" t="s">
        <v>266</v>
      </c>
      <c r="D13" s="34">
        <v>8.5</v>
      </c>
      <c r="E13" s="34">
        <v>8.6999999999999993</v>
      </c>
      <c r="F13" s="34">
        <v>8.6</v>
      </c>
      <c r="G13" s="34">
        <v>8.5</v>
      </c>
      <c r="H13" s="34">
        <v>7.9</v>
      </c>
      <c r="I13" s="34">
        <v>9</v>
      </c>
      <c r="J13" s="34">
        <v>8.1</v>
      </c>
      <c r="K13" s="34">
        <v>5.5</v>
      </c>
      <c r="L13" s="34">
        <v>6.3</v>
      </c>
      <c r="M13" s="34">
        <v>6.8</v>
      </c>
      <c r="N13" s="34">
        <v>5.4</v>
      </c>
      <c r="O13" s="34">
        <v>5.6</v>
      </c>
      <c r="P13" s="34">
        <v>4.9000000000000004</v>
      </c>
      <c r="V13" s="33"/>
      <c r="W13" s="33"/>
    </row>
    <row r="14" spans="1:24">
      <c r="A14" t="s">
        <v>120</v>
      </c>
      <c r="B14" t="s">
        <v>30</v>
      </c>
      <c r="C14" t="s">
        <v>133</v>
      </c>
      <c r="D14" s="34">
        <v>19</v>
      </c>
      <c r="E14" s="34">
        <v>18</v>
      </c>
      <c r="F14" s="34">
        <v>12</v>
      </c>
      <c r="G14" s="34">
        <v>30</v>
      </c>
      <c r="H14" s="34">
        <v>15</v>
      </c>
      <c r="I14" s="34">
        <v>0</v>
      </c>
      <c r="J14" s="34">
        <v>6</v>
      </c>
      <c r="K14" s="34">
        <v>5</v>
      </c>
      <c r="L14" s="34">
        <v>0</v>
      </c>
      <c r="M14" s="34">
        <v>5</v>
      </c>
      <c r="N14" s="34">
        <v>3</v>
      </c>
      <c r="O14" s="34">
        <v>10</v>
      </c>
      <c r="P14" s="34">
        <v>7</v>
      </c>
      <c r="S14" t="s">
        <v>65</v>
      </c>
      <c r="T14" t="s">
        <v>66</v>
      </c>
      <c r="U14" t="s">
        <v>121</v>
      </c>
      <c r="V14" s="33">
        <v>5.0999999999999996</v>
      </c>
      <c r="W14" s="33">
        <v>7.65</v>
      </c>
      <c r="X14">
        <v>2.5499999999999998</v>
      </c>
    </row>
    <row r="15" spans="1:24">
      <c r="B15" t="s">
        <v>31</v>
      </c>
      <c r="D15" s="34">
        <v>36</v>
      </c>
      <c r="E15" s="34">
        <v>27</v>
      </c>
      <c r="F15" s="34">
        <v>18</v>
      </c>
      <c r="G15" s="34">
        <v>45</v>
      </c>
      <c r="H15" s="34">
        <v>24</v>
      </c>
      <c r="I15" s="34">
        <v>5</v>
      </c>
      <c r="J15" s="34">
        <v>13</v>
      </c>
      <c r="K15" s="34">
        <v>10</v>
      </c>
      <c r="L15" s="34">
        <v>2</v>
      </c>
      <c r="M15" s="34">
        <v>10</v>
      </c>
      <c r="N15" s="34">
        <v>7</v>
      </c>
      <c r="O15" s="34">
        <v>17</v>
      </c>
      <c r="P15" s="34">
        <v>11</v>
      </c>
      <c r="S15" t="s">
        <v>265</v>
      </c>
    </row>
    <row r="16" spans="1:24">
      <c r="B16" t="s">
        <v>266</v>
      </c>
      <c r="D16" s="34">
        <v>20</v>
      </c>
      <c r="E16" s="34">
        <v>20</v>
      </c>
      <c r="F16" s="34">
        <v>20</v>
      </c>
      <c r="G16" s="34">
        <v>20</v>
      </c>
      <c r="H16" s="34">
        <v>20</v>
      </c>
      <c r="I16" s="34">
        <v>20</v>
      </c>
      <c r="J16" s="34">
        <v>20</v>
      </c>
      <c r="K16" s="34">
        <v>15</v>
      </c>
      <c r="L16" s="34">
        <v>15</v>
      </c>
      <c r="M16" s="34">
        <v>9</v>
      </c>
      <c r="N16" s="34">
        <v>7</v>
      </c>
      <c r="O16" s="34">
        <v>7</v>
      </c>
      <c r="P16" s="34">
        <v>7</v>
      </c>
      <c r="S16" t="s">
        <v>267</v>
      </c>
      <c r="W16">
        <v>4</v>
      </c>
      <c r="X16">
        <v>2</v>
      </c>
    </row>
    <row r="17" spans="1:16">
      <c r="A17" t="s">
        <v>278</v>
      </c>
      <c r="B17" t="s">
        <v>30</v>
      </c>
      <c r="C17" t="s">
        <v>270</v>
      </c>
      <c r="D17" s="34">
        <f>_xlfn.CEILING.MATH(D$5/((6*POWER($V$3,2)/4)*(SQRT(3))))</f>
        <v>30809</v>
      </c>
      <c r="E17" s="34">
        <f t="shared" ref="E17:P17" si="0">_xlfn.CEILING.MATH(E$5/((6*POWER($V$3,2)/4)*(SQRT(3))))</f>
        <v>39408</v>
      </c>
      <c r="F17" s="34">
        <f t="shared" si="0"/>
        <v>69149</v>
      </c>
      <c r="G17" s="34">
        <f t="shared" si="0"/>
        <v>56053</v>
      </c>
      <c r="H17" s="34">
        <f t="shared" si="0"/>
        <v>19763</v>
      </c>
      <c r="I17" s="34">
        <f t="shared" si="0"/>
        <v>308</v>
      </c>
      <c r="J17" s="34">
        <f t="shared" si="0"/>
        <v>60</v>
      </c>
      <c r="K17" s="34">
        <f t="shared" si="0"/>
        <v>11</v>
      </c>
      <c r="L17" s="34">
        <f t="shared" si="0"/>
        <v>88</v>
      </c>
      <c r="M17" s="34">
        <f t="shared" si="0"/>
        <v>18</v>
      </c>
      <c r="N17" s="34">
        <f t="shared" si="0"/>
        <v>0</v>
      </c>
      <c r="O17" s="34">
        <f t="shared" si="0"/>
        <v>0</v>
      </c>
      <c r="P17" s="34">
        <f t="shared" si="0"/>
        <v>0</v>
      </c>
    </row>
    <row r="18" spans="1:16">
      <c r="B18" t="s">
        <v>31</v>
      </c>
      <c r="D18" s="34">
        <f>_xlfn.CEILING.MATH(D$5/((6*POWER($W$3,2)/4)*(SQRT(3))))</f>
        <v>78</v>
      </c>
      <c r="E18" s="34">
        <f t="shared" ref="E18:P18" si="1">_xlfn.CEILING.MATH(E$5/((6*POWER($W$3,2)/4)*(SQRT(3))))</f>
        <v>99</v>
      </c>
      <c r="F18" s="34">
        <f t="shared" si="1"/>
        <v>173</v>
      </c>
      <c r="G18" s="34">
        <f t="shared" si="1"/>
        <v>141</v>
      </c>
      <c r="H18" s="34">
        <f t="shared" si="1"/>
        <v>50</v>
      </c>
      <c r="I18" s="34">
        <f t="shared" si="1"/>
        <v>1</v>
      </c>
      <c r="J18" s="34">
        <f t="shared" si="1"/>
        <v>1</v>
      </c>
      <c r="K18" s="34">
        <f t="shared" si="1"/>
        <v>1</v>
      </c>
      <c r="L18" s="34">
        <f t="shared" si="1"/>
        <v>1</v>
      </c>
      <c r="M18" s="34">
        <f t="shared" si="1"/>
        <v>1</v>
      </c>
      <c r="N18" s="34">
        <f t="shared" si="1"/>
        <v>0</v>
      </c>
      <c r="O18" s="34">
        <f t="shared" si="1"/>
        <v>0</v>
      </c>
      <c r="P18" s="34">
        <f t="shared" si="1"/>
        <v>0</v>
      </c>
    </row>
    <row r="19" spans="1:16">
      <c r="B19" t="s">
        <v>266</v>
      </c>
      <c r="D19" s="34">
        <f>_xlfn.CEILING.MATH(D$5/((6*POWER($X$3,2)/4)*(SQRT(3))))</f>
        <v>30809</v>
      </c>
      <c r="E19" s="34">
        <f t="shared" ref="E19:P19" si="2">_xlfn.CEILING.MATH(E$5/((6*POWER($X$3,2)/4)*(SQRT(3))))</f>
        <v>39408</v>
      </c>
      <c r="F19" s="34">
        <f t="shared" si="2"/>
        <v>69149</v>
      </c>
      <c r="G19" s="34">
        <f t="shared" si="2"/>
        <v>56053</v>
      </c>
      <c r="H19" s="34">
        <f t="shared" si="2"/>
        <v>19763</v>
      </c>
      <c r="I19" s="34">
        <f t="shared" si="2"/>
        <v>308</v>
      </c>
      <c r="J19" s="34">
        <f t="shared" si="2"/>
        <v>60</v>
      </c>
      <c r="K19" s="34">
        <f t="shared" si="2"/>
        <v>11</v>
      </c>
      <c r="L19" s="34">
        <f t="shared" si="2"/>
        <v>88</v>
      </c>
      <c r="M19" s="34">
        <f t="shared" si="2"/>
        <v>18</v>
      </c>
      <c r="N19" s="34">
        <f t="shared" si="2"/>
        <v>0</v>
      </c>
      <c r="O19" s="34">
        <f t="shared" si="2"/>
        <v>0</v>
      </c>
      <c r="P19" s="34">
        <f t="shared" si="2"/>
        <v>0</v>
      </c>
    </row>
    <row r="20" spans="1:16">
      <c r="A20" t="s">
        <v>32</v>
      </c>
      <c r="B20" t="s">
        <v>30</v>
      </c>
      <c r="C20" t="s">
        <v>64</v>
      </c>
      <c r="D20" s="34">
        <v>577.29999999999995</v>
      </c>
      <c r="E20" s="34">
        <v>577.29999999999995</v>
      </c>
      <c r="F20" s="34">
        <v>577.29999999999995</v>
      </c>
      <c r="G20" s="34">
        <v>577.29999999999995</v>
      </c>
      <c r="H20" s="34">
        <v>577.29999999999995</v>
      </c>
      <c r="I20" s="34">
        <v>173.3</v>
      </c>
      <c r="J20" s="34">
        <v>173.3</v>
      </c>
      <c r="K20" s="34">
        <v>120</v>
      </c>
      <c r="L20" s="34">
        <v>178.5</v>
      </c>
      <c r="M20" s="34">
        <v>173.3</v>
      </c>
      <c r="N20" s="34">
        <v>120</v>
      </c>
      <c r="O20" s="34">
        <v>120</v>
      </c>
      <c r="P20" s="34">
        <v>120</v>
      </c>
    </row>
    <row r="21" spans="1:16">
      <c r="B21" t="s">
        <v>31</v>
      </c>
      <c r="D21" s="34">
        <v>1732</v>
      </c>
      <c r="E21" s="34">
        <v>1732</v>
      </c>
      <c r="F21" s="34">
        <v>1732</v>
      </c>
      <c r="G21" s="34">
        <v>1732</v>
      </c>
      <c r="H21" s="34">
        <v>1732</v>
      </c>
      <c r="I21" s="34">
        <v>519.6</v>
      </c>
      <c r="J21" s="34">
        <v>519.6</v>
      </c>
      <c r="K21" s="34">
        <v>480.8</v>
      </c>
      <c r="L21" s="34">
        <v>511</v>
      </c>
      <c r="M21" s="34">
        <v>519.6</v>
      </c>
      <c r="N21" s="34">
        <v>480.8</v>
      </c>
      <c r="O21" s="34">
        <v>480.8</v>
      </c>
      <c r="P21" s="34">
        <v>480.8</v>
      </c>
    </row>
    <row r="22" spans="1:16">
      <c r="B22" t="s">
        <v>266</v>
      </c>
      <c r="D22" s="34">
        <v>812</v>
      </c>
      <c r="E22" s="34">
        <v>812</v>
      </c>
      <c r="F22" s="34">
        <v>812</v>
      </c>
      <c r="G22" s="34">
        <v>812</v>
      </c>
      <c r="H22" s="34">
        <v>812</v>
      </c>
      <c r="I22" s="34">
        <v>240</v>
      </c>
      <c r="J22" s="34">
        <v>240</v>
      </c>
      <c r="K22" s="34">
        <v>160</v>
      </c>
      <c r="L22" s="34">
        <v>200</v>
      </c>
      <c r="M22" s="34">
        <v>200</v>
      </c>
      <c r="N22" s="34">
        <v>160</v>
      </c>
      <c r="O22" s="34">
        <v>160</v>
      </c>
      <c r="P22" s="34">
        <v>160</v>
      </c>
    </row>
    <row r="23" spans="1:16">
      <c r="A23" t="s">
        <v>142</v>
      </c>
      <c r="C23" t="s">
        <v>141</v>
      </c>
      <c r="D23">
        <v>1.4</v>
      </c>
      <c r="E23">
        <v>1.4</v>
      </c>
      <c r="F23">
        <v>1.4</v>
      </c>
      <c r="G23">
        <v>1.4</v>
      </c>
      <c r="H23">
        <v>1.4</v>
      </c>
      <c r="I23">
        <v>4.4000000000000004</v>
      </c>
      <c r="J23">
        <v>4.4000000000000004</v>
      </c>
      <c r="K23">
        <v>2.1</v>
      </c>
      <c r="L23">
        <v>2.2999999999999998</v>
      </c>
      <c r="M23">
        <v>0.5</v>
      </c>
      <c r="N23">
        <v>0.02</v>
      </c>
      <c r="O23">
        <v>0.02</v>
      </c>
      <c r="P23">
        <v>0.02</v>
      </c>
    </row>
    <row r="26" spans="1:16">
      <c r="D26">
        <f>((2*D5)/(3*SQRT(3)*POWER($W4*EXP(-6),2)))</f>
        <v>7.5302550301611504</v>
      </c>
    </row>
    <row r="29" spans="1:16">
      <c r="D29" t="s">
        <v>6</v>
      </c>
      <c r="E29" t="s">
        <v>7</v>
      </c>
      <c r="F29" t="s">
        <v>79</v>
      </c>
      <c r="G29" t="s">
        <v>80</v>
      </c>
      <c r="H29" t="s">
        <v>81</v>
      </c>
      <c r="I29" t="s">
        <v>8</v>
      </c>
      <c r="J29" t="s">
        <v>9</v>
      </c>
      <c r="K29" t="s">
        <v>10</v>
      </c>
      <c r="L29" t="s">
        <v>82</v>
      </c>
      <c r="M29" t="s">
        <v>11</v>
      </c>
      <c r="N29" t="s">
        <v>12</v>
      </c>
      <c r="O29" t="s">
        <v>13</v>
      </c>
      <c r="P29" t="s">
        <v>14</v>
      </c>
    </row>
    <row r="30" spans="1:16">
      <c r="C30" t="s">
        <v>135</v>
      </c>
      <c r="D30">
        <f t="shared" ref="D30:P30" si="3">(D14)*$V7*D17</f>
        <v>1287816.2000000002</v>
      </c>
      <c r="E30">
        <f t="shared" si="3"/>
        <v>1560556.8</v>
      </c>
      <c r="F30">
        <f t="shared" si="3"/>
        <v>1825533.6</v>
      </c>
      <c r="G30">
        <f t="shared" si="3"/>
        <v>3699498</v>
      </c>
      <c r="H30">
        <f t="shared" si="3"/>
        <v>652179</v>
      </c>
      <c r="I30">
        <f t="shared" si="3"/>
        <v>0</v>
      </c>
      <c r="J30">
        <f t="shared" si="3"/>
        <v>792.00000000000011</v>
      </c>
      <c r="K30">
        <f t="shared" si="3"/>
        <v>121</v>
      </c>
      <c r="L30">
        <f t="shared" si="3"/>
        <v>0</v>
      </c>
      <c r="M30">
        <f t="shared" si="3"/>
        <v>198</v>
      </c>
      <c r="N30">
        <f t="shared" si="3"/>
        <v>0</v>
      </c>
      <c r="O30">
        <f t="shared" si="3"/>
        <v>0</v>
      </c>
      <c r="P30">
        <f t="shared" si="3"/>
        <v>0</v>
      </c>
    </row>
    <row r="31" spans="1:16">
      <c r="C31" t="s">
        <v>136</v>
      </c>
      <c r="D31">
        <f t="shared" ref="D31:P31" si="4">(D11)*$V8*D17</f>
        <v>2312985.6750000003</v>
      </c>
      <c r="E31">
        <f t="shared" si="4"/>
        <v>2503393.2000000002</v>
      </c>
      <c r="F31">
        <f t="shared" si="4"/>
        <v>4871892.7949999999</v>
      </c>
      <c r="G31">
        <f t="shared" si="4"/>
        <v>3754990.4700000007</v>
      </c>
      <c r="H31">
        <f t="shared" si="4"/>
        <v>1164139.5150000001</v>
      </c>
      <c r="I31">
        <f t="shared" si="4"/>
        <v>17075.52</v>
      </c>
      <c r="J31">
        <f t="shared" si="4"/>
        <v>3187.8</v>
      </c>
      <c r="K31">
        <f t="shared" si="4"/>
        <v>330.33000000000004</v>
      </c>
      <c r="L31">
        <f t="shared" si="4"/>
        <v>3252.48</v>
      </c>
      <c r="M31">
        <f t="shared" si="4"/>
        <v>706.86</v>
      </c>
      <c r="N31">
        <f t="shared" si="4"/>
        <v>0</v>
      </c>
      <c r="O31">
        <f t="shared" si="4"/>
        <v>0</v>
      </c>
      <c r="P31">
        <f t="shared" si="4"/>
        <v>0</v>
      </c>
    </row>
    <row r="32" spans="1:16">
      <c r="C32" t="s">
        <v>125</v>
      </c>
      <c r="D32" s="33">
        <f t="shared" ref="D32:P32" si="5">$V9*D17</f>
        <v>4448819.6000000006</v>
      </c>
      <c r="E32" s="33">
        <f t="shared" si="5"/>
        <v>5690515.2000000002</v>
      </c>
      <c r="F32" s="33">
        <f t="shared" si="5"/>
        <v>9985115.5999999996</v>
      </c>
      <c r="G32" s="33">
        <f t="shared" si="5"/>
        <v>8094053.2000000002</v>
      </c>
      <c r="H32" s="33">
        <f t="shared" si="5"/>
        <v>2853777.2</v>
      </c>
      <c r="I32" s="33">
        <f t="shared" si="5"/>
        <v>44475.200000000004</v>
      </c>
      <c r="J32" s="33">
        <f t="shared" si="5"/>
        <v>8664</v>
      </c>
      <c r="K32" s="33">
        <f t="shared" si="5"/>
        <v>1588.4</v>
      </c>
      <c r="L32" s="33">
        <f t="shared" si="5"/>
        <v>12707.2</v>
      </c>
      <c r="M32" s="33">
        <f t="shared" si="5"/>
        <v>2599.2000000000003</v>
      </c>
      <c r="N32" s="33">
        <f t="shared" si="5"/>
        <v>0</v>
      </c>
      <c r="O32" s="33">
        <f t="shared" si="5"/>
        <v>0</v>
      </c>
      <c r="P32" s="33">
        <f t="shared" si="5"/>
        <v>0</v>
      </c>
    </row>
    <row r="33" spans="3:16">
      <c r="C33" t="s">
        <v>126</v>
      </c>
      <c r="D33" s="33">
        <f t="shared" ref="D33:P33" si="6">$V10*D17</f>
        <v>4448819.6000000006</v>
      </c>
      <c r="E33" s="33">
        <f t="shared" si="6"/>
        <v>5690515.2000000002</v>
      </c>
      <c r="F33" s="33">
        <f t="shared" si="6"/>
        <v>9985115.5999999996</v>
      </c>
      <c r="G33" s="33">
        <f t="shared" si="6"/>
        <v>8094053.2000000002</v>
      </c>
      <c r="H33" s="33">
        <f t="shared" si="6"/>
        <v>2853777.2</v>
      </c>
      <c r="I33" s="33">
        <f t="shared" si="6"/>
        <v>44475.200000000004</v>
      </c>
      <c r="J33" s="33">
        <f t="shared" si="6"/>
        <v>8664</v>
      </c>
      <c r="K33" s="33">
        <f t="shared" si="6"/>
        <v>1588.4</v>
      </c>
      <c r="L33" s="33">
        <f t="shared" si="6"/>
        <v>12707.2</v>
      </c>
      <c r="M33" s="33">
        <f t="shared" si="6"/>
        <v>2599.2000000000003</v>
      </c>
      <c r="N33" s="33">
        <f t="shared" si="6"/>
        <v>0</v>
      </c>
      <c r="O33" s="33">
        <f t="shared" si="6"/>
        <v>0</v>
      </c>
      <c r="P33" s="33">
        <f t="shared" si="6"/>
        <v>0</v>
      </c>
    </row>
    <row r="34" spans="3:16">
      <c r="C34" t="s">
        <v>127</v>
      </c>
      <c r="D34" s="33">
        <f t="shared" ref="D34:P34" si="7">$V11*D17</f>
        <v>1913238.9000000001</v>
      </c>
      <c r="E34" s="33">
        <f t="shared" si="7"/>
        <v>2447236.8000000003</v>
      </c>
      <c r="F34" s="33">
        <f t="shared" si="7"/>
        <v>4294152.9000000004</v>
      </c>
      <c r="G34" s="33">
        <f t="shared" si="7"/>
        <v>3480891.3000000003</v>
      </c>
      <c r="H34" s="33">
        <f t="shared" si="7"/>
        <v>1227282.3</v>
      </c>
      <c r="I34" s="33">
        <f t="shared" si="7"/>
        <v>19126.8</v>
      </c>
      <c r="J34" s="33">
        <f t="shared" si="7"/>
        <v>3726</v>
      </c>
      <c r="K34" s="33">
        <f t="shared" si="7"/>
        <v>683.1</v>
      </c>
      <c r="L34" s="33">
        <f t="shared" si="7"/>
        <v>5464.8</v>
      </c>
      <c r="M34" s="33">
        <f t="shared" si="7"/>
        <v>1117.8</v>
      </c>
      <c r="N34" s="33">
        <f t="shared" si="7"/>
        <v>0</v>
      </c>
      <c r="O34" s="33">
        <f t="shared" si="7"/>
        <v>0</v>
      </c>
      <c r="P34" s="33">
        <f t="shared" si="7"/>
        <v>0</v>
      </c>
    </row>
    <row r="35" spans="3:16">
      <c r="C35" t="s">
        <v>128</v>
      </c>
      <c r="D35">
        <f t="shared" ref="D35:P35" si="8">D20*D17</f>
        <v>17786035.699999999</v>
      </c>
      <c r="E35">
        <f t="shared" si="8"/>
        <v>22750238.399999999</v>
      </c>
      <c r="F35">
        <f t="shared" si="8"/>
        <v>39919717.699999996</v>
      </c>
      <c r="G35">
        <f t="shared" si="8"/>
        <v>32359396.899999999</v>
      </c>
      <c r="H35">
        <f t="shared" si="8"/>
        <v>11409179.899999999</v>
      </c>
      <c r="I35">
        <f t="shared" si="8"/>
        <v>53376.4</v>
      </c>
      <c r="J35">
        <f t="shared" si="8"/>
        <v>10398</v>
      </c>
      <c r="K35">
        <f t="shared" si="8"/>
        <v>1320</v>
      </c>
      <c r="L35">
        <f t="shared" si="8"/>
        <v>15708</v>
      </c>
      <c r="M35">
        <f t="shared" si="8"/>
        <v>3119.4</v>
      </c>
      <c r="N35">
        <f t="shared" si="8"/>
        <v>0</v>
      </c>
      <c r="O35">
        <f t="shared" si="8"/>
        <v>0</v>
      </c>
      <c r="P35">
        <f t="shared" si="8"/>
        <v>0</v>
      </c>
    </row>
    <row r="36" spans="3:16">
      <c r="C36" t="s">
        <v>140</v>
      </c>
      <c r="D36">
        <f>SUM(D30:D35)</f>
        <v>32197715.675000004</v>
      </c>
      <c r="E36">
        <f t="shared" ref="E36:P36" si="9">SUM(E30:E35)</f>
        <v>40642455.599999994</v>
      </c>
      <c r="F36">
        <f t="shared" si="9"/>
        <v>70881528.194999993</v>
      </c>
      <c r="G36">
        <f t="shared" si="9"/>
        <v>59482883.07</v>
      </c>
      <c r="H36">
        <f t="shared" si="9"/>
        <v>20160335.114999998</v>
      </c>
      <c r="I36">
        <f t="shared" si="9"/>
        <v>178529.12000000002</v>
      </c>
      <c r="J36">
        <f t="shared" si="9"/>
        <v>35431.800000000003</v>
      </c>
      <c r="K36">
        <f t="shared" si="9"/>
        <v>5631.2300000000005</v>
      </c>
      <c r="L36">
        <f t="shared" si="9"/>
        <v>49839.68</v>
      </c>
      <c r="M36">
        <f t="shared" si="9"/>
        <v>10340.460000000001</v>
      </c>
      <c r="N36">
        <f t="shared" si="9"/>
        <v>0</v>
      </c>
      <c r="O36">
        <f t="shared" si="9"/>
        <v>0</v>
      </c>
      <c r="P36">
        <f t="shared" si="9"/>
        <v>0</v>
      </c>
    </row>
    <row r="40" spans="3:16">
      <c r="D40" t="s">
        <v>6</v>
      </c>
      <c r="E40" t="s">
        <v>7</v>
      </c>
      <c r="F40" t="s">
        <v>79</v>
      </c>
      <c r="G40" t="s">
        <v>80</v>
      </c>
      <c r="H40" t="s">
        <v>81</v>
      </c>
      <c r="I40" t="s">
        <v>8</v>
      </c>
      <c r="J40" t="s">
        <v>9</v>
      </c>
      <c r="K40" t="s">
        <v>10</v>
      </c>
      <c r="L40" t="s">
        <v>82</v>
      </c>
      <c r="M40" t="s">
        <v>11</v>
      </c>
      <c r="N40" t="s">
        <v>12</v>
      </c>
      <c r="O40" t="s">
        <v>13</v>
      </c>
      <c r="P40" t="s">
        <v>14</v>
      </c>
    </row>
    <row r="41" spans="3:16">
      <c r="C41" t="s">
        <v>135</v>
      </c>
      <c r="D41">
        <f t="shared" ref="D41:P41" si="10">(D15)*$V7*D18</f>
        <v>6177.6</v>
      </c>
      <c r="E41">
        <f t="shared" si="10"/>
        <v>5880.6</v>
      </c>
      <c r="F41">
        <f t="shared" si="10"/>
        <v>6850.8</v>
      </c>
      <c r="G41">
        <f t="shared" si="10"/>
        <v>13959.000000000002</v>
      </c>
      <c r="H41">
        <f t="shared" si="10"/>
        <v>2640</v>
      </c>
      <c r="I41">
        <f t="shared" si="10"/>
        <v>11</v>
      </c>
      <c r="J41">
        <f t="shared" si="10"/>
        <v>28.6</v>
      </c>
      <c r="K41">
        <f t="shared" si="10"/>
        <v>22</v>
      </c>
      <c r="L41">
        <f t="shared" si="10"/>
        <v>4.4000000000000004</v>
      </c>
      <c r="M41">
        <f t="shared" si="10"/>
        <v>22</v>
      </c>
      <c r="N41">
        <f t="shared" si="10"/>
        <v>0</v>
      </c>
      <c r="O41">
        <f t="shared" si="10"/>
        <v>0</v>
      </c>
      <c r="P41">
        <f t="shared" si="10"/>
        <v>0</v>
      </c>
    </row>
    <row r="42" spans="3:16">
      <c r="C42" t="s">
        <v>136</v>
      </c>
      <c r="D42">
        <f t="shared" ref="D42:P42" si="11">(D15)*$V8*D18</f>
        <v>32432.400000000001</v>
      </c>
      <c r="E42">
        <f t="shared" si="11"/>
        <v>30873.15</v>
      </c>
      <c r="F42">
        <f t="shared" si="11"/>
        <v>35966.700000000004</v>
      </c>
      <c r="G42">
        <f t="shared" si="11"/>
        <v>73284.75</v>
      </c>
      <c r="H42">
        <f t="shared" si="11"/>
        <v>13860.000000000002</v>
      </c>
      <c r="I42">
        <f t="shared" si="11"/>
        <v>57.75</v>
      </c>
      <c r="J42">
        <f t="shared" si="11"/>
        <v>150.15</v>
      </c>
      <c r="K42">
        <f t="shared" si="11"/>
        <v>115.5</v>
      </c>
      <c r="L42">
        <f t="shared" si="11"/>
        <v>23.1</v>
      </c>
      <c r="M42">
        <f t="shared" si="11"/>
        <v>115.5</v>
      </c>
      <c r="N42">
        <f t="shared" si="11"/>
        <v>0</v>
      </c>
      <c r="O42">
        <f t="shared" si="11"/>
        <v>0</v>
      </c>
      <c r="P42">
        <f t="shared" si="11"/>
        <v>0</v>
      </c>
    </row>
    <row r="43" spans="3:16">
      <c r="C43" t="s">
        <v>125</v>
      </c>
      <c r="D43" s="33">
        <f t="shared" ref="D43:P43" si="12">$W9*D18</f>
        <v>33774</v>
      </c>
      <c r="E43" s="33">
        <f t="shared" si="12"/>
        <v>42867</v>
      </c>
      <c r="F43" s="33">
        <f t="shared" si="12"/>
        <v>74909</v>
      </c>
      <c r="G43" s="33">
        <f t="shared" si="12"/>
        <v>61053</v>
      </c>
      <c r="H43" s="33">
        <f t="shared" si="12"/>
        <v>21650</v>
      </c>
      <c r="I43" s="33">
        <f t="shared" si="12"/>
        <v>433</v>
      </c>
      <c r="J43" s="33">
        <f t="shared" si="12"/>
        <v>433</v>
      </c>
      <c r="K43" s="33">
        <f t="shared" si="12"/>
        <v>433</v>
      </c>
      <c r="L43" s="33">
        <f t="shared" si="12"/>
        <v>433</v>
      </c>
      <c r="M43" s="33">
        <f t="shared" si="12"/>
        <v>433</v>
      </c>
      <c r="N43" s="33">
        <f t="shared" si="12"/>
        <v>0</v>
      </c>
      <c r="O43" s="33">
        <f t="shared" si="12"/>
        <v>0</v>
      </c>
      <c r="P43" s="33">
        <f t="shared" si="12"/>
        <v>0</v>
      </c>
    </row>
    <row r="44" spans="3:16">
      <c r="C44" t="s">
        <v>126</v>
      </c>
      <c r="D44" s="33">
        <f t="shared" ref="D44:P44" si="13">$W10*D18</f>
        <v>73179.600000000006</v>
      </c>
      <c r="E44" s="33">
        <f t="shared" si="13"/>
        <v>92881.8</v>
      </c>
      <c r="F44" s="33">
        <f t="shared" si="13"/>
        <v>162308.6</v>
      </c>
      <c r="G44" s="33">
        <f t="shared" si="13"/>
        <v>132286.20000000001</v>
      </c>
      <c r="H44" s="33">
        <f t="shared" si="13"/>
        <v>46910</v>
      </c>
      <c r="I44" s="33">
        <f t="shared" si="13"/>
        <v>938.2</v>
      </c>
      <c r="J44" s="33">
        <f t="shared" si="13"/>
        <v>938.2</v>
      </c>
      <c r="K44" s="33">
        <f t="shared" si="13"/>
        <v>938.2</v>
      </c>
      <c r="L44" s="33">
        <f t="shared" si="13"/>
        <v>938.2</v>
      </c>
      <c r="M44" s="33">
        <f t="shared" si="13"/>
        <v>938.2</v>
      </c>
      <c r="N44" s="33">
        <f t="shared" si="13"/>
        <v>0</v>
      </c>
      <c r="O44" s="33">
        <f t="shared" si="13"/>
        <v>0</v>
      </c>
      <c r="P44" s="33">
        <f t="shared" si="13"/>
        <v>0</v>
      </c>
    </row>
    <row r="45" spans="3:16">
      <c r="C45" t="s">
        <v>128</v>
      </c>
      <c r="D45">
        <f t="shared" ref="D45:P45" si="14">D21*D18</f>
        <v>135096</v>
      </c>
      <c r="E45">
        <f t="shared" si="14"/>
        <v>171468</v>
      </c>
      <c r="F45">
        <f t="shared" si="14"/>
        <v>299636</v>
      </c>
      <c r="G45">
        <f t="shared" si="14"/>
        <v>244212</v>
      </c>
      <c r="H45">
        <f t="shared" si="14"/>
        <v>86600</v>
      </c>
      <c r="I45">
        <f t="shared" si="14"/>
        <v>519.6</v>
      </c>
      <c r="J45">
        <f t="shared" si="14"/>
        <v>519.6</v>
      </c>
      <c r="K45">
        <f t="shared" si="14"/>
        <v>480.8</v>
      </c>
      <c r="L45">
        <f t="shared" si="14"/>
        <v>511</v>
      </c>
      <c r="M45">
        <f t="shared" si="14"/>
        <v>519.6</v>
      </c>
      <c r="N45">
        <f t="shared" si="14"/>
        <v>0</v>
      </c>
      <c r="O45">
        <f t="shared" si="14"/>
        <v>0</v>
      </c>
      <c r="P45">
        <f t="shared" si="14"/>
        <v>0</v>
      </c>
    </row>
    <row r="46" spans="3:16">
      <c r="C46" t="s">
        <v>140</v>
      </c>
      <c r="D46">
        <f t="shared" ref="D46:P46" si="15">SUM(D41:D45)</f>
        <v>280659.59999999998</v>
      </c>
      <c r="E46">
        <f t="shared" si="15"/>
        <v>343970.55</v>
      </c>
      <c r="F46">
        <f t="shared" si="15"/>
        <v>579671.1</v>
      </c>
      <c r="G46">
        <f t="shared" si="15"/>
        <v>524794.94999999995</v>
      </c>
      <c r="H46">
        <f t="shared" si="15"/>
        <v>171660</v>
      </c>
      <c r="I46">
        <f t="shared" si="15"/>
        <v>1959.5500000000002</v>
      </c>
      <c r="J46">
        <f t="shared" si="15"/>
        <v>2069.5500000000002</v>
      </c>
      <c r="K46">
        <f t="shared" si="15"/>
        <v>1989.5</v>
      </c>
      <c r="L46">
        <f t="shared" si="15"/>
        <v>1909.7</v>
      </c>
      <c r="M46">
        <f t="shared" si="15"/>
        <v>2028.3000000000002</v>
      </c>
      <c r="N46">
        <f t="shared" si="15"/>
        <v>0</v>
      </c>
      <c r="O46">
        <f t="shared" si="15"/>
        <v>0</v>
      </c>
      <c r="P46">
        <f t="shared" si="15"/>
        <v>0</v>
      </c>
    </row>
    <row r="50" spans="2:16">
      <c r="D50" t="s">
        <v>6</v>
      </c>
      <c r="E50" t="s">
        <v>7</v>
      </c>
      <c r="F50" t="s">
        <v>79</v>
      </c>
      <c r="G50" t="s">
        <v>80</v>
      </c>
      <c r="H50" t="s">
        <v>81</v>
      </c>
      <c r="I50" t="s">
        <v>8</v>
      </c>
      <c r="J50" t="s">
        <v>9</v>
      </c>
      <c r="K50" t="s">
        <v>10</v>
      </c>
      <c r="L50" t="s">
        <v>82</v>
      </c>
      <c r="M50" t="s">
        <v>11</v>
      </c>
      <c r="N50" t="s">
        <v>12</v>
      </c>
      <c r="O50" t="s">
        <v>13</v>
      </c>
      <c r="P50" t="s">
        <v>14</v>
      </c>
    </row>
    <row r="51" spans="2:16">
      <c r="C51" t="s">
        <v>135</v>
      </c>
      <c r="D51">
        <f t="shared" ref="D51:P51" si="16">(D16)*$V7*D19</f>
        <v>1355596</v>
      </c>
      <c r="E51">
        <f t="shared" si="16"/>
        <v>1733952</v>
      </c>
      <c r="F51">
        <f t="shared" si="16"/>
        <v>3042556</v>
      </c>
      <c r="G51">
        <f t="shared" si="16"/>
        <v>2466332</v>
      </c>
      <c r="H51">
        <f t="shared" si="16"/>
        <v>869572</v>
      </c>
      <c r="I51">
        <f t="shared" si="16"/>
        <v>13552</v>
      </c>
      <c r="J51">
        <f t="shared" si="16"/>
        <v>2640</v>
      </c>
      <c r="K51">
        <f t="shared" si="16"/>
        <v>363</v>
      </c>
      <c r="L51">
        <f t="shared" si="16"/>
        <v>2904</v>
      </c>
      <c r="M51">
        <f t="shared" si="16"/>
        <v>356.40000000000003</v>
      </c>
      <c r="N51">
        <f t="shared" si="16"/>
        <v>0</v>
      </c>
      <c r="O51">
        <f t="shared" si="16"/>
        <v>0</v>
      </c>
      <c r="P51">
        <f t="shared" si="16"/>
        <v>0</v>
      </c>
    </row>
    <row r="52" spans="2:16">
      <c r="C52" t="s">
        <v>124</v>
      </c>
      <c r="D52">
        <f t="shared" ref="D52:P52" si="17">(D16)*$V$8*D19</f>
        <v>7116879</v>
      </c>
      <c r="E52">
        <f t="shared" si="17"/>
        <v>9103248</v>
      </c>
      <c r="F52">
        <f t="shared" si="17"/>
        <v>15973419</v>
      </c>
      <c r="G52">
        <f t="shared" si="17"/>
        <v>12948243</v>
      </c>
      <c r="H52">
        <f t="shared" si="17"/>
        <v>4565253</v>
      </c>
      <c r="I52">
        <f t="shared" si="17"/>
        <v>71148</v>
      </c>
      <c r="J52">
        <f t="shared" si="17"/>
        <v>13860</v>
      </c>
      <c r="K52">
        <f t="shared" si="17"/>
        <v>1905.75</v>
      </c>
      <c r="L52">
        <f t="shared" si="17"/>
        <v>15246</v>
      </c>
      <c r="M52">
        <f t="shared" si="17"/>
        <v>1871.1000000000001</v>
      </c>
      <c r="N52">
        <f t="shared" si="17"/>
        <v>0</v>
      </c>
      <c r="O52">
        <f t="shared" si="17"/>
        <v>0</v>
      </c>
      <c r="P52">
        <f t="shared" si="17"/>
        <v>0</v>
      </c>
    </row>
    <row r="53" spans="2:16">
      <c r="C53" t="s">
        <v>125</v>
      </c>
      <c r="D53" s="33">
        <f t="shared" ref="D53:P53" si="18">$X$9*D19</f>
        <v>4448819.6000000006</v>
      </c>
      <c r="E53" s="33">
        <f t="shared" si="18"/>
        <v>5690515.2000000002</v>
      </c>
      <c r="F53" s="33">
        <f t="shared" si="18"/>
        <v>9985115.5999999996</v>
      </c>
      <c r="G53" s="33">
        <f t="shared" si="18"/>
        <v>8094053.2000000002</v>
      </c>
      <c r="H53" s="33">
        <f t="shared" si="18"/>
        <v>2853777.2</v>
      </c>
      <c r="I53" s="33">
        <f t="shared" si="18"/>
        <v>44475.200000000004</v>
      </c>
      <c r="J53" s="33">
        <f t="shared" si="18"/>
        <v>8664</v>
      </c>
      <c r="K53" s="33">
        <f t="shared" si="18"/>
        <v>1588.4</v>
      </c>
      <c r="L53" s="33">
        <f t="shared" si="18"/>
        <v>12707.2</v>
      </c>
      <c r="M53" s="33">
        <f t="shared" si="18"/>
        <v>2599.2000000000003</v>
      </c>
      <c r="N53" s="33">
        <f t="shared" si="18"/>
        <v>0</v>
      </c>
      <c r="O53" s="33">
        <f t="shared" si="18"/>
        <v>0</v>
      </c>
      <c r="P53" s="33">
        <f t="shared" si="18"/>
        <v>0</v>
      </c>
    </row>
    <row r="54" spans="2:16">
      <c r="C54" t="s">
        <v>126</v>
      </c>
      <c r="D54" s="33">
        <f t="shared" ref="D54:P54" si="19">$X$10*D19</f>
        <v>1216955.5</v>
      </c>
      <c r="E54" s="33">
        <f t="shared" si="19"/>
        <v>1556616</v>
      </c>
      <c r="F54" s="33">
        <f t="shared" si="19"/>
        <v>2731385.5</v>
      </c>
      <c r="G54" s="33">
        <f t="shared" si="19"/>
        <v>2214093.5</v>
      </c>
      <c r="H54" s="33">
        <f t="shared" si="19"/>
        <v>780638.5</v>
      </c>
      <c r="I54" s="33">
        <f t="shared" si="19"/>
        <v>12166</v>
      </c>
      <c r="J54" s="33">
        <f t="shared" si="19"/>
        <v>2370</v>
      </c>
      <c r="K54" s="33">
        <f t="shared" si="19"/>
        <v>434.5</v>
      </c>
      <c r="L54" s="33">
        <f t="shared" si="19"/>
        <v>3476</v>
      </c>
      <c r="M54" s="33">
        <f t="shared" si="19"/>
        <v>711</v>
      </c>
      <c r="N54" s="33">
        <f t="shared" si="19"/>
        <v>0</v>
      </c>
      <c r="O54" s="33">
        <f t="shared" si="19"/>
        <v>0</v>
      </c>
      <c r="P54" s="33">
        <f t="shared" si="19"/>
        <v>0</v>
      </c>
    </row>
    <row r="55" spans="2:16">
      <c r="C55" t="s">
        <v>128</v>
      </c>
      <c r="D55">
        <f t="shared" ref="D55:P55" si="20">D22*D19</f>
        <v>25016908</v>
      </c>
      <c r="E55">
        <f t="shared" si="20"/>
        <v>31999296</v>
      </c>
      <c r="F55">
        <f t="shared" si="20"/>
        <v>56148988</v>
      </c>
      <c r="G55">
        <f t="shared" si="20"/>
        <v>45515036</v>
      </c>
      <c r="H55">
        <f t="shared" si="20"/>
        <v>16047556</v>
      </c>
      <c r="I55">
        <f t="shared" si="20"/>
        <v>73920</v>
      </c>
      <c r="J55">
        <f t="shared" si="20"/>
        <v>14400</v>
      </c>
      <c r="K55">
        <f t="shared" si="20"/>
        <v>1760</v>
      </c>
      <c r="L55">
        <f t="shared" si="20"/>
        <v>17600</v>
      </c>
      <c r="M55">
        <f t="shared" si="20"/>
        <v>3600</v>
      </c>
      <c r="N55">
        <f t="shared" si="20"/>
        <v>0</v>
      </c>
      <c r="O55">
        <f t="shared" si="20"/>
        <v>0</v>
      </c>
      <c r="P55">
        <f t="shared" si="20"/>
        <v>0</v>
      </c>
    </row>
    <row r="56" spans="2:16">
      <c r="C56" t="s">
        <v>140</v>
      </c>
      <c r="D56">
        <f t="shared" ref="D56:P56" si="21">SUM(D51:D55)</f>
        <v>39155158.100000001</v>
      </c>
      <c r="E56">
        <f t="shared" si="21"/>
        <v>50083627.200000003</v>
      </c>
      <c r="F56">
        <f t="shared" si="21"/>
        <v>87881464.099999994</v>
      </c>
      <c r="G56">
        <f t="shared" si="21"/>
        <v>71237757.700000003</v>
      </c>
      <c r="H56">
        <f t="shared" si="21"/>
        <v>25116796.699999999</v>
      </c>
      <c r="I56">
        <f t="shared" si="21"/>
        <v>215261.2</v>
      </c>
      <c r="J56">
        <f t="shared" si="21"/>
        <v>41934</v>
      </c>
      <c r="K56">
        <f t="shared" si="21"/>
        <v>6051.65</v>
      </c>
      <c r="L56">
        <f t="shared" si="21"/>
        <v>51933.2</v>
      </c>
      <c r="M56">
        <f t="shared" si="21"/>
        <v>9137.7000000000007</v>
      </c>
      <c r="N56">
        <f t="shared" si="21"/>
        <v>0</v>
      </c>
      <c r="O56">
        <f t="shared" si="21"/>
        <v>0</v>
      </c>
      <c r="P56">
        <f t="shared" si="21"/>
        <v>0</v>
      </c>
    </row>
    <row r="61" spans="2:16">
      <c r="D61" t="s">
        <v>6</v>
      </c>
      <c r="E61" t="s">
        <v>7</v>
      </c>
      <c r="F61" t="s">
        <v>79</v>
      </c>
      <c r="G61" t="s">
        <v>80</v>
      </c>
      <c r="H61" t="s">
        <v>81</v>
      </c>
      <c r="I61" t="s">
        <v>8</v>
      </c>
      <c r="J61" t="s">
        <v>9</v>
      </c>
      <c r="K61" t="s">
        <v>10</v>
      </c>
      <c r="L61" t="s">
        <v>82</v>
      </c>
      <c r="M61" t="s">
        <v>11</v>
      </c>
      <c r="N61" t="s">
        <v>12</v>
      </c>
      <c r="O61" t="s">
        <v>13</v>
      </c>
      <c r="P61" t="s">
        <v>14</v>
      </c>
    </row>
    <row r="62" spans="2:16">
      <c r="B62" t="s">
        <v>271</v>
      </c>
      <c r="C62" t="s">
        <v>140</v>
      </c>
    </row>
    <row r="66" spans="2:16">
      <c r="C66" t="s">
        <v>147</v>
      </c>
    </row>
    <row r="67" spans="2:16">
      <c r="B67" t="s">
        <v>143</v>
      </c>
      <c r="C67" t="s">
        <v>144</v>
      </c>
      <c r="D67">
        <v>-2</v>
      </c>
      <c r="E67">
        <v>-2</v>
      </c>
      <c r="F67">
        <v>-2</v>
      </c>
      <c r="G67">
        <v>-2</v>
      </c>
      <c r="H67">
        <v>-2</v>
      </c>
      <c r="I67">
        <v>-2</v>
      </c>
      <c r="J67">
        <v>-2</v>
      </c>
      <c r="K67">
        <v>-2</v>
      </c>
      <c r="L67">
        <v>-2</v>
      </c>
      <c r="M67">
        <v>-2</v>
      </c>
      <c r="N67">
        <v>-2</v>
      </c>
      <c r="O67">
        <v>-2</v>
      </c>
      <c r="P67">
        <v>-2</v>
      </c>
    </row>
    <row r="68" spans="2:16">
      <c r="C68" t="s">
        <v>145</v>
      </c>
      <c r="D68">
        <v>2</v>
      </c>
      <c r="E68">
        <v>2</v>
      </c>
      <c r="F68">
        <v>2</v>
      </c>
      <c r="G68">
        <v>2</v>
      </c>
      <c r="H68">
        <v>2</v>
      </c>
      <c r="I68">
        <v>2</v>
      </c>
      <c r="J68">
        <v>2</v>
      </c>
      <c r="K68">
        <v>2</v>
      </c>
      <c r="L68">
        <v>2</v>
      </c>
      <c r="M68">
        <v>2</v>
      </c>
      <c r="N68">
        <v>2</v>
      </c>
      <c r="O68">
        <v>2</v>
      </c>
      <c r="P68">
        <v>2</v>
      </c>
    </row>
    <row r="69" spans="2:16">
      <c r="C69" t="s">
        <v>146</v>
      </c>
      <c r="D69">
        <f>((-0.56*(24/(2*PI()))*SIN(((2*PI())/24)*D68))+(0.84*D68))-((-0.56*(24/(2*PI()))*SIN(((2*PI())/24)*D67))+(0.84*D67))</f>
        <v>1.2209575648449267</v>
      </c>
      <c r="E69">
        <f t="shared" ref="E69:P69" si="22">((-0.56*(24/(2*PI()))*SIN(((2*PI())/24)*E68))+(0.84*E68))-((-0.56*(24/(2*PI()))*SIN(((2*PI())/24)*E67))+(0.84*E67))</f>
        <v>1.2209575648449267</v>
      </c>
      <c r="F69">
        <f t="shared" si="22"/>
        <v>1.2209575648449267</v>
      </c>
      <c r="G69">
        <f t="shared" si="22"/>
        <v>1.2209575648449267</v>
      </c>
      <c r="H69">
        <f t="shared" si="22"/>
        <v>1.2209575648449267</v>
      </c>
      <c r="I69">
        <f t="shared" si="22"/>
        <v>1.2209575648449267</v>
      </c>
      <c r="J69">
        <f t="shared" si="22"/>
        <v>1.2209575648449267</v>
      </c>
      <c r="K69">
        <f t="shared" si="22"/>
        <v>1.2209575648449267</v>
      </c>
      <c r="L69">
        <f t="shared" si="22"/>
        <v>1.2209575648449267</v>
      </c>
      <c r="M69">
        <f t="shared" si="22"/>
        <v>1.2209575648449267</v>
      </c>
      <c r="N69">
        <f t="shared" si="22"/>
        <v>1.2209575648449267</v>
      </c>
      <c r="O69">
        <f t="shared" si="22"/>
        <v>1.2209575648449267</v>
      </c>
      <c r="P69">
        <f t="shared" si="22"/>
        <v>1.2209575648449267</v>
      </c>
    </row>
    <row r="71" spans="2:16">
      <c r="C71" t="s">
        <v>148</v>
      </c>
    </row>
    <row r="72" spans="2:16">
      <c r="B72" t="s">
        <v>143</v>
      </c>
      <c r="C72" t="s">
        <v>144</v>
      </c>
      <c r="D72">
        <v>-2</v>
      </c>
      <c r="E72">
        <v>-2</v>
      </c>
      <c r="F72">
        <v>-2</v>
      </c>
      <c r="G72">
        <v>-2</v>
      </c>
      <c r="H72">
        <v>-2</v>
      </c>
      <c r="I72">
        <v>-2</v>
      </c>
      <c r="J72">
        <v>-2</v>
      </c>
      <c r="K72">
        <v>-2</v>
      </c>
      <c r="L72">
        <v>-2</v>
      </c>
      <c r="M72">
        <v>-2</v>
      </c>
      <c r="N72">
        <v>-2</v>
      </c>
      <c r="O72">
        <v>-2</v>
      </c>
      <c r="P72">
        <v>-2</v>
      </c>
    </row>
    <row r="73" spans="2:16">
      <c r="C73" t="s">
        <v>145</v>
      </c>
      <c r="D73">
        <v>2</v>
      </c>
      <c r="E73">
        <v>2</v>
      </c>
      <c r="F73">
        <v>2</v>
      </c>
      <c r="G73">
        <v>2</v>
      </c>
      <c r="H73">
        <v>2</v>
      </c>
      <c r="I73">
        <v>2</v>
      </c>
      <c r="J73">
        <v>2</v>
      </c>
      <c r="K73">
        <v>2</v>
      </c>
      <c r="L73">
        <v>2</v>
      </c>
      <c r="M73">
        <v>2</v>
      </c>
      <c r="N73">
        <v>2</v>
      </c>
      <c r="O73">
        <v>2</v>
      </c>
      <c r="P73">
        <v>2</v>
      </c>
    </row>
    <row r="74" spans="2:16">
      <c r="C74" t="s">
        <v>146</v>
      </c>
      <c r="D74">
        <f>((-1.31*(24/(2*PI()))*SIN(((2*PI())/24)*D73))+(2.19*D73))-((-1.31*(24/(2*PI()))*SIN(((2*PI())/24)*D72))+(2.19*D72))</f>
        <v>3.7561685891908114</v>
      </c>
      <c r="E74">
        <f t="shared" ref="E74:P74" si="23">((-1.31*(24/(2*PI()))*SIN(((2*PI())/24)*E73))+(2.19*E73))-((-1.31*(24/(2*PI()))*SIN(((2*PI())/24)*E72))+(2.19*E72))</f>
        <v>3.7561685891908114</v>
      </c>
      <c r="F74">
        <f t="shared" si="23"/>
        <v>3.7561685891908114</v>
      </c>
      <c r="G74">
        <f t="shared" si="23"/>
        <v>3.7561685891908114</v>
      </c>
      <c r="H74">
        <f t="shared" si="23"/>
        <v>3.7561685891908114</v>
      </c>
      <c r="I74">
        <f t="shared" si="23"/>
        <v>3.7561685891908114</v>
      </c>
      <c r="J74">
        <f t="shared" si="23"/>
        <v>3.7561685891908114</v>
      </c>
      <c r="K74">
        <f t="shared" si="23"/>
        <v>3.7561685891908114</v>
      </c>
      <c r="L74">
        <f t="shared" si="23"/>
        <v>3.7561685891908114</v>
      </c>
      <c r="M74">
        <f t="shared" si="23"/>
        <v>3.7561685891908114</v>
      </c>
      <c r="N74">
        <f t="shared" si="23"/>
        <v>3.7561685891908114</v>
      </c>
      <c r="O74">
        <f t="shared" si="23"/>
        <v>3.7561685891908114</v>
      </c>
      <c r="P74">
        <f t="shared" si="23"/>
        <v>3.7561685891908114</v>
      </c>
    </row>
    <row r="76" spans="2:16">
      <c r="C76" t="s">
        <v>266</v>
      </c>
    </row>
    <row r="77" spans="2:16">
      <c r="B77" t="s">
        <v>143</v>
      </c>
      <c r="C77" t="s">
        <v>144</v>
      </c>
      <c r="D77">
        <v>-2</v>
      </c>
      <c r="E77">
        <v>-2</v>
      </c>
      <c r="F77">
        <v>-2</v>
      </c>
      <c r="G77">
        <v>-2</v>
      </c>
      <c r="H77">
        <v>-2</v>
      </c>
      <c r="I77">
        <v>-2</v>
      </c>
      <c r="J77">
        <v>-2</v>
      </c>
      <c r="K77">
        <v>-2</v>
      </c>
      <c r="L77">
        <v>-2</v>
      </c>
      <c r="M77">
        <v>-2</v>
      </c>
      <c r="N77">
        <v>-2</v>
      </c>
      <c r="O77">
        <v>-2</v>
      </c>
      <c r="P77">
        <v>-2</v>
      </c>
    </row>
    <row r="78" spans="2:16">
      <c r="C78" t="s">
        <v>145</v>
      </c>
      <c r="D78">
        <v>2</v>
      </c>
      <c r="E78">
        <v>2</v>
      </c>
      <c r="F78">
        <v>2</v>
      </c>
      <c r="G78">
        <v>2</v>
      </c>
      <c r="H78">
        <v>2</v>
      </c>
      <c r="I78">
        <v>2</v>
      </c>
      <c r="J78">
        <v>2</v>
      </c>
      <c r="K78">
        <v>2</v>
      </c>
      <c r="L78">
        <v>2</v>
      </c>
      <c r="M78">
        <v>2</v>
      </c>
      <c r="N78">
        <v>2</v>
      </c>
      <c r="O78">
        <v>2</v>
      </c>
      <c r="P78">
        <v>2</v>
      </c>
    </row>
    <row r="79" spans="2:16">
      <c r="C79" t="s">
        <v>146</v>
      </c>
      <c r="D79">
        <f>((-2.66*(24/(2*PI()))*SIN(((2*PI())/24)*D78))+(2.94*D78))-((-2.66*(24/(2*PI()))*SIN(((2*PI())/24)*D77))+(2.94*D77))</f>
        <v>1.5995484330134033</v>
      </c>
      <c r="E79">
        <f t="shared" ref="E79:P79" si="24">((-2.66*(24/(2*PI()))*SIN(((2*PI())/24)*E78))+(2.94*E78))-((-2.66*(24/(2*PI()))*SIN(((2*PI())/24)*E77))+(2.94*E77))</f>
        <v>1.5995484330134033</v>
      </c>
      <c r="F79">
        <f t="shared" si="24"/>
        <v>1.5995484330134033</v>
      </c>
      <c r="G79">
        <f t="shared" si="24"/>
        <v>1.5995484330134033</v>
      </c>
      <c r="H79">
        <f t="shared" si="24"/>
        <v>1.5995484330134033</v>
      </c>
      <c r="I79">
        <f t="shared" si="24"/>
        <v>1.5995484330134033</v>
      </c>
      <c r="J79">
        <f t="shared" si="24"/>
        <v>1.5995484330134033</v>
      </c>
      <c r="K79">
        <f t="shared" si="24"/>
        <v>1.5995484330134033</v>
      </c>
      <c r="L79">
        <f t="shared" si="24"/>
        <v>1.5995484330134033</v>
      </c>
      <c r="M79">
        <f t="shared" si="24"/>
        <v>1.5995484330134033</v>
      </c>
      <c r="N79">
        <f t="shared" si="24"/>
        <v>1.5995484330134033</v>
      </c>
      <c r="O79">
        <f t="shared" si="24"/>
        <v>1.5995484330134033</v>
      </c>
      <c r="P79">
        <f t="shared" si="24"/>
        <v>1.5995484330134033</v>
      </c>
    </row>
    <row r="84" spans="3:16">
      <c r="C84" t="s">
        <v>147</v>
      </c>
    </row>
    <row r="85" spans="3:16">
      <c r="D85" t="s">
        <v>6</v>
      </c>
      <c r="E85" t="s">
        <v>7</v>
      </c>
      <c r="F85" t="s">
        <v>79</v>
      </c>
      <c r="G85" t="s">
        <v>80</v>
      </c>
      <c r="H85" t="s">
        <v>81</v>
      </c>
      <c r="I85" t="s">
        <v>8</v>
      </c>
      <c r="J85" t="s">
        <v>9</v>
      </c>
      <c r="K85" t="s">
        <v>10</v>
      </c>
      <c r="L85" t="s">
        <v>82</v>
      </c>
      <c r="M85" t="s">
        <v>11</v>
      </c>
      <c r="N85" t="s">
        <v>12</v>
      </c>
      <c r="O85" t="s">
        <v>13</v>
      </c>
      <c r="P85" t="s">
        <v>14</v>
      </c>
    </row>
    <row r="86" spans="3:16">
      <c r="C86" t="s">
        <v>139</v>
      </c>
      <c r="D86">
        <f t="shared" ref="D86:P86" si="25">D17*((365*D69*D10)+$V14)</f>
        <v>39836871.531906955</v>
      </c>
      <c r="E86">
        <f t="shared" si="25"/>
        <v>50955611.455399051</v>
      </c>
      <c r="F86">
        <f t="shared" si="25"/>
        <v>89411530.058094516</v>
      </c>
      <c r="G86">
        <f t="shared" si="25"/>
        <v>72478047.323119238</v>
      </c>
      <c r="H86">
        <f t="shared" si="25"/>
        <v>25554094.325848848</v>
      </c>
      <c r="I86">
        <f t="shared" si="25"/>
        <v>398252.34288121463</v>
      </c>
      <c r="J86">
        <f t="shared" si="25"/>
        <v>77581.625236600259</v>
      </c>
      <c r="K86">
        <f t="shared" si="25"/>
        <v>14223.297960043381</v>
      </c>
      <c r="L86">
        <f t="shared" si="25"/>
        <v>113786.38368034705</v>
      </c>
      <c r="M86">
        <f t="shared" si="25"/>
        <v>91.8</v>
      </c>
      <c r="N86">
        <f t="shared" si="25"/>
        <v>0</v>
      </c>
      <c r="O86">
        <f t="shared" si="25"/>
        <v>0</v>
      </c>
      <c r="P86">
        <f t="shared" si="25"/>
        <v>0</v>
      </c>
    </row>
    <row r="88" spans="3:16">
      <c r="C88" t="s">
        <v>148</v>
      </c>
    </row>
    <row r="89" spans="3:16">
      <c r="D89" t="s">
        <v>6</v>
      </c>
      <c r="E89" t="s">
        <v>7</v>
      </c>
      <c r="F89" t="s">
        <v>79</v>
      </c>
      <c r="G89" t="s">
        <v>80</v>
      </c>
      <c r="H89" t="s">
        <v>81</v>
      </c>
      <c r="I89" t="s">
        <v>8</v>
      </c>
      <c r="J89" t="s">
        <v>9</v>
      </c>
      <c r="K89" t="s">
        <v>10</v>
      </c>
      <c r="L89" t="s">
        <v>82</v>
      </c>
      <c r="M89" t="s">
        <v>11</v>
      </c>
      <c r="N89" t="s">
        <v>12</v>
      </c>
      <c r="O89" t="s">
        <v>13</v>
      </c>
      <c r="P89" t="s">
        <v>14</v>
      </c>
    </row>
    <row r="90" spans="3:16">
      <c r="C90" t="s">
        <v>139</v>
      </c>
      <c r="D90">
        <f t="shared" ref="D90:P90" si="26">D18*((365*D74*D10)+$W14)</f>
        <v>309647.86603201838</v>
      </c>
      <c r="E90">
        <f t="shared" si="26"/>
        <v>393014.59919448488</v>
      </c>
      <c r="F90">
        <f t="shared" si="26"/>
        <v>686783.08748127148</v>
      </c>
      <c r="G90">
        <f t="shared" si="26"/>
        <v>559748.06551941787</v>
      </c>
      <c r="H90">
        <f t="shared" si="26"/>
        <v>198492.22181539639</v>
      </c>
      <c r="I90">
        <f t="shared" si="26"/>
        <v>3969.8444363079279</v>
      </c>
      <c r="J90">
        <f t="shared" si="26"/>
        <v>3969.8444363079279</v>
      </c>
      <c r="K90">
        <f t="shared" si="26"/>
        <v>3969.8444363079279</v>
      </c>
      <c r="L90">
        <f t="shared" si="26"/>
        <v>3969.8444363079279</v>
      </c>
      <c r="M90">
        <f t="shared" si="26"/>
        <v>7.65</v>
      </c>
      <c r="N90">
        <f t="shared" si="26"/>
        <v>0</v>
      </c>
      <c r="O90">
        <f t="shared" si="26"/>
        <v>0</v>
      </c>
      <c r="P90">
        <f t="shared" si="26"/>
        <v>0</v>
      </c>
    </row>
    <row r="92" spans="3:16">
      <c r="C92" t="s">
        <v>266</v>
      </c>
    </row>
    <row r="93" spans="3:16">
      <c r="D93" t="s">
        <v>6</v>
      </c>
      <c r="E93" t="s">
        <v>7</v>
      </c>
      <c r="F93" t="s">
        <v>79</v>
      </c>
      <c r="G93" t="s">
        <v>80</v>
      </c>
      <c r="H93" t="s">
        <v>81</v>
      </c>
      <c r="I93" t="s">
        <v>8</v>
      </c>
      <c r="J93" t="s">
        <v>9</v>
      </c>
      <c r="K93" t="s">
        <v>10</v>
      </c>
      <c r="L93" t="s">
        <v>82</v>
      </c>
      <c r="M93" t="s">
        <v>11</v>
      </c>
      <c r="N93" t="s">
        <v>12</v>
      </c>
      <c r="O93" t="s">
        <v>13</v>
      </c>
      <c r="P93" t="s">
        <v>14</v>
      </c>
    </row>
    <row r="94" spans="3:16">
      <c r="C94" t="s">
        <v>139</v>
      </c>
      <c r="D94">
        <f t="shared" ref="D94:P94" si="27">D19*((365*D79*D10)+$V$14)</f>
        <v>52140648.321558081</v>
      </c>
      <c r="E94">
        <f t="shared" si="27"/>
        <v>66693455.453145534</v>
      </c>
      <c r="F94">
        <f t="shared" si="27"/>
        <v>117026638.02094907</v>
      </c>
      <c r="G94">
        <f t="shared" si="27"/>
        <v>94863181.549816459</v>
      </c>
      <c r="H94">
        <f t="shared" si="27"/>
        <v>33446578.362782054</v>
      </c>
      <c r="I94">
        <f t="shared" si="27"/>
        <v>521254.16868577001</v>
      </c>
      <c r="J94">
        <f t="shared" si="27"/>
        <v>101543.0198738513</v>
      </c>
      <c r="K94">
        <f t="shared" si="27"/>
        <v>18616.220310206074</v>
      </c>
      <c r="L94">
        <f t="shared" si="27"/>
        <v>148929.76248164859</v>
      </c>
      <c r="M94">
        <f t="shared" si="27"/>
        <v>91.8</v>
      </c>
      <c r="N94">
        <f t="shared" si="27"/>
        <v>0</v>
      </c>
      <c r="O94">
        <f t="shared" si="27"/>
        <v>0</v>
      </c>
      <c r="P94">
        <f t="shared" si="27"/>
        <v>0</v>
      </c>
    </row>
    <row r="97" spans="2:16">
      <c r="C97" t="s">
        <v>147</v>
      </c>
    </row>
    <row r="98" spans="2:16">
      <c r="D98" t="s">
        <v>6</v>
      </c>
      <c r="E98" t="s">
        <v>7</v>
      </c>
      <c r="F98" t="s">
        <v>79</v>
      </c>
      <c r="G98" t="s">
        <v>80</v>
      </c>
      <c r="H98" t="s">
        <v>81</v>
      </c>
      <c r="I98" t="s">
        <v>8</v>
      </c>
      <c r="J98" t="s">
        <v>9</v>
      </c>
      <c r="K98" t="s">
        <v>10</v>
      </c>
      <c r="L98" t="s">
        <v>82</v>
      </c>
      <c r="M98" t="s">
        <v>11</v>
      </c>
      <c r="N98" t="s">
        <v>12</v>
      </c>
      <c r="O98" t="s">
        <v>13</v>
      </c>
      <c r="P98" t="s">
        <v>14</v>
      </c>
    </row>
    <row r="99" spans="2:16">
      <c r="C99" t="s">
        <v>138</v>
      </c>
      <c r="D99">
        <f t="shared" ref="D99:P99" si="28">D8*12*D23</f>
        <v>18354117.599999998</v>
      </c>
      <c r="E99">
        <f t="shared" si="28"/>
        <v>21751329.599999998</v>
      </c>
      <c r="F99">
        <f t="shared" si="28"/>
        <v>11412844.799999999</v>
      </c>
      <c r="G99">
        <f t="shared" si="28"/>
        <v>13363744.799999999</v>
      </c>
      <c r="H99">
        <f t="shared" si="28"/>
        <v>6419044.7999999998</v>
      </c>
      <c r="I99">
        <f t="shared" si="28"/>
        <v>67141958.400000006</v>
      </c>
      <c r="J99">
        <f t="shared" si="28"/>
        <v>20684347.200000003</v>
      </c>
      <c r="K99">
        <f t="shared" si="28"/>
        <v>364492.79999999999</v>
      </c>
      <c r="L99">
        <f t="shared" si="28"/>
        <v>250966.8</v>
      </c>
      <c r="M99">
        <f t="shared" si="28"/>
        <v>439770</v>
      </c>
      <c r="N99">
        <f t="shared" si="28"/>
        <v>720</v>
      </c>
      <c r="O99">
        <f t="shared" si="28"/>
        <v>840</v>
      </c>
      <c r="P99">
        <f t="shared" si="28"/>
        <v>1200</v>
      </c>
    </row>
    <row r="101" spans="2:16">
      <c r="C101" t="s">
        <v>148</v>
      </c>
    </row>
    <row r="102" spans="2:16">
      <c r="D102" t="s">
        <v>6</v>
      </c>
      <c r="E102" t="s">
        <v>7</v>
      </c>
      <c r="F102" t="s">
        <v>79</v>
      </c>
      <c r="G102" t="s">
        <v>80</v>
      </c>
      <c r="H102" t="s">
        <v>81</v>
      </c>
      <c r="I102" t="s">
        <v>8</v>
      </c>
      <c r="J102" t="s">
        <v>9</v>
      </c>
      <c r="K102" t="s">
        <v>10</v>
      </c>
      <c r="L102" t="s">
        <v>82</v>
      </c>
      <c r="M102" t="s">
        <v>11</v>
      </c>
      <c r="N102" t="s">
        <v>12</v>
      </c>
      <c r="O102" t="s">
        <v>13</v>
      </c>
      <c r="P102" t="s">
        <v>14</v>
      </c>
    </row>
    <row r="103" spans="2:16">
      <c r="C103" t="s">
        <v>138</v>
      </c>
      <c r="D103">
        <f t="shared" ref="D103:P103" si="29">D8*12*D23</f>
        <v>18354117.599999998</v>
      </c>
      <c r="E103">
        <f t="shared" si="29"/>
        <v>21751329.599999998</v>
      </c>
      <c r="F103">
        <f t="shared" si="29"/>
        <v>11412844.799999999</v>
      </c>
      <c r="G103">
        <f t="shared" si="29"/>
        <v>13363744.799999999</v>
      </c>
      <c r="H103">
        <f t="shared" si="29"/>
        <v>6419044.7999999998</v>
      </c>
      <c r="I103">
        <f t="shared" si="29"/>
        <v>67141958.400000006</v>
      </c>
      <c r="J103">
        <f t="shared" si="29"/>
        <v>20684347.200000003</v>
      </c>
      <c r="K103">
        <f t="shared" si="29"/>
        <v>364492.79999999999</v>
      </c>
      <c r="L103">
        <f t="shared" si="29"/>
        <v>250966.8</v>
      </c>
      <c r="M103">
        <f t="shared" si="29"/>
        <v>439770</v>
      </c>
      <c r="N103">
        <f t="shared" si="29"/>
        <v>720</v>
      </c>
      <c r="O103">
        <f t="shared" si="29"/>
        <v>840</v>
      </c>
      <c r="P103">
        <f t="shared" si="29"/>
        <v>1200</v>
      </c>
    </row>
    <row r="105" spans="2:16">
      <c r="C105" t="s">
        <v>266</v>
      </c>
    </row>
    <row r="106" spans="2:16">
      <c r="D106" t="s">
        <v>6</v>
      </c>
      <c r="E106" t="s">
        <v>7</v>
      </c>
      <c r="F106" t="s">
        <v>79</v>
      </c>
      <c r="G106" t="s">
        <v>80</v>
      </c>
      <c r="H106" t="s">
        <v>81</v>
      </c>
      <c r="I106" t="s">
        <v>8</v>
      </c>
      <c r="J106" t="s">
        <v>9</v>
      </c>
      <c r="K106" t="s">
        <v>10</v>
      </c>
      <c r="L106" t="s">
        <v>82</v>
      </c>
      <c r="M106" t="s">
        <v>11</v>
      </c>
      <c r="N106" t="s">
        <v>12</v>
      </c>
      <c r="O106" t="s">
        <v>13</v>
      </c>
      <c r="P106" t="s">
        <v>14</v>
      </c>
    </row>
    <row r="107" spans="2:16">
      <c r="C107" t="s">
        <v>138</v>
      </c>
      <c r="D107">
        <f t="shared" ref="D107:P107" si="30">D8*12*D23</f>
        <v>18354117.599999998</v>
      </c>
      <c r="E107">
        <f t="shared" si="30"/>
        <v>21751329.599999998</v>
      </c>
      <c r="F107">
        <f t="shared" si="30"/>
        <v>11412844.799999999</v>
      </c>
      <c r="G107">
        <f t="shared" si="30"/>
        <v>13363744.799999999</v>
      </c>
      <c r="H107">
        <f t="shared" si="30"/>
        <v>6419044.7999999998</v>
      </c>
      <c r="I107">
        <f t="shared" si="30"/>
        <v>67141958.400000006</v>
      </c>
      <c r="J107">
        <f t="shared" si="30"/>
        <v>20684347.200000003</v>
      </c>
      <c r="K107">
        <f t="shared" si="30"/>
        <v>364492.79999999999</v>
      </c>
      <c r="L107">
        <f t="shared" si="30"/>
        <v>250966.8</v>
      </c>
      <c r="M107">
        <f t="shared" si="30"/>
        <v>439770</v>
      </c>
      <c r="N107">
        <f t="shared" si="30"/>
        <v>720</v>
      </c>
      <c r="O107">
        <f t="shared" si="30"/>
        <v>840</v>
      </c>
      <c r="P107">
        <f t="shared" si="30"/>
        <v>1200</v>
      </c>
    </row>
    <row r="110" spans="2:16">
      <c r="C110" t="s">
        <v>30</v>
      </c>
    </row>
    <row r="111" spans="2:16">
      <c r="B111" t="s">
        <v>149</v>
      </c>
      <c r="D111" t="s">
        <v>6</v>
      </c>
      <c r="E111" t="s">
        <v>7</v>
      </c>
      <c r="F111" t="s">
        <v>79</v>
      </c>
      <c r="G111" t="s">
        <v>80</v>
      </c>
      <c r="H111" t="s">
        <v>81</v>
      </c>
      <c r="I111" t="s">
        <v>8</v>
      </c>
      <c r="J111" t="s">
        <v>9</v>
      </c>
      <c r="K111" t="s">
        <v>10</v>
      </c>
      <c r="L111" t="s">
        <v>82</v>
      </c>
      <c r="M111" t="s">
        <v>11</v>
      </c>
      <c r="N111" t="s">
        <v>12</v>
      </c>
      <c r="O111" t="s">
        <v>13</v>
      </c>
      <c r="P111" t="s">
        <v>14</v>
      </c>
    </row>
    <row r="112" spans="2:16">
      <c r="C112" t="s">
        <v>150</v>
      </c>
      <c r="D112" s="36">
        <f t="shared" ref="D112:P112" si="31">D36*-1</f>
        <v>-32197715.675000004</v>
      </c>
      <c r="E112" s="36">
        <f t="shared" si="31"/>
        <v>-40642455.599999994</v>
      </c>
      <c r="F112" s="36">
        <f t="shared" si="31"/>
        <v>-70881528.194999993</v>
      </c>
      <c r="G112" s="36">
        <f t="shared" si="31"/>
        <v>-59482883.07</v>
      </c>
      <c r="H112" s="36">
        <f t="shared" si="31"/>
        <v>-20160335.114999998</v>
      </c>
      <c r="I112" s="36">
        <f t="shared" si="31"/>
        <v>-178529.12000000002</v>
      </c>
      <c r="J112" s="36">
        <f t="shared" si="31"/>
        <v>-35431.800000000003</v>
      </c>
      <c r="K112" s="36">
        <f t="shared" si="31"/>
        <v>-5631.2300000000005</v>
      </c>
      <c r="L112" s="36">
        <f t="shared" si="31"/>
        <v>-49839.68</v>
      </c>
      <c r="M112" s="36">
        <f t="shared" si="31"/>
        <v>-10340.460000000001</v>
      </c>
      <c r="N112" s="36">
        <f t="shared" si="31"/>
        <v>0</v>
      </c>
      <c r="O112" s="36">
        <f t="shared" si="31"/>
        <v>0</v>
      </c>
      <c r="P112" s="36">
        <f t="shared" si="31"/>
        <v>0</v>
      </c>
    </row>
    <row r="113" spans="2:16">
      <c r="C113">
        <v>1</v>
      </c>
      <c r="D113" s="36">
        <f>D99-D86</f>
        <v>-21482753.931906957</v>
      </c>
      <c r="E113" s="36">
        <f>E99-E86</f>
        <v>-29204281.855399054</v>
      </c>
      <c r="F113" s="36">
        <f t="shared" ref="F113:P113" si="32">F99-F86</f>
        <v>-77998685.258094519</v>
      </c>
      <c r="G113" s="36">
        <f t="shared" si="32"/>
        <v>-59114302.523119241</v>
      </c>
      <c r="H113" s="36">
        <f t="shared" si="32"/>
        <v>-19135049.525848847</v>
      </c>
      <c r="I113" s="36">
        <f t="shared" si="32"/>
        <v>66743706.057118788</v>
      </c>
      <c r="J113" s="36">
        <f t="shared" si="32"/>
        <v>20606765.574763402</v>
      </c>
      <c r="K113" s="36">
        <f t="shared" si="32"/>
        <v>350269.50203995663</v>
      </c>
      <c r="L113" s="36">
        <f>L99-L86</f>
        <v>137180.41631965293</v>
      </c>
      <c r="M113" s="36">
        <f t="shared" si="32"/>
        <v>439678.2</v>
      </c>
      <c r="N113" s="36">
        <f t="shared" si="32"/>
        <v>720</v>
      </c>
      <c r="O113" s="36">
        <f t="shared" si="32"/>
        <v>840</v>
      </c>
      <c r="P113" s="36">
        <f t="shared" si="32"/>
        <v>1200</v>
      </c>
    </row>
    <row r="114" spans="2:16">
      <c r="C114">
        <v>2</v>
      </c>
      <c r="D114" s="36">
        <f>D113</f>
        <v>-21482753.931906957</v>
      </c>
      <c r="E114" s="36">
        <f t="shared" ref="E114:P114" si="33">E113</f>
        <v>-29204281.855399054</v>
      </c>
      <c r="F114" s="36">
        <f t="shared" si="33"/>
        <v>-77998685.258094519</v>
      </c>
      <c r="G114" s="36">
        <f t="shared" si="33"/>
        <v>-59114302.523119241</v>
      </c>
      <c r="H114" s="36">
        <f t="shared" si="33"/>
        <v>-19135049.525848847</v>
      </c>
      <c r="I114" s="36">
        <f t="shared" si="33"/>
        <v>66743706.057118788</v>
      </c>
      <c r="J114" s="36">
        <f t="shared" si="33"/>
        <v>20606765.574763402</v>
      </c>
      <c r="K114" s="36">
        <f t="shared" si="33"/>
        <v>350269.50203995663</v>
      </c>
      <c r="L114" s="36">
        <f t="shared" si="33"/>
        <v>137180.41631965293</v>
      </c>
      <c r="M114" s="36">
        <f t="shared" si="33"/>
        <v>439678.2</v>
      </c>
      <c r="N114" s="36">
        <f t="shared" si="33"/>
        <v>720</v>
      </c>
      <c r="O114" s="36">
        <f t="shared" si="33"/>
        <v>840</v>
      </c>
      <c r="P114" s="36">
        <f t="shared" si="33"/>
        <v>1200</v>
      </c>
    </row>
    <row r="115" spans="2:16">
      <c r="C115">
        <v>3</v>
      </c>
      <c r="D115" s="36">
        <f t="shared" ref="D115:D117" si="34">D114</f>
        <v>-21482753.931906957</v>
      </c>
      <c r="E115" s="36">
        <f t="shared" ref="E115:E117" si="35">E114</f>
        <v>-29204281.855399054</v>
      </c>
      <c r="F115" s="36">
        <f t="shared" ref="F115:F117" si="36">F114</f>
        <v>-77998685.258094519</v>
      </c>
      <c r="G115" s="36">
        <f t="shared" ref="G115:G117" si="37">G114</f>
        <v>-59114302.523119241</v>
      </c>
      <c r="H115" s="36">
        <f t="shared" ref="H115:H117" si="38">H114</f>
        <v>-19135049.525848847</v>
      </c>
      <c r="I115" s="36">
        <f t="shared" ref="I115:I117" si="39">I114</f>
        <v>66743706.057118788</v>
      </c>
      <c r="J115" s="36">
        <f t="shared" ref="J115:J117" si="40">J114</f>
        <v>20606765.574763402</v>
      </c>
      <c r="K115" s="36">
        <f t="shared" ref="K115:K117" si="41">K114</f>
        <v>350269.50203995663</v>
      </c>
      <c r="L115" s="36">
        <f t="shared" ref="L115:L117" si="42">L114</f>
        <v>137180.41631965293</v>
      </c>
      <c r="M115" s="36">
        <f t="shared" ref="M115:M117" si="43">M114</f>
        <v>439678.2</v>
      </c>
      <c r="N115" s="36">
        <f t="shared" ref="N115:N117" si="44">N114</f>
        <v>720</v>
      </c>
      <c r="O115" s="36">
        <f t="shared" ref="O115:O117" si="45">O114</f>
        <v>840</v>
      </c>
      <c r="P115" s="36">
        <f t="shared" ref="P115:P117" si="46">P114</f>
        <v>1200</v>
      </c>
    </row>
    <row r="116" spans="2:16">
      <c r="C116">
        <v>4</v>
      </c>
      <c r="D116" s="36">
        <f t="shared" si="34"/>
        <v>-21482753.931906957</v>
      </c>
      <c r="E116" s="36">
        <f t="shared" si="35"/>
        <v>-29204281.855399054</v>
      </c>
      <c r="F116" s="36">
        <f t="shared" si="36"/>
        <v>-77998685.258094519</v>
      </c>
      <c r="G116" s="36">
        <f t="shared" si="37"/>
        <v>-59114302.523119241</v>
      </c>
      <c r="H116" s="36">
        <f t="shared" si="38"/>
        <v>-19135049.525848847</v>
      </c>
      <c r="I116" s="36">
        <f t="shared" si="39"/>
        <v>66743706.057118788</v>
      </c>
      <c r="J116" s="36">
        <f t="shared" si="40"/>
        <v>20606765.574763402</v>
      </c>
      <c r="K116" s="36">
        <f t="shared" si="41"/>
        <v>350269.50203995663</v>
      </c>
      <c r="L116" s="36">
        <f t="shared" si="42"/>
        <v>137180.41631965293</v>
      </c>
      <c r="M116" s="36">
        <f t="shared" si="43"/>
        <v>439678.2</v>
      </c>
      <c r="N116" s="36">
        <f t="shared" si="44"/>
        <v>720</v>
      </c>
      <c r="O116" s="36">
        <f t="shared" si="45"/>
        <v>840</v>
      </c>
      <c r="P116" s="36">
        <f t="shared" si="46"/>
        <v>1200</v>
      </c>
    </row>
    <row r="117" spans="2:16">
      <c r="C117">
        <v>5</v>
      </c>
      <c r="D117" s="36">
        <f t="shared" si="34"/>
        <v>-21482753.931906957</v>
      </c>
      <c r="E117" s="36">
        <f t="shared" si="35"/>
        <v>-29204281.855399054</v>
      </c>
      <c r="F117" s="36">
        <f t="shared" si="36"/>
        <v>-77998685.258094519</v>
      </c>
      <c r="G117" s="36">
        <f t="shared" si="37"/>
        <v>-59114302.523119241</v>
      </c>
      <c r="H117" s="36">
        <f t="shared" si="38"/>
        <v>-19135049.525848847</v>
      </c>
      <c r="I117" s="36">
        <f t="shared" si="39"/>
        <v>66743706.057118788</v>
      </c>
      <c r="J117" s="36">
        <f t="shared" si="40"/>
        <v>20606765.574763402</v>
      </c>
      <c r="K117" s="36">
        <f t="shared" si="41"/>
        <v>350269.50203995663</v>
      </c>
      <c r="L117" s="36">
        <f t="shared" si="42"/>
        <v>137180.41631965293</v>
      </c>
      <c r="M117" s="36">
        <f t="shared" si="43"/>
        <v>439678.2</v>
      </c>
      <c r="N117" s="36">
        <f t="shared" si="44"/>
        <v>720</v>
      </c>
      <c r="O117" s="36">
        <f t="shared" si="45"/>
        <v>840</v>
      </c>
      <c r="P117" s="36">
        <f t="shared" si="46"/>
        <v>1200</v>
      </c>
    </row>
    <row r="118" spans="2:16">
      <c r="C118" t="s">
        <v>149</v>
      </c>
      <c r="D118" s="36">
        <f>NPV(5%,D113:D117)+D112</f>
        <v>-125206797.64409369</v>
      </c>
      <c r="E118" s="36">
        <f t="shared" ref="E118:P118" si="47">NPV(5%,E113:E117)+E112</f>
        <v>-167081712.57547712</v>
      </c>
      <c r="F118" s="36">
        <f t="shared" si="47"/>
        <v>-408575016.35979617</v>
      </c>
      <c r="G118" s="36">
        <f t="shared" si="47"/>
        <v>-315416876.7444573</v>
      </c>
      <c r="H118" s="36">
        <f t="shared" si="47"/>
        <v>-103005085.62852789</v>
      </c>
      <c r="I118" s="36">
        <f t="shared" si="47"/>
        <v>288786789.16573668</v>
      </c>
      <c r="J118" s="36">
        <f t="shared" si="47"/>
        <v>89181079.013096422</v>
      </c>
      <c r="K118" s="36">
        <f t="shared" si="47"/>
        <v>1510852.4075154662</v>
      </c>
      <c r="L118" s="36">
        <f t="shared" si="47"/>
        <v>544079.73212336062</v>
      </c>
      <c r="M118" s="36">
        <f t="shared" si="47"/>
        <v>1893236.0494849517</v>
      </c>
      <c r="N118" s="36">
        <f t="shared" si="47"/>
        <v>3117.2232028541898</v>
      </c>
      <c r="O118" s="36">
        <f t="shared" si="47"/>
        <v>3636.760403329888</v>
      </c>
      <c r="P118" s="36">
        <f t="shared" si="47"/>
        <v>5195.3720047569832</v>
      </c>
    </row>
    <row r="119" spans="2:16">
      <c r="C119" t="s">
        <v>151</v>
      </c>
      <c r="D119" s="35" t="e">
        <f>IRR(D112:D117)</f>
        <v>#NUM!</v>
      </c>
      <c r="E119" s="35" t="e">
        <f t="shared" ref="E119:P119" si="48">IRR(E112:E117)</f>
        <v>#NUM!</v>
      </c>
      <c r="F119" s="35" t="e">
        <f t="shared" si="48"/>
        <v>#NUM!</v>
      </c>
      <c r="G119" s="35" t="e">
        <f t="shared" si="48"/>
        <v>#NUM!</v>
      </c>
      <c r="H119" s="35" t="e">
        <f t="shared" si="48"/>
        <v>#NUM!</v>
      </c>
      <c r="I119" s="35">
        <f t="shared" si="48"/>
        <v>373.85333024163833</v>
      </c>
      <c r="J119" s="35">
        <f t="shared" si="48"/>
        <v>581.58957701169277</v>
      </c>
      <c r="K119" s="35">
        <f t="shared" si="48"/>
        <v>62.201242302765394</v>
      </c>
      <c r="L119" s="35">
        <f t="shared" si="48"/>
        <v>2.7487157734118495</v>
      </c>
      <c r="M119" s="35">
        <f t="shared" si="48"/>
        <v>42.520177746800606</v>
      </c>
      <c r="N119" s="35" t="e">
        <f t="shared" si="48"/>
        <v>#NUM!</v>
      </c>
      <c r="O119" s="35" t="e">
        <f t="shared" si="48"/>
        <v>#NUM!</v>
      </c>
      <c r="P119" s="35" t="e">
        <f t="shared" si="48"/>
        <v>#NUM!</v>
      </c>
    </row>
    <row r="123" spans="2:16">
      <c r="C123" t="s">
        <v>31</v>
      </c>
    </row>
    <row r="124" spans="2:16">
      <c r="B124" t="s">
        <v>149</v>
      </c>
      <c r="D124" t="s">
        <v>6</v>
      </c>
      <c r="E124" t="s">
        <v>7</v>
      </c>
      <c r="F124" t="s">
        <v>79</v>
      </c>
      <c r="G124" t="s">
        <v>80</v>
      </c>
      <c r="H124" t="s">
        <v>81</v>
      </c>
      <c r="I124" t="s">
        <v>8</v>
      </c>
      <c r="J124" t="s">
        <v>9</v>
      </c>
      <c r="K124" t="s">
        <v>10</v>
      </c>
      <c r="L124" t="s">
        <v>82</v>
      </c>
      <c r="M124" t="s">
        <v>11</v>
      </c>
      <c r="N124" t="s">
        <v>12</v>
      </c>
      <c r="O124" t="s">
        <v>13</v>
      </c>
      <c r="P124" t="s">
        <v>14</v>
      </c>
    </row>
    <row r="125" spans="2:16">
      <c r="C125" t="s">
        <v>150</v>
      </c>
      <c r="D125" s="36">
        <f t="shared" ref="D125:P125" si="49">D46*-1</f>
        <v>-280659.59999999998</v>
      </c>
      <c r="E125" s="36">
        <f t="shared" si="49"/>
        <v>-343970.55</v>
      </c>
      <c r="F125" s="36">
        <f t="shared" si="49"/>
        <v>-579671.1</v>
      </c>
      <c r="G125" s="36">
        <f t="shared" si="49"/>
        <v>-524794.94999999995</v>
      </c>
      <c r="H125" s="36">
        <f t="shared" si="49"/>
        <v>-171660</v>
      </c>
      <c r="I125" s="36">
        <f t="shared" si="49"/>
        <v>-1959.5500000000002</v>
      </c>
      <c r="J125" s="36">
        <f t="shared" si="49"/>
        <v>-2069.5500000000002</v>
      </c>
      <c r="K125" s="36">
        <f t="shared" si="49"/>
        <v>-1989.5</v>
      </c>
      <c r="L125" s="36">
        <f t="shared" si="49"/>
        <v>-1909.7</v>
      </c>
      <c r="M125" s="36">
        <f t="shared" si="49"/>
        <v>-2028.3000000000002</v>
      </c>
      <c r="N125" s="36">
        <f t="shared" si="49"/>
        <v>0</v>
      </c>
      <c r="O125" s="36">
        <f t="shared" si="49"/>
        <v>0</v>
      </c>
      <c r="P125" s="36">
        <f t="shared" si="49"/>
        <v>0</v>
      </c>
    </row>
    <row r="126" spans="2:16">
      <c r="C126">
        <v>1</v>
      </c>
      <c r="D126" s="36">
        <f>D103-D90</f>
        <v>18044469.733967979</v>
      </c>
      <c r="E126" s="36">
        <f>E103-E90</f>
        <v>21358315.000805512</v>
      </c>
      <c r="F126" s="36">
        <f t="shared" ref="F126:P126" si="50">F103-F90</f>
        <v>10726061.712518727</v>
      </c>
      <c r="G126" s="36">
        <f t="shared" si="50"/>
        <v>12803996.73448058</v>
      </c>
      <c r="H126" s="36">
        <f t="shared" si="50"/>
        <v>6220552.5781846037</v>
      </c>
      <c r="I126" s="36">
        <f t="shared" si="50"/>
        <v>67137988.555563703</v>
      </c>
      <c r="J126" s="36">
        <f t="shared" si="50"/>
        <v>20680377.355563696</v>
      </c>
      <c r="K126" s="36">
        <f t="shared" si="50"/>
        <v>360522.95556369208</v>
      </c>
      <c r="L126" s="36">
        <f t="shared" si="50"/>
        <v>246996.95556369206</v>
      </c>
      <c r="M126" s="36">
        <f t="shared" si="50"/>
        <v>439762.35</v>
      </c>
      <c r="N126" s="36">
        <f t="shared" si="50"/>
        <v>720</v>
      </c>
      <c r="O126" s="36">
        <f t="shared" si="50"/>
        <v>840</v>
      </c>
      <c r="P126" s="36">
        <f t="shared" si="50"/>
        <v>1200</v>
      </c>
    </row>
    <row r="127" spans="2:16">
      <c r="C127">
        <v>2</v>
      </c>
      <c r="D127" s="36">
        <f>D126</f>
        <v>18044469.733967979</v>
      </c>
      <c r="E127" s="36">
        <f t="shared" ref="E127:P127" si="51">E126</f>
        <v>21358315.000805512</v>
      </c>
      <c r="F127" s="36">
        <f t="shared" si="51"/>
        <v>10726061.712518727</v>
      </c>
      <c r="G127" s="36">
        <f t="shared" si="51"/>
        <v>12803996.73448058</v>
      </c>
      <c r="H127" s="36">
        <f t="shared" si="51"/>
        <v>6220552.5781846037</v>
      </c>
      <c r="I127" s="36">
        <f t="shared" si="51"/>
        <v>67137988.555563703</v>
      </c>
      <c r="J127" s="36">
        <f t="shared" si="51"/>
        <v>20680377.355563696</v>
      </c>
      <c r="K127" s="36">
        <f t="shared" si="51"/>
        <v>360522.95556369208</v>
      </c>
      <c r="L127" s="36">
        <f t="shared" si="51"/>
        <v>246996.95556369206</v>
      </c>
      <c r="M127" s="36">
        <f t="shared" si="51"/>
        <v>439762.35</v>
      </c>
      <c r="N127" s="36">
        <f t="shared" si="51"/>
        <v>720</v>
      </c>
      <c r="O127" s="36">
        <f t="shared" si="51"/>
        <v>840</v>
      </c>
      <c r="P127" s="36">
        <f t="shared" si="51"/>
        <v>1200</v>
      </c>
    </row>
    <row r="128" spans="2:16">
      <c r="C128">
        <v>3</v>
      </c>
      <c r="D128" s="36">
        <f t="shared" ref="D128:D135" si="52">D127</f>
        <v>18044469.733967979</v>
      </c>
      <c r="E128" s="36">
        <f t="shared" ref="E128:E135" si="53">E127</f>
        <v>21358315.000805512</v>
      </c>
      <c r="F128" s="36">
        <f t="shared" ref="F128:F135" si="54">F127</f>
        <v>10726061.712518727</v>
      </c>
      <c r="G128" s="36">
        <f t="shared" ref="G128:G135" si="55">G127</f>
        <v>12803996.73448058</v>
      </c>
      <c r="H128" s="36">
        <f t="shared" ref="H128:H135" si="56">H127</f>
        <v>6220552.5781846037</v>
      </c>
      <c r="I128" s="36">
        <f t="shared" ref="I128:I135" si="57">I127</f>
        <v>67137988.555563703</v>
      </c>
      <c r="J128" s="36">
        <f t="shared" ref="J128:J135" si="58">J127</f>
        <v>20680377.355563696</v>
      </c>
      <c r="K128" s="36">
        <f t="shared" ref="K128:K135" si="59">K127</f>
        <v>360522.95556369208</v>
      </c>
      <c r="L128" s="36">
        <f t="shared" ref="L128:L135" si="60">L127</f>
        <v>246996.95556369206</v>
      </c>
      <c r="M128" s="36">
        <f t="shared" ref="M128:M135" si="61">M127</f>
        <v>439762.35</v>
      </c>
      <c r="N128" s="36">
        <f t="shared" ref="N128:N135" si="62">N127</f>
        <v>720</v>
      </c>
      <c r="O128" s="36">
        <f t="shared" ref="O128:O135" si="63">O127</f>
        <v>840</v>
      </c>
      <c r="P128" s="36">
        <f t="shared" ref="P128:P135" si="64">P127</f>
        <v>1200</v>
      </c>
    </row>
    <row r="129" spans="2:17">
      <c r="C129">
        <v>4</v>
      </c>
      <c r="D129" s="36">
        <f t="shared" si="52"/>
        <v>18044469.733967979</v>
      </c>
      <c r="E129" s="36">
        <f t="shared" si="53"/>
        <v>21358315.000805512</v>
      </c>
      <c r="F129" s="36">
        <f t="shared" si="54"/>
        <v>10726061.712518727</v>
      </c>
      <c r="G129" s="36">
        <f t="shared" si="55"/>
        <v>12803996.73448058</v>
      </c>
      <c r="H129" s="36">
        <f t="shared" si="56"/>
        <v>6220552.5781846037</v>
      </c>
      <c r="I129" s="36">
        <f t="shared" si="57"/>
        <v>67137988.555563703</v>
      </c>
      <c r="J129" s="36">
        <f t="shared" si="58"/>
        <v>20680377.355563696</v>
      </c>
      <c r="K129" s="36">
        <f t="shared" si="59"/>
        <v>360522.95556369208</v>
      </c>
      <c r="L129" s="36">
        <f t="shared" si="60"/>
        <v>246996.95556369206</v>
      </c>
      <c r="M129" s="36">
        <f t="shared" si="61"/>
        <v>439762.35</v>
      </c>
      <c r="N129" s="36">
        <f t="shared" si="62"/>
        <v>720</v>
      </c>
      <c r="O129" s="36">
        <f t="shared" si="63"/>
        <v>840</v>
      </c>
      <c r="P129" s="36">
        <f t="shared" si="64"/>
        <v>1200</v>
      </c>
    </row>
    <row r="130" spans="2:17">
      <c r="C130">
        <v>5</v>
      </c>
      <c r="D130" s="36">
        <f t="shared" si="52"/>
        <v>18044469.733967979</v>
      </c>
      <c r="E130" s="36">
        <f t="shared" si="53"/>
        <v>21358315.000805512</v>
      </c>
      <c r="F130" s="36">
        <f t="shared" si="54"/>
        <v>10726061.712518727</v>
      </c>
      <c r="G130" s="36">
        <f t="shared" si="55"/>
        <v>12803996.73448058</v>
      </c>
      <c r="H130" s="36">
        <f t="shared" si="56"/>
        <v>6220552.5781846037</v>
      </c>
      <c r="I130" s="36">
        <f t="shared" si="57"/>
        <v>67137988.555563703</v>
      </c>
      <c r="J130" s="36">
        <f t="shared" si="58"/>
        <v>20680377.355563696</v>
      </c>
      <c r="K130" s="36">
        <f t="shared" si="59"/>
        <v>360522.95556369208</v>
      </c>
      <c r="L130" s="36">
        <f t="shared" si="60"/>
        <v>246996.95556369206</v>
      </c>
      <c r="M130" s="36">
        <f t="shared" si="61"/>
        <v>439762.35</v>
      </c>
      <c r="N130" s="36">
        <f t="shared" si="62"/>
        <v>720</v>
      </c>
      <c r="O130" s="36">
        <f t="shared" si="63"/>
        <v>840</v>
      </c>
      <c r="P130" s="36">
        <f t="shared" si="64"/>
        <v>1200</v>
      </c>
    </row>
    <row r="131" spans="2:17">
      <c r="C131">
        <v>6</v>
      </c>
      <c r="D131" s="36">
        <f t="shared" si="52"/>
        <v>18044469.733967979</v>
      </c>
      <c r="E131" s="36">
        <f t="shared" si="53"/>
        <v>21358315.000805512</v>
      </c>
      <c r="F131" s="36">
        <f t="shared" si="54"/>
        <v>10726061.712518727</v>
      </c>
      <c r="G131" s="36">
        <f t="shared" si="55"/>
        <v>12803996.73448058</v>
      </c>
      <c r="H131" s="36">
        <f t="shared" si="56"/>
        <v>6220552.5781846037</v>
      </c>
      <c r="I131" s="36">
        <f t="shared" si="57"/>
        <v>67137988.555563703</v>
      </c>
      <c r="J131" s="36">
        <f t="shared" si="58"/>
        <v>20680377.355563696</v>
      </c>
      <c r="K131" s="36">
        <f t="shared" si="59"/>
        <v>360522.95556369208</v>
      </c>
      <c r="L131" s="36">
        <f t="shared" si="60"/>
        <v>246996.95556369206</v>
      </c>
      <c r="M131" s="36">
        <f t="shared" si="61"/>
        <v>439762.35</v>
      </c>
      <c r="N131" s="36">
        <f t="shared" si="62"/>
        <v>720</v>
      </c>
      <c r="O131" s="36">
        <f t="shared" si="63"/>
        <v>840</v>
      </c>
      <c r="P131" s="36">
        <f t="shared" si="64"/>
        <v>1200</v>
      </c>
    </row>
    <row r="132" spans="2:17">
      <c r="C132">
        <v>7</v>
      </c>
      <c r="D132" s="36">
        <f t="shared" si="52"/>
        <v>18044469.733967979</v>
      </c>
      <c r="E132" s="36">
        <f t="shared" si="53"/>
        <v>21358315.000805512</v>
      </c>
      <c r="F132" s="36">
        <f t="shared" si="54"/>
        <v>10726061.712518727</v>
      </c>
      <c r="G132" s="36">
        <f t="shared" si="55"/>
        <v>12803996.73448058</v>
      </c>
      <c r="H132" s="36">
        <f t="shared" si="56"/>
        <v>6220552.5781846037</v>
      </c>
      <c r="I132" s="36">
        <f t="shared" si="57"/>
        <v>67137988.555563703</v>
      </c>
      <c r="J132" s="36">
        <f t="shared" si="58"/>
        <v>20680377.355563696</v>
      </c>
      <c r="K132" s="36">
        <f t="shared" si="59"/>
        <v>360522.95556369208</v>
      </c>
      <c r="L132" s="36">
        <f t="shared" si="60"/>
        <v>246996.95556369206</v>
      </c>
      <c r="M132" s="36">
        <f t="shared" si="61"/>
        <v>439762.35</v>
      </c>
      <c r="N132" s="36">
        <f t="shared" si="62"/>
        <v>720</v>
      </c>
      <c r="O132" s="36">
        <f t="shared" si="63"/>
        <v>840</v>
      </c>
      <c r="P132" s="36">
        <f t="shared" si="64"/>
        <v>1200</v>
      </c>
    </row>
    <row r="133" spans="2:17">
      <c r="C133">
        <v>8</v>
      </c>
      <c r="D133" s="36">
        <f t="shared" si="52"/>
        <v>18044469.733967979</v>
      </c>
      <c r="E133" s="36">
        <f t="shared" si="53"/>
        <v>21358315.000805512</v>
      </c>
      <c r="F133" s="36">
        <f t="shared" si="54"/>
        <v>10726061.712518727</v>
      </c>
      <c r="G133" s="36">
        <f t="shared" si="55"/>
        <v>12803996.73448058</v>
      </c>
      <c r="H133" s="36">
        <f t="shared" si="56"/>
        <v>6220552.5781846037</v>
      </c>
      <c r="I133" s="36">
        <f t="shared" si="57"/>
        <v>67137988.555563703</v>
      </c>
      <c r="J133" s="36">
        <f t="shared" si="58"/>
        <v>20680377.355563696</v>
      </c>
      <c r="K133" s="36">
        <f t="shared" si="59"/>
        <v>360522.95556369208</v>
      </c>
      <c r="L133" s="36">
        <f t="shared" si="60"/>
        <v>246996.95556369206</v>
      </c>
      <c r="M133" s="36">
        <f t="shared" si="61"/>
        <v>439762.35</v>
      </c>
      <c r="N133" s="36">
        <f t="shared" si="62"/>
        <v>720</v>
      </c>
      <c r="O133" s="36">
        <f t="shared" si="63"/>
        <v>840</v>
      </c>
      <c r="P133" s="36">
        <f t="shared" si="64"/>
        <v>1200</v>
      </c>
    </row>
    <row r="134" spans="2:17">
      <c r="C134">
        <v>9</v>
      </c>
      <c r="D134" s="36">
        <f t="shared" si="52"/>
        <v>18044469.733967979</v>
      </c>
      <c r="E134" s="36">
        <f t="shared" si="53"/>
        <v>21358315.000805512</v>
      </c>
      <c r="F134" s="36">
        <f t="shared" si="54"/>
        <v>10726061.712518727</v>
      </c>
      <c r="G134" s="36">
        <f t="shared" si="55"/>
        <v>12803996.73448058</v>
      </c>
      <c r="H134" s="36">
        <f t="shared" si="56"/>
        <v>6220552.5781846037</v>
      </c>
      <c r="I134" s="36">
        <f t="shared" si="57"/>
        <v>67137988.555563703</v>
      </c>
      <c r="J134" s="36">
        <f t="shared" si="58"/>
        <v>20680377.355563696</v>
      </c>
      <c r="K134" s="36">
        <f t="shared" si="59"/>
        <v>360522.95556369208</v>
      </c>
      <c r="L134" s="36">
        <f t="shared" si="60"/>
        <v>246996.95556369206</v>
      </c>
      <c r="M134" s="36">
        <f t="shared" si="61"/>
        <v>439762.35</v>
      </c>
      <c r="N134" s="36">
        <f t="shared" si="62"/>
        <v>720</v>
      </c>
      <c r="O134" s="36">
        <f t="shared" si="63"/>
        <v>840</v>
      </c>
      <c r="P134" s="36">
        <f t="shared" si="64"/>
        <v>1200</v>
      </c>
    </row>
    <row r="135" spans="2:17">
      <c r="C135">
        <v>10</v>
      </c>
      <c r="D135" s="36">
        <f t="shared" si="52"/>
        <v>18044469.733967979</v>
      </c>
      <c r="E135" s="36">
        <f t="shared" si="53"/>
        <v>21358315.000805512</v>
      </c>
      <c r="F135" s="36">
        <f t="shared" si="54"/>
        <v>10726061.712518727</v>
      </c>
      <c r="G135" s="36">
        <f t="shared" si="55"/>
        <v>12803996.73448058</v>
      </c>
      <c r="H135" s="36">
        <f t="shared" si="56"/>
        <v>6220552.5781846037</v>
      </c>
      <c r="I135" s="36">
        <f t="shared" si="57"/>
        <v>67137988.555563703</v>
      </c>
      <c r="J135" s="36">
        <f t="shared" si="58"/>
        <v>20680377.355563696</v>
      </c>
      <c r="K135" s="36">
        <f t="shared" si="59"/>
        <v>360522.95556369208</v>
      </c>
      <c r="L135" s="36">
        <f t="shared" si="60"/>
        <v>246996.95556369206</v>
      </c>
      <c r="M135" s="36">
        <f t="shared" si="61"/>
        <v>439762.35</v>
      </c>
      <c r="N135" s="36">
        <f t="shared" si="62"/>
        <v>720</v>
      </c>
      <c r="O135" s="36">
        <f t="shared" si="63"/>
        <v>840</v>
      </c>
      <c r="P135" s="36">
        <f t="shared" si="64"/>
        <v>1200</v>
      </c>
    </row>
    <row r="136" spans="2:17">
      <c r="C136" t="s">
        <v>149</v>
      </c>
      <c r="D136" s="36">
        <f>NPV(5%,D126:D135)+D125</f>
        <v>139053952.62339869</v>
      </c>
      <c r="E136" s="36">
        <f t="shared" ref="E136:P136" si="65">NPV(5%,E126:E135)+E125</f>
        <v>164579276.42025182</v>
      </c>
      <c r="F136" s="36">
        <f t="shared" si="65"/>
        <v>82244134.278147727</v>
      </c>
      <c r="G136" s="36">
        <f t="shared" si="65"/>
        <v>98344273.867806956</v>
      </c>
      <c r="H136" s="36">
        <f t="shared" si="65"/>
        <v>47861798.121798679</v>
      </c>
      <c r="I136" s="36">
        <f t="shared" si="65"/>
        <v>518419791.75470638</v>
      </c>
      <c r="J136" s="36">
        <f t="shared" si="65"/>
        <v>159686322.62517878</v>
      </c>
      <c r="K136" s="36">
        <f t="shared" si="65"/>
        <v>2781873.198749104</v>
      </c>
      <c r="L136" s="36">
        <f t="shared" si="65"/>
        <v>1905335.3191784697</v>
      </c>
      <c r="M136" s="36">
        <f t="shared" si="65"/>
        <v>3393699.9985353961</v>
      </c>
      <c r="N136" s="36">
        <f t="shared" si="65"/>
        <v>5559.6491490130629</v>
      </c>
      <c r="O136" s="36">
        <f t="shared" si="65"/>
        <v>6486.2573405152407</v>
      </c>
      <c r="P136" s="36">
        <f t="shared" si="65"/>
        <v>9266.081915021774</v>
      </c>
    </row>
    <row r="137" spans="2:17">
      <c r="C137" t="s">
        <v>151</v>
      </c>
      <c r="D137" s="35">
        <f>IRR(D125:D135)</f>
        <v>64.293078640345556</v>
      </c>
      <c r="E137" s="35">
        <f t="shared" ref="E137:P137" si="66">IRR(E125:E135)</f>
        <v>62.093440850693334</v>
      </c>
      <c r="F137" s="35">
        <f t="shared" si="66"/>
        <v>18.503702724730257</v>
      </c>
      <c r="G137" s="35">
        <f t="shared" si="66"/>
        <v>24.398094407121196</v>
      </c>
      <c r="H137" s="35">
        <f t="shared" si="66"/>
        <v>36.237635897615</v>
      </c>
      <c r="I137" s="35">
        <f t="shared" si="66"/>
        <v>34261.942055819112</v>
      </c>
      <c r="J137" s="35">
        <f t="shared" si="66"/>
        <v>9992.6927861393888</v>
      </c>
      <c r="K137" s="35">
        <f t="shared" si="66"/>
        <v>181.21284521924761</v>
      </c>
      <c r="L137" s="35">
        <f t="shared" si="66"/>
        <v>129.33809266570319</v>
      </c>
      <c r="M137" s="35">
        <f t="shared" si="66"/>
        <v>216.8132672681563</v>
      </c>
      <c r="N137" s="35" t="e">
        <f t="shared" si="66"/>
        <v>#NUM!</v>
      </c>
      <c r="O137" s="35" t="e">
        <f t="shared" si="66"/>
        <v>#NUM!</v>
      </c>
      <c r="P137" s="35" t="e">
        <f t="shared" si="66"/>
        <v>#NUM!</v>
      </c>
    </row>
    <row r="141" spans="2:17">
      <c r="C141" t="s">
        <v>266</v>
      </c>
    </row>
    <row r="142" spans="2:17">
      <c r="B142" t="s">
        <v>149</v>
      </c>
      <c r="D142" t="s">
        <v>6</v>
      </c>
      <c r="E142" t="s">
        <v>7</v>
      </c>
      <c r="F142" t="s">
        <v>79</v>
      </c>
      <c r="G142" t="s">
        <v>80</v>
      </c>
      <c r="H142" t="s">
        <v>81</v>
      </c>
      <c r="I142" t="s">
        <v>8</v>
      </c>
      <c r="J142" t="s">
        <v>9</v>
      </c>
      <c r="K142" t="s">
        <v>10</v>
      </c>
      <c r="L142" t="s">
        <v>82</v>
      </c>
      <c r="M142" t="s">
        <v>11</v>
      </c>
      <c r="N142" t="s">
        <v>12</v>
      </c>
      <c r="O142" t="s">
        <v>13</v>
      </c>
      <c r="P142" t="s">
        <v>14</v>
      </c>
    </row>
    <row r="143" spans="2:17">
      <c r="C143" t="s">
        <v>150</v>
      </c>
      <c r="D143" s="36">
        <f>D56*-1</f>
        <v>-39155158.100000001</v>
      </c>
      <c r="E143" s="36">
        <f t="shared" ref="E143:P143" si="67">E56*-1</f>
        <v>-50083627.200000003</v>
      </c>
      <c r="F143" s="36">
        <f t="shared" si="67"/>
        <v>-87881464.099999994</v>
      </c>
      <c r="G143" s="36">
        <f t="shared" si="67"/>
        <v>-71237757.700000003</v>
      </c>
      <c r="H143" s="36">
        <f t="shared" si="67"/>
        <v>-25116796.699999999</v>
      </c>
      <c r="I143" s="36">
        <f t="shared" si="67"/>
        <v>-215261.2</v>
      </c>
      <c r="J143" s="36">
        <f t="shared" si="67"/>
        <v>-41934</v>
      </c>
      <c r="K143" s="36">
        <f t="shared" si="67"/>
        <v>-6051.65</v>
      </c>
      <c r="L143" s="36">
        <f t="shared" si="67"/>
        <v>-51933.2</v>
      </c>
      <c r="M143" s="36">
        <f t="shared" si="67"/>
        <v>-9137.7000000000007</v>
      </c>
      <c r="N143" s="36">
        <f t="shared" si="67"/>
        <v>0</v>
      </c>
      <c r="O143" s="36">
        <f t="shared" si="67"/>
        <v>0</v>
      </c>
      <c r="P143" s="36">
        <f t="shared" si="67"/>
        <v>0</v>
      </c>
    </row>
    <row r="144" spans="2:17">
      <c r="C144">
        <v>1</v>
      </c>
      <c r="D144" s="36">
        <f>D107-D94</f>
        <v>-33786530.721558079</v>
      </c>
      <c r="E144" s="36">
        <f t="shared" ref="E144:P144" si="68">E107-E94</f>
        <v>-44942125.85314554</v>
      </c>
      <c r="F144" s="36">
        <f t="shared" si="68"/>
        <v>-105613793.22094907</v>
      </c>
      <c r="G144" s="36">
        <f t="shared" si="68"/>
        <v>-81499436.749816462</v>
      </c>
      <c r="H144" s="36">
        <f t="shared" si="68"/>
        <v>-27027533.562782053</v>
      </c>
      <c r="I144" s="36">
        <f t="shared" si="68"/>
        <v>66620704.231314234</v>
      </c>
      <c r="J144" s="36">
        <f t="shared" si="68"/>
        <v>20582804.180126153</v>
      </c>
      <c r="K144" s="36">
        <f t="shared" si="68"/>
        <v>345876.57968979393</v>
      </c>
      <c r="L144" s="36">
        <f t="shared" si="68"/>
        <v>102037.0375183514</v>
      </c>
      <c r="M144" s="36">
        <f t="shared" si="68"/>
        <v>439678.2</v>
      </c>
      <c r="N144" s="36">
        <f t="shared" si="68"/>
        <v>720</v>
      </c>
      <c r="O144" s="36">
        <f t="shared" si="68"/>
        <v>840</v>
      </c>
      <c r="P144" s="36">
        <f t="shared" si="68"/>
        <v>1200</v>
      </c>
      <c r="Q144" s="36"/>
    </row>
    <row r="145" spans="3:16">
      <c r="C145">
        <v>2</v>
      </c>
      <c r="D145" s="36">
        <f>D144</f>
        <v>-33786530.721558079</v>
      </c>
      <c r="E145" s="36">
        <f t="shared" ref="E145:P148" si="69">E144</f>
        <v>-44942125.85314554</v>
      </c>
      <c r="F145" s="36">
        <f t="shared" si="69"/>
        <v>-105613793.22094907</v>
      </c>
      <c r="G145" s="36">
        <f t="shared" si="69"/>
        <v>-81499436.749816462</v>
      </c>
      <c r="H145" s="36">
        <f t="shared" si="69"/>
        <v>-27027533.562782053</v>
      </c>
      <c r="I145" s="36">
        <f t="shared" si="69"/>
        <v>66620704.231314234</v>
      </c>
      <c r="J145" s="36">
        <f t="shared" si="69"/>
        <v>20582804.180126153</v>
      </c>
      <c r="K145" s="36">
        <f t="shared" si="69"/>
        <v>345876.57968979393</v>
      </c>
      <c r="L145" s="36">
        <f t="shared" si="69"/>
        <v>102037.0375183514</v>
      </c>
      <c r="M145" s="36">
        <f t="shared" si="69"/>
        <v>439678.2</v>
      </c>
      <c r="N145" s="36">
        <f t="shared" si="69"/>
        <v>720</v>
      </c>
      <c r="O145" s="36">
        <f t="shared" si="69"/>
        <v>840</v>
      </c>
      <c r="P145" s="36">
        <f t="shared" si="69"/>
        <v>1200</v>
      </c>
    </row>
    <row r="146" spans="3:16">
      <c r="C146">
        <v>3</v>
      </c>
      <c r="D146" s="36">
        <f t="shared" ref="D146:D148" si="70">D145</f>
        <v>-33786530.721558079</v>
      </c>
      <c r="E146" s="36">
        <f t="shared" si="69"/>
        <v>-44942125.85314554</v>
      </c>
      <c r="F146" s="36">
        <f t="shared" si="69"/>
        <v>-105613793.22094907</v>
      </c>
      <c r="G146" s="36">
        <f t="shared" si="69"/>
        <v>-81499436.749816462</v>
      </c>
      <c r="H146" s="36">
        <f t="shared" si="69"/>
        <v>-27027533.562782053</v>
      </c>
      <c r="I146" s="36">
        <f t="shared" si="69"/>
        <v>66620704.231314234</v>
      </c>
      <c r="J146" s="36">
        <f t="shared" si="69"/>
        <v>20582804.180126153</v>
      </c>
      <c r="K146" s="36">
        <f t="shared" si="69"/>
        <v>345876.57968979393</v>
      </c>
      <c r="L146" s="36">
        <f t="shared" si="69"/>
        <v>102037.0375183514</v>
      </c>
      <c r="M146" s="36">
        <f t="shared" si="69"/>
        <v>439678.2</v>
      </c>
      <c r="N146" s="36">
        <f t="shared" si="69"/>
        <v>720</v>
      </c>
      <c r="O146" s="36">
        <f t="shared" si="69"/>
        <v>840</v>
      </c>
      <c r="P146" s="36">
        <f t="shared" si="69"/>
        <v>1200</v>
      </c>
    </row>
    <row r="147" spans="3:16">
      <c r="C147">
        <v>4</v>
      </c>
      <c r="D147" s="36">
        <f t="shared" si="70"/>
        <v>-33786530.721558079</v>
      </c>
      <c r="E147" s="36">
        <f t="shared" si="69"/>
        <v>-44942125.85314554</v>
      </c>
      <c r="F147" s="36">
        <f t="shared" si="69"/>
        <v>-105613793.22094907</v>
      </c>
      <c r="G147" s="36">
        <f t="shared" si="69"/>
        <v>-81499436.749816462</v>
      </c>
      <c r="H147" s="36">
        <f t="shared" si="69"/>
        <v>-27027533.562782053</v>
      </c>
      <c r="I147" s="36">
        <f t="shared" si="69"/>
        <v>66620704.231314234</v>
      </c>
      <c r="J147" s="36">
        <f t="shared" si="69"/>
        <v>20582804.180126153</v>
      </c>
      <c r="K147" s="36">
        <f t="shared" si="69"/>
        <v>345876.57968979393</v>
      </c>
      <c r="L147" s="36">
        <f t="shared" si="69"/>
        <v>102037.0375183514</v>
      </c>
      <c r="M147" s="36">
        <f t="shared" si="69"/>
        <v>439678.2</v>
      </c>
      <c r="N147" s="36">
        <f t="shared" si="69"/>
        <v>720</v>
      </c>
      <c r="O147" s="36">
        <f t="shared" si="69"/>
        <v>840</v>
      </c>
      <c r="P147" s="36">
        <f t="shared" si="69"/>
        <v>1200</v>
      </c>
    </row>
    <row r="148" spans="3:16">
      <c r="C148">
        <v>5</v>
      </c>
      <c r="D148" s="36">
        <f t="shared" si="70"/>
        <v>-33786530.721558079</v>
      </c>
      <c r="E148" s="36">
        <f t="shared" si="69"/>
        <v>-44942125.85314554</v>
      </c>
      <c r="F148" s="36">
        <f t="shared" si="69"/>
        <v>-105613793.22094907</v>
      </c>
      <c r="G148" s="36">
        <f t="shared" si="69"/>
        <v>-81499436.749816462</v>
      </c>
      <c r="H148" s="36">
        <f t="shared" si="69"/>
        <v>-27027533.562782053</v>
      </c>
      <c r="I148" s="36">
        <f t="shared" si="69"/>
        <v>66620704.231314234</v>
      </c>
      <c r="J148" s="36">
        <f t="shared" si="69"/>
        <v>20582804.180126153</v>
      </c>
      <c r="K148" s="36">
        <f t="shared" si="69"/>
        <v>345876.57968979393</v>
      </c>
      <c r="L148" s="36">
        <f t="shared" si="69"/>
        <v>102037.0375183514</v>
      </c>
      <c r="M148" s="36">
        <f t="shared" si="69"/>
        <v>439678.2</v>
      </c>
      <c r="N148" s="36">
        <f t="shared" si="69"/>
        <v>720</v>
      </c>
      <c r="O148" s="36">
        <f t="shared" si="69"/>
        <v>840</v>
      </c>
      <c r="P148" s="36">
        <f t="shared" si="69"/>
        <v>1200</v>
      </c>
    </row>
    <row r="149" spans="3:16">
      <c r="C149" t="s">
        <v>149</v>
      </c>
      <c r="D149" s="36">
        <f>NPV(5%,D144:D148)+D143</f>
        <v>-185433154.64053714</v>
      </c>
      <c r="E149" s="36">
        <f t="shared" ref="E149:P149" si="71">NPV(5%,E144:E148)+E143</f>
        <v>-244659512.60974783</v>
      </c>
      <c r="F149" s="36">
        <f t="shared" si="71"/>
        <v>-545133917.94692636</v>
      </c>
      <c r="G149" s="36">
        <f t="shared" si="71"/>
        <v>-424087667.77788228</v>
      </c>
      <c r="H149" s="36">
        <f t="shared" si="71"/>
        <v>-142131872.72475636</v>
      </c>
      <c r="I149" s="36">
        <f t="shared" si="71"/>
        <v>288217523.55047089</v>
      </c>
      <c r="J149" s="36">
        <f t="shared" si="71"/>
        <v>89070836.51401867</v>
      </c>
      <c r="K149" s="36">
        <f t="shared" si="71"/>
        <v>1491412.932684544</v>
      </c>
      <c r="L149" s="36">
        <f t="shared" si="71"/>
        <v>389833.773475984</v>
      </c>
      <c r="M149" s="36">
        <f t="shared" si="71"/>
        <v>1894438.8094849517</v>
      </c>
      <c r="N149" s="36">
        <f t="shared" si="71"/>
        <v>3117.2232028541898</v>
      </c>
      <c r="O149" s="36">
        <f t="shared" si="71"/>
        <v>3636.760403329888</v>
      </c>
      <c r="P149" s="36">
        <f t="shared" si="71"/>
        <v>5195.3720047569832</v>
      </c>
    </row>
    <row r="150" spans="3:16">
      <c r="C150" t="s">
        <v>151</v>
      </c>
      <c r="D150" s="35" t="e">
        <f>IRR(D143:D148)</f>
        <v>#NUM!</v>
      </c>
      <c r="E150" s="35" t="e">
        <f t="shared" ref="E150:P150" si="72">IRR(E143:E148)</f>
        <v>#NUM!</v>
      </c>
      <c r="F150" s="35" t="e">
        <f t="shared" si="72"/>
        <v>#NUM!</v>
      </c>
      <c r="G150" s="35" t="e">
        <f t="shared" si="72"/>
        <v>#NUM!</v>
      </c>
      <c r="H150" s="35" t="e">
        <f t="shared" si="72"/>
        <v>#NUM!</v>
      </c>
      <c r="I150" s="35">
        <f t="shared" si="72"/>
        <v>309.48774898259211</v>
      </c>
      <c r="J150" s="35">
        <f t="shared" si="72"/>
        <v>490.83808318132998</v>
      </c>
      <c r="K150" s="35">
        <f t="shared" si="72"/>
        <v>57.154095026938883</v>
      </c>
      <c r="L150" s="35">
        <f t="shared" si="72"/>
        <v>1.9560702987493208</v>
      </c>
      <c r="M150" s="35">
        <f t="shared" si="72"/>
        <v>48.116943920452847</v>
      </c>
      <c r="N150" s="35" t="e">
        <f t="shared" si="72"/>
        <v>#NUM!</v>
      </c>
      <c r="O150" s="35" t="e">
        <f t="shared" si="72"/>
        <v>#NUM!</v>
      </c>
      <c r="P150" s="35" t="e">
        <f t="shared" si="72"/>
        <v>#NUM!</v>
      </c>
    </row>
    <row r="156" spans="3:16">
      <c r="D156" t="s">
        <v>30</v>
      </c>
      <c r="E156" t="s">
        <v>31</v>
      </c>
      <c r="F156" t="s">
        <v>266</v>
      </c>
    </row>
    <row r="157" spans="3:16">
      <c r="C157">
        <v>0</v>
      </c>
      <c r="D157">
        <f>0.84-(0.56*COS((2*PI()/24)*C157))</f>
        <v>0.27999999999999992</v>
      </c>
      <c r="E157">
        <f>2.19-(1.31*COS((2*PI()/24)*C157))</f>
        <v>0.87999999999999989</v>
      </c>
      <c r="F157">
        <f>2.99-(2.66*COS((2*PI()/24)*C157))</f>
        <v>0.33000000000000007</v>
      </c>
    </row>
    <row r="158" spans="3:16">
      <c r="C158">
        <v>1</v>
      </c>
      <c r="D158">
        <f t="shared" ref="D158:D181" si="73">0.84-(0.56*COS((2*PI()/24)*C158))</f>
        <v>0.2990815372781217</v>
      </c>
      <c r="E158">
        <f t="shared" ref="E158:E181" si="74">2.19-(1.31*COS((2*PI()/24)*C158))</f>
        <v>0.92463716756132031</v>
      </c>
      <c r="F158">
        <f t="shared" ref="F158:F181" si="75">2.99-(2.66*COS((2*PI()/24)*C158))</f>
        <v>0.42063730207107852</v>
      </c>
    </row>
    <row r="159" spans="3:16">
      <c r="C159">
        <v>2</v>
      </c>
      <c r="D159">
        <f t="shared" si="73"/>
        <v>0.35502577388071427</v>
      </c>
      <c r="E159">
        <f t="shared" si="74"/>
        <v>1.0555067210423852</v>
      </c>
      <c r="F159">
        <f t="shared" si="75"/>
        <v>0.68637242593339298</v>
      </c>
    </row>
    <row r="160" spans="3:16">
      <c r="C160">
        <v>3</v>
      </c>
      <c r="D160">
        <f t="shared" si="73"/>
        <v>0.44402020253553331</v>
      </c>
      <c r="E160">
        <f t="shared" si="74"/>
        <v>1.2636901166456225</v>
      </c>
      <c r="F160">
        <f t="shared" si="75"/>
        <v>1.1090959620437835</v>
      </c>
    </row>
    <row r="161" spans="3:6">
      <c r="C161">
        <v>4</v>
      </c>
      <c r="D161">
        <f t="shared" si="73"/>
        <v>0.55999999999999983</v>
      </c>
      <c r="E161">
        <f t="shared" si="74"/>
        <v>1.5349999999999997</v>
      </c>
      <c r="F161">
        <f t="shared" si="75"/>
        <v>1.66</v>
      </c>
    </row>
    <row r="162" spans="3:6">
      <c r="C162">
        <v>5</v>
      </c>
      <c r="D162">
        <f t="shared" si="73"/>
        <v>0.69506133474258824</v>
      </c>
      <c r="E162">
        <f t="shared" si="74"/>
        <v>1.8509470509156976</v>
      </c>
      <c r="F162">
        <f t="shared" si="75"/>
        <v>2.3015413400272946</v>
      </c>
    </row>
    <row r="163" spans="3:6">
      <c r="C163">
        <v>6</v>
      </c>
      <c r="D163">
        <f t="shared" si="73"/>
        <v>0.84</v>
      </c>
      <c r="E163">
        <f t="shared" si="74"/>
        <v>2.19</v>
      </c>
      <c r="F163">
        <f t="shared" si="75"/>
        <v>2.99</v>
      </c>
    </row>
    <row r="164" spans="3:6">
      <c r="C164">
        <v>7</v>
      </c>
      <c r="D164">
        <f t="shared" si="73"/>
        <v>0.98493866525741147</v>
      </c>
      <c r="E164">
        <f t="shared" si="74"/>
        <v>2.5290529490843019</v>
      </c>
      <c r="F164">
        <f t="shared" si="75"/>
        <v>3.6784586599727049</v>
      </c>
    </row>
    <row r="165" spans="3:6">
      <c r="C165">
        <v>8</v>
      </c>
      <c r="D165">
        <f t="shared" si="73"/>
        <v>1.1199999999999999</v>
      </c>
      <c r="E165">
        <f t="shared" si="74"/>
        <v>2.8449999999999998</v>
      </c>
      <c r="F165">
        <f t="shared" si="75"/>
        <v>4.3199999999999994</v>
      </c>
    </row>
    <row r="166" spans="3:6">
      <c r="C166">
        <v>9</v>
      </c>
      <c r="D166">
        <f t="shared" si="73"/>
        <v>1.2359797974644666</v>
      </c>
      <c r="E166">
        <f t="shared" si="74"/>
        <v>3.1163098833543774</v>
      </c>
      <c r="F166">
        <f t="shared" si="75"/>
        <v>4.8709040379562163</v>
      </c>
    </row>
    <row r="167" spans="3:6">
      <c r="C167">
        <v>10</v>
      </c>
      <c r="D167">
        <f t="shared" si="73"/>
        <v>1.3249742261192856</v>
      </c>
      <c r="E167">
        <f t="shared" si="74"/>
        <v>3.3244932789576147</v>
      </c>
      <c r="F167">
        <f t="shared" si="75"/>
        <v>5.2936275740666066</v>
      </c>
    </row>
    <row r="168" spans="3:6">
      <c r="C168">
        <v>11</v>
      </c>
      <c r="D168">
        <f t="shared" si="73"/>
        <v>1.3809184627218782</v>
      </c>
      <c r="E168">
        <f t="shared" si="74"/>
        <v>3.4553628324386794</v>
      </c>
      <c r="F168">
        <f t="shared" si="75"/>
        <v>5.5593626979289219</v>
      </c>
    </row>
    <row r="169" spans="3:6">
      <c r="C169">
        <v>12</v>
      </c>
      <c r="D169">
        <f t="shared" si="73"/>
        <v>1.4</v>
      </c>
      <c r="E169">
        <f t="shared" si="74"/>
        <v>3.5</v>
      </c>
      <c r="F169">
        <f t="shared" si="75"/>
        <v>5.65</v>
      </c>
    </row>
    <row r="170" spans="3:6">
      <c r="C170">
        <v>13</v>
      </c>
      <c r="D170">
        <f t="shared" si="73"/>
        <v>1.3809184627218785</v>
      </c>
      <c r="E170">
        <f t="shared" si="74"/>
        <v>3.4553628324386798</v>
      </c>
      <c r="F170">
        <f t="shared" si="75"/>
        <v>5.5593626979289219</v>
      </c>
    </row>
    <row r="171" spans="3:6">
      <c r="C171">
        <v>14</v>
      </c>
      <c r="D171">
        <f t="shared" si="73"/>
        <v>1.3249742261192858</v>
      </c>
      <c r="E171">
        <f t="shared" si="74"/>
        <v>3.3244932789576147</v>
      </c>
      <c r="F171">
        <f t="shared" si="75"/>
        <v>5.2936275740666074</v>
      </c>
    </row>
    <row r="172" spans="3:6">
      <c r="C172">
        <v>15</v>
      </c>
      <c r="D172">
        <f t="shared" si="73"/>
        <v>1.2359797974644668</v>
      </c>
      <c r="E172">
        <f t="shared" si="74"/>
        <v>3.1163098833543779</v>
      </c>
      <c r="F172">
        <f t="shared" si="75"/>
        <v>4.8709040379562181</v>
      </c>
    </row>
    <row r="173" spans="3:6">
      <c r="C173">
        <v>16</v>
      </c>
      <c r="D173">
        <f t="shared" si="73"/>
        <v>1.1200000000000001</v>
      </c>
      <c r="E173">
        <f t="shared" si="74"/>
        <v>2.8450000000000006</v>
      </c>
      <c r="F173">
        <f t="shared" si="75"/>
        <v>4.3200000000000012</v>
      </c>
    </row>
    <row r="174" spans="3:6">
      <c r="C174">
        <v>17</v>
      </c>
      <c r="D174">
        <f t="shared" si="73"/>
        <v>0.98493866525741203</v>
      </c>
      <c r="E174">
        <f t="shared" si="74"/>
        <v>2.5290529490843032</v>
      </c>
      <c r="F174">
        <f t="shared" si="75"/>
        <v>3.6784586599727076</v>
      </c>
    </row>
    <row r="175" spans="3:6">
      <c r="C175">
        <v>18</v>
      </c>
      <c r="D175">
        <f t="shared" si="73"/>
        <v>0.84000000000000008</v>
      </c>
      <c r="E175">
        <f t="shared" si="74"/>
        <v>2.1900000000000004</v>
      </c>
      <c r="F175">
        <f t="shared" si="75"/>
        <v>2.9900000000000007</v>
      </c>
    </row>
    <row r="176" spans="3:6">
      <c r="C176">
        <v>19</v>
      </c>
      <c r="D176">
        <f t="shared" si="73"/>
        <v>0.69506133474258858</v>
      </c>
      <c r="E176">
        <f t="shared" si="74"/>
        <v>1.8509470509156984</v>
      </c>
      <c r="F176">
        <f t="shared" si="75"/>
        <v>2.3015413400272964</v>
      </c>
    </row>
    <row r="177" spans="1:16">
      <c r="C177">
        <v>20</v>
      </c>
      <c r="D177">
        <f t="shared" si="73"/>
        <v>0.56000000000000028</v>
      </c>
      <c r="E177">
        <f t="shared" si="74"/>
        <v>1.5350000000000008</v>
      </c>
      <c r="F177">
        <f t="shared" si="75"/>
        <v>1.6600000000000019</v>
      </c>
    </row>
    <row r="178" spans="1:16">
      <c r="C178">
        <v>21</v>
      </c>
      <c r="D178">
        <f t="shared" si="73"/>
        <v>0.44402020253553343</v>
      </c>
      <c r="E178">
        <f t="shared" si="74"/>
        <v>1.2636901166456229</v>
      </c>
      <c r="F178">
        <f t="shared" si="75"/>
        <v>1.1090959620437841</v>
      </c>
    </row>
    <row r="179" spans="1:16">
      <c r="C179">
        <v>22</v>
      </c>
      <c r="D179">
        <f t="shared" si="73"/>
        <v>0.35502577388071443</v>
      </c>
      <c r="E179">
        <f t="shared" si="74"/>
        <v>1.0555067210423856</v>
      </c>
      <c r="F179">
        <f t="shared" si="75"/>
        <v>0.68637242593339387</v>
      </c>
    </row>
    <row r="180" spans="1:16">
      <c r="C180">
        <v>23</v>
      </c>
      <c r="D180">
        <f t="shared" si="73"/>
        <v>0.29908153727812181</v>
      </c>
      <c r="E180">
        <f t="shared" si="74"/>
        <v>0.92463716756132075</v>
      </c>
      <c r="F180">
        <f t="shared" si="75"/>
        <v>0.42063730207107897</v>
      </c>
    </row>
    <row r="181" spans="1:16">
      <c r="C181">
        <v>24</v>
      </c>
      <c r="D181">
        <f t="shared" si="73"/>
        <v>0.27999999999999992</v>
      </c>
      <c r="E181">
        <f t="shared" si="74"/>
        <v>0.87999999999999989</v>
      </c>
      <c r="F181">
        <f t="shared" si="75"/>
        <v>0.33000000000000007</v>
      </c>
    </row>
    <row r="187" spans="1:16">
      <c r="D187" t="s">
        <v>6</v>
      </c>
      <c r="E187" t="s">
        <v>7</v>
      </c>
      <c r="F187" t="s">
        <v>79</v>
      </c>
      <c r="G187" t="s">
        <v>80</v>
      </c>
      <c r="H187" t="s">
        <v>81</v>
      </c>
      <c r="I187" t="s">
        <v>8</v>
      </c>
      <c r="J187" t="s">
        <v>9</v>
      </c>
      <c r="K187" t="s">
        <v>10</v>
      </c>
      <c r="L187" t="s">
        <v>82</v>
      </c>
      <c r="M187" t="s">
        <v>11</v>
      </c>
      <c r="N187" t="s">
        <v>12</v>
      </c>
      <c r="O187" t="s">
        <v>13</v>
      </c>
      <c r="P187" t="s">
        <v>14</v>
      </c>
    </row>
    <row r="188" spans="1:16">
      <c r="A188" t="s">
        <v>268</v>
      </c>
      <c r="B188" t="s">
        <v>30</v>
      </c>
      <c r="C188" t="s">
        <v>275</v>
      </c>
      <c r="D188">
        <v>6351</v>
      </c>
      <c r="E188">
        <v>7527</v>
      </c>
      <c r="F188">
        <v>3949</v>
      </c>
      <c r="G188">
        <v>4624</v>
      </c>
      <c r="H188">
        <v>2222</v>
      </c>
      <c r="I188">
        <v>23654</v>
      </c>
      <c r="J188">
        <v>7287</v>
      </c>
      <c r="K188">
        <v>127</v>
      </c>
      <c r="L188">
        <v>85</v>
      </c>
      <c r="M188">
        <v>1364</v>
      </c>
      <c r="N188">
        <v>3</v>
      </c>
      <c r="O188">
        <v>3</v>
      </c>
      <c r="P188">
        <v>5</v>
      </c>
    </row>
    <row r="189" spans="1:16">
      <c r="B189" t="s">
        <v>31</v>
      </c>
      <c r="C189" t="s">
        <v>276</v>
      </c>
      <c r="D189">
        <v>2117</v>
      </c>
      <c r="E189">
        <v>2509</v>
      </c>
      <c r="F189">
        <v>1317</v>
      </c>
      <c r="G189">
        <v>1542</v>
      </c>
      <c r="H189">
        <v>741</v>
      </c>
      <c r="I189">
        <v>7885</v>
      </c>
      <c r="J189">
        <v>2429</v>
      </c>
      <c r="K189">
        <v>43</v>
      </c>
      <c r="L189">
        <v>29</v>
      </c>
      <c r="M189">
        <v>455</v>
      </c>
      <c r="N189">
        <v>1</v>
      </c>
      <c r="O189">
        <v>1</v>
      </c>
      <c r="P189">
        <v>2</v>
      </c>
    </row>
    <row r="190" spans="1:16">
      <c r="B190" t="s">
        <v>266</v>
      </c>
      <c r="C190" t="s">
        <v>277</v>
      </c>
      <c r="D190">
        <v>407</v>
      </c>
      <c r="E190">
        <v>482</v>
      </c>
      <c r="F190">
        <v>253</v>
      </c>
      <c r="G190">
        <v>296</v>
      </c>
      <c r="H190">
        <v>143</v>
      </c>
      <c r="I190">
        <v>1514</v>
      </c>
      <c r="J190">
        <v>467</v>
      </c>
      <c r="K190">
        <v>9</v>
      </c>
      <c r="L190">
        <v>6</v>
      </c>
      <c r="M190">
        <v>88</v>
      </c>
      <c r="N190">
        <v>1</v>
      </c>
      <c r="O190">
        <v>1</v>
      </c>
      <c r="P190">
        <v>1</v>
      </c>
    </row>
    <row r="191" spans="1:16">
      <c r="A191" t="s">
        <v>269</v>
      </c>
      <c r="B191" t="s">
        <v>30</v>
      </c>
      <c r="C191" t="s">
        <v>272</v>
      </c>
      <c r="D191">
        <v>30809</v>
      </c>
      <c r="E191">
        <v>39408</v>
      </c>
      <c r="F191">
        <v>69149</v>
      </c>
      <c r="G191">
        <v>56053</v>
      </c>
      <c r="H191">
        <v>19763</v>
      </c>
      <c r="I191">
        <v>308</v>
      </c>
      <c r="J191">
        <v>60</v>
      </c>
      <c r="K191">
        <v>11</v>
      </c>
      <c r="L191">
        <v>88</v>
      </c>
      <c r="M191">
        <v>18</v>
      </c>
      <c r="N191" t="e">
        <v>#VALUE!</v>
      </c>
      <c r="O191" t="e">
        <v>#VALUE!</v>
      </c>
      <c r="P191" t="e">
        <v>#VALUE!</v>
      </c>
    </row>
    <row r="192" spans="1:16">
      <c r="B192" t="s">
        <v>31</v>
      </c>
      <c r="C192" t="s">
        <v>273</v>
      </c>
      <c r="D192">
        <v>78</v>
      </c>
      <c r="E192">
        <v>99</v>
      </c>
      <c r="F192">
        <v>173</v>
      </c>
      <c r="G192">
        <v>141</v>
      </c>
      <c r="H192">
        <v>50</v>
      </c>
      <c r="I192">
        <v>1</v>
      </c>
      <c r="J192">
        <v>1</v>
      </c>
      <c r="K192">
        <v>1</v>
      </c>
      <c r="L192">
        <v>1</v>
      </c>
      <c r="M192">
        <v>1</v>
      </c>
      <c r="N192" t="e">
        <v>#VALUE!</v>
      </c>
      <c r="O192" t="e">
        <v>#VALUE!</v>
      </c>
      <c r="P192" t="e">
        <v>#VALUE!</v>
      </c>
    </row>
    <row r="193" spans="2:16">
      <c r="B193" t="s">
        <v>266</v>
      </c>
      <c r="C193" t="s">
        <v>274</v>
      </c>
      <c r="D193">
        <v>30809</v>
      </c>
      <c r="E193">
        <v>39408</v>
      </c>
      <c r="F193">
        <v>69149</v>
      </c>
      <c r="G193">
        <v>56053</v>
      </c>
      <c r="H193">
        <v>19763</v>
      </c>
      <c r="I193">
        <v>308</v>
      </c>
      <c r="J193">
        <v>60</v>
      </c>
      <c r="K193">
        <v>11</v>
      </c>
      <c r="L193">
        <v>88</v>
      </c>
      <c r="M193">
        <v>18</v>
      </c>
      <c r="N193" t="e">
        <v>#VALUE!</v>
      </c>
      <c r="O193" t="e">
        <v>#VALUE!</v>
      </c>
      <c r="P193" t="e">
        <v>#VALUE!</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28BC3-8D00-4898-BF9D-D574041E7B7B}">
  <dimension ref="A1:W138"/>
  <sheetViews>
    <sheetView topLeftCell="A26" workbookViewId="0">
      <selection activeCell="D19" sqref="D19"/>
    </sheetView>
  </sheetViews>
  <sheetFormatPr defaultColWidth="10.7109375" defaultRowHeight="15"/>
  <cols>
    <col min="1" max="1" width="25.140625" customWidth="1"/>
    <col min="2" max="2" width="18.7109375" customWidth="1"/>
    <col min="4" max="16" width="22.7109375" customWidth="1"/>
    <col min="19" max="19" width="23.7109375" customWidth="1"/>
  </cols>
  <sheetData>
    <row r="1" spans="1:23">
      <c r="A1" t="s">
        <v>152</v>
      </c>
      <c r="C1" t="s">
        <v>5</v>
      </c>
      <c r="D1" t="s">
        <v>76</v>
      </c>
      <c r="S1" t="s">
        <v>77</v>
      </c>
      <c r="T1" t="s">
        <v>5</v>
      </c>
      <c r="U1" t="s">
        <v>78</v>
      </c>
      <c r="V1" t="s">
        <v>48</v>
      </c>
      <c r="W1" t="s">
        <v>49</v>
      </c>
    </row>
    <row r="2" spans="1:23">
      <c r="D2" t="s">
        <v>6</v>
      </c>
      <c r="E2" t="s">
        <v>7</v>
      </c>
      <c r="F2" t="s">
        <v>154</v>
      </c>
      <c r="G2" t="s">
        <v>155</v>
      </c>
      <c r="H2" t="s">
        <v>156</v>
      </c>
      <c r="I2" t="s">
        <v>8</v>
      </c>
      <c r="J2" t="s">
        <v>9</v>
      </c>
      <c r="K2" t="s">
        <v>10</v>
      </c>
      <c r="L2" t="s">
        <v>157</v>
      </c>
      <c r="M2" t="s">
        <v>11</v>
      </c>
      <c r="N2" t="s">
        <v>12</v>
      </c>
      <c r="O2" t="s">
        <v>13</v>
      </c>
      <c r="P2" t="s">
        <v>14</v>
      </c>
      <c r="S2" t="s">
        <v>50</v>
      </c>
      <c r="T2" t="s">
        <v>51</v>
      </c>
      <c r="U2" t="s">
        <v>83</v>
      </c>
      <c r="V2" s="33">
        <v>5</v>
      </c>
      <c r="W2" s="33">
        <v>10</v>
      </c>
    </row>
    <row r="3" spans="1:23">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row>
    <row r="4" spans="1:23">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row>
    <row r="5" spans="1:23">
      <c r="A5" t="s">
        <v>101</v>
      </c>
      <c r="C5" t="s">
        <v>21</v>
      </c>
      <c r="D5" s="34">
        <v>20011</v>
      </c>
      <c r="E5" s="34">
        <v>25596</v>
      </c>
      <c r="F5" s="34">
        <v>44913</v>
      </c>
      <c r="G5" s="34">
        <v>36407</v>
      </c>
      <c r="H5" s="34">
        <v>12836</v>
      </c>
      <c r="I5" s="34">
        <v>200.03</v>
      </c>
      <c r="J5" s="34">
        <v>38.71</v>
      </c>
      <c r="K5" s="34">
        <v>6.61</v>
      </c>
      <c r="L5" s="34">
        <v>57.09</v>
      </c>
      <c r="M5" s="34">
        <v>11.23</v>
      </c>
      <c r="N5" s="34" t="s">
        <v>42</v>
      </c>
      <c r="O5" s="34" t="s">
        <v>42</v>
      </c>
      <c r="P5" s="34" t="s">
        <v>42</v>
      </c>
      <c r="S5" t="s">
        <v>102</v>
      </c>
      <c r="T5" t="s">
        <v>53</v>
      </c>
      <c r="U5" t="s">
        <v>103</v>
      </c>
      <c r="V5" s="33">
        <v>1.4</v>
      </c>
      <c r="W5" s="33">
        <v>3.5</v>
      </c>
    </row>
    <row r="6" spans="1:23">
      <c r="A6" t="s">
        <v>104</v>
      </c>
      <c r="C6" t="s">
        <v>22</v>
      </c>
      <c r="D6" s="34">
        <v>55</v>
      </c>
      <c r="E6" s="34">
        <v>51</v>
      </c>
      <c r="F6" s="34">
        <v>15</v>
      </c>
      <c r="G6" s="34">
        <v>22</v>
      </c>
      <c r="H6" s="34">
        <v>30</v>
      </c>
      <c r="I6" s="34">
        <v>6400</v>
      </c>
      <c r="J6" s="34">
        <v>10000</v>
      </c>
      <c r="K6" s="34">
        <v>2200</v>
      </c>
      <c r="L6" s="34">
        <v>160</v>
      </c>
      <c r="M6" s="34">
        <v>6500</v>
      </c>
      <c r="N6" s="34" t="s">
        <v>42</v>
      </c>
      <c r="O6" s="34" t="s">
        <v>42</v>
      </c>
      <c r="P6" s="34" t="s">
        <v>42</v>
      </c>
      <c r="S6" t="s">
        <v>105</v>
      </c>
      <c r="T6" t="s">
        <v>54</v>
      </c>
      <c r="U6" t="s">
        <v>106</v>
      </c>
      <c r="V6" s="33">
        <v>0.28000000000000003</v>
      </c>
      <c r="W6" s="33">
        <v>0.88</v>
      </c>
    </row>
    <row r="7" spans="1:23">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3">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3">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row>
    <row r="10" spans="1:23">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row>
    <row r="11" spans="1:23">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3">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3">
      <c r="A13" t="s">
        <v>120</v>
      </c>
      <c r="B13" t="s">
        <v>30</v>
      </c>
      <c r="C13" t="s">
        <v>133</v>
      </c>
      <c r="D13" s="34">
        <v>24</v>
      </c>
      <c r="E13" s="34">
        <v>18</v>
      </c>
      <c r="F13" s="34">
        <v>12</v>
      </c>
      <c r="G13" s="34">
        <v>30</v>
      </c>
      <c r="H13" s="34">
        <v>15</v>
      </c>
      <c r="I13" s="34">
        <v>0</v>
      </c>
      <c r="J13" s="34">
        <v>6</v>
      </c>
      <c r="K13" s="34">
        <v>5</v>
      </c>
      <c r="L13" s="34">
        <v>0</v>
      </c>
      <c r="M13" s="34">
        <v>5</v>
      </c>
      <c r="N13" s="34">
        <v>3</v>
      </c>
      <c r="O13" s="34">
        <v>10</v>
      </c>
      <c r="P13" s="34">
        <v>7</v>
      </c>
      <c r="S13" t="s">
        <v>65</v>
      </c>
      <c r="T13" t="s">
        <v>66</v>
      </c>
      <c r="U13" t="s">
        <v>121</v>
      </c>
      <c r="V13" s="33">
        <v>5.0999999999999996</v>
      </c>
      <c r="W13" s="33">
        <v>7.65</v>
      </c>
    </row>
    <row r="14" spans="1:23">
      <c r="B14" t="s">
        <v>31</v>
      </c>
      <c r="D14" s="34">
        <v>36</v>
      </c>
      <c r="E14" s="34">
        <v>27</v>
      </c>
      <c r="F14" s="34">
        <v>18</v>
      </c>
      <c r="G14" s="34">
        <v>45</v>
      </c>
      <c r="H14" s="34">
        <v>24</v>
      </c>
      <c r="I14" s="34">
        <v>5</v>
      </c>
      <c r="J14" s="34">
        <v>13</v>
      </c>
      <c r="K14" s="34">
        <v>10</v>
      </c>
      <c r="L14" s="34">
        <v>2</v>
      </c>
      <c r="M14" s="34">
        <v>10</v>
      </c>
      <c r="N14" s="34">
        <v>7</v>
      </c>
      <c r="O14" s="34">
        <v>17</v>
      </c>
      <c r="P14" s="34">
        <v>11</v>
      </c>
    </row>
    <row r="15" spans="1:23">
      <c r="A15" t="s">
        <v>122</v>
      </c>
      <c r="B15" t="s">
        <v>30</v>
      </c>
      <c r="C15" t="s">
        <v>134</v>
      </c>
      <c r="D15" s="34">
        <v>591</v>
      </c>
      <c r="E15" s="34">
        <v>545</v>
      </c>
      <c r="F15" s="34">
        <v>552</v>
      </c>
      <c r="G15" s="34">
        <v>330</v>
      </c>
      <c r="H15" s="34">
        <f t="shared" ref="H15:P15" si="0">_xlfn.CEILING.MATH((H8*H9*H7)/$V4)</f>
        <v>2222</v>
      </c>
      <c r="I15" s="34">
        <f t="shared" si="0"/>
        <v>23654</v>
      </c>
      <c r="J15" s="34">
        <f t="shared" si="0"/>
        <v>7287</v>
      </c>
      <c r="K15" s="34">
        <f t="shared" si="0"/>
        <v>127</v>
      </c>
      <c r="L15" s="34">
        <f t="shared" si="0"/>
        <v>85</v>
      </c>
      <c r="M15" s="34">
        <f t="shared" si="0"/>
        <v>1364</v>
      </c>
      <c r="N15" s="34">
        <f t="shared" si="0"/>
        <v>3</v>
      </c>
      <c r="O15" s="34">
        <f t="shared" si="0"/>
        <v>3</v>
      </c>
      <c r="P15" s="34">
        <f t="shared" si="0"/>
        <v>5</v>
      </c>
    </row>
    <row r="16" spans="1:23">
      <c r="B16" t="s">
        <v>31</v>
      </c>
      <c r="D16" s="34">
        <f t="shared" ref="D16:P16" si="1">_xlfn.CEILING.MATH((D8*D9*D7)/$W4)</f>
        <v>2117</v>
      </c>
      <c r="E16" s="34">
        <f t="shared" si="1"/>
        <v>2509</v>
      </c>
      <c r="F16" s="34">
        <f t="shared" si="1"/>
        <v>1317</v>
      </c>
      <c r="G16" s="34">
        <f t="shared" si="1"/>
        <v>1542</v>
      </c>
      <c r="H16" s="34">
        <f t="shared" si="1"/>
        <v>741</v>
      </c>
      <c r="I16" s="34">
        <f t="shared" si="1"/>
        <v>7885</v>
      </c>
      <c r="J16" s="34">
        <f t="shared" si="1"/>
        <v>2429</v>
      </c>
      <c r="K16" s="34">
        <f t="shared" si="1"/>
        <v>43</v>
      </c>
      <c r="L16" s="34">
        <f t="shared" si="1"/>
        <v>29</v>
      </c>
      <c r="M16" s="34">
        <f t="shared" si="1"/>
        <v>455</v>
      </c>
      <c r="N16" s="34">
        <f t="shared" si="1"/>
        <v>1</v>
      </c>
      <c r="O16" s="34">
        <f t="shared" si="1"/>
        <v>1</v>
      </c>
      <c r="P16" s="34">
        <f t="shared" si="1"/>
        <v>2</v>
      </c>
    </row>
    <row r="17" spans="1:16">
      <c r="A17" t="s">
        <v>32</v>
      </c>
      <c r="B17" t="s">
        <v>30</v>
      </c>
      <c r="C17" t="s">
        <v>64</v>
      </c>
      <c r="D17" s="34">
        <v>577.29999999999995</v>
      </c>
      <c r="E17" s="34">
        <v>577.29999999999995</v>
      </c>
      <c r="F17" s="34">
        <v>577.29999999999995</v>
      </c>
      <c r="G17" s="34">
        <v>577.29999999999995</v>
      </c>
      <c r="H17" s="34">
        <v>577.29999999999995</v>
      </c>
      <c r="I17" s="34">
        <v>173.3</v>
      </c>
      <c r="J17" s="34">
        <v>173.3</v>
      </c>
      <c r="K17" s="34">
        <v>120</v>
      </c>
      <c r="L17" s="34">
        <v>178.5</v>
      </c>
      <c r="M17" s="34">
        <v>173.3</v>
      </c>
      <c r="N17" s="34">
        <v>120</v>
      </c>
      <c r="O17" s="34">
        <v>120</v>
      </c>
      <c r="P17" s="34">
        <v>120</v>
      </c>
    </row>
    <row r="18" spans="1:16">
      <c r="B18" t="s">
        <v>31</v>
      </c>
      <c r="D18" s="34">
        <v>1732</v>
      </c>
      <c r="E18" s="34">
        <v>1732</v>
      </c>
      <c r="F18" s="34">
        <v>1732</v>
      </c>
      <c r="G18" s="34">
        <v>1732</v>
      </c>
      <c r="H18" s="34">
        <v>1732</v>
      </c>
      <c r="I18" s="34">
        <v>519.6</v>
      </c>
      <c r="J18" s="34">
        <v>519.6</v>
      </c>
      <c r="K18" s="34">
        <v>480.8</v>
      </c>
      <c r="L18" s="34">
        <v>511</v>
      </c>
      <c r="M18" s="34">
        <v>519.6</v>
      </c>
      <c r="N18" s="34">
        <v>480.8</v>
      </c>
      <c r="O18" s="34">
        <v>480.8</v>
      </c>
      <c r="P18" s="34">
        <v>480.8</v>
      </c>
    </row>
    <row r="19" spans="1:16">
      <c r="A19" t="s">
        <v>142</v>
      </c>
      <c r="C19" t="s">
        <v>141</v>
      </c>
      <c r="D19">
        <v>0.06</v>
      </c>
      <c r="E19">
        <v>0.06</v>
      </c>
      <c r="F19">
        <v>0.06</v>
      </c>
      <c r="G19">
        <v>0.06</v>
      </c>
      <c r="H19">
        <v>1.4</v>
      </c>
      <c r="I19">
        <v>4.4000000000000004</v>
      </c>
      <c r="J19">
        <v>4.4000000000000004</v>
      </c>
      <c r="K19">
        <v>2.1</v>
      </c>
      <c r="L19">
        <v>2.2999999999999998</v>
      </c>
      <c r="M19">
        <v>0.5</v>
      </c>
      <c r="N19">
        <v>0.02</v>
      </c>
      <c r="O19">
        <v>0.02</v>
      </c>
      <c r="P19">
        <v>0.02</v>
      </c>
    </row>
    <row r="25" spans="1:16">
      <c r="D25" t="s">
        <v>6</v>
      </c>
      <c r="E25" t="s">
        <v>7</v>
      </c>
      <c r="F25" t="s">
        <v>154</v>
      </c>
      <c r="G25" t="s">
        <v>155</v>
      </c>
      <c r="H25" t="s">
        <v>156</v>
      </c>
      <c r="I25" t="s">
        <v>8</v>
      </c>
      <c r="J25" t="s">
        <v>9</v>
      </c>
      <c r="K25" t="s">
        <v>10</v>
      </c>
      <c r="L25" t="s">
        <v>82</v>
      </c>
      <c r="M25" t="s">
        <v>11</v>
      </c>
      <c r="N25" t="s">
        <v>12</v>
      </c>
      <c r="O25" t="s">
        <v>13</v>
      </c>
      <c r="P25" t="s">
        <v>14</v>
      </c>
    </row>
    <row r="26" spans="1:16">
      <c r="C26" t="s">
        <v>135</v>
      </c>
      <c r="D26">
        <f t="shared" ref="D26:P26" si="2">(D13)*$V7*D15</f>
        <v>31204.800000000003</v>
      </c>
      <c r="E26">
        <f t="shared" si="2"/>
        <v>21582</v>
      </c>
      <c r="F26">
        <f t="shared" si="2"/>
        <v>14572.800000000001</v>
      </c>
      <c r="G26">
        <f t="shared" si="2"/>
        <v>21780</v>
      </c>
      <c r="H26">
        <f t="shared" si="2"/>
        <v>73326</v>
      </c>
      <c r="I26">
        <f t="shared" si="2"/>
        <v>0</v>
      </c>
      <c r="J26">
        <f t="shared" si="2"/>
        <v>96188.400000000009</v>
      </c>
      <c r="K26">
        <f t="shared" si="2"/>
        <v>1397</v>
      </c>
      <c r="L26">
        <f t="shared" si="2"/>
        <v>0</v>
      </c>
      <c r="M26">
        <f t="shared" si="2"/>
        <v>15004</v>
      </c>
      <c r="N26">
        <f t="shared" si="2"/>
        <v>19.8</v>
      </c>
      <c r="O26">
        <f t="shared" si="2"/>
        <v>66</v>
      </c>
      <c r="P26">
        <f t="shared" si="2"/>
        <v>77.000000000000014</v>
      </c>
    </row>
    <row r="27" spans="1:16">
      <c r="C27" t="s">
        <v>136</v>
      </c>
      <c r="D27">
        <f t="shared" ref="D27:P27" si="3">(D11)*$V8*D15</f>
        <v>44369.325000000004</v>
      </c>
      <c r="E27">
        <f t="shared" si="3"/>
        <v>34621.125</v>
      </c>
      <c r="F27">
        <f t="shared" si="3"/>
        <v>38891.159999999996</v>
      </c>
      <c r="G27">
        <f t="shared" si="3"/>
        <v>22106.700000000004</v>
      </c>
      <c r="H27">
        <f t="shared" si="3"/>
        <v>130886.91</v>
      </c>
      <c r="I27">
        <f t="shared" si="3"/>
        <v>1311377.76</v>
      </c>
      <c r="J27">
        <f t="shared" si="3"/>
        <v>387158.31</v>
      </c>
      <c r="K27">
        <f t="shared" si="3"/>
        <v>3813.81</v>
      </c>
      <c r="L27">
        <f t="shared" si="3"/>
        <v>3141.6</v>
      </c>
      <c r="M27">
        <f t="shared" si="3"/>
        <v>53564.280000000006</v>
      </c>
      <c r="N27">
        <f t="shared" si="3"/>
        <v>62.370000000000005</v>
      </c>
      <c r="O27">
        <f t="shared" si="3"/>
        <v>65.835000000000008</v>
      </c>
      <c r="P27">
        <f t="shared" si="3"/>
        <v>121.27500000000001</v>
      </c>
    </row>
    <row r="28" spans="1:16">
      <c r="C28" t="s">
        <v>125</v>
      </c>
      <c r="D28" s="33">
        <f t="shared" ref="D28:P28" si="4">$V9*D15</f>
        <v>85340.400000000009</v>
      </c>
      <c r="E28" s="33">
        <f t="shared" si="4"/>
        <v>78698</v>
      </c>
      <c r="F28" s="33">
        <f t="shared" si="4"/>
        <v>79708.800000000003</v>
      </c>
      <c r="G28" s="33">
        <f t="shared" si="4"/>
        <v>47652</v>
      </c>
      <c r="H28" s="33">
        <f t="shared" si="4"/>
        <v>320856.8</v>
      </c>
      <c r="I28" s="33">
        <f t="shared" si="4"/>
        <v>3415637.6</v>
      </c>
      <c r="J28" s="33">
        <f t="shared" si="4"/>
        <v>1052242.8</v>
      </c>
      <c r="K28" s="33">
        <f t="shared" si="4"/>
        <v>18338.8</v>
      </c>
      <c r="L28" s="33">
        <f t="shared" si="4"/>
        <v>12274</v>
      </c>
      <c r="M28" s="33">
        <f t="shared" si="4"/>
        <v>196961.6</v>
      </c>
      <c r="N28" s="33">
        <f t="shared" si="4"/>
        <v>433.20000000000005</v>
      </c>
      <c r="O28" s="33">
        <f t="shared" si="4"/>
        <v>433.20000000000005</v>
      </c>
      <c r="P28" s="33">
        <f t="shared" si="4"/>
        <v>722</v>
      </c>
    </row>
    <row r="29" spans="1:16">
      <c r="C29" t="s">
        <v>126</v>
      </c>
      <c r="D29" s="33">
        <f>$V10*D15</f>
        <v>85340.400000000009</v>
      </c>
      <c r="E29" s="33">
        <f t="shared" ref="E29:P29" si="5">$V10*E15</f>
        <v>78698</v>
      </c>
      <c r="F29" s="33">
        <f t="shared" si="5"/>
        <v>79708.800000000003</v>
      </c>
      <c r="G29" s="33">
        <f t="shared" si="5"/>
        <v>47652</v>
      </c>
      <c r="H29" s="33">
        <f t="shared" si="5"/>
        <v>320856.8</v>
      </c>
      <c r="I29" s="33">
        <f t="shared" si="5"/>
        <v>3415637.6</v>
      </c>
      <c r="J29" s="33">
        <f t="shared" si="5"/>
        <v>1052242.8</v>
      </c>
      <c r="K29" s="33">
        <f t="shared" si="5"/>
        <v>18338.8</v>
      </c>
      <c r="L29" s="33">
        <f t="shared" si="5"/>
        <v>12274</v>
      </c>
      <c r="M29" s="33">
        <f t="shared" si="5"/>
        <v>196961.6</v>
      </c>
      <c r="N29" s="33">
        <f t="shared" si="5"/>
        <v>433.20000000000005</v>
      </c>
      <c r="O29" s="33">
        <f t="shared" si="5"/>
        <v>433.20000000000005</v>
      </c>
      <c r="P29" s="33">
        <f t="shared" si="5"/>
        <v>722</v>
      </c>
    </row>
    <row r="30" spans="1:16">
      <c r="C30" t="s">
        <v>127</v>
      </c>
      <c r="D30" s="33">
        <f>$V11*D15</f>
        <v>36701.1</v>
      </c>
      <c r="E30" s="33">
        <f t="shared" ref="E30:P30" si="6">$V11*E15</f>
        <v>33844.5</v>
      </c>
      <c r="F30" s="33">
        <f t="shared" si="6"/>
        <v>34279.200000000004</v>
      </c>
      <c r="G30" s="33">
        <f t="shared" si="6"/>
        <v>20493</v>
      </c>
      <c r="H30" s="33">
        <f t="shared" si="6"/>
        <v>137986.20000000001</v>
      </c>
      <c r="I30" s="33">
        <f t="shared" si="6"/>
        <v>1468913.4000000001</v>
      </c>
      <c r="J30" s="33">
        <f t="shared" si="6"/>
        <v>452522.7</v>
      </c>
      <c r="K30" s="33">
        <f t="shared" si="6"/>
        <v>7886.7</v>
      </c>
      <c r="L30" s="33">
        <f t="shared" si="6"/>
        <v>5278.5</v>
      </c>
      <c r="M30" s="33">
        <f t="shared" si="6"/>
        <v>84704.400000000009</v>
      </c>
      <c r="N30" s="33">
        <f t="shared" si="6"/>
        <v>186.3</v>
      </c>
      <c r="O30" s="33">
        <f t="shared" si="6"/>
        <v>186.3</v>
      </c>
      <c r="P30" s="33">
        <f t="shared" si="6"/>
        <v>310.5</v>
      </c>
    </row>
    <row r="31" spans="1:16">
      <c r="C31" t="s">
        <v>128</v>
      </c>
      <c r="D31">
        <f>D17*D15</f>
        <v>341184.3</v>
      </c>
      <c r="E31">
        <f t="shared" ref="E31:P31" si="7">E17*E15</f>
        <v>314628.5</v>
      </c>
      <c r="F31">
        <f t="shared" si="7"/>
        <v>318669.59999999998</v>
      </c>
      <c r="G31">
        <f t="shared" si="7"/>
        <v>190508.99999999997</v>
      </c>
      <c r="H31">
        <f t="shared" si="7"/>
        <v>1282760.5999999999</v>
      </c>
      <c r="I31">
        <f t="shared" si="7"/>
        <v>4099238.2</v>
      </c>
      <c r="J31">
        <f t="shared" si="7"/>
        <v>1262837.1000000001</v>
      </c>
      <c r="K31">
        <f t="shared" si="7"/>
        <v>15240</v>
      </c>
      <c r="L31">
        <f t="shared" si="7"/>
        <v>15172.5</v>
      </c>
      <c r="M31">
        <f t="shared" si="7"/>
        <v>236381.2</v>
      </c>
      <c r="N31">
        <f t="shared" si="7"/>
        <v>360</v>
      </c>
      <c r="O31">
        <f t="shared" si="7"/>
        <v>360</v>
      </c>
      <c r="P31">
        <f t="shared" si="7"/>
        <v>600</v>
      </c>
    </row>
    <row r="32" spans="1:16">
      <c r="C32" t="s">
        <v>140</v>
      </c>
      <c r="D32">
        <f>SUM(D26:D31)</f>
        <v>624140.32499999995</v>
      </c>
      <c r="E32">
        <f t="shared" ref="E32:P32" si="8">SUM(E26:E31)</f>
        <v>562072.125</v>
      </c>
      <c r="F32">
        <f t="shared" si="8"/>
        <v>565830.36</v>
      </c>
      <c r="G32">
        <f t="shared" si="8"/>
        <v>350192.69999999995</v>
      </c>
      <c r="H32">
        <f t="shared" si="8"/>
        <v>2266673.3099999996</v>
      </c>
      <c r="I32">
        <f t="shared" si="8"/>
        <v>13710804.560000002</v>
      </c>
      <c r="J32">
        <f t="shared" si="8"/>
        <v>4303192.1100000003</v>
      </c>
      <c r="K32">
        <f t="shared" si="8"/>
        <v>65015.11</v>
      </c>
      <c r="L32">
        <f t="shared" si="8"/>
        <v>48140.6</v>
      </c>
      <c r="M32">
        <f t="shared" si="8"/>
        <v>783577.08000000007</v>
      </c>
      <c r="N32">
        <f t="shared" si="8"/>
        <v>1494.8700000000001</v>
      </c>
      <c r="O32">
        <f t="shared" si="8"/>
        <v>1544.5350000000001</v>
      </c>
      <c r="P32">
        <f t="shared" si="8"/>
        <v>2552.7750000000001</v>
      </c>
    </row>
    <row r="36" spans="3:16">
      <c r="D36" t="s">
        <v>6</v>
      </c>
      <c r="E36" t="s">
        <v>7</v>
      </c>
      <c r="F36" t="s">
        <v>154</v>
      </c>
      <c r="G36" t="s">
        <v>155</v>
      </c>
      <c r="H36" t="s">
        <v>156</v>
      </c>
      <c r="I36" t="s">
        <v>8</v>
      </c>
      <c r="J36" t="s">
        <v>9</v>
      </c>
      <c r="K36" t="s">
        <v>10</v>
      </c>
      <c r="L36" t="s">
        <v>82</v>
      </c>
      <c r="M36" t="s">
        <v>11</v>
      </c>
      <c r="N36" t="s">
        <v>12</v>
      </c>
      <c r="O36" t="s">
        <v>13</v>
      </c>
      <c r="P36" t="s">
        <v>14</v>
      </c>
    </row>
    <row r="37" spans="3:16">
      <c r="C37" t="s">
        <v>135</v>
      </c>
      <c r="D37">
        <f t="shared" ref="D37:P37" si="9">(D14)*$V7*D16</f>
        <v>167666.4</v>
      </c>
      <c r="E37">
        <f t="shared" si="9"/>
        <v>149034.6</v>
      </c>
      <c r="F37">
        <f t="shared" si="9"/>
        <v>52153.200000000004</v>
      </c>
      <c r="G37">
        <f t="shared" si="9"/>
        <v>152658.00000000003</v>
      </c>
      <c r="H37">
        <f t="shared" si="9"/>
        <v>39124.800000000003</v>
      </c>
      <c r="I37">
        <f t="shared" si="9"/>
        <v>86735</v>
      </c>
      <c r="J37">
        <f t="shared" si="9"/>
        <v>69469.400000000009</v>
      </c>
      <c r="K37">
        <f t="shared" si="9"/>
        <v>946</v>
      </c>
      <c r="L37">
        <f t="shared" si="9"/>
        <v>127.60000000000001</v>
      </c>
      <c r="M37">
        <f t="shared" si="9"/>
        <v>10010</v>
      </c>
      <c r="N37">
        <f t="shared" si="9"/>
        <v>15.400000000000002</v>
      </c>
      <c r="O37">
        <f t="shared" si="9"/>
        <v>37.400000000000006</v>
      </c>
      <c r="P37">
        <f t="shared" si="9"/>
        <v>48.400000000000006</v>
      </c>
    </row>
    <row r="38" spans="3:16">
      <c r="C38" t="s">
        <v>136</v>
      </c>
      <c r="D38">
        <f t="shared" ref="D38:P38" si="10">(D14)*$V8*D16</f>
        <v>880248.6</v>
      </c>
      <c r="E38">
        <f t="shared" si="10"/>
        <v>782431.65</v>
      </c>
      <c r="F38">
        <f t="shared" si="10"/>
        <v>273804.3</v>
      </c>
      <c r="G38">
        <f t="shared" si="10"/>
        <v>801454.5</v>
      </c>
      <c r="H38">
        <f t="shared" si="10"/>
        <v>205405.20000000004</v>
      </c>
      <c r="I38">
        <f t="shared" si="10"/>
        <v>455358.75</v>
      </c>
      <c r="J38">
        <f t="shared" si="10"/>
        <v>364714.35000000003</v>
      </c>
      <c r="K38">
        <f t="shared" si="10"/>
        <v>4966.5</v>
      </c>
      <c r="L38">
        <f t="shared" si="10"/>
        <v>669.90000000000009</v>
      </c>
      <c r="M38">
        <f t="shared" si="10"/>
        <v>52552.5</v>
      </c>
      <c r="N38">
        <f t="shared" si="10"/>
        <v>80.850000000000009</v>
      </c>
      <c r="O38">
        <f t="shared" si="10"/>
        <v>196.35000000000002</v>
      </c>
      <c r="P38">
        <f t="shared" si="10"/>
        <v>254.10000000000002</v>
      </c>
    </row>
    <row r="39" spans="3:16">
      <c r="C39" t="s">
        <v>125</v>
      </c>
      <c r="D39" s="33">
        <f t="shared" ref="D39:P39" si="11">$W9*D16</f>
        <v>916661</v>
      </c>
      <c r="E39" s="33">
        <f t="shared" si="11"/>
        <v>1086397</v>
      </c>
      <c r="F39" s="33">
        <f t="shared" si="11"/>
        <v>570261</v>
      </c>
      <c r="G39" s="33">
        <f t="shared" si="11"/>
        <v>667686</v>
      </c>
      <c r="H39" s="33">
        <f t="shared" si="11"/>
        <v>320853</v>
      </c>
      <c r="I39" s="33">
        <f t="shared" si="11"/>
        <v>3414205</v>
      </c>
      <c r="J39" s="33">
        <f t="shared" si="11"/>
        <v>1051757</v>
      </c>
      <c r="K39" s="33">
        <f t="shared" si="11"/>
        <v>18619</v>
      </c>
      <c r="L39" s="33">
        <f t="shared" si="11"/>
        <v>12557</v>
      </c>
      <c r="M39" s="33">
        <f t="shared" si="11"/>
        <v>197015</v>
      </c>
      <c r="N39" s="33">
        <f t="shared" si="11"/>
        <v>433</v>
      </c>
      <c r="O39" s="33">
        <f t="shared" si="11"/>
        <v>433</v>
      </c>
      <c r="P39" s="33">
        <f t="shared" si="11"/>
        <v>866</v>
      </c>
    </row>
    <row r="40" spans="3:16">
      <c r="C40" t="s">
        <v>126</v>
      </c>
      <c r="D40" s="33">
        <f>$W10*D16</f>
        <v>1986169.4000000001</v>
      </c>
      <c r="E40" s="33">
        <f t="shared" ref="E40:P40" si="12">$W10*E16</f>
        <v>2353943.8000000003</v>
      </c>
      <c r="F40" s="33">
        <f t="shared" si="12"/>
        <v>1235609.4000000001</v>
      </c>
      <c r="G40" s="33">
        <f t="shared" si="12"/>
        <v>1446704.4000000001</v>
      </c>
      <c r="H40" s="33">
        <f t="shared" si="12"/>
        <v>695206.20000000007</v>
      </c>
      <c r="I40" s="33">
        <f t="shared" si="12"/>
        <v>7397707</v>
      </c>
      <c r="J40" s="33">
        <f t="shared" si="12"/>
        <v>2278887.8000000003</v>
      </c>
      <c r="K40" s="33">
        <f t="shared" si="12"/>
        <v>40342.6</v>
      </c>
      <c r="L40" s="33">
        <f t="shared" si="12"/>
        <v>27207.800000000003</v>
      </c>
      <c r="M40" s="33">
        <f t="shared" si="12"/>
        <v>426881</v>
      </c>
      <c r="N40" s="33">
        <f t="shared" si="12"/>
        <v>938.2</v>
      </c>
      <c r="O40" s="33">
        <f t="shared" si="12"/>
        <v>938.2</v>
      </c>
      <c r="P40" s="33">
        <f t="shared" si="12"/>
        <v>1876.4</v>
      </c>
    </row>
    <row r="41" spans="3:16">
      <c r="C41" t="s">
        <v>127</v>
      </c>
      <c r="D41" s="33">
        <f>$V11*D16</f>
        <v>131465.70000000001</v>
      </c>
      <c r="E41" s="33">
        <f t="shared" ref="E41:P41" si="13">$V11*E16</f>
        <v>155808.9</v>
      </c>
      <c r="F41" s="33">
        <f t="shared" si="13"/>
        <v>81785.7</v>
      </c>
      <c r="G41" s="33">
        <f t="shared" si="13"/>
        <v>95758.2</v>
      </c>
      <c r="H41" s="33">
        <f t="shared" si="13"/>
        <v>46016.1</v>
      </c>
      <c r="I41" s="33">
        <f t="shared" si="13"/>
        <v>489658.5</v>
      </c>
      <c r="J41" s="33">
        <f t="shared" si="13"/>
        <v>150840.9</v>
      </c>
      <c r="K41" s="33">
        <f t="shared" si="13"/>
        <v>2670.3</v>
      </c>
      <c r="L41" s="33">
        <f t="shared" si="13"/>
        <v>1800.9</v>
      </c>
      <c r="M41" s="33">
        <f t="shared" si="13"/>
        <v>28255.5</v>
      </c>
      <c r="N41" s="33">
        <f t="shared" si="13"/>
        <v>62.1</v>
      </c>
      <c r="O41" s="33">
        <f t="shared" si="13"/>
        <v>62.1</v>
      </c>
      <c r="P41" s="33">
        <f t="shared" si="13"/>
        <v>124.2</v>
      </c>
    </row>
    <row r="42" spans="3:16">
      <c r="C42" t="s">
        <v>128</v>
      </c>
      <c r="D42">
        <f>D18*D16</f>
        <v>3666644</v>
      </c>
      <c r="E42">
        <f t="shared" ref="E42:P42" si="14">E18*E16</f>
        <v>4345588</v>
      </c>
      <c r="F42">
        <f t="shared" si="14"/>
        <v>2281044</v>
      </c>
      <c r="G42">
        <f t="shared" si="14"/>
        <v>2670744</v>
      </c>
      <c r="H42">
        <f t="shared" si="14"/>
        <v>1283412</v>
      </c>
      <c r="I42">
        <f t="shared" si="14"/>
        <v>4097046</v>
      </c>
      <c r="J42">
        <f t="shared" si="14"/>
        <v>1262108.4000000001</v>
      </c>
      <c r="K42">
        <f t="shared" si="14"/>
        <v>20674.400000000001</v>
      </c>
      <c r="L42">
        <f t="shared" si="14"/>
        <v>14819</v>
      </c>
      <c r="M42">
        <f t="shared" si="14"/>
        <v>236418</v>
      </c>
      <c r="N42">
        <f t="shared" si="14"/>
        <v>480.8</v>
      </c>
      <c r="O42">
        <f t="shared" si="14"/>
        <v>480.8</v>
      </c>
      <c r="P42">
        <f t="shared" si="14"/>
        <v>961.6</v>
      </c>
    </row>
    <row r="43" spans="3:16">
      <c r="C43" t="s">
        <v>140</v>
      </c>
      <c r="D43">
        <f>SUM(D37:D42)</f>
        <v>7748855.1000000006</v>
      </c>
      <c r="E43">
        <f t="shared" ref="E43:P43" si="15">SUM(E37:E42)</f>
        <v>8873203.9500000011</v>
      </c>
      <c r="F43">
        <f t="shared" si="15"/>
        <v>4494657.6000000006</v>
      </c>
      <c r="G43">
        <f t="shared" si="15"/>
        <v>5835005.1000000006</v>
      </c>
      <c r="H43">
        <f t="shared" si="15"/>
        <v>2590017.3000000003</v>
      </c>
      <c r="I43">
        <f t="shared" si="15"/>
        <v>15940710.25</v>
      </c>
      <c r="J43">
        <f t="shared" si="15"/>
        <v>5177777.8500000006</v>
      </c>
      <c r="K43">
        <f t="shared" si="15"/>
        <v>88218.799999999988</v>
      </c>
      <c r="L43">
        <f t="shared" si="15"/>
        <v>57182.200000000004</v>
      </c>
      <c r="M43">
        <f t="shared" si="15"/>
        <v>951132</v>
      </c>
      <c r="N43">
        <f t="shared" si="15"/>
        <v>2010.35</v>
      </c>
      <c r="O43">
        <f t="shared" si="15"/>
        <v>2147.85</v>
      </c>
      <c r="P43">
        <f t="shared" si="15"/>
        <v>4130.7</v>
      </c>
    </row>
    <row r="48" spans="3:16">
      <c r="C48" t="s">
        <v>147</v>
      </c>
    </row>
    <row r="49" spans="2:16">
      <c r="B49" t="s">
        <v>143</v>
      </c>
      <c r="C49" t="s">
        <v>144</v>
      </c>
      <c r="D49">
        <v>-2</v>
      </c>
      <c r="E49">
        <v>-2</v>
      </c>
      <c r="F49">
        <v>-2</v>
      </c>
      <c r="G49">
        <v>-2</v>
      </c>
      <c r="H49">
        <v>-2</v>
      </c>
      <c r="I49">
        <v>-2</v>
      </c>
      <c r="J49">
        <v>-2</v>
      </c>
      <c r="K49">
        <v>-2</v>
      </c>
      <c r="L49">
        <v>-2</v>
      </c>
      <c r="M49">
        <v>-2</v>
      </c>
      <c r="N49">
        <v>-2</v>
      </c>
      <c r="O49">
        <v>-2</v>
      </c>
      <c r="P49">
        <v>-2</v>
      </c>
    </row>
    <row r="50" spans="2:16">
      <c r="C50" t="s">
        <v>145</v>
      </c>
      <c r="D50">
        <v>2</v>
      </c>
      <c r="E50">
        <v>2</v>
      </c>
      <c r="F50">
        <v>2</v>
      </c>
      <c r="G50">
        <v>2</v>
      </c>
      <c r="H50">
        <v>2</v>
      </c>
      <c r="I50">
        <v>2</v>
      </c>
      <c r="J50">
        <v>2</v>
      </c>
      <c r="K50">
        <v>2</v>
      </c>
      <c r="L50">
        <v>2</v>
      </c>
      <c r="M50">
        <v>2</v>
      </c>
      <c r="N50">
        <v>2</v>
      </c>
      <c r="O50">
        <v>2</v>
      </c>
      <c r="P50">
        <v>2</v>
      </c>
    </row>
    <row r="51" spans="2:16">
      <c r="C51" t="s">
        <v>146</v>
      </c>
      <c r="D51">
        <f>((-0.56*(24/(2*PI()))*SIN(((2*PI())/24)*D50))+(0.84*D50))-((-0.56*(24/(2*PI()))*SIN(((2*PI())/24)*D49))+(0.84*D49))</f>
        <v>1.2209575648449267</v>
      </c>
      <c r="E51">
        <f t="shared" ref="E51:P51" si="16">((-0.56*(24/(2*PI()))*SIN(((2*PI())/24)*E50))+(0.84*E50))-((-0.56*(24/(2*PI()))*SIN(((2*PI())/24)*E49))+(0.84*E49))</f>
        <v>1.2209575648449267</v>
      </c>
      <c r="F51">
        <f t="shared" si="16"/>
        <v>1.2209575648449267</v>
      </c>
      <c r="G51">
        <f t="shared" si="16"/>
        <v>1.2209575648449267</v>
      </c>
      <c r="H51">
        <f t="shared" si="16"/>
        <v>1.2209575648449267</v>
      </c>
      <c r="I51">
        <f t="shared" si="16"/>
        <v>1.2209575648449267</v>
      </c>
      <c r="J51">
        <f t="shared" si="16"/>
        <v>1.2209575648449267</v>
      </c>
      <c r="K51">
        <f t="shared" si="16"/>
        <v>1.2209575648449267</v>
      </c>
      <c r="L51">
        <f t="shared" si="16"/>
        <v>1.2209575648449267</v>
      </c>
      <c r="M51">
        <f t="shared" si="16"/>
        <v>1.2209575648449267</v>
      </c>
      <c r="N51">
        <f t="shared" si="16"/>
        <v>1.2209575648449267</v>
      </c>
      <c r="O51">
        <f t="shared" si="16"/>
        <v>1.2209575648449267</v>
      </c>
      <c r="P51">
        <f t="shared" si="16"/>
        <v>1.2209575648449267</v>
      </c>
    </row>
    <row r="53" spans="2:16">
      <c r="C53" t="s">
        <v>148</v>
      </c>
    </row>
    <row r="54" spans="2:16">
      <c r="B54" t="s">
        <v>143</v>
      </c>
      <c r="C54" t="s">
        <v>144</v>
      </c>
      <c r="D54">
        <v>-2</v>
      </c>
      <c r="E54">
        <v>-2</v>
      </c>
      <c r="F54">
        <v>-2</v>
      </c>
      <c r="G54">
        <v>-2</v>
      </c>
      <c r="H54">
        <v>-2</v>
      </c>
      <c r="I54">
        <v>-2</v>
      </c>
      <c r="J54">
        <v>-2</v>
      </c>
      <c r="K54">
        <v>-2</v>
      </c>
      <c r="L54">
        <v>-2</v>
      </c>
      <c r="M54">
        <v>-2</v>
      </c>
      <c r="N54">
        <v>-2</v>
      </c>
      <c r="O54">
        <v>-2</v>
      </c>
      <c r="P54">
        <v>-2</v>
      </c>
    </row>
    <row r="55" spans="2:16">
      <c r="C55" t="s">
        <v>145</v>
      </c>
      <c r="D55">
        <v>2</v>
      </c>
      <c r="E55">
        <v>2</v>
      </c>
      <c r="F55">
        <v>2</v>
      </c>
      <c r="G55">
        <v>2</v>
      </c>
      <c r="H55">
        <v>2</v>
      </c>
      <c r="I55">
        <v>2</v>
      </c>
      <c r="J55">
        <v>2</v>
      </c>
      <c r="K55">
        <v>2</v>
      </c>
      <c r="L55">
        <v>2</v>
      </c>
      <c r="M55">
        <v>2</v>
      </c>
      <c r="N55">
        <v>2</v>
      </c>
      <c r="O55">
        <v>2</v>
      </c>
      <c r="P55">
        <v>2</v>
      </c>
    </row>
    <row r="56" spans="2:16">
      <c r="C56" t="s">
        <v>146</v>
      </c>
      <c r="D56">
        <f>((-1.31*(24/(2*PI()))*SIN(((2*PI())/24)*D55))+(2.19*D55))-((-1.31*(24/(2*PI()))*SIN(((2*PI())/24)*D54))+(2.19*D54))</f>
        <v>3.7561685891908114</v>
      </c>
      <c r="E56">
        <f t="shared" ref="E56:P56" si="17">((-1.31*(24/(2*PI()))*SIN(((2*PI())/24)*E55))+(2.19*E55))-((-1.31*(24/(2*PI()))*SIN(((2*PI())/24)*E54))+(2.19*E54))</f>
        <v>3.7561685891908114</v>
      </c>
      <c r="F56">
        <f t="shared" si="17"/>
        <v>3.7561685891908114</v>
      </c>
      <c r="G56">
        <f t="shared" si="17"/>
        <v>3.7561685891908114</v>
      </c>
      <c r="H56">
        <f t="shared" si="17"/>
        <v>3.7561685891908114</v>
      </c>
      <c r="I56">
        <f t="shared" si="17"/>
        <v>3.7561685891908114</v>
      </c>
      <c r="J56">
        <f t="shared" si="17"/>
        <v>3.7561685891908114</v>
      </c>
      <c r="K56">
        <f t="shared" si="17"/>
        <v>3.7561685891908114</v>
      </c>
      <c r="L56">
        <f t="shared" si="17"/>
        <v>3.7561685891908114</v>
      </c>
      <c r="M56">
        <f t="shared" si="17"/>
        <v>3.7561685891908114</v>
      </c>
      <c r="N56">
        <f t="shared" si="17"/>
        <v>3.7561685891908114</v>
      </c>
      <c r="O56">
        <f t="shared" si="17"/>
        <v>3.7561685891908114</v>
      </c>
      <c r="P56">
        <f t="shared" si="17"/>
        <v>3.7561685891908114</v>
      </c>
    </row>
    <row r="60" spans="2:16">
      <c r="C60" t="s">
        <v>147</v>
      </c>
    </row>
    <row r="61" spans="2:16">
      <c r="D61" t="s">
        <v>6</v>
      </c>
      <c r="E61" t="s">
        <v>7</v>
      </c>
      <c r="F61" t="s">
        <v>79</v>
      </c>
      <c r="G61" t="s">
        <v>80</v>
      </c>
      <c r="H61" t="s">
        <v>81</v>
      </c>
      <c r="I61" t="s">
        <v>8</v>
      </c>
      <c r="J61" t="s">
        <v>9</v>
      </c>
      <c r="K61" t="s">
        <v>10</v>
      </c>
      <c r="L61" t="s">
        <v>82</v>
      </c>
      <c r="M61" t="s">
        <v>11</v>
      </c>
      <c r="N61" t="s">
        <v>12</v>
      </c>
      <c r="O61" t="s">
        <v>13</v>
      </c>
      <c r="P61" t="s">
        <v>14</v>
      </c>
    </row>
    <row r="62" spans="2:16">
      <c r="C62" t="s">
        <v>139</v>
      </c>
      <c r="D62">
        <f>D15*((365*D51*D10)+$V13)</f>
        <v>764179.00858051248</v>
      </c>
      <c r="E62">
        <f t="shared" ref="E62:P62" si="18">E15*((365*E51*E10)+$V13)</f>
        <v>704699.76256578567</v>
      </c>
      <c r="F62">
        <f t="shared" si="18"/>
        <v>713750.95217672235</v>
      </c>
      <c r="G62">
        <f t="shared" si="18"/>
        <v>426698.93880130141</v>
      </c>
      <c r="H62">
        <f t="shared" si="18"/>
        <v>2873106.1879287628</v>
      </c>
      <c r="I62">
        <f t="shared" si="18"/>
        <v>30585262.722442374</v>
      </c>
      <c r="J62">
        <f t="shared" si="18"/>
        <v>9422288.3849851005</v>
      </c>
      <c r="K62">
        <f t="shared" si="18"/>
        <v>164214.4400841372</v>
      </c>
      <c r="L62">
        <f t="shared" si="18"/>
        <v>109907.30241851704</v>
      </c>
      <c r="M62">
        <f t="shared" si="18"/>
        <v>6956.4</v>
      </c>
      <c r="N62">
        <f t="shared" si="18"/>
        <v>15.299999999999999</v>
      </c>
      <c r="O62">
        <f t="shared" si="18"/>
        <v>15.299999999999999</v>
      </c>
      <c r="P62">
        <f t="shared" si="18"/>
        <v>25.5</v>
      </c>
    </row>
    <row r="64" spans="2:16">
      <c r="C64" t="s">
        <v>148</v>
      </c>
    </row>
    <row r="65" spans="2:16">
      <c r="D65" t="s">
        <v>6</v>
      </c>
      <c r="E65" t="s">
        <v>7</v>
      </c>
      <c r="F65" t="s">
        <v>79</v>
      </c>
      <c r="G65" t="s">
        <v>80</v>
      </c>
      <c r="H65" t="s">
        <v>81</v>
      </c>
      <c r="I65" t="s">
        <v>8</v>
      </c>
      <c r="J65" t="s">
        <v>9</v>
      </c>
      <c r="K65" t="s">
        <v>10</v>
      </c>
      <c r="L65" t="s">
        <v>82</v>
      </c>
      <c r="M65" t="s">
        <v>11</v>
      </c>
      <c r="N65" t="s">
        <v>12</v>
      </c>
      <c r="O65" t="s">
        <v>13</v>
      </c>
      <c r="P65" t="s">
        <v>14</v>
      </c>
    </row>
    <row r="66" spans="2:16">
      <c r="C66" t="s">
        <v>139</v>
      </c>
      <c r="D66">
        <f>D16*((365*D56*D10)+$W13)</f>
        <v>8404160.6716638841</v>
      </c>
      <c r="E66">
        <f t="shared" ref="E66:P66" si="19">E16*((365*E56*E10)+$W13)</f>
        <v>9960339.6906965915</v>
      </c>
      <c r="F66">
        <f t="shared" si="19"/>
        <v>5228285.1226175409</v>
      </c>
      <c r="G66">
        <f t="shared" si="19"/>
        <v>6121500.1207868252</v>
      </c>
      <c r="H66">
        <f t="shared" si="19"/>
        <v>2941654.7273041746</v>
      </c>
      <c r="I66">
        <f t="shared" si="19"/>
        <v>31302223.380288012</v>
      </c>
      <c r="J66">
        <f t="shared" si="19"/>
        <v>9642752.1357919574</v>
      </c>
      <c r="K66">
        <f t="shared" si="19"/>
        <v>170703.31076124089</v>
      </c>
      <c r="L66">
        <f t="shared" si="19"/>
        <v>115125.48865292991</v>
      </c>
      <c r="M66">
        <f t="shared" si="19"/>
        <v>3480.75</v>
      </c>
      <c r="N66">
        <f t="shared" si="19"/>
        <v>7.65</v>
      </c>
      <c r="O66">
        <f t="shared" si="19"/>
        <v>7.65</v>
      </c>
      <c r="P66">
        <f t="shared" si="19"/>
        <v>15.3</v>
      </c>
    </row>
    <row r="68" spans="2:16">
      <c r="C68" t="s">
        <v>147</v>
      </c>
    </row>
    <row r="69" spans="2:16">
      <c r="D69" t="s">
        <v>6</v>
      </c>
      <c r="E69" t="s">
        <v>7</v>
      </c>
      <c r="F69" t="s">
        <v>79</v>
      </c>
      <c r="G69" t="s">
        <v>80</v>
      </c>
      <c r="H69" t="s">
        <v>81</v>
      </c>
      <c r="I69" t="s">
        <v>8</v>
      </c>
      <c r="J69" t="s">
        <v>9</v>
      </c>
      <c r="K69" t="s">
        <v>10</v>
      </c>
      <c r="L69" t="s">
        <v>82</v>
      </c>
      <c r="M69" t="s">
        <v>11</v>
      </c>
      <c r="N69" t="s">
        <v>12</v>
      </c>
      <c r="O69" t="s">
        <v>13</v>
      </c>
      <c r="P69" t="s">
        <v>14</v>
      </c>
    </row>
    <row r="70" spans="2:16">
      <c r="C70" t="s">
        <v>138</v>
      </c>
      <c r="D70">
        <f>D8*12*D19</f>
        <v>786605.03999999992</v>
      </c>
      <c r="E70">
        <f t="shared" ref="E70:P70" si="20">E8*12*E19</f>
        <v>932199.84</v>
      </c>
      <c r="F70">
        <f t="shared" si="20"/>
        <v>489121.92</v>
      </c>
      <c r="G70">
        <f t="shared" si="20"/>
        <v>572731.91999999993</v>
      </c>
      <c r="H70">
        <f t="shared" si="20"/>
        <v>6419044.7999999998</v>
      </c>
      <c r="I70">
        <f t="shared" si="20"/>
        <v>67141958.400000006</v>
      </c>
      <c r="J70">
        <f t="shared" si="20"/>
        <v>20684347.200000003</v>
      </c>
      <c r="K70">
        <f t="shared" si="20"/>
        <v>364492.79999999999</v>
      </c>
      <c r="L70">
        <f t="shared" si="20"/>
        <v>250966.8</v>
      </c>
      <c r="M70">
        <f t="shared" si="20"/>
        <v>439770</v>
      </c>
      <c r="N70">
        <f t="shared" si="20"/>
        <v>720</v>
      </c>
      <c r="O70">
        <f t="shared" si="20"/>
        <v>840</v>
      </c>
      <c r="P70">
        <f t="shared" si="20"/>
        <v>1200</v>
      </c>
    </row>
    <row r="72" spans="2:16">
      <c r="C72" t="s">
        <v>148</v>
      </c>
    </row>
    <row r="73" spans="2:16">
      <c r="D73" t="s">
        <v>6</v>
      </c>
      <c r="E73" t="s">
        <v>7</v>
      </c>
      <c r="F73" t="s">
        <v>79</v>
      </c>
      <c r="G73" t="s">
        <v>80</v>
      </c>
      <c r="H73" t="s">
        <v>81</v>
      </c>
      <c r="I73" t="s">
        <v>8</v>
      </c>
      <c r="J73" t="s">
        <v>9</v>
      </c>
      <c r="K73" t="s">
        <v>10</v>
      </c>
      <c r="L73" t="s">
        <v>82</v>
      </c>
      <c r="M73" t="s">
        <v>11</v>
      </c>
      <c r="N73" t="s">
        <v>12</v>
      </c>
      <c r="O73" t="s">
        <v>13</v>
      </c>
      <c r="P73" t="s">
        <v>14</v>
      </c>
    </row>
    <row r="74" spans="2:16">
      <c r="C74" t="s">
        <v>138</v>
      </c>
      <c r="D74">
        <f>D8*12*D19</f>
        <v>786605.03999999992</v>
      </c>
      <c r="E74">
        <f>E8*12*E19</f>
        <v>932199.84</v>
      </c>
      <c r="F74">
        <f t="shared" ref="F74:P74" si="21">F8*12*F19</f>
        <v>489121.92</v>
      </c>
      <c r="G74">
        <f t="shared" si="21"/>
        <v>572731.91999999993</v>
      </c>
      <c r="H74">
        <f t="shared" si="21"/>
        <v>6419044.7999999998</v>
      </c>
      <c r="I74">
        <f t="shared" si="21"/>
        <v>67141958.400000006</v>
      </c>
      <c r="J74">
        <f t="shared" si="21"/>
        <v>20684347.200000003</v>
      </c>
      <c r="K74">
        <f t="shared" si="21"/>
        <v>364492.79999999999</v>
      </c>
      <c r="L74">
        <f t="shared" si="21"/>
        <v>250966.8</v>
      </c>
      <c r="M74">
        <f t="shared" si="21"/>
        <v>439770</v>
      </c>
      <c r="N74">
        <f t="shared" si="21"/>
        <v>720</v>
      </c>
      <c r="O74">
        <f t="shared" si="21"/>
        <v>840</v>
      </c>
      <c r="P74">
        <f t="shared" si="21"/>
        <v>1200</v>
      </c>
    </row>
    <row r="77" spans="2:16">
      <c r="C77" t="s">
        <v>30</v>
      </c>
    </row>
    <row r="78" spans="2:16">
      <c r="B78" t="s">
        <v>149</v>
      </c>
      <c r="D78" t="s">
        <v>6</v>
      </c>
      <c r="E78" t="s">
        <v>7</v>
      </c>
      <c r="F78" t="s">
        <v>154</v>
      </c>
      <c r="G78" t="s">
        <v>155</v>
      </c>
      <c r="H78" t="s">
        <v>156</v>
      </c>
      <c r="I78" t="s">
        <v>8</v>
      </c>
      <c r="J78" t="s">
        <v>9</v>
      </c>
      <c r="K78" t="s">
        <v>10</v>
      </c>
      <c r="L78" t="s">
        <v>82</v>
      </c>
      <c r="M78" t="s">
        <v>11</v>
      </c>
      <c r="N78" t="s">
        <v>12</v>
      </c>
      <c r="O78" t="s">
        <v>13</v>
      </c>
      <c r="P78" t="s">
        <v>14</v>
      </c>
    </row>
    <row r="79" spans="2:16">
      <c r="C79" t="s">
        <v>150</v>
      </c>
      <c r="D79" s="36">
        <f>D32*-1</f>
        <v>-624140.32499999995</v>
      </c>
      <c r="E79" s="36">
        <f t="shared" ref="E79:P79" si="22">E32*-1</f>
        <v>-562072.125</v>
      </c>
      <c r="F79" s="36">
        <f t="shared" si="22"/>
        <v>-565830.36</v>
      </c>
      <c r="G79" s="36">
        <f t="shared" si="22"/>
        <v>-350192.69999999995</v>
      </c>
      <c r="H79" s="36">
        <f t="shared" si="22"/>
        <v>-2266673.3099999996</v>
      </c>
      <c r="I79" s="36">
        <f t="shared" si="22"/>
        <v>-13710804.560000002</v>
      </c>
      <c r="J79" s="36">
        <f t="shared" si="22"/>
        <v>-4303192.1100000003</v>
      </c>
      <c r="K79" s="36">
        <f t="shared" si="22"/>
        <v>-65015.11</v>
      </c>
      <c r="L79" s="36">
        <f t="shared" si="22"/>
        <v>-48140.6</v>
      </c>
      <c r="M79" s="36">
        <f t="shared" si="22"/>
        <v>-783577.08000000007</v>
      </c>
      <c r="N79" s="36">
        <f t="shared" si="22"/>
        <v>-1494.8700000000001</v>
      </c>
      <c r="O79" s="36">
        <f t="shared" si="22"/>
        <v>-1544.5350000000001</v>
      </c>
      <c r="P79" s="36">
        <f t="shared" si="22"/>
        <v>-2552.7750000000001</v>
      </c>
    </row>
    <row r="80" spans="2:16">
      <c r="C80">
        <v>1</v>
      </c>
      <c r="D80" s="36">
        <f>D70-D62</f>
        <v>22426.031419487437</v>
      </c>
      <c r="E80" s="36">
        <f>E70-E62</f>
        <v>227500.0774342143</v>
      </c>
      <c r="F80" s="36">
        <f t="shared" ref="F80:P80" si="23">F70-F62</f>
        <v>-224629.03217672236</v>
      </c>
      <c r="G80" s="36">
        <f t="shared" si="23"/>
        <v>146032.98119869852</v>
      </c>
      <c r="H80" s="36">
        <f t="shared" si="23"/>
        <v>3545938.6120712371</v>
      </c>
      <c r="I80" s="36">
        <f t="shared" si="23"/>
        <v>36556695.677557632</v>
      </c>
      <c r="J80" s="36">
        <f t="shared" si="23"/>
        <v>11262058.815014903</v>
      </c>
      <c r="K80" s="36">
        <f t="shared" si="23"/>
        <v>200278.35991586279</v>
      </c>
      <c r="L80" s="36">
        <f>L70-L62</f>
        <v>141059.49758148295</v>
      </c>
      <c r="M80" s="36">
        <f t="shared" si="23"/>
        <v>432813.6</v>
      </c>
      <c r="N80" s="36">
        <f t="shared" si="23"/>
        <v>704.7</v>
      </c>
      <c r="O80" s="36">
        <f t="shared" si="23"/>
        <v>824.7</v>
      </c>
      <c r="P80" s="36">
        <f t="shared" si="23"/>
        <v>1174.5</v>
      </c>
    </row>
    <row r="81" spans="2:16">
      <c r="C81">
        <v>2</v>
      </c>
      <c r="D81" s="36">
        <f>D80</f>
        <v>22426.031419487437</v>
      </c>
      <c r="E81" s="36">
        <f t="shared" ref="E81:P84" si="24">E80</f>
        <v>227500.0774342143</v>
      </c>
      <c r="F81" s="36">
        <f t="shared" si="24"/>
        <v>-224629.03217672236</v>
      </c>
      <c r="G81" s="36">
        <f t="shared" si="24"/>
        <v>146032.98119869852</v>
      </c>
      <c r="H81" s="36">
        <f t="shared" si="24"/>
        <v>3545938.6120712371</v>
      </c>
      <c r="I81" s="36">
        <f t="shared" si="24"/>
        <v>36556695.677557632</v>
      </c>
      <c r="J81" s="36">
        <f t="shared" si="24"/>
        <v>11262058.815014903</v>
      </c>
      <c r="K81" s="36">
        <f t="shared" si="24"/>
        <v>200278.35991586279</v>
      </c>
      <c r="L81" s="36">
        <f t="shared" si="24"/>
        <v>141059.49758148295</v>
      </c>
      <c r="M81" s="36">
        <f t="shared" si="24"/>
        <v>432813.6</v>
      </c>
      <c r="N81" s="36">
        <f t="shared" si="24"/>
        <v>704.7</v>
      </c>
      <c r="O81" s="36">
        <f t="shared" si="24"/>
        <v>824.7</v>
      </c>
      <c r="P81" s="36">
        <f t="shared" si="24"/>
        <v>1174.5</v>
      </c>
    </row>
    <row r="82" spans="2:16">
      <c r="C82">
        <v>3</v>
      </c>
      <c r="D82" s="36">
        <f t="shared" ref="D82:D84" si="25">D81</f>
        <v>22426.031419487437</v>
      </c>
      <c r="E82" s="36">
        <f t="shared" si="24"/>
        <v>227500.0774342143</v>
      </c>
      <c r="F82" s="36">
        <f t="shared" si="24"/>
        <v>-224629.03217672236</v>
      </c>
      <c r="G82" s="36">
        <f t="shared" si="24"/>
        <v>146032.98119869852</v>
      </c>
      <c r="H82" s="36">
        <f t="shared" si="24"/>
        <v>3545938.6120712371</v>
      </c>
      <c r="I82" s="36">
        <f t="shared" si="24"/>
        <v>36556695.677557632</v>
      </c>
      <c r="J82" s="36">
        <f t="shared" si="24"/>
        <v>11262058.815014903</v>
      </c>
      <c r="K82" s="36">
        <f t="shared" si="24"/>
        <v>200278.35991586279</v>
      </c>
      <c r="L82" s="36">
        <f t="shared" si="24"/>
        <v>141059.49758148295</v>
      </c>
      <c r="M82" s="36">
        <f t="shared" si="24"/>
        <v>432813.6</v>
      </c>
      <c r="N82" s="36">
        <f t="shared" si="24"/>
        <v>704.7</v>
      </c>
      <c r="O82" s="36">
        <f t="shared" si="24"/>
        <v>824.7</v>
      </c>
      <c r="P82" s="36">
        <f t="shared" si="24"/>
        <v>1174.5</v>
      </c>
    </row>
    <row r="83" spans="2:16">
      <c r="C83">
        <v>4</v>
      </c>
      <c r="D83" s="36">
        <f t="shared" si="25"/>
        <v>22426.031419487437</v>
      </c>
      <c r="E83" s="36">
        <f t="shared" si="24"/>
        <v>227500.0774342143</v>
      </c>
      <c r="F83" s="36">
        <f t="shared" si="24"/>
        <v>-224629.03217672236</v>
      </c>
      <c r="G83" s="36">
        <f t="shared" si="24"/>
        <v>146032.98119869852</v>
      </c>
      <c r="H83" s="36">
        <f t="shared" si="24"/>
        <v>3545938.6120712371</v>
      </c>
      <c r="I83" s="36">
        <f t="shared" si="24"/>
        <v>36556695.677557632</v>
      </c>
      <c r="J83" s="36">
        <f t="shared" si="24"/>
        <v>11262058.815014903</v>
      </c>
      <c r="K83" s="36">
        <f t="shared" si="24"/>
        <v>200278.35991586279</v>
      </c>
      <c r="L83" s="36">
        <f t="shared" si="24"/>
        <v>141059.49758148295</v>
      </c>
      <c r="M83" s="36">
        <f t="shared" si="24"/>
        <v>432813.6</v>
      </c>
      <c r="N83" s="36">
        <f t="shared" si="24"/>
        <v>704.7</v>
      </c>
      <c r="O83" s="36">
        <f t="shared" si="24"/>
        <v>824.7</v>
      </c>
      <c r="P83" s="36">
        <f t="shared" si="24"/>
        <v>1174.5</v>
      </c>
    </row>
    <row r="84" spans="2:16">
      <c r="C84">
        <v>5</v>
      </c>
      <c r="D84" s="36">
        <f t="shared" si="25"/>
        <v>22426.031419487437</v>
      </c>
      <c r="E84" s="36">
        <f t="shared" si="24"/>
        <v>227500.0774342143</v>
      </c>
      <c r="F84" s="36">
        <f t="shared" si="24"/>
        <v>-224629.03217672236</v>
      </c>
      <c r="G84" s="36">
        <f t="shared" si="24"/>
        <v>146032.98119869852</v>
      </c>
      <c r="H84" s="36">
        <f t="shared" si="24"/>
        <v>3545938.6120712371</v>
      </c>
      <c r="I84" s="36">
        <f t="shared" si="24"/>
        <v>36556695.677557632</v>
      </c>
      <c r="J84" s="36">
        <f t="shared" si="24"/>
        <v>11262058.815014903</v>
      </c>
      <c r="K84" s="36">
        <f t="shared" si="24"/>
        <v>200278.35991586279</v>
      </c>
      <c r="L84" s="36">
        <f t="shared" si="24"/>
        <v>141059.49758148295</v>
      </c>
      <c r="M84" s="36">
        <f t="shared" si="24"/>
        <v>432813.6</v>
      </c>
      <c r="N84" s="36">
        <f t="shared" si="24"/>
        <v>704.7</v>
      </c>
      <c r="O84" s="36">
        <f t="shared" si="24"/>
        <v>824.7</v>
      </c>
      <c r="P84" s="36">
        <f t="shared" si="24"/>
        <v>1174.5</v>
      </c>
    </row>
    <row r="85" spans="2:16">
      <c r="C85" t="s">
        <v>149</v>
      </c>
      <c r="D85" s="36">
        <f>NPV(5%,D80:D84)+D79</f>
        <v>-527047.34515449533</v>
      </c>
      <c r="E85" s="36">
        <f t="shared" ref="E85:P85" si="26">NPV(5%,E80:E84)+E79</f>
        <v>422884.15281813557</v>
      </c>
      <c r="F85" s="36">
        <f t="shared" si="26"/>
        <v>-1538356.5143554991</v>
      </c>
      <c r="G85" s="36">
        <f t="shared" si="26"/>
        <v>282053.68524243438</v>
      </c>
      <c r="H85" s="36">
        <f t="shared" si="26"/>
        <v>13085385.186451446</v>
      </c>
      <c r="I85" s="36">
        <f t="shared" si="26"/>
        <v>144560556.53133625</v>
      </c>
      <c r="J85" s="36">
        <f t="shared" si="26"/>
        <v>44455628.792879194</v>
      </c>
      <c r="K85" s="36">
        <f t="shared" si="26"/>
        <v>802085.37688793044</v>
      </c>
      <c r="L85" s="36">
        <f t="shared" si="26"/>
        <v>562573.2039499348</v>
      </c>
      <c r="M85" s="36">
        <f t="shared" si="26"/>
        <v>1090279.3039317387</v>
      </c>
      <c r="N85" s="36">
        <f t="shared" si="26"/>
        <v>1556.1122097935383</v>
      </c>
      <c r="O85" s="36">
        <f t="shared" si="26"/>
        <v>2025.9844102692362</v>
      </c>
      <c r="P85" s="36">
        <f t="shared" si="26"/>
        <v>2532.1953496558967</v>
      </c>
    </row>
    <row r="86" spans="2:16">
      <c r="C86" t="s">
        <v>151</v>
      </c>
      <c r="D86" s="35">
        <f>IRR(D79:D84)</f>
        <v>-0.39020398140025525</v>
      </c>
      <c r="E86" s="35">
        <f t="shared" ref="E86:P86" si="27">IRR(E79:E84)</f>
        <v>0.29257266152720152</v>
      </c>
      <c r="F86" s="35" t="e">
        <f t="shared" si="27"/>
        <v>#NUM!</v>
      </c>
      <c r="G86" s="35">
        <f t="shared" si="27"/>
        <v>0.30815094791652142</v>
      </c>
      <c r="H86" s="35">
        <f t="shared" si="27"/>
        <v>1.5498671875128234</v>
      </c>
      <c r="I86" s="35">
        <f t="shared" si="27"/>
        <v>2.662221739719159</v>
      </c>
      <c r="J86" s="35">
        <f t="shared" si="27"/>
        <v>2.6128889926271164</v>
      </c>
      <c r="K86" s="35">
        <f t="shared" si="27"/>
        <v>3.0777572393321089</v>
      </c>
      <c r="L86" s="35">
        <f t="shared" si="27"/>
        <v>2.9270191737214066</v>
      </c>
      <c r="M86" s="35">
        <f t="shared" si="27"/>
        <v>0.47259215563672297</v>
      </c>
      <c r="N86" s="35">
        <f t="shared" si="27"/>
        <v>0.37576258090731463</v>
      </c>
      <c r="O86" s="35">
        <f t="shared" si="27"/>
        <v>0.45090366688612882</v>
      </c>
      <c r="P86" s="35">
        <f t="shared" si="27"/>
        <v>0.36187950910258171</v>
      </c>
    </row>
    <row r="90" spans="2:16">
      <c r="C90" t="s">
        <v>31</v>
      </c>
    </row>
    <row r="91" spans="2:16">
      <c r="B91" t="s">
        <v>149</v>
      </c>
      <c r="D91" t="s">
        <v>6</v>
      </c>
      <c r="E91" t="s">
        <v>7</v>
      </c>
      <c r="F91" t="s">
        <v>79</v>
      </c>
      <c r="G91" t="s">
        <v>80</v>
      </c>
      <c r="H91" t="s">
        <v>81</v>
      </c>
      <c r="I91" t="s">
        <v>8</v>
      </c>
      <c r="J91" t="s">
        <v>9</v>
      </c>
      <c r="K91" t="s">
        <v>10</v>
      </c>
      <c r="L91" t="s">
        <v>82</v>
      </c>
      <c r="M91" t="s">
        <v>11</v>
      </c>
      <c r="N91" t="s">
        <v>12</v>
      </c>
      <c r="O91" t="s">
        <v>13</v>
      </c>
      <c r="P91" t="s">
        <v>14</v>
      </c>
    </row>
    <row r="92" spans="2:16">
      <c r="C92" t="s">
        <v>150</v>
      </c>
      <c r="D92" s="36">
        <f>D43*-1</f>
        <v>-7748855.1000000006</v>
      </c>
      <c r="E92" s="36">
        <f t="shared" ref="E92:P92" si="28">E43*-1</f>
        <v>-8873203.9500000011</v>
      </c>
      <c r="F92" s="36">
        <f t="shared" si="28"/>
        <v>-4494657.6000000006</v>
      </c>
      <c r="G92" s="36">
        <f t="shared" si="28"/>
        <v>-5835005.1000000006</v>
      </c>
      <c r="H92" s="36">
        <f t="shared" si="28"/>
        <v>-2590017.3000000003</v>
      </c>
      <c r="I92" s="36">
        <f t="shared" si="28"/>
        <v>-15940710.25</v>
      </c>
      <c r="J92" s="36">
        <f t="shared" si="28"/>
        <v>-5177777.8500000006</v>
      </c>
      <c r="K92" s="36">
        <f t="shared" si="28"/>
        <v>-88218.799999999988</v>
      </c>
      <c r="L92" s="36">
        <f t="shared" si="28"/>
        <v>-57182.200000000004</v>
      </c>
      <c r="M92" s="36">
        <f t="shared" si="28"/>
        <v>-951132</v>
      </c>
      <c r="N92" s="36">
        <f t="shared" si="28"/>
        <v>-2010.35</v>
      </c>
      <c r="O92" s="36">
        <f t="shared" si="28"/>
        <v>-2147.85</v>
      </c>
      <c r="P92" s="36">
        <f t="shared" si="28"/>
        <v>-4130.7</v>
      </c>
    </row>
    <row r="93" spans="2:16">
      <c r="C93">
        <v>1</v>
      </c>
      <c r="D93" s="36">
        <f>D74-D66</f>
        <v>-7617555.631663884</v>
      </c>
      <c r="E93" s="36">
        <f>E74-E66</f>
        <v>-9028139.8506965917</v>
      </c>
      <c r="F93" s="36">
        <f t="shared" ref="F93:P93" si="29">F74-F66</f>
        <v>-4739163.202617541</v>
      </c>
      <c r="G93" s="36">
        <f t="shared" si="29"/>
        <v>-5548768.2007868253</v>
      </c>
      <c r="H93" s="36">
        <f t="shared" si="29"/>
        <v>3477390.0726958252</v>
      </c>
      <c r="I93" s="36">
        <f t="shared" si="29"/>
        <v>35839735.019711994</v>
      </c>
      <c r="J93" s="36">
        <f t="shared" si="29"/>
        <v>11041595.064208046</v>
      </c>
      <c r="K93" s="36">
        <f t="shared" si="29"/>
        <v>193789.4892387591</v>
      </c>
      <c r="L93" s="36">
        <f t="shared" si="29"/>
        <v>135841.31134707009</v>
      </c>
      <c r="M93" s="36">
        <f t="shared" si="29"/>
        <v>436289.25</v>
      </c>
      <c r="N93" s="36">
        <f t="shared" si="29"/>
        <v>712.35</v>
      </c>
      <c r="O93" s="36">
        <f t="shared" si="29"/>
        <v>832.35</v>
      </c>
      <c r="P93" s="36">
        <f t="shared" si="29"/>
        <v>1184.7</v>
      </c>
    </row>
    <row r="94" spans="2:16">
      <c r="C94">
        <v>2</v>
      </c>
      <c r="D94" s="36">
        <f>D93</f>
        <v>-7617555.631663884</v>
      </c>
      <c r="E94" s="36">
        <f t="shared" ref="E94:P102" si="30">E93</f>
        <v>-9028139.8506965917</v>
      </c>
      <c r="F94" s="36">
        <f t="shared" si="30"/>
        <v>-4739163.202617541</v>
      </c>
      <c r="G94" s="36">
        <f t="shared" si="30"/>
        <v>-5548768.2007868253</v>
      </c>
      <c r="H94" s="36">
        <f t="shared" si="30"/>
        <v>3477390.0726958252</v>
      </c>
      <c r="I94" s="36">
        <f t="shared" si="30"/>
        <v>35839735.019711994</v>
      </c>
      <c r="J94" s="36">
        <f t="shared" si="30"/>
        <v>11041595.064208046</v>
      </c>
      <c r="K94" s="36">
        <f t="shared" si="30"/>
        <v>193789.4892387591</v>
      </c>
      <c r="L94" s="36">
        <f t="shared" si="30"/>
        <v>135841.31134707009</v>
      </c>
      <c r="M94" s="36">
        <f t="shared" si="30"/>
        <v>436289.25</v>
      </c>
      <c r="N94" s="36">
        <f t="shared" si="30"/>
        <v>712.35</v>
      </c>
      <c r="O94" s="36">
        <f t="shared" si="30"/>
        <v>832.35</v>
      </c>
      <c r="P94" s="36">
        <f t="shared" si="30"/>
        <v>1184.7</v>
      </c>
    </row>
    <row r="95" spans="2:16">
      <c r="C95">
        <v>3</v>
      </c>
      <c r="D95" s="36">
        <f t="shared" ref="D95:D102" si="31">D94</f>
        <v>-7617555.631663884</v>
      </c>
      <c r="E95" s="36">
        <f t="shared" si="30"/>
        <v>-9028139.8506965917</v>
      </c>
      <c r="F95" s="36">
        <f t="shared" si="30"/>
        <v>-4739163.202617541</v>
      </c>
      <c r="G95" s="36">
        <f t="shared" si="30"/>
        <v>-5548768.2007868253</v>
      </c>
      <c r="H95" s="36">
        <f t="shared" si="30"/>
        <v>3477390.0726958252</v>
      </c>
      <c r="I95" s="36">
        <f t="shared" si="30"/>
        <v>35839735.019711994</v>
      </c>
      <c r="J95" s="36">
        <f t="shared" si="30"/>
        <v>11041595.064208046</v>
      </c>
      <c r="K95" s="36">
        <f t="shared" si="30"/>
        <v>193789.4892387591</v>
      </c>
      <c r="L95" s="36">
        <f t="shared" si="30"/>
        <v>135841.31134707009</v>
      </c>
      <c r="M95" s="36">
        <f t="shared" si="30"/>
        <v>436289.25</v>
      </c>
      <c r="N95" s="36">
        <f t="shared" si="30"/>
        <v>712.35</v>
      </c>
      <c r="O95" s="36">
        <f t="shared" si="30"/>
        <v>832.35</v>
      </c>
      <c r="P95" s="36">
        <f t="shared" si="30"/>
        <v>1184.7</v>
      </c>
    </row>
    <row r="96" spans="2:16">
      <c r="C96">
        <v>4</v>
      </c>
      <c r="D96" s="36">
        <f t="shared" si="31"/>
        <v>-7617555.631663884</v>
      </c>
      <c r="E96" s="36">
        <f t="shared" si="30"/>
        <v>-9028139.8506965917</v>
      </c>
      <c r="F96" s="36">
        <f t="shared" si="30"/>
        <v>-4739163.202617541</v>
      </c>
      <c r="G96" s="36">
        <f t="shared" si="30"/>
        <v>-5548768.2007868253</v>
      </c>
      <c r="H96" s="36">
        <f t="shared" si="30"/>
        <v>3477390.0726958252</v>
      </c>
      <c r="I96" s="36">
        <f t="shared" si="30"/>
        <v>35839735.019711994</v>
      </c>
      <c r="J96" s="36">
        <f t="shared" si="30"/>
        <v>11041595.064208046</v>
      </c>
      <c r="K96" s="36">
        <f t="shared" si="30"/>
        <v>193789.4892387591</v>
      </c>
      <c r="L96" s="36">
        <f t="shared" si="30"/>
        <v>135841.31134707009</v>
      </c>
      <c r="M96" s="36">
        <f t="shared" si="30"/>
        <v>436289.25</v>
      </c>
      <c r="N96" s="36">
        <f t="shared" si="30"/>
        <v>712.35</v>
      </c>
      <c r="O96" s="36">
        <f t="shared" si="30"/>
        <v>832.35</v>
      </c>
      <c r="P96" s="36">
        <f t="shared" si="30"/>
        <v>1184.7</v>
      </c>
    </row>
    <row r="97" spans="3:16">
      <c r="C97">
        <v>5</v>
      </c>
      <c r="D97" s="36">
        <f t="shared" si="31"/>
        <v>-7617555.631663884</v>
      </c>
      <c r="E97" s="36">
        <f t="shared" si="30"/>
        <v>-9028139.8506965917</v>
      </c>
      <c r="F97" s="36">
        <f t="shared" si="30"/>
        <v>-4739163.202617541</v>
      </c>
      <c r="G97" s="36">
        <f t="shared" si="30"/>
        <v>-5548768.2007868253</v>
      </c>
      <c r="H97" s="36">
        <f t="shared" si="30"/>
        <v>3477390.0726958252</v>
      </c>
      <c r="I97" s="36">
        <f t="shared" si="30"/>
        <v>35839735.019711994</v>
      </c>
      <c r="J97" s="36">
        <f t="shared" si="30"/>
        <v>11041595.064208046</v>
      </c>
      <c r="K97" s="36">
        <f t="shared" si="30"/>
        <v>193789.4892387591</v>
      </c>
      <c r="L97" s="36">
        <f t="shared" si="30"/>
        <v>135841.31134707009</v>
      </c>
      <c r="M97" s="36">
        <f t="shared" si="30"/>
        <v>436289.25</v>
      </c>
      <c r="N97" s="36">
        <f t="shared" si="30"/>
        <v>712.35</v>
      </c>
      <c r="O97" s="36">
        <f t="shared" si="30"/>
        <v>832.35</v>
      </c>
      <c r="P97" s="36">
        <f t="shared" si="30"/>
        <v>1184.7</v>
      </c>
    </row>
    <row r="98" spans="3:16">
      <c r="C98">
        <v>6</v>
      </c>
      <c r="D98" s="36">
        <f t="shared" si="31"/>
        <v>-7617555.631663884</v>
      </c>
      <c r="E98" s="36">
        <f t="shared" si="30"/>
        <v>-9028139.8506965917</v>
      </c>
      <c r="F98" s="36">
        <f t="shared" si="30"/>
        <v>-4739163.202617541</v>
      </c>
      <c r="G98" s="36">
        <f t="shared" si="30"/>
        <v>-5548768.2007868253</v>
      </c>
      <c r="H98" s="36">
        <f t="shared" si="30"/>
        <v>3477390.0726958252</v>
      </c>
      <c r="I98" s="36">
        <f t="shared" si="30"/>
        <v>35839735.019711994</v>
      </c>
      <c r="J98" s="36">
        <f t="shared" si="30"/>
        <v>11041595.064208046</v>
      </c>
      <c r="K98" s="36">
        <f t="shared" si="30"/>
        <v>193789.4892387591</v>
      </c>
      <c r="L98" s="36">
        <f t="shared" si="30"/>
        <v>135841.31134707009</v>
      </c>
      <c r="M98" s="36">
        <f t="shared" si="30"/>
        <v>436289.25</v>
      </c>
      <c r="N98" s="36">
        <f t="shared" si="30"/>
        <v>712.35</v>
      </c>
      <c r="O98" s="36">
        <f t="shared" si="30"/>
        <v>832.35</v>
      </c>
      <c r="P98" s="36">
        <f t="shared" si="30"/>
        <v>1184.7</v>
      </c>
    </row>
    <row r="99" spans="3:16">
      <c r="C99">
        <v>7</v>
      </c>
      <c r="D99" s="36">
        <f t="shared" si="31"/>
        <v>-7617555.631663884</v>
      </c>
      <c r="E99" s="36">
        <f t="shared" si="30"/>
        <v>-9028139.8506965917</v>
      </c>
      <c r="F99" s="36">
        <f t="shared" si="30"/>
        <v>-4739163.202617541</v>
      </c>
      <c r="G99" s="36">
        <f t="shared" si="30"/>
        <v>-5548768.2007868253</v>
      </c>
      <c r="H99" s="36">
        <f t="shared" si="30"/>
        <v>3477390.0726958252</v>
      </c>
      <c r="I99" s="36">
        <f t="shared" si="30"/>
        <v>35839735.019711994</v>
      </c>
      <c r="J99" s="36">
        <f t="shared" si="30"/>
        <v>11041595.064208046</v>
      </c>
      <c r="K99" s="36">
        <f t="shared" si="30"/>
        <v>193789.4892387591</v>
      </c>
      <c r="L99" s="36">
        <f t="shared" si="30"/>
        <v>135841.31134707009</v>
      </c>
      <c r="M99" s="36">
        <f t="shared" si="30"/>
        <v>436289.25</v>
      </c>
      <c r="N99" s="36">
        <f t="shared" si="30"/>
        <v>712.35</v>
      </c>
      <c r="O99" s="36">
        <f t="shared" si="30"/>
        <v>832.35</v>
      </c>
      <c r="P99" s="36">
        <f t="shared" si="30"/>
        <v>1184.7</v>
      </c>
    </row>
    <row r="100" spans="3:16">
      <c r="C100">
        <v>8</v>
      </c>
      <c r="D100" s="36">
        <f t="shared" si="31"/>
        <v>-7617555.631663884</v>
      </c>
      <c r="E100" s="36">
        <f t="shared" si="30"/>
        <v>-9028139.8506965917</v>
      </c>
      <c r="F100" s="36">
        <f t="shared" si="30"/>
        <v>-4739163.202617541</v>
      </c>
      <c r="G100" s="36">
        <f t="shared" si="30"/>
        <v>-5548768.2007868253</v>
      </c>
      <c r="H100" s="36">
        <f t="shared" si="30"/>
        <v>3477390.0726958252</v>
      </c>
      <c r="I100" s="36">
        <f t="shared" si="30"/>
        <v>35839735.019711994</v>
      </c>
      <c r="J100" s="36">
        <f t="shared" si="30"/>
        <v>11041595.064208046</v>
      </c>
      <c r="K100" s="36">
        <f t="shared" si="30"/>
        <v>193789.4892387591</v>
      </c>
      <c r="L100" s="36">
        <f t="shared" si="30"/>
        <v>135841.31134707009</v>
      </c>
      <c r="M100" s="36">
        <f t="shared" si="30"/>
        <v>436289.25</v>
      </c>
      <c r="N100" s="36">
        <f t="shared" si="30"/>
        <v>712.35</v>
      </c>
      <c r="O100" s="36">
        <f t="shared" si="30"/>
        <v>832.35</v>
      </c>
      <c r="P100" s="36">
        <f t="shared" si="30"/>
        <v>1184.7</v>
      </c>
    </row>
    <row r="101" spans="3:16">
      <c r="C101">
        <v>9</v>
      </c>
      <c r="D101" s="36">
        <f t="shared" si="31"/>
        <v>-7617555.631663884</v>
      </c>
      <c r="E101" s="36">
        <f t="shared" si="30"/>
        <v>-9028139.8506965917</v>
      </c>
      <c r="F101" s="36">
        <f t="shared" si="30"/>
        <v>-4739163.202617541</v>
      </c>
      <c r="G101" s="36">
        <f t="shared" si="30"/>
        <v>-5548768.2007868253</v>
      </c>
      <c r="H101" s="36">
        <f t="shared" si="30"/>
        <v>3477390.0726958252</v>
      </c>
      <c r="I101" s="36">
        <f t="shared" si="30"/>
        <v>35839735.019711994</v>
      </c>
      <c r="J101" s="36">
        <f t="shared" si="30"/>
        <v>11041595.064208046</v>
      </c>
      <c r="K101" s="36">
        <f t="shared" si="30"/>
        <v>193789.4892387591</v>
      </c>
      <c r="L101" s="36">
        <f t="shared" si="30"/>
        <v>135841.31134707009</v>
      </c>
      <c r="M101" s="36">
        <f t="shared" si="30"/>
        <v>436289.25</v>
      </c>
      <c r="N101" s="36">
        <f t="shared" si="30"/>
        <v>712.35</v>
      </c>
      <c r="O101" s="36">
        <f t="shared" si="30"/>
        <v>832.35</v>
      </c>
      <c r="P101" s="36">
        <f t="shared" si="30"/>
        <v>1184.7</v>
      </c>
    </row>
    <row r="102" spans="3:16">
      <c r="C102">
        <v>10</v>
      </c>
      <c r="D102" s="36">
        <f t="shared" si="31"/>
        <v>-7617555.631663884</v>
      </c>
      <c r="E102" s="36">
        <f t="shared" si="30"/>
        <v>-9028139.8506965917</v>
      </c>
      <c r="F102" s="36">
        <f t="shared" si="30"/>
        <v>-4739163.202617541</v>
      </c>
      <c r="G102" s="36">
        <f t="shared" si="30"/>
        <v>-5548768.2007868253</v>
      </c>
      <c r="H102" s="36">
        <f t="shared" si="30"/>
        <v>3477390.0726958252</v>
      </c>
      <c r="I102" s="36">
        <f t="shared" si="30"/>
        <v>35839735.019711994</v>
      </c>
      <c r="J102" s="36">
        <f t="shared" si="30"/>
        <v>11041595.064208046</v>
      </c>
      <c r="K102" s="36">
        <f t="shared" si="30"/>
        <v>193789.4892387591</v>
      </c>
      <c r="L102" s="36">
        <f t="shared" si="30"/>
        <v>135841.31134707009</v>
      </c>
      <c r="M102" s="36">
        <f t="shared" si="30"/>
        <v>436289.25</v>
      </c>
      <c r="N102" s="36">
        <f t="shared" si="30"/>
        <v>712.35</v>
      </c>
      <c r="O102" s="36">
        <f t="shared" si="30"/>
        <v>832.35</v>
      </c>
      <c r="P102" s="36">
        <f t="shared" si="30"/>
        <v>1184.7</v>
      </c>
    </row>
    <row r="103" spans="3:16">
      <c r="C103" t="s">
        <v>149</v>
      </c>
      <c r="D103" s="36">
        <f>NPV(5%,D93:D102)+D92</f>
        <v>-66569600.496027485</v>
      </c>
      <c r="E103" s="36">
        <f t="shared" ref="E103:P103" si="32">NPV(5%,E93:E102)+E92</f>
        <v>-78586106.780689225</v>
      </c>
      <c r="F103" s="36">
        <f t="shared" si="32"/>
        <v>-41089219.636759214</v>
      </c>
      <c r="G103" s="36">
        <f t="shared" si="32"/>
        <v>-48681122.329965584</v>
      </c>
      <c r="H103" s="36">
        <f t="shared" si="32"/>
        <v>24261467.086735863</v>
      </c>
      <c r="I103" s="36">
        <f t="shared" si="32"/>
        <v>260804223.50443816</v>
      </c>
      <c r="J103" s="36">
        <f t="shared" si="32"/>
        <v>80082492.431209877</v>
      </c>
      <c r="K103" s="36">
        <f t="shared" si="32"/>
        <v>1408172.2679638101</v>
      </c>
      <c r="L103" s="36">
        <f t="shared" si="32"/>
        <v>991748.39865493984</v>
      </c>
      <c r="M103" s="36">
        <f t="shared" si="32"/>
        <v>2417777.9409528445</v>
      </c>
      <c r="N103" s="36">
        <f t="shared" si="32"/>
        <v>3490.2278768048004</v>
      </c>
      <c r="O103" s="36">
        <f t="shared" si="32"/>
        <v>4279.3360683069768</v>
      </c>
      <c r="P103" s="36">
        <f t="shared" si="32"/>
        <v>5017.2393706052471</v>
      </c>
    </row>
    <row r="104" spans="3:16">
      <c r="C104" t="s">
        <v>151</v>
      </c>
      <c r="D104" s="35" t="e">
        <f>IRR(D92:D102)</f>
        <v>#NUM!</v>
      </c>
      <c r="E104" s="35" t="e">
        <f t="shared" ref="E104:P104" si="33">IRR(E92:E102)</f>
        <v>#NUM!</v>
      </c>
      <c r="F104" s="35" t="e">
        <f t="shared" si="33"/>
        <v>#NUM!</v>
      </c>
      <c r="G104" s="35" t="e">
        <f t="shared" si="33"/>
        <v>#NUM!</v>
      </c>
      <c r="H104" s="35">
        <f t="shared" si="33"/>
        <v>1.3423426302051671</v>
      </c>
      <c r="I104" s="35">
        <f t="shared" si="33"/>
        <v>2.2482976242747337</v>
      </c>
      <c r="J104" s="35">
        <f t="shared" si="33"/>
        <v>2.1324734279996576</v>
      </c>
      <c r="K104" s="35">
        <f t="shared" si="33"/>
        <v>2.1966717982785733</v>
      </c>
      <c r="L104" s="35">
        <f t="shared" si="33"/>
        <v>2.375574988851652</v>
      </c>
      <c r="M104" s="35">
        <f t="shared" si="33"/>
        <v>0.44733293323763501</v>
      </c>
      <c r="N104" s="35">
        <f t="shared" si="33"/>
        <v>0.33457142671608797</v>
      </c>
      <c r="O104" s="35">
        <f t="shared" si="33"/>
        <v>0.37101159927348104</v>
      </c>
      <c r="P104" s="35">
        <f t="shared" si="33"/>
        <v>0.25788528157737867</v>
      </c>
    </row>
    <row r="113" spans="3:5">
      <c r="D113" t="s">
        <v>30</v>
      </c>
      <c r="E113" t="s">
        <v>31</v>
      </c>
    </row>
    <row r="114" spans="3:5">
      <c r="C114">
        <v>0</v>
      </c>
      <c r="D114">
        <f>0.84-(0.56*COS((2*PI()/24)*C114))</f>
        <v>0.27999999999999992</v>
      </c>
      <c r="E114">
        <f>2.19-(1.31*COS((2*PI()/24)*C114))</f>
        <v>0.87999999999999989</v>
      </c>
    </row>
    <row r="115" spans="3:5">
      <c r="C115">
        <v>1</v>
      </c>
      <c r="D115">
        <f t="shared" ref="D115:D138" si="34">0.84-(0.56*COS((2*PI()/24)*C115))</f>
        <v>0.2990815372781217</v>
      </c>
      <c r="E115">
        <f t="shared" ref="E115:E138" si="35">2.19-(1.31*COS((2*PI()/24)*C115))</f>
        <v>0.92463716756132031</v>
      </c>
    </row>
    <row r="116" spans="3:5">
      <c r="C116">
        <v>2</v>
      </c>
      <c r="D116">
        <f t="shared" si="34"/>
        <v>0.35502577388071427</v>
      </c>
      <c r="E116">
        <f t="shared" si="35"/>
        <v>1.0555067210423852</v>
      </c>
    </row>
    <row r="117" spans="3:5">
      <c r="C117">
        <v>3</v>
      </c>
      <c r="D117">
        <f t="shared" si="34"/>
        <v>0.44402020253553331</v>
      </c>
      <c r="E117">
        <f t="shared" si="35"/>
        <v>1.2636901166456225</v>
      </c>
    </row>
    <row r="118" spans="3:5">
      <c r="C118">
        <v>4</v>
      </c>
      <c r="D118">
        <f t="shared" si="34"/>
        <v>0.55999999999999983</v>
      </c>
      <c r="E118">
        <f t="shared" si="35"/>
        <v>1.5349999999999997</v>
      </c>
    </row>
    <row r="119" spans="3:5">
      <c r="C119">
        <v>5</v>
      </c>
      <c r="D119">
        <f t="shared" si="34"/>
        <v>0.69506133474258824</v>
      </c>
      <c r="E119">
        <f t="shared" si="35"/>
        <v>1.8509470509156976</v>
      </c>
    </row>
    <row r="120" spans="3:5">
      <c r="C120">
        <v>6</v>
      </c>
      <c r="D120">
        <f t="shared" si="34"/>
        <v>0.84</v>
      </c>
      <c r="E120">
        <f t="shared" si="35"/>
        <v>2.19</v>
      </c>
    </row>
    <row r="121" spans="3:5">
      <c r="C121">
        <v>7</v>
      </c>
      <c r="D121">
        <f t="shared" si="34"/>
        <v>0.98493866525741147</v>
      </c>
      <c r="E121">
        <f t="shared" si="35"/>
        <v>2.5290529490843019</v>
      </c>
    </row>
    <row r="122" spans="3:5">
      <c r="C122">
        <v>8</v>
      </c>
      <c r="D122">
        <f t="shared" si="34"/>
        <v>1.1199999999999999</v>
      </c>
      <c r="E122">
        <f t="shared" si="35"/>
        <v>2.8449999999999998</v>
      </c>
    </row>
    <row r="123" spans="3:5">
      <c r="C123">
        <v>9</v>
      </c>
      <c r="D123">
        <f t="shared" si="34"/>
        <v>1.2359797974644666</v>
      </c>
      <c r="E123">
        <f t="shared" si="35"/>
        <v>3.1163098833543774</v>
      </c>
    </row>
    <row r="124" spans="3:5">
      <c r="C124">
        <v>10</v>
      </c>
      <c r="D124">
        <f t="shared" si="34"/>
        <v>1.3249742261192856</v>
      </c>
      <c r="E124">
        <f t="shared" si="35"/>
        <v>3.3244932789576147</v>
      </c>
    </row>
    <row r="125" spans="3:5">
      <c r="C125">
        <v>11</v>
      </c>
      <c r="D125">
        <f t="shared" si="34"/>
        <v>1.3809184627218782</v>
      </c>
      <c r="E125">
        <f t="shared" si="35"/>
        <v>3.4553628324386794</v>
      </c>
    </row>
    <row r="126" spans="3:5">
      <c r="C126">
        <v>12</v>
      </c>
      <c r="D126">
        <f t="shared" si="34"/>
        <v>1.4</v>
      </c>
      <c r="E126">
        <f t="shared" si="35"/>
        <v>3.5</v>
      </c>
    </row>
    <row r="127" spans="3:5">
      <c r="C127">
        <v>13</v>
      </c>
      <c r="D127">
        <f t="shared" si="34"/>
        <v>1.3809184627218785</v>
      </c>
      <c r="E127">
        <f t="shared" si="35"/>
        <v>3.4553628324386798</v>
      </c>
    </row>
    <row r="128" spans="3:5">
      <c r="C128">
        <v>14</v>
      </c>
      <c r="D128">
        <f t="shared" si="34"/>
        <v>1.3249742261192858</v>
      </c>
      <c r="E128">
        <f t="shared" si="35"/>
        <v>3.3244932789576147</v>
      </c>
    </row>
    <row r="129" spans="3:5">
      <c r="C129">
        <v>15</v>
      </c>
      <c r="D129">
        <f t="shared" si="34"/>
        <v>1.2359797974644668</v>
      </c>
      <c r="E129">
        <f t="shared" si="35"/>
        <v>3.1163098833543779</v>
      </c>
    </row>
    <row r="130" spans="3:5">
      <c r="C130">
        <v>16</v>
      </c>
      <c r="D130">
        <f t="shared" si="34"/>
        <v>1.1200000000000001</v>
      </c>
      <c r="E130">
        <f t="shared" si="35"/>
        <v>2.8450000000000006</v>
      </c>
    </row>
    <row r="131" spans="3:5">
      <c r="C131">
        <v>17</v>
      </c>
      <c r="D131">
        <f t="shared" si="34"/>
        <v>0.98493866525741203</v>
      </c>
      <c r="E131">
        <f t="shared" si="35"/>
        <v>2.5290529490843032</v>
      </c>
    </row>
    <row r="132" spans="3:5">
      <c r="C132">
        <v>18</v>
      </c>
      <c r="D132">
        <f t="shared" si="34"/>
        <v>0.84000000000000008</v>
      </c>
      <c r="E132">
        <f t="shared" si="35"/>
        <v>2.1900000000000004</v>
      </c>
    </row>
    <row r="133" spans="3:5">
      <c r="C133">
        <v>19</v>
      </c>
      <c r="D133">
        <f t="shared" si="34"/>
        <v>0.69506133474258858</v>
      </c>
      <c r="E133">
        <f t="shared" si="35"/>
        <v>1.8509470509156984</v>
      </c>
    </row>
    <row r="134" spans="3:5">
      <c r="C134">
        <v>20</v>
      </c>
      <c r="D134">
        <f t="shared" si="34"/>
        <v>0.56000000000000028</v>
      </c>
      <c r="E134">
        <f t="shared" si="35"/>
        <v>1.5350000000000008</v>
      </c>
    </row>
    <row r="135" spans="3:5">
      <c r="C135">
        <v>21</v>
      </c>
      <c r="D135">
        <f t="shared" si="34"/>
        <v>0.44402020253553343</v>
      </c>
      <c r="E135">
        <f t="shared" si="35"/>
        <v>1.2636901166456229</v>
      </c>
    </row>
    <row r="136" spans="3:5">
      <c r="C136">
        <v>22</v>
      </c>
      <c r="D136">
        <f t="shared" si="34"/>
        <v>0.35502577388071443</v>
      </c>
      <c r="E136">
        <f t="shared" si="35"/>
        <v>1.0555067210423856</v>
      </c>
    </row>
    <row r="137" spans="3:5">
      <c r="C137">
        <v>23</v>
      </c>
      <c r="D137">
        <f t="shared" si="34"/>
        <v>0.29908153727812181</v>
      </c>
      <c r="E137">
        <f t="shared" si="35"/>
        <v>0.92463716756132075</v>
      </c>
    </row>
    <row r="138" spans="3:5">
      <c r="C138">
        <v>24</v>
      </c>
      <c r="D138">
        <f t="shared" si="34"/>
        <v>0.27999999999999992</v>
      </c>
      <c r="E138">
        <f t="shared" si="35"/>
        <v>0.87999999999999989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DATA</vt:lpstr>
      <vt:lpstr>TOPOLOGY</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Kloniphile Maxakadzi</cp:lastModifiedBy>
  <dcterms:created xsi:type="dcterms:W3CDTF">2018-02-22T09:19:24Z</dcterms:created>
  <dcterms:modified xsi:type="dcterms:W3CDTF">2019-09-04T07:28:21Z</dcterms:modified>
</cp:coreProperties>
</file>